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pivotTables/pivotTable13.xml" ContentType="application/vnd.openxmlformats-officedocument.spreadsheetml.pivotTable+xml"/>
  <Override PartName="/xl/drawings/drawing5.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har.abbaszadeh\Documents\6026-0015 Lighting Solutions Workbook Update\Final report\"/>
    </mc:Choice>
  </mc:AlternateContent>
  <workbookProtection workbookPassword="CD9A" lockStructure="1"/>
  <bookViews>
    <workbookView xWindow="0" yWindow="60" windowWidth="28800" windowHeight="12360" tabRatio="662"/>
  </bookViews>
  <sheets>
    <sheet name="CoverSheet" sheetId="23" r:id="rId1"/>
    <sheet name="Market Solutions" sheetId="24" r:id="rId2"/>
    <sheet name="Summary-Residential" sheetId="32" r:id="rId3"/>
    <sheet name="Summary-NonResInterior" sheetId="33" r:id="rId4"/>
    <sheet name="Summary-NonResExterior" sheetId="34" r:id="rId5"/>
    <sheet name="Summary-Custom" sheetId="35" r:id="rId6"/>
    <sheet name="MarketSolutions_4customreports" sheetId="44" r:id="rId7"/>
    <sheet name="Ref-Savings Calculations" sheetId="21" state="hidden" r:id="rId8"/>
    <sheet name="Ref-ResSources" sheetId="3" state="hidden" r:id="rId9"/>
    <sheet name="Ref-2013CLASSsaturations" sheetId="43" state="hidden" r:id="rId10"/>
    <sheet name="Ref-ComSources" sheetId="4" state="hidden" r:id="rId11"/>
    <sheet name="Ref-2013CSSsaturationsINT" sheetId="39" state="hidden" r:id="rId12"/>
    <sheet name="Ref-ExteriorSources" sheetId="5" state="hidden" r:id="rId13"/>
    <sheet name="Ref-2013CSSsaturationsEXT" sheetId="40" state="hidden" r:id="rId14"/>
    <sheet name="Ref-BaselineControls" sheetId="29" state="hidden" r:id="rId15"/>
    <sheet name="Ref-AgricultureSources" sheetId="9" state="hidden" r:id="rId16"/>
    <sheet name="Ref-Codes &amp; Standards" sheetId="22" state="hidden" r:id="rId17"/>
    <sheet name="Ref-DOE" sheetId="19" state="hidden" r:id="rId18"/>
    <sheet name="Ref-ComHOU" sheetId="12" state="hidden" r:id="rId19"/>
  </sheets>
  <definedNames>
    <definedName name="_xlnm._FilterDatabase" localSheetId="1" hidden="1">'Market Solutions'!$B$5:$AJ$684</definedName>
    <definedName name="_xlnm._FilterDatabase" localSheetId="6" hidden="1">MarketSolutions_4customreports!$A$5:$DD$684</definedName>
    <definedName name="_xlnm._FilterDatabase" localSheetId="9" hidden="1">'Ref-2013CLASSsaturations'!$A$2:$L$61</definedName>
    <definedName name="_xlnm._FilterDatabase" localSheetId="11" hidden="1">'Ref-2013CSSsaturationsINT'!$A$2:$I$188</definedName>
    <definedName name="Applicability">'Ref-Savings Calculations'!$B$3</definedName>
    <definedName name="ControlShare">'Market Solutions'!$I$6:$I$684</definedName>
    <definedName name="lighting" localSheetId="16">'Ref-Codes &amp; Standards'!$A$3</definedName>
    <definedName name="Z_A8BE391E_BE5F_48EE_9984_3EE3CF1986D2_.wvu.FilterData" localSheetId="1" hidden="1">'Market Solutions'!$B$3:$AA$684</definedName>
  </definedNames>
  <calcPr calcId="152511" calcMode="manual"/>
  <customWorkbookViews>
    <customWorkbookView name="Cynthia Kan - Personal View" guid="{A8BE391E-BE5F-48EE-9984-3EE3CF1986D2}" mergeInterval="0" personalView="1" maximized="1" xWindow="1" yWindow="1" windowWidth="1440" windowHeight="766" activeSheetId="2"/>
  </customWorkbookViews>
  <pivotCaches>
    <pivotCache cacheId="0" r:id="rId20"/>
    <pivotCache cacheId="1" r:id="rId21"/>
    <pivotCache cacheId="2" r:id="rId22"/>
    <pivotCache cacheId="3" r:id="rId23"/>
    <pivotCache cacheId="4" r:id="rId24"/>
    <pivotCache cacheId="5" r:id="rId25"/>
    <pivotCache cacheId="6" r:id="rId26"/>
    <pivotCache cacheId="7" r:id="rId27"/>
  </pivotCaches>
</workbook>
</file>

<file path=xl/calcChain.xml><?xml version="1.0" encoding="utf-8"?>
<calcChain xmlns="http://schemas.openxmlformats.org/spreadsheetml/2006/main">
  <c r="AC585" i="24" l="1"/>
  <c r="AC586" i="24"/>
  <c r="AC587" i="24"/>
  <c r="AC588" i="24"/>
  <c r="AC589" i="24"/>
  <c r="AC590" i="24"/>
  <c r="AC591" i="24"/>
  <c r="AC592" i="24"/>
  <c r="AC593" i="24"/>
  <c r="AC594" i="24"/>
  <c r="AC595" i="24"/>
  <c r="AC596" i="24"/>
  <c r="AC597" i="24"/>
  <c r="AC598" i="24"/>
  <c r="AC599" i="24"/>
  <c r="AC600" i="24"/>
  <c r="AC601" i="24"/>
  <c r="AC602" i="24"/>
  <c r="AC603" i="24"/>
  <c r="AC604" i="24"/>
  <c r="AC605" i="24"/>
  <c r="AC606" i="24"/>
  <c r="AC607" i="24"/>
  <c r="AC608" i="24"/>
  <c r="AC609" i="24"/>
  <c r="AC610" i="24"/>
  <c r="AC611" i="24"/>
  <c r="AC612" i="24"/>
  <c r="AC613" i="24"/>
  <c r="AC614" i="24"/>
  <c r="AC615" i="24"/>
  <c r="AC616" i="24"/>
  <c r="AC617" i="24"/>
  <c r="AC618" i="24"/>
  <c r="AC619" i="24"/>
  <c r="AC620" i="24"/>
  <c r="AC621" i="24"/>
  <c r="AC622" i="24"/>
  <c r="AC623" i="24"/>
  <c r="AC624" i="24"/>
  <c r="AC625" i="24"/>
  <c r="AC626" i="24"/>
  <c r="AC627" i="24"/>
  <c r="AC628" i="24"/>
  <c r="AC629" i="24"/>
  <c r="AC630" i="24"/>
  <c r="AC631" i="24"/>
  <c r="AC632" i="24"/>
  <c r="AC633" i="24"/>
  <c r="AC634" i="24"/>
  <c r="AC635" i="24"/>
  <c r="AC636" i="24"/>
  <c r="AC637" i="24"/>
  <c r="AC638" i="24"/>
  <c r="AC639" i="24"/>
  <c r="AC640" i="24"/>
  <c r="AC641" i="24"/>
  <c r="AC642" i="24"/>
  <c r="AC643" i="24"/>
  <c r="AC584" i="24"/>
  <c r="AC583" i="24"/>
  <c r="AC582" i="24"/>
  <c r="AC581" i="24"/>
  <c r="AC580" i="24"/>
  <c r="AC579" i="24"/>
  <c r="AC578" i="24"/>
  <c r="AC577" i="24"/>
  <c r="AC576" i="24"/>
  <c r="AC575" i="24"/>
  <c r="AC574" i="24"/>
  <c r="AC573" i="24"/>
  <c r="AC572" i="24"/>
  <c r="AC571" i="24"/>
  <c r="AC570" i="24"/>
  <c r="AC569" i="24"/>
  <c r="AC568" i="24"/>
  <c r="AC567" i="24"/>
  <c r="AC566" i="24"/>
  <c r="AC565" i="24"/>
  <c r="AC564" i="24"/>
  <c r="AC563" i="24"/>
  <c r="AC562" i="24"/>
  <c r="AC561" i="24"/>
  <c r="AC560" i="24"/>
  <c r="AC559" i="24"/>
  <c r="AC558" i="24"/>
  <c r="AC557" i="24"/>
  <c r="AC556" i="24"/>
  <c r="AC555" i="24"/>
  <c r="AC554" i="24"/>
  <c r="AC553" i="24"/>
  <c r="AC552" i="24"/>
  <c r="AC551" i="24"/>
  <c r="AC550" i="24"/>
  <c r="AC549" i="24"/>
  <c r="AC548" i="24"/>
  <c r="AC547" i="24"/>
  <c r="AC546" i="24"/>
  <c r="AC545" i="24"/>
  <c r="AC544" i="24"/>
  <c r="AC543" i="24"/>
  <c r="AC542" i="24"/>
  <c r="AC541" i="24"/>
  <c r="AC540" i="24"/>
  <c r="AC539" i="24"/>
  <c r="AC538" i="24"/>
  <c r="AC537" i="24"/>
  <c r="AC536" i="24"/>
  <c r="AC535" i="24"/>
  <c r="AC534" i="24"/>
  <c r="M27" i="19"/>
  <c r="M28" i="19"/>
  <c r="M29" i="19"/>
  <c r="M30" i="19"/>
  <c r="M26" i="19"/>
  <c r="G84" i="19"/>
  <c r="AC520" i="24"/>
  <c r="AC521" i="24"/>
  <c r="AC522" i="24"/>
  <c r="AC523" i="24"/>
  <c r="AC524" i="24"/>
  <c r="AC525" i="24"/>
  <c r="AC526" i="24"/>
  <c r="AC527" i="24"/>
  <c r="AC528" i="24"/>
  <c r="AC529" i="24"/>
  <c r="AC530" i="24"/>
  <c r="AC531" i="24"/>
  <c r="AC532" i="24"/>
  <c r="AC533" i="24"/>
  <c r="AC519" i="24"/>
  <c r="AC495" i="24"/>
  <c r="AC496" i="24"/>
  <c r="AC497" i="24"/>
  <c r="AC498" i="24"/>
  <c r="AC499" i="24"/>
  <c r="AC500" i="24"/>
  <c r="AC501" i="24"/>
  <c r="AC502" i="24"/>
  <c r="AC503" i="24"/>
  <c r="AC504" i="24"/>
  <c r="AC505" i="24"/>
  <c r="AC506" i="24"/>
  <c r="AC507" i="24"/>
  <c r="AC508" i="24"/>
  <c r="AC509" i="24"/>
  <c r="AC510" i="24"/>
  <c r="AC511" i="24"/>
  <c r="AC512" i="24"/>
  <c r="AC513" i="24"/>
  <c r="AC514" i="24"/>
  <c r="AC515" i="24"/>
  <c r="AC516" i="24"/>
  <c r="AC517" i="24"/>
  <c r="AC518" i="24"/>
  <c r="AC494" i="24"/>
  <c r="AC460" i="24"/>
  <c r="AC461" i="24"/>
  <c r="AC462" i="24"/>
  <c r="AC463" i="24"/>
  <c r="AC464" i="24"/>
  <c r="AC465" i="24"/>
  <c r="AC466" i="24"/>
  <c r="AC467" i="24"/>
  <c r="AC468" i="24"/>
  <c r="AC469" i="24"/>
  <c r="AC470" i="24"/>
  <c r="AC471" i="24"/>
  <c r="AC472" i="24"/>
  <c r="AC473" i="24"/>
  <c r="AC474" i="24"/>
  <c r="AC475" i="24"/>
  <c r="AC476" i="24"/>
  <c r="AC477" i="24"/>
  <c r="AC478" i="24"/>
  <c r="AC479" i="24"/>
  <c r="AC480" i="24"/>
  <c r="AC481" i="24"/>
  <c r="AC482" i="24"/>
  <c r="AC483" i="24"/>
  <c r="AC484" i="24"/>
  <c r="AC485" i="24"/>
  <c r="AC486" i="24"/>
  <c r="AC487" i="24"/>
  <c r="AC488" i="24"/>
  <c r="AC489" i="24"/>
  <c r="AC490" i="24"/>
  <c r="AC491" i="24"/>
  <c r="AC492" i="24"/>
  <c r="AC493" i="24"/>
  <c r="AC459" i="24"/>
  <c r="AC420" i="24"/>
  <c r="AC421" i="24"/>
  <c r="AC422" i="24"/>
  <c r="AC423" i="24"/>
  <c r="AC424" i="24"/>
  <c r="AC425" i="24"/>
  <c r="AC426" i="24"/>
  <c r="AC427" i="24"/>
  <c r="AC428" i="24"/>
  <c r="AC429" i="24"/>
  <c r="AC430" i="24"/>
  <c r="AC431" i="24"/>
  <c r="AC432" i="24"/>
  <c r="AC433" i="24"/>
  <c r="AC434" i="24"/>
  <c r="AC435" i="24"/>
  <c r="AC436" i="24"/>
  <c r="AC437" i="24"/>
  <c r="AC438" i="24"/>
  <c r="AC439" i="24"/>
  <c r="AC440" i="24"/>
  <c r="AC441" i="24"/>
  <c r="AC442" i="24"/>
  <c r="AC443" i="24"/>
  <c r="AC444" i="24"/>
  <c r="AC445" i="24"/>
  <c r="AC446" i="24"/>
  <c r="AC447" i="24"/>
  <c r="AC448" i="24"/>
  <c r="AC449" i="24"/>
  <c r="AC450" i="24"/>
  <c r="AC451" i="24"/>
  <c r="AC452" i="24"/>
  <c r="AC453" i="24"/>
  <c r="AC454" i="24"/>
  <c r="AC455" i="24"/>
  <c r="AC456" i="24"/>
  <c r="AC457" i="24"/>
  <c r="AC458" i="24"/>
  <c r="AC419" i="24"/>
  <c r="AC340" i="24"/>
  <c r="AC341" i="24"/>
  <c r="AC342" i="24"/>
  <c r="AC343" i="24"/>
  <c r="AC344" i="24"/>
  <c r="AC345" i="24"/>
  <c r="AC346" i="24"/>
  <c r="AC347" i="24"/>
  <c r="AC348" i="24"/>
  <c r="AC349" i="24"/>
  <c r="AC350" i="24"/>
  <c r="AC351" i="24"/>
  <c r="AC352" i="24"/>
  <c r="AC353" i="24"/>
  <c r="AC354" i="24"/>
  <c r="AC355" i="24"/>
  <c r="AC356" i="24"/>
  <c r="AC357" i="24"/>
  <c r="AC358" i="24"/>
  <c r="AC359" i="24"/>
  <c r="AC360" i="24"/>
  <c r="AC361" i="24"/>
  <c r="AC362" i="24"/>
  <c r="AC363" i="24"/>
  <c r="AC364" i="24"/>
  <c r="AC365" i="24"/>
  <c r="AC366" i="24"/>
  <c r="AC367" i="24"/>
  <c r="AC368" i="24"/>
  <c r="AC369" i="24"/>
  <c r="AC370" i="24"/>
  <c r="AC371" i="24"/>
  <c r="AC372" i="24"/>
  <c r="AC373" i="24"/>
  <c r="AC374" i="24"/>
  <c r="AC375" i="24"/>
  <c r="AC376" i="24"/>
  <c r="AC377" i="24"/>
  <c r="AC378" i="24"/>
  <c r="AC379" i="24"/>
  <c r="AC380" i="24"/>
  <c r="AC381" i="24"/>
  <c r="AC382" i="24"/>
  <c r="AC383" i="24"/>
  <c r="AC384" i="24"/>
  <c r="AC385" i="24"/>
  <c r="AC386" i="24"/>
  <c r="AC387" i="24"/>
  <c r="AC388" i="24"/>
  <c r="AC389" i="24"/>
  <c r="AC390" i="24"/>
  <c r="AC391" i="24"/>
  <c r="AC392" i="24"/>
  <c r="AC393" i="24"/>
  <c r="AC394" i="24"/>
  <c r="AC395" i="24"/>
  <c r="AC396" i="24"/>
  <c r="AC397" i="24"/>
  <c r="AC398" i="24"/>
  <c r="AC399" i="24"/>
  <c r="AC400" i="24"/>
  <c r="AC401" i="24"/>
  <c r="AC402" i="24"/>
  <c r="AC403" i="24"/>
  <c r="AC404" i="24"/>
  <c r="AC405" i="24"/>
  <c r="AC406" i="24"/>
  <c r="AC407" i="24"/>
  <c r="AC408" i="24"/>
  <c r="AC409" i="24"/>
  <c r="AC410" i="24"/>
  <c r="AC411" i="24"/>
  <c r="AC412" i="24"/>
  <c r="AC413" i="24"/>
  <c r="AC414" i="24"/>
  <c r="AC415" i="24"/>
  <c r="AC416" i="24"/>
  <c r="AC417" i="24"/>
  <c r="AC418" i="24"/>
  <c r="AC339" i="24"/>
  <c r="AC310" i="24"/>
  <c r="AC311" i="24"/>
  <c r="AC312" i="24"/>
  <c r="AC313" i="24"/>
  <c r="AC314" i="24"/>
  <c r="AC315" i="24"/>
  <c r="AC316" i="24"/>
  <c r="AC317" i="24"/>
  <c r="AC318" i="24"/>
  <c r="AC319" i="24"/>
  <c r="AC320" i="24"/>
  <c r="AC321" i="24"/>
  <c r="AC322" i="24"/>
  <c r="AC323" i="24"/>
  <c r="AC324" i="24"/>
  <c r="AC325" i="24"/>
  <c r="AC326" i="24"/>
  <c r="AC327" i="24"/>
  <c r="AC328" i="24"/>
  <c r="AC329" i="24"/>
  <c r="AC330" i="24"/>
  <c r="AC331" i="24"/>
  <c r="AC332" i="24"/>
  <c r="AC333" i="24"/>
  <c r="AC334" i="24"/>
  <c r="AC335" i="24"/>
  <c r="AC336" i="24"/>
  <c r="AC337" i="24"/>
  <c r="AC338" i="24"/>
  <c r="AC309" i="24"/>
  <c r="AC245" i="24"/>
  <c r="AC246" i="24"/>
  <c r="AC247" i="24"/>
  <c r="AC248" i="24"/>
  <c r="AC249" i="24"/>
  <c r="AC250" i="24"/>
  <c r="AC251" i="24"/>
  <c r="AC252" i="24"/>
  <c r="AC253" i="24"/>
  <c r="AC254" i="24"/>
  <c r="AC255" i="24"/>
  <c r="AC256" i="24"/>
  <c r="AC257" i="24"/>
  <c r="AC258" i="24"/>
  <c r="AC259" i="24"/>
  <c r="AC260" i="24"/>
  <c r="AC261" i="24"/>
  <c r="AC262" i="24"/>
  <c r="AC263" i="24"/>
  <c r="AC264" i="24"/>
  <c r="AC265" i="24"/>
  <c r="AC266" i="24"/>
  <c r="AC267" i="24"/>
  <c r="AC268" i="24"/>
  <c r="AC244" i="24"/>
  <c r="AC170" i="24"/>
  <c r="AC171" i="24"/>
  <c r="AC172" i="24"/>
  <c r="AC173" i="24"/>
  <c r="AC174" i="24"/>
  <c r="AC175" i="24"/>
  <c r="AC176" i="24"/>
  <c r="AC177" i="24"/>
  <c r="AC178" i="24"/>
  <c r="AC179" i="24"/>
  <c r="AC180" i="24"/>
  <c r="AC181" i="24"/>
  <c r="AC182" i="24"/>
  <c r="AC183" i="24"/>
  <c r="AC184" i="24"/>
  <c r="AC185" i="24"/>
  <c r="AC186" i="24"/>
  <c r="AC187" i="24"/>
  <c r="AC188" i="24"/>
  <c r="AC189" i="24"/>
  <c r="AC190" i="24"/>
  <c r="AC191" i="24"/>
  <c r="AC192" i="24"/>
  <c r="AC193" i="24"/>
  <c r="AC194" i="24"/>
  <c r="AC195" i="24"/>
  <c r="AC196" i="24"/>
  <c r="AC197" i="24"/>
  <c r="AC198" i="24"/>
  <c r="AC199" i="24"/>
  <c r="AC200" i="24"/>
  <c r="AC201" i="24"/>
  <c r="AC202" i="24"/>
  <c r="AC203" i="24"/>
  <c r="AC204" i="24"/>
  <c r="AC205" i="24"/>
  <c r="AC206" i="24"/>
  <c r="AC207" i="24"/>
  <c r="AC208" i="24"/>
  <c r="AC209" i="24"/>
  <c r="AC210" i="24"/>
  <c r="AC211" i="24"/>
  <c r="AC212" i="24"/>
  <c r="AC213" i="24"/>
  <c r="AC169" i="24"/>
  <c r="AC106" i="24"/>
  <c r="AC107" i="24"/>
  <c r="AC108" i="24"/>
  <c r="AC109" i="24"/>
  <c r="AC110" i="24"/>
  <c r="AC111" i="24"/>
  <c r="AC112" i="24"/>
  <c r="AC113" i="24"/>
  <c r="AC114" i="24"/>
  <c r="AC115" i="24"/>
  <c r="AC116" i="24"/>
  <c r="AC117" i="24"/>
  <c r="AC118" i="24"/>
  <c r="AC119" i="24"/>
  <c r="AC120" i="24"/>
  <c r="AC121" i="24"/>
  <c r="AC122" i="24"/>
  <c r="AC123" i="24"/>
  <c r="AC124" i="24"/>
  <c r="AC125" i="24"/>
  <c r="AC126" i="24"/>
  <c r="AC127" i="24"/>
  <c r="AC128" i="24"/>
  <c r="AC129" i="24"/>
  <c r="AC130" i="24"/>
  <c r="AC131" i="24"/>
  <c r="AC132" i="24"/>
  <c r="AC133" i="24"/>
  <c r="AC134" i="24"/>
  <c r="AC135" i="24"/>
  <c r="AC136" i="24"/>
  <c r="AC137" i="24"/>
  <c r="AC138" i="24"/>
  <c r="AC139" i="24"/>
  <c r="AC140" i="24"/>
  <c r="AC141" i="24"/>
  <c r="AC142" i="24"/>
  <c r="AC143" i="24"/>
  <c r="AC144" i="24"/>
  <c r="AC145" i="24"/>
  <c r="AC146" i="24"/>
  <c r="AC147" i="24"/>
  <c r="AC148" i="24"/>
  <c r="AC149" i="24"/>
  <c r="AC150" i="24"/>
  <c r="AC151" i="24"/>
  <c r="AC152" i="24"/>
  <c r="AC153" i="24"/>
  <c r="AC154" i="24"/>
  <c r="AC155" i="24"/>
  <c r="AC156" i="24"/>
  <c r="AC157" i="24"/>
  <c r="AC158" i="24"/>
  <c r="AC159" i="24"/>
  <c r="AC160" i="24"/>
  <c r="AC161" i="24"/>
  <c r="AC162" i="24"/>
  <c r="AC163" i="24"/>
  <c r="AC164" i="24"/>
  <c r="AC165" i="24"/>
  <c r="AC166" i="24"/>
  <c r="AC167" i="24"/>
  <c r="AC168" i="24"/>
  <c r="AC105" i="24"/>
  <c r="AC70" i="24"/>
  <c r="AC71" i="24"/>
  <c r="AC72" i="24"/>
  <c r="AC73" i="24"/>
  <c r="AC74" i="24"/>
  <c r="AC75" i="24"/>
  <c r="AC76" i="24"/>
  <c r="AC77" i="24"/>
  <c r="AC78" i="24"/>
  <c r="AC79" i="24"/>
  <c r="AC80" i="24"/>
  <c r="AC81" i="24"/>
  <c r="AC82" i="24"/>
  <c r="AC83" i="24"/>
  <c r="AC84" i="24"/>
  <c r="AC85" i="24"/>
  <c r="AC86" i="24"/>
  <c r="AC87" i="24"/>
  <c r="AC88" i="24"/>
  <c r="AC89" i="24"/>
  <c r="AC90" i="24"/>
  <c r="AC91" i="24"/>
  <c r="AC92" i="24"/>
  <c r="AC93" i="24"/>
  <c r="AC94" i="24"/>
  <c r="AC95" i="24"/>
  <c r="AC96" i="24"/>
  <c r="AC97" i="24"/>
  <c r="AC98" i="24"/>
  <c r="AC99" i="24"/>
  <c r="AC100" i="24"/>
  <c r="AC101" i="24"/>
  <c r="AC102" i="24"/>
  <c r="AC103" i="24"/>
  <c r="AC104" i="24"/>
  <c r="AC61" i="24"/>
  <c r="AC62" i="24"/>
  <c r="AC63" i="24"/>
  <c r="AC64" i="24"/>
  <c r="AC65" i="24"/>
  <c r="AC66" i="24"/>
  <c r="AC67" i="24"/>
  <c r="AC68" i="24"/>
  <c r="AC69" i="24"/>
  <c r="AC60" i="24"/>
  <c r="AC52" i="24"/>
  <c r="AC53" i="24"/>
  <c r="AC54" i="24"/>
  <c r="AC55" i="24"/>
  <c r="AC56" i="24"/>
  <c r="AC57" i="24"/>
  <c r="AC58" i="24"/>
  <c r="AC59" i="24"/>
  <c r="AC51" i="24"/>
  <c r="AC43" i="24"/>
  <c r="AC44" i="24"/>
  <c r="AC45" i="24"/>
  <c r="AC46" i="24"/>
  <c r="AC47" i="24"/>
  <c r="AC48" i="24"/>
  <c r="AC49" i="24"/>
  <c r="AC50" i="24"/>
  <c r="AC42" i="24"/>
  <c r="AC684" i="24"/>
  <c r="AC683" i="24"/>
  <c r="AC682" i="24"/>
  <c r="AC681" i="24"/>
  <c r="AC680" i="24"/>
  <c r="AC679" i="24"/>
  <c r="AC678" i="24"/>
  <c r="AC677" i="24"/>
  <c r="AC676" i="24"/>
  <c r="AC675" i="24"/>
  <c r="AC664" i="24"/>
  <c r="AC665" i="24"/>
  <c r="AC666" i="24"/>
  <c r="AC667" i="24"/>
  <c r="AC668" i="24"/>
  <c r="AC649" i="24"/>
  <c r="AC650" i="24"/>
  <c r="AC651" i="24"/>
  <c r="AC652" i="24"/>
  <c r="AC653" i="24"/>
  <c r="L6" i="43"/>
  <c r="L27" i="43"/>
  <c r="L46" i="43"/>
  <c r="AC14" i="24"/>
  <c r="G299" i="24" l="1"/>
  <c r="G300" i="24"/>
  <c r="G301" i="24"/>
  <c r="G302" i="24"/>
  <c r="G25" i="24" l="1"/>
  <c r="G14" i="24"/>
  <c r="G31" i="24" l="1"/>
  <c r="G29" i="24"/>
  <c r="G28" i="24"/>
  <c r="G34" i="24"/>
  <c r="E38" i="21"/>
  <c r="E37" i="21"/>
  <c r="E31" i="21"/>
  <c r="K28" i="43"/>
  <c r="K29" i="43"/>
  <c r="K30" i="43"/>
  <c r="K31" i="43"/>
  <c r="K27" i="43"/>
  <c r="K7" i="43"/>
  <c r="K8" i="43"/>
  <c r="K9" i="43"/>
  <c r="K10" i="43"/>
  <c r="K6" i="43"/>
  <c r="O33" i="3" l="1"/>
  <c r="O32" i="3"/>
  <c r="O31" i="3"/>
  <c r="O30" i="3"/>
  <c r="O29" i="3"/>
  <c r="O28" i="3"/>
  <c r="O27" i="3"/>
  <c r="O26" i="3"/>
  <c r="O25" i="3"/>
  <c r="O24" i="3"/>
  <c r="O23" i="3"/>
  <c r="O22" i="3"/>
  <c r="O21" i="3"/>
  <c r="O20" i="3"/>
  <c r="O19" i="3"/>
  <c r="O18" i="3"/>
  <c r="O17" i="3"/>
  <c r="O16" i="3"/>
  <c r="O15" i="3"/>
  <c r="O14" i="3"/>
  <c r="O13" i="3"/>
  <c r="O12" i="3"/>
  <c r="O11" i="3"/>
  <c r="O10" i="3"/>
  <c r="O9" i="3"/>
  <c r="O8" i="3"/>
  <c r="O7" i="3"/>
  <c r="O5" i="3"/>
  <c r="O6" i="3"/>
  <c r="O36" i="3" l="1"/>
  <c r="O37" i="3"/>
  <c r="O35" i="3"/>
  <c r="O38" i="3"/>
  <c r="C9" i="3"/>
  <c r="C10" i="3"/>
  <c r="C8" i="3"/>
  <c r="E12" i="3" l="1"/>
  <c r="G37" i="24"/>
  <c r="G38" i="24"/>
  <c r="G36" i="24"/>
  <c r="G35" i="24"/>
  <c r="G33" i="24"/>
  <c r="G32" i="24"/>
  <c r="G39" i="24"/>
  <c r="G30" i="24"/>
  <c r="G27" i="24"/>
  <c r="G26" i="24"/>
  <c r="G24" i="24"/>
  <c r="G23" i="24"/>
  <c r="G22" i="24"/>
  <c r="G21" i="24"/>
  <c r="G20" i="24"/>
  <c r="G19" i="24"/>
  <c r="G18" i="24"/>
  <c r="G17" i="24"/>
  <c r="G16" i="24"/>
  <c r="G15" i="24"/>
  <c r="G13" i="24"/>
  <c r="G12" i="24"/>
  <c r="G11" i="24"/>
  <c r="G10" i="24"/>
  <c r="G9" i="24"/>
  <c r="G8" i="24"/>
  <c r="G7" i="24"/>
  <c r="G6" i="24"/>
  <c r="I8" i="24"/>
  <c r="I23" i="24"/>
  <c r="J4" i="43"/>
  <c r="J5" i="43"/>
  <c r="J6" i="43"/>
  <c r="J7" i="43"/>
  <c r="J8" i="43"/>
  <c r="J9" i="43"/>
  <c r="J10" i="43"/>
  <c r="J11" i="43"/>
  <c r="I21" i="24" s="1"/>
  <c r="J12" i="43"/>
  <c r="J13" i="43"/>
  <c r="J14" i="43"/>
  <c r="J15" i="43"/>
  <c r="J16" i="43"/>
  <c r="J17" i="43"/>
  <c r="I18" i="24" s="1"/>
  <c r="J18" i="43"/>
  <c r="I27" i="24" s="1"/>
  <c r="J19" i="43"/>
  <c r="J20" i="43"/>
  <c r="J21" i="43"/>
  <c r="J22" i="43"/>
  <c r="J23" i="43"/>
  <c r="J24" i="43"/>
  <c r="I10" i="24" s="1"/>
  <c r="J25" i="43"/>
  <c r="J26" i="43"/>
  <c r="J27" i="43"/>
  <c r="J28" i="43"/>
  <c r="J29" i="43"/>
  <c r="J30" i="43"/>
  <c r="J31" i="43"/>
  <c r="J32" i="43"/>
  <c r="I15" i="24" s="1"/>
  <c r="J33" i="43"/>
  <c r="J34" i="43"/>
  <c r="J35" i="43"/>
  <c r="J36" i="43"/>
  <c r="I6" i="24" s="1"/>
  <c r="J37" i="43"/>
  <c r="I12" i="24" s="1"/>
  <c r="J38" i="43"/>
  <c r="J39" i="43"/>
  <c r="J40" i="43"/>
  <c r="J41" i="43"/>
  <c r="J42" i="43"/>
  <c r="J43" i="43"/>
  <c r="I32" i="24" s="1"/>
  <c r="J44" i="43"/>
  <c r="J45" i="43"/>
  <c r="J46" i="43"/>
  <c r="J47" i="43"/>
  <c r="J48" i="43"/>
  <c r="J49" i="43"/>
  <c r="J50" i="43"/>
  <c r="J51" i="43"/>
  <c r="J52" i="43"/>
  <c r="J53" i="43"/>
  <c r="J54" i="43"/>
  <c r="I35" i="24" s="1"/>
  <c r="J55" i="43"/>
  <c r="I39" i="24" s="1"/>
  <c r="J56" i="43"/>
  <c r="I36" i="24" s="1"/>
  <c r="J57" i="43"/>
  <c r="J58" i="43"/>
  <c r="J59" i="43"/>
  <c r="J60" i="43"/>
  <c r="J3" i="43"/>
  <c r="I19" i="24" s="1"/>
  <c r="I61" i="43"/>
  <c r="I42" i="43"/>
  <c r="I23" i="43"/>
  <c r="I30" i="24" l="1"/>
  <c r="I31" i="24"/>
  <c r="I28" i="24"/>
  <c r="I29" i="24"/>
  <c r="I13" i="24"/>
  <c r="I14" i="24"/>
  <c r="I7" i="24"/>
  <c r="I24" i="24"/>
  <c r="I25" i="24"/>
  <c r="I33" i="24"/>
  <c r="I34" i="24"/>
  <c r="I16" i="24"/>
  <c r="I9" i="24"/>
  <c r="I20" i="24"/>
  <c r="I38" i="24"/>
  <c r="I17" i="24"/>
  <c r="I26" i="24"/>
  <c r="I11" i="24"/>
  <c r="I22" i="24"/>
  <c r="I37" i="24"/>
  <c r="G640" i="24"/>
  <c r="G641" i="24"/>
  <c r="G642" i="24"/>
  <c r="G643" i="24"/>
  <c r="G639" i="24"/>
  <c r="G545" i="24"/>
  <c r="G546" i="24"/>
  <c r="G547" i="24"/>
  <c r="G548" i="24"/>
  <c r="G544" i="24"/>
  <c r="G385" i="24"/>
  <c r="G386" i="24"/>
  <c r="G387" i="24"/>
  <c r="G388" i="24"/>
  <c r="G384" i="24"/>
  <c r="G365" i="24"/>
  <c r="G366" i="24"/>
  <c r="G367" i="24"/>
  <c r="G368" i="24"/>
  <c r="G369" i="24"/>
  <c r="G370" i="24"/>
  <c r="G371" i="24"/>
  <c r="G372" i="24"/>
  <c r="G373" i="24"/>
  <c r="G364" i="24"/>
  <c r="G162" i="24"/>
  <c r="G163" i="24"/>
  <c r="G164" i="24"/>
  <c r="G165" i="24"/>
  <c r="G166" i="24"/>
  <c r="G167" i="24"/>
  <c r="G168" i="24"/>
  <c r="G161" i="24"/>
  <c r="J26" i="40"/>
  <c r="J17" i="40"/>
  <c r="J151" i="39"/>
  <c r="J144" i="39"/>
  <c r="J132" i="39"/>
  <c r="I162" i="24" l="1"/>
  <c r="I166" i="24"/>
  <c r="I164" i="24"/>
  <c r="I168" i="24"/>
  <c r="I167" i="24"/>
  <c r="I165" i="24"/>
  <c r="I161" i="24"/>
  <c r="I163" i="24"/>
  <c r="I643" i="24"/>
  <c r="I639" i="24"/>
  <c r="I640" i="24"/>
  <c r="I641" i="24"/>
  <c r="I642" i="24"/>
  <c r="I545" i="24"/>
  <c r="I544" i="24"/>
  <c r="I546" i="24"/>
  <c r="I547" i="24"/>
  <c r="I548" i="24"/>
  <c r="I366" i="24"/>
  <c r="I370" i="24"/>
  <c r="I364" i="24"/>
  <c r="I367" i="24"/>
  <c r="I368" i="24"/>
  <c r="I372" i="24"/>
  <c r="I365" i="24"/>
  <c r="I369" i="24"/>
  <c r="I373" i="24"/>
  <c r="I371" i="24"/>
  <c r="P410" i="24"/>
  <c r="P411" i="24"/>
  <c r="P412" i="24"/>
  <c r="P413" i="24"/>
  <c r="P409" i="24"/>
  <c r="P154" i="24"/>
  <c r="P155" i="24"/>
  <c r="P156" i="24"/>
  <c r="P153" i="24"/>
  <c r="L149" i="21" l="1"/>
  <c r="E17" i="21"/>
  <c r="G574" i="24" l="1"/>
  <c r="G575" i="24"/>
  <c r="G576" i="24"/>
  <c r="G577" i="24"/>
  <c r="G578" i="24"/>
  <c r="G619" i="24"/>
  <c r="G620" i="24"/>
  <c r="G621" i="24"/>
  <c r="G622" i="24"/>
  <c r="G623" i="24"/>
  <c r="I649" i="24"/>
  <c r="I650" i="24"/>
  <c r="I651" i="24"/>
  <c r="I652" i="24"/>
  <c r="I653" i="24"/>
  <c r="I664" i="24"/>
  <c r="I665" i="24"/>
  <c r="I666" i="24"/>
  <c r="I667" i="24"/>
  <c r="I668" i="24"/>
  <c r="G394" i="24"/>
  <c r="G395" i="24"/>
  <c r="G396" i="24"/>
  <c r="G397" i="24"/>
  <c r="G398" i="24"/>
  <c r="G189" i="24"/>
  <c r="G190" i="24"/>
  <c r="G191" i="24"/>
  <c r="G192" i="24"/>
  <c r="G193" i="24"/>
  <c r="G141" i="24"/>
  <c r="G142" i="24"/>
  <c r="G143" i="24"/>
  <c r="G144" i="24"/>
  <c r="G149" i="24"/>
  <c r="G150" i="24"/>
  <c r="G151" i="24"/>
  <c r="G152" i="24"/>
  <c r="G308" i="24"/>
  <c r="G304" i="24"/>
  <c r="G305" i="24"/>
  <c r="G306" i="24"/>
  <c r="G307" i="24"/>
  <c r="G303" i="24"/>
  <c r="G280" i="24"/>
  <c r="G281" i="24"/>
  <c r="G282" i="24"/>
  <c r="G283" i="24"/>
  <c r="G284" i="24"/>
  <c r="G285" i="24"/>
  <c r="G286" i="24"/>
  <c r="G287" i="24"/>
  <c r="G288" i="24"/>
  <c r="G279" i="24"/>
  <c r="G290" i="24"/>
  <c r="G291" i="24"/>
  <c r="G292" i="24"/>
  <c r="G293" i="24"/>
  <c r="G294" i="24"/>
  <c r="G295" i="24"/>
  <c r="G296" i="24"/>
  <c r="G297" i="24"/>
  <c r="G298" i="24"/>
  <c r="G289" i="24"/>
  <c r="G270" i="24"/>
  <c r="G271" i="24"/>
  <c r="G272" i="24"/>
  <c r="G273" i="24"/>
  <c r="G274" i="24"/>
  <c r="G275" i="24"/>
  <c r="G276" i="24"/>
  <c r="G277" i="24"/>
  <c r="G278" i="24"/>
  <c r="G269" i="24"/>
  <c r="D160" i="21" l="1"/>
  <c r="G160" i="21" s="1"/>
  <c r="D159" i="21"/>
  <c r="G159" i="21" s="1"/>
  <c r="D157" i="21"/>
  <c r="G157" i="21" s="1"/>
  <c r="D156" i="21"/>
  <c r="G156" i="21" s="1"/>
  <c r="D155" i="21"/>
  <c r="G155" i="21" s="1"/>
  <c r="E21" i="21"/>
  <c r="G606" i="24"/>
  <c r="E16" i="21"/>
  <c r="G169" i="21"/>
  <c r="H155" i="21" l="1"/>
  <c r="E22" i="21" s="1"/>
  <c r="E18" i="21"/>
  <c r="E39" i="21"/>
  <c r="E36" i="21" l="1"/>
  <c r="E35" i="21"/>
  <c r="E34" i="21"/>
  <c r="E33" i="21"/>
  <c r="I583" i="24"/>
  <c r="I566" i="24"/>
  <c r="J4" i="40"/>
  <c r="J5" i="40"/>
  <c r="J6" i="40"/>
  <c r="I561" i="24" s="1"/>
  <c r="J7" i="40"/>
  <c r="J8" i="40"/>
  <c r="J9" i="40"/>
  <c r="J11" i="40"/>
  <c r="I541" i="24" s="1"/>
  <c r="J12" i="40"/>
  <c r="J13" i="40"/>
  <c r="J14" i="40"/>
  <c r="J15" i="40"/>
  <c r="I573" i="24" s="1"/>
  <c r="J16" i="40"/>
  <c r="J18" i="40"/>
  <c r="J20" i="40"/>
  <c r="I589" i="24" s="1"/>
  <c r="J21" i="40"/>
  <c r="I596" i="24" s="1"/>
  <c r="J22" i="40"/>
  <c r="J23" i="40"/>
  <c r="J24" i="40"/>
  <c r="I624" i="24" s="1"/>
  <c r="J25" i="40"/>
  <c r="I631" i="24" s="1"/>
  <c r="J27" i="40"/>
  <c r="J3" i="40"/>
  <c r="I554" i="24" s="1"/>
  <c r="G513" i="24"/>
  <c r="G514" i="24"/>
  <c r="G515" i="24"/>
  <c r="G516" i="24"/>
  <c r="G517" i="24"/>
  <c r="G518" i="24"/>
  <c r="I587" i="24" l="1"/>
  <c r="I628" i="24"/>
  <c r="I536" i="24"/>
  <c r="I593" i="24"/>
  <c r="I534" i="24"/>
  <c r="I582" i="24"/>
  <c r="I618" i="24"/>
  <c r="I537" i="24"/>
  <c r="I562" i="24"/>
  <c r="I570" i="24"/>
  <c r="I602" i="24"/>
  <c r="I540" i="24"/>
  <c r="I565" i="24"/>
  <c r="I579" i="24"/>
  <c r="I603" i="24"/>
  <c r="I636" i="24"/>
  <c r="I559" i="24"/>
  <c r="I591" i="24"/>
  <c r="I586" i="24"/>
  <c r="I599" i="24"/>
  <c r="I627" i="24"/>
  <c r="I617" i="24"/>
  <c r="I635" i="24"/>
  <c r="I590" i="24"/>
  <c r="I585" i="24"/>
  <c r="I598" i="24"/>
  <c r="I626" i="24"/>
  <c r="I615" i="24"/>
  <c r="I632" i="24"/>
  <c r="I584" i="24"/>
  <c r="I595" i="24"/>
  <c r="I629" i="24"/>
  <c r="I609" i="24"/>
  <c r="I606" i="24"/>
  <c r="I610" i="24"/>
  <c r="I608" i="24"/>
  <c r="I612" i="24"/>
  <c r="I605" i="24"/>
  <c r="I613" i="24"/>
  <c r="I604" i="24"/>
  <c r="I611" i="24"/>
  <c r="I553" i="24"/>
  <c r="I551" i="24"/>
  <c r="I555" i="24"/>
  <c r="I549" i="24"/>
  <c r="I552" i="24"/>
  <c r="I556" i="24"/>
  <c r="I557" i="24"/>
  <c r="I550" i="24"/>
  <c r="I607" i="24"/>
  <c r="I558" i="24"/>
  <c r="I576" i="24"/>
  <c r="I575" i="24"/>
  <c r="I574" i="24"/>
  <c r="I578" i="24"/>
  <c r="I577" i="24"/>
  <c r="I539" i="24"/>
  <c r="I535" i="24"/>
  <c r="I568" i="24"/>
  <c r="I564" i="24"/>
  <c r="I581" i="24"/>
  <c r="I572" i="24"/>
  <c r="I601" i="24"/>
  <c r="I597" i="24"/>
  <c r="I638" i="24"/>
  <c r="I630" i="24"/>
  <c r="I620" i="24"/>
  <c r="I619" i="24"/>
  <c r="I623" i="24"/>
  <c r="I622" i="24"/>
  <c r="I621" i="24"/>
  <c r="I542" i="24"/>
  <c r="I538" i="24"/>
  <c r="I567" i="24"/>
  <c r="I563" i="24"/>
  <c r="I569" i="24"/>
  <c r="I580" i="24"/>
  <c r="I571" i="24"/>
  <c r="I592" i="24"/>
  <c r="I588" i="24"/>
  <c r="I594" i="24"/>
  <c r="I600" i="24"/>
  <c r="I614" i="24"/>
  <c r="I625" i="24"/>
  <c r="I616" i="24"/>
  <c r="I637" i="24"/>
  <c r="I633" i="24"/>
  <c r="I543" i="24"/>
  <c r="I560" i="24"/>
  <c r="I634" i="24"/>
  <c r="I109" i="24"/>
  <c r="G79" i="24"/>
  <c r="G75" i="24"/>
  <c r="G76" i="24"/>
  <c r="G77" i="24"/>
  <c r="G78" i="24"/>
  <c r="I41" i="24"/>
  <c r="J148" i="39"/>
  <c r="J149" i="39"/>
  <c r="J150" i="39"/>
  <c r="J152" i="39"/>
  <c r="J154" i="39"/>
  <c r="J155" i="39"/>
  <c r="J156" i="39"/>
  <c r="J157" i="39"/>
  <c r="J158" i="39"/>
  <c r="J160" i="39"/>
  <c r="J161" i="39"/>
  <c r="J162" i="39"/>
  <c r="J163" i="39"/>
  <c r="J165" i="39"/>
  <c r="J166" i="39"/>
  <c r="J167" i="39"/>
  <c r="J168" i="39"/>
  <c r="J169" i="39"/>
  <c r="J170" i="39"/>
  <c r="J171" i="39"/>
  <c r="J173" i="39"/>
  <c r="J174" i="39"/>
  <c r="J175" i="39"/>
  <c r="J176" i="39"/>
  <c r="J178" i="39"/>
  <c r="J179" i="39"/>
  <c r="J180" i="39"/>
  <c r="J181" i="39"/>
  <c r="J183" i="39"/>
  <c r="I51" i="24" s="1"/>
  <c r="J184" i="39"/>
  <c r="J185" i="39"/>
  <c r="J186" i="39"/>
  <c r="I59" i="24" s="1"/>
  <c r="J187" i="39"/>
  <c r="J147" i="39"/>
  <c r="J141" i="39"/>
  <c r="J142" i="39"/>
  <c r="J143" i="39"/>
  <c r="J145" i="39"/>
  <c r="J140" i="39"/>
  <c r="J136" i="39"/>
  <c r="J137" i="39"/>
  <c r="J138" i="39"/>
  <c r="J135" i="39"/>
  <c r="J129" i="39"/>
  <c r="I147" i="24" s="1"/>
  <c r="J130" i="39"/>
  <c r="I153" i="24" s="1"/>
  <c r="J131" i="39"/>
  <c r="I157" i="24" s="1"/>
  <c r="J133" i="39"/>
  <c r="J128" i="39"/>
  <c r="J121" i="39"/>
  <c r="J122" i="39"/>
  <c r="J123" i="39"/>
  <c r="J124" i="39"/>
  <c r="I128" i="24" s="1"/>
  <c r="J125" i="39"/>
  <c r="J126" i="39"/>
  <c r="J120" i="39"/>
  <c r="J113" i="39"/>
  <c r="J114" i="39"/>
  <c r="J115" i="39"/>
  <c r="J116" i="39"/>
  <c r="J117" i="39"/>
  <c r="J118" i="39"/>
  <c r="J112" i="39"/>
  <c r="I105" i="24" s="1"/>
  <c r="J108" i="39"/>
  <c r="J109" i="39"/>
  <c r="J110" i="39"/>
  <c r="J107" i="39"/>
  <c r="J100" i="39"/>
  <c r="J101" i="39"/>
  <c r="J102" i="39"/>
  <c r="J103" i="39"/>
  <c r="J104" i="39"/>
  <c r="J105" i="39"/>
  <c r="J99" i="39"/>
  <c r="J92" i="39"/>
  <c r="J93" i="39"/>
  <c r="J94" i="39"/>
  <c r="J95" i="39"/>
  <c r="J96" i="39"/>
  <c r="J97" i="39"/>
  <c r="J91" i="39"/>
  <c r="J87" i="39"/>
  <c r="J88" i="39"/>
  <c r="J89" i="39"/>
  <c r="J86" i="39"/>
  <c r="J79" i="39"/>
  <c r="J80" i="39"/>
  <c r="J81" i="39"/>
  <c r="J82" i="39"/>
  <c r="J83" i="39"/>
  <c r="J84" i="39"/>
  <c r="J78" i="39"/>
  <c r="J74" i="39"/>
  <c r="J75" i="39"/>
  <c r="J76" i="39"/>
  <c r="J73" i="39"/>
  <c r="J68" i="39"/>
  <c r="J69" i="39"/>
  <c r="J70" i="39"/>
  <c r="J71" i="39"/>
  <c r="J67" i="39"/>
  <c r="J60" i="39"/>
  <c r="J61" i="39"/>
  <c r="J62" i="39"/>
  <c r="J63" i="39"/>
  <c r="J64" i="39"/>
  <c r="J65" i="39"/>
  <c r="J59" i="39"/>
  <c r="J52" i="39"/>
  <c r="J53" i="39"/>
  <c r="J54" i="39"/>
  <c r="J55" i="39"/>
  <c r="J56" i="39"/>
  <c r="J57" i="39"/>
  <c r="J51" i="39"/>
  <c r="J49" i="39"/>
  <c r="J48" i="39"/>
  <c r="J47" i="39"/>
  <c r="J46" i="39"/>
  <c r="J39" i="39"/>
  <c r="J40" i="39"/>
  <c r="J41" i="39"/>
  <c r="J42" i="39"/>
  <c r="J43" i="39"/>
  <c r="J44" i="39"/>
  <c r="J38" i="39"/>
  <c r="J31" i="39"/>
  <c r="J32" i="39"/>
  <c r="J33" i="39"/>
  <c r="J34" i="39"/>
  <c r="J35" i="39"/>
  <c r="J36" i="39"/>
  <c r="J30" i="39"/>
  <c r="J26" i="39"/>
  <c r="J27" i="39"/>
  <c r="J28" i="39"/>
  <c r="J25" i="39"/>
  <c r="J20" i="39"/>
  <c r="J21" i="39"/>
  <c r="J22" i="39"/>
  <c r="J23" i="39"/>
  <c r="J19" i="39"/>
  <c r="J13" i="39"/>
  <c r="J14" i="39"/>
  <c r="J15" i="39"/>
  <c r="J16" i="39"/>
  <c r="J17" i="39"/>
  <c r="J12" i="39"/>
  <c r="J4" i="39"/>
  <c r="J5" i="39"/>
  <c r="J6" i="39"/>
  <c r="J7" i="39"/>
  <c r="J8" i="39"/>
  <c r="J9" i="39"/>
  <c r="J10" i="39"/>
  <c r="J3" i="39"/>
  <c r="I42" i="24" l="1"/>
  <c r="I138" i="24"/>
  <c r="I143" i="24"/>
  <c r="I144" i="24"/>
  <c r="I141" i="24"/>
  <c r="I142" i="24"/>
  <c r="I40" i="24"/>
  <c r="I416" i="24"/>
  <c r="I417" i="24"/>
  <c r="I418" i="24"/>
  <c r="I415" i="24"/>
  <c r="I414" i="24"/>
  <c r="I50" i="24"/>
  <c r="I140" i="24"/>
  <c r="I87" i="24"/>
  <c r="I93" i="24"/>
  <c r="I190" i="24"/>
  <c r="I189" i="24"/>
  <c r="I193" i="24"/>
  <c r="I192" i="24"/>
  <c r="I191" i="24"/>
  <c r="I188" i="24"/>
  <c r="I186" i="24"/>
  <c r="I187" i="24"/>
  <c r="I184" i="24"/>
  <c r="I185" i="24"/>
  <c r="I472" i="24"/>
  <c r="I473" i="24"/>
  <c r="I471" i="24"/>
  <c r="I475" i="24"/>
  <c r="I469" i="24"/>
  <c r="I476" i="24"/>
  <c r="I477" i="24"/>
  <c r="I474" i="24"/>
  <c r="I478" i="24"/>
  <c r="I470" i="24"/>
  <c r="I154" i="24"/>
  <c r="I361" i="24"/>
  <c r="I362" i="24"/>
  <c r="I363" i="24"/>
  <c r="I359" i="24"/>
  <c r="I360" i="24"/>
  <c r="I53" i="24"/>
  <c r="I532" i="24"/>
  <c r="I530" i="24"/>
  <c r="I529" i="24"/>
  <c r="I531" i="24"/>
  <c r="I533" i="24"/>
  <c r="I396" i="24"/>
  <c r="I395" i="24"/>
  <c r="I394" i="24"/>
  <c r="I398" i="24"/>
  <c r="I397" i="24"/>
  <c r="I393" i="24"/>
  <c r="I391" i="24"/>
  <c r="I392" i="24"/>
  <c r="I390" i="24"/>
  <c r="I389" i="24"/>
  <c r="I386" i="24"/>
  <c r="I388" i="24"/>
  <c r="I387" i="24"/>
  <c r="I384" i="24"/>
  <c r="I385" i="24"/>
  <c r="I379" i="24"/>
  <c r="I374" i="24"/>
  <c r="I380" i="24"/>
  <c r="I378" i="24"/>
  <c r="I382" i="24"/>
  <c r="I375" i="24"/>
  <c r="I383" i="24"/>
  <c r="I376" i="24"/>
  <c r="I377" i="24"/>
  <c r="I381" i="24"/>
  <c r="I44" i="24"/>
  <c r="I55" i="24"/>
  <c r="I136" i="24"/>
  <c r="I131" i="24"/>
  <c r="I137" i="24"/>
  <c r="I148" i="24"/>
  <c r="I464" i="24"/>
  <c r="I461" i="24"/>
  <c r="I465" i="24"/>
  <c r="I463" i="24"/>
  <c r="I467" i="24"/>
  <c r="I460" i="24"/>
  <c r="I468" i="24"/>
  <c r="I459" i="24"/>
  <c r="I462" i="24"/>
  <c r="I466" i="24"/>
  <c r="I135" i="24"/>
  <c r="I257" i="24"/>
  <c r="I258" i="24"/>
  <c r="I262" i="24"/>
  <c r="I256" i="24"/>
  <c r="I260" i="24"/>
  <c r="I254" i="24"/>
  <c r="I261" i="24"/>
  <c r="I255" i="24"/>
  <c r="I259" i="24"/>
  <c r="I263" i="24"/>
  <c r="I311" i="24"/>
  <c r="I315" i="24"/>
  <c r="I313" i="24"/>
  <c r="I317" i="24"/>
  <c r="I310" i="24"/>
  <c r="I314" i="24"/>
  <c r="I318" i="24"/>
  <c r="I309" i="24"/>
  <c r="I316" i="24"/>
  <c r="I312" i="24"/>
  <c r="I320" i="24"/>
  <c r="I319" i="24"/>
  <c r="I321" i="24"/>
  <c r="I322" i="24"/>
  <c r="I323" i="24"/>
  <c r="I114" i="24"/>
  <c r="I122" i="24"/>
  <c r="I347" i="24"/>
  <c r="I344" i="24"/>
  <c r="I348" i="24"/>
  <c r="I342" i="24"/>
  <c r="I346" i="24"/>
  <c r="I343" i="24"/>
  <c r="I340" i="24"/>
  <c r="I345" i="24"/>
  <c r="I339" i="24"/>
  <c r="I341" i="24"/>
  <c r="I351" i="24"/>
  <c r="I352" i="24"/>
  <c r="I350" i="24"/>
  <c r="I354" i="24"/>
  <c r="I358" i="24"/>
  <c r="I355" i="24"/>
  <c r="I349" i="24"/>
  <c r="I356" i="24"/>
  <c r="I353" i="24"/>
  <c r="I357" i="24"/>
  <c r="I412" i="24"/>
  <c r="I410" i="24"/>
  <c r="I409" i="24"/>
  <c r="I411" i="24"/>
  <c r="I413" i="24"/>
  <c r="I133" i="24"/>
  <c r="I139" i="24"/>
  <c r="I81" i="24"/>
  <c r="I126" i="24"/>
  <c r="I146" i="24"/>
  <c r="I151" i="24"/>
  <c r="I152" i="24"/>
  <c r="I149" i="24"/>
  <c r="I150" i="24"/>
  <c r="I58" i="24"/>
  <c r="I129" i="24"/>
  <c r="I64" i="24"/>
  <c r="I77" i="24"/>
  <c r="I101" i="24"/>
  <c r="I99" i="24"/>
  <c r="I209" i="24"/>
  <c r="I202" i="24"/>
  <c r="I194" i="24"/>
  <c r="I198" i="24"/>
  <c r="I196" i="24"/>
  <c r="I200" i="24"/>
  <c r="I204" i="24"/>
  <c r="I208" i="24"/>
  <c r="I212" i="24"/>
  <c r="I197" i="24"/>
  <c r="I201" i="24"/>
  <c r="I205" i="24"/>
  <c r="I213" i="24"/>
  <c r="I206" i="24"/>
  <c r="I210" i="24"/>
  <c r="I203" i="24"/>
  <c r="I207" i="24"/>
  <c r="I211" i="24"/>
  <c r="I195" i="24"/>
  <c r="I199" i="24"/>
  <c r="I253" i="24"/>
  <c r="I250" i="24"/>
  <c r="I248" i="24"/>
  <c r="I252" i="24"/>
  <c r="I245" i="24"/>
  <c r="I249" i="24"/>
  <c r="I246" i="24"/>
  <c r="I244" i="24"/>
  <c r="I247" i="24"/>
  <c r="I251" i="24"/>
  <c r="I481" i="24"/>
  <c r="I485" i="24"/>
  <c r="I482" i="24"/>
  <c r="I486" i="24"/>
  <c r="I480" i="24"/>
  <c r="I484" i="24"/>
  <c r="I488" i="24"/>
  <c r="I492" i="24"/>
  <c r="I489" i="24"/>
  <c r="I493" i="24"/>
  <c r="I490" i="24"/>
  <c r="I479" i="24"/>
  <c r="I483" i="24"/>
  <c r="I487" i="24"/>
  <c r="I491" i="24"/>
  <c r="I106" i="24"/>
  <c r="I158" i="24"/>
  <c r="I528" i="24"/>
  <c r="I525" i="24"/>
  <c r="I523" i="24"/>
  <c r="I527" i="24"/>
  <c r="I520" i="24"/>
  <c r="I524" i="24"/>
  <c r="I521" i="24"/>
  <c r="I519" i="24"/>
  <c r="I522" i="24"/>
  <c r="I526" i="24"/>
  <c r="I400" i="24"/>
  <c r="I401" i="24"/>
  <c r="I399" i="24"/>
  <c r="I403" i="24"/>
  <c r="I407" i="24"/>
  <c r="I404" i="24"/>
  <c r="I408" i="24"/>
  <c r="I405" i="24"/>
  <c r="I406" i="24"/>
  <c r="I402" i="24"/>
  <c r="I45" i="24"/>
  <c r="I54" i="24"/>
  <c r="I125" i="24"/>
  <c r="I132" i="24"/>
  <c r="I127" i="24"/>
  <c r="I145" i="24"/>
  <c r="I156" i="24"/>
  <c r="I67" i="24"/>
  <c r="I63" i="24"/>
  <c r="I74" i="24"/>
  <c r="I78" i="24"/>
  <c r="I79" i="24"/>
  <c r="I84" i="24"/>
  <c r="I85" i="24"/>
  <c r="I86" i="24"/>
  <c r="I92" i="24"/>
  <c r="I98" i="24"/>
  <c r="I104" i="24"/>
  <c r="I113" i="24"/>
  <c r="I117" i="24"/>
  <c r="I121" i="24"/>
  <c r="I60" i="24"/>
  <c r="I66" i="24"/>
  <c r="I62" i="24"/>
  <c r="I73" i="24"/>
  <c r="I75" i="24"/>
  <c r="I83" i="24"/>
  <c r="I89" i="24"/>
  <c r="I90" i="24"/>
  <c r="I91" i="24"/>
  <c r="I97" i="24"/>
  <c r="I103" i="24"/>
  <c r="I112" i="24"/>
  <c r="I108" i="24"/>
  <c r="I120" i="24"/>
  <c r="I116" i="24"/>
  <c r="I124" i="24"/>
  <c r="I160" i="24"/>
  <c r="I47" i="24"/>
  <c r="I43" i="24"/>
  <c r="I52" i="24"/>
  <c r="I56" i="24"/>
  <c r="I69" i="24"/>
  <c r="I65" i="24"/>
  <c r="I61" i="24"/>
  <c r="I72" i="24"/>
  <c r="I76" i="24"/>
  <c r="I82" i="24"/>
  <c r="I88" i="24"/>
  <c r="I94" i="24"/>
  <c r="I95" i="24"/>
  <c r="I96" i="24"/>
  <c r="I102" i="24"/>
  <c r="I111" i="24"/>
  <c r="I107" i="24"/>
  <c r="I119" i="24"/>
  <c r="I115" i="24"/>
  <c r="I123" i="24"/>
  <c r="I155" i="24"/>
  <c r="I159" i="24"/>
  <c r="I173" i="24"/>
  <c r="I177" i="24"/>
  <c r="I170" i="24"/>
  <c r="I174" i="24"/>
  <c r="I178" i="24"/>
  <c r="I171" i="24"/>
  <c r="I175" i="24"/>
  <c r="I169" i="24"/>
  <c r="I172" i="24"/>
  <c r="I176" i="24"/>
  <c r="I183" i="24"/>
  <c r="I179" i="24"/>
  <c r="I180" i="24"/>
  <c r="I181" i="24"/>
  <c r="I182" i="24"/>
  <c r="I46" i="24"/>
  <c r="I48" i="24"/>
  <c r="I49" i="24"/>
  <c r="I57" i="24"/>
  <c r="I68" i="24"/>
  <c r="I70" i="24"/>
  <c r="I71" i="24"/>
  <c r="I80" i="24"/>
  <c r="I100" i="24"/>
  <c r="I110" i="24"/>
  <c r="I118" i="24"/>
  <c r="I134" i="24"/>
  <c r="I130" i="24"/>
  <c r="I514" i="24"/>
  <c r="I515" i="24"/>
  <c r="I516" i="24"/>
  <c r="I517" i="24"/>
  <c r="I518" i="24"/>
  <c r="G505" i="24"/>
  <c r="G506" i="24"/>
  <c r="G507" i="24"/>
  <c r="G508" i="24"/>
  <c r="G509" i="24"/>
  <c r="G510" i="24"/>
  <c r="G511" i="24"/>
  <c r="G512" i="24"/>
  <c r="G504" i="24"/>
  <c r="I504" i="24"/>
  <c r="I505" i="24"/>
  <c r="I506" i="24"/>
  <c r="I507" i="24"/>
  <c r="I508" i="24"/>
  <c r="I509" i="24"/>
  <c r="I510" i="24"/>
  <c r="I511" i="24"/>
  <c r="I512" i="24"/>
  <c r="I513" i="24"/>
  <c r="G501" i="24"/>
  <c r="G502" i="24"/>
  <c r="G503" i="24"/>
  <c r="I501" i="24"/>
  <c r="I502" i="24"/>
  <c r="I503" i="24"/>
  <c r="G495" i="24"/>
  <c r="G496" i="24"/>
  <c r="G497" i="24"/>
  <c r="G498" i="24"/>
  <c r="G499" i="24"/>
  <c r="G500" i="24"/>
  <c r="G494" i="24"/>
  <c r="I497" i="24"/>
  <c r="I498" i="24"/>
  <c r="I499" i="24"/>
  <c r="I500" i="24"/>
  <c r="G445" i="24"/>
  <c r="G446" i="24"/>
  <c r="G447" i="24"/>
  <c r="G448" i="24"/>
  <c r="G449" i="24"/>
  <c r="G450" i="24"/>
  <c r="G451" i="24"/>
  <c r="G452" i="24"/>
  <c r="G453" i="24"/>
  <c r="G454" i="24"/>
  <c r="G455" i="24"/>
  <c r="G456" i="24"/>
  <c r="G457" i="24"/>
  <c r="G458" i="24"/>
  <c r="G444" i="24"/>
  <c r="G435" i="24"/>
  <c r="G436" i="24"/>
  <c r="G437" i="24"/>
  <c r="G438" i="24"/>
  <c r="G439" i="24"/>
  <c r="G440" i="24"/>
  <c r="G441" i="24"/>
  <c r="G442" i="24"/>
  <c r="G443" i="24"/>
  <c r="G434" i="24"/>
  <c r="G429" i="24"/>
  <c r="G430" i="24"/>
  <c r="G431" i="24"/>
  <c r="G432" i="24"/>
  <c r="G433" i="24"/>
  <c r="D229" i="4"/>
  <c r="D231" i="4"/>
  <c r="D230" i="4"/>
  <c r="G329" i="24"/>
  <c r="I268" i="24"/>
  <c r="I267" i="24"/>
  <c r="I266" i="24"/>
  <c r="I265" i="24"/>
  <c r="I264" i="24"/>
  <c r="G259" i="24"/>
  <c r="G260" i="24"/>
  <c r="G261" i="24"/>
  <c r="G262" i="24"/>
  <c r="G263" i="24"/>
  <c r="I495" i="24"/>
  <c r="I496" i="24"/>
  <c r="I494" i="24"/>
  <c r="L8" i="9"/>
  <c r="G129" i="24"/>
  <c r="G130" i="24"/>
  <c r="G131" i="24"/>
  <c r="G132" i="24"/>
  <c r="F93" i="4"/>
  <c r="E93" i="4"/>
  <c r="D93" i="4"/>
  <c r="G59" i="24" l="1"/>
  <c r="G58" i="24"/>
  <c r="G57" i="24"/>
  <c r="G56" i="24"/>
  <c r="G55" i="24"/>
  <c r="G54" i="24"/>
  <c r="G53" i="24"/>
  <c r="G52" i="24"/>
  <c r="G51" i="24"/>
  <c r="K77" i="4"/>
  <c r="K70" i="4"/>
  <c r="K71" i="4"/>
  <c r="K80" i="4"/>
  <c r="K79" i="4"/>
  <c r="K78" i="4"/>
  <c r="K76" i="4"/>
  <c r="K75" i="4"/>
  <c r="K74" i="4"/>
  <c r="K73" i="4"/>
  <c r="K72" i="4"/>
  <c r="D274" i="4"/>
  <c r="D275" i="4"/>
  <c r="D276" i="4"/>
  <c r="D277" i="4"/>
  <c r="D273" i="4"/>
  <c r="W38" i="4"/>
  <c r="W34" i="4"/>
  <c r="V34" i="4"/>
  <c r="X22" i="4"/>
  <c r="N26" i="4"/>
  <c r="E43" i="4" s="1"/>
  <c r="D36" i="4" s="1"/>
  <c r="N27" i="4"/>
  <c r="E44" i="4" s="1"/>
  <c r="D37" i="4" s="1"/>
  <c r="N25" i="4"/>
  <c r="E42" i="4" s="1"/>
  <c r="D35" i="4" s="1"/>
  <c r="M26" i="4"/>
  <c r="D43" i="4" s="1"/>
  <c r="C36" i="4" s="1"/>
  <c r="M27" i="4"/>
  <c r="D44" i="4" s="1"/>
  <c r="C37" i="4" s="1"/>
  <c r="M25" i="4"/>
  <c r="D42" i="4" s="1"/>
  <c r="C35" i="4" s="1"/>
  <c r="W5" i="4" l="1"/>
  <c r="V5" i="4"/>
  <c r="V22" i="4"/>
  <c r="AA19" i="4" s="1"/>
  <c r="E517" i="24" s="1"/>
  <c r="W22" i="4"/>
  <c r="G634" i="24"/>
  <c r="G635" i="24"/>
  <c r="G636" i="24"/>
  <c r="G637" i="24"/>
  <c r="G638" i="24"/>
  <c r="G624" i="24"/>
  <c r="G625" i="24"/>
  <c r="G626" i="24"/>
  <c r="G627" i="24"/>
  <c r="G628" i="24"/>
  <c r="G609" i="24"/>
  <c r="G610" i="24"/>
  <c r="G611" i="24"/>
  <c r="G612" i="24"/>
  <c r="G613" i="24"/>
  <c r="G599" i="24"/>
  <c r="G600" i="24"/>
  <c r="G601" i="24"/>
  <c r="G602" i="24"/>
  <c r="G603" i="24"/>
  <c r="G589" i="24"/>
  <c r="G590" i="24"/>
  <c r="G591" i="24"/>
  <c r="G592" i="24"/>
  <c r="G593" i="24"/>
  <c r="G630" i="24"/>
  <c r="G631" i="24"/>
  <c r="G632" i="24"/>
  <c r="G633" i="24"/>
  <c r="G615" i="24"/>
  <c r="G616" i="24"/>
  <c r="G617" i="24"/>
  <c r="G618" i="24"/>
  <c r="G605" i="24"/>
  <c r="G607" i="24"/>
  <c r="G608" i="24"/>
  <c r="G595" i="24"/>
  <c r="G596" i="24"/>
  <c r="G597" i="24"/>
  <c r="G598" i="24"/>
  <c r="G585" i="24"/>
  <c r="G586" i="24"/>
  <c r="G587" i="24"/>
  <c r="G588" i="24"/>
  <c r="G570" i="24"/>
  <c r="G571" i="24"/>
  <c r="G572" i="24"/>
  <c r="G573" i="24"/>
  <c r="G579" i="24"/>
  <c r="G580" i="24"/>
  <c r="G581" i="24"/>
  <c r="G582" i="24"/>
  <c r="G583" i="24"/>
  <c r="G560" i="24"/>
  <c r="G561" i="24"/>
  <c r="G562" i="24"/>
  <c r="G563" i="24"/>
  <c r="G564" i="24"/>
  <c r="G565" i="24"/>
  <c r="G566" i="24"/>
  <c r="G567" i="24"/>
  <c r="G568" i="24"/>
  <c r="G554" i="24"/>
  <c r="G555" i="24"/>
  <c r="G556" i="24"/>
  <c r="G557" i="24"/>
  <c r="G558" i="24"/>
  <c r="G550" i="24"/>
  <c r="G551" i="24"/>
  <c r="G552" i="24"/>
  <c r="G553" i="24"/>
  <c r="G535" i="24"/>
  <c r="G536" i="24"/>
  <c r="G537" i="24"/>
  <c r="G538" i="24"/>
  <c r="G539" i="24"/>
  <c r="G540" i="24"/>
  <c r="G541" i="24"/>
  <c r="G542" i="24"/>
  <c r="G543" i="24"/>
  <c r="G629" i="24"/>
  <c r="G614" i="24"/>
  <c r="G604" i="24"/>
  <c r="G594" i="24"/>
  <c r="G584" i="24"/>
  <c r="G569" i="24"/>
  <c r="G559" i="24"/>
  <c r="G549" i="24"/>
  <c r="G534" i="24"/>
  <c r="G41" i="24"/>
  <c r="G404" i="24"/>
  <c r="G405" i="24"/>
  <c r="G406" i="24"/>
  <c r="G407" i="24"/>
  <c r="G408" i="24"/>
  <c r="G415" i="24"/>
  <c r="G416" i="24"/>
  <c r="G417" i="24"/>
  <c r="G418" i="24"/>
  <c r="G410" i="24"/>
  <c r="G411" i="24"/>
  <c r="G412" i="24"/>
  <c r="G413" i="24"/>
  <c r="G400" i="24"/>
  <c r="G401" i="24"/>
  <c r="G402" i="24"/>
  <c r="G403" i="24"/>
  <c r="G354" i="24"/>
  <c r="G355" i="24"/>
  <c r="G356" i="24"/>
  <c r="G357" i="24"/>
  <c r="G358" i="24"/>
  <c r="G360" i="24"/>
  <c r="G361" i="24"/>
  <c r="G362" i="24"/>
  <c r="G363" i="24"/>
  <c r="G350" i="24"/>
  <c r="G351" i="24"/>
  <c r="G352" i="24"/>
  <c r="G353" i="24"/>
  <c r="G138" i="24"/>
  <c r="G139" i="24"/>
  <c r="G140" i="24"/>
  <c r="G134" i="24"/>
  <c r="G135" i="24"/>
  <c r="G136" i="24"/>
  <c r="G126" i="24"/>
  <c r="G127" i="24"/>
  <c r="G128" i="24"/>
  <c r="G122" i="24"/>
  <c r="G123" i="24"/>
  <c r="G124" i="24"/>
  <c r="G133" i="24"/>
  <c r="G49" i="24"/>
  <c r="G50" i="24"/>
  <c r="W37" i="4" l="1"/>
  <c r="W39" i="4" s="1"/>
  <c r="E496" i="24"/>
  <c r="E515" i="24"/>
  <c r="O515" i="24" s="1"/>
  <c r="E513" i="24"/>
  <c r="O513" i="24" s="1"/>
  <c r="E507" i="24"/>
  <c r="O507" i="24" s="1"/>
  <c r="E502" i="24"/>
  <c r="Q502" i="24" s="1"/>
  <c r="E497" i="24"/>
  <c r="O497" i="24" s="1"/>
  <c r="E509" i="24"/>
  <c r="O509" i="24" s="1"/>
  <c r="E498" i="24"/>
  <c r="Q498" i="24" s="1"/>
  <c r="E510" i="24"/>
  <c r="O510" i="24" s="1"/>
  <c r="E504" i="24"/>
  <c r="O504" i="24" s="1"/>
  <c r="E516" i="24"/>
  <c r="E500" i="24"/>
  <c r="O500" i="24" s="1"/>
  <c r="E501" i="24"/>
  <c r="E514" i="24"/>
  <c r="O514" i="24" s="1"/>
  <c r="E506" i="24"/>
  <c r="E512" i="24"/>
  <c r="Q512" i="24" s="1"/>
  <c r="E503" i="24"/>
  <c r="Q503" i="24" s="1"/>
  <c r="E518" i="24"/>
  <c r="Q518" i="24" s="1"/>
  <c r="E499" i="24"/>
  <c r="O499" i="24" s="1"/>
  <c r="E495" i="24"/>
  <c r="O495" i="24" s="1"/>
  <c r="E505" i="24"/>
  <c r="O505" i="24" s="1"/>
  <c r="E508" i="24"/>
  <c r="Q508" i="24" s="1"/>
  <c r="E511" i="24"/>
  <c r="E494" i="24"/>
  <c r="O494" i="24" s="1"/>
  <c r="O517" i="24"/>
  <c r="Q517" i="24"/>
  <c r="G530" i="24"/>
  <c r="G531" i="24"/>
  <c r="G532" i="24"/>
  <c r="G533" i="24"/>
  <c r="G520" i="24"/>
  <c r="G521" i="24"/>
  <c r="G522" i="24"/>
  <c r="G523" i="24"/>
  <c r="G524" i="24"/>
  <c r="G525" i="24"/>
  <c r="G526" i="24"/>
  <c r="G527" i="24"/>
  <c r="G528" i="24"/>
  <c r="G480" i="24"/>
  <c r="G481" i="24"/>
  <c r="G482" i="24"/>
  <c r="G483" i="24"/>
  <c r="G484" i="24"/>
  <c r="G485" i="24"/>
  <c r="G486" i="24"/>
  <c r="G487" i="24"/>
  <c r="G488" i="24"/>
  <c r="G489" i="24"/>
  <c r="G490" i="24"/>
  <c r="G491" i="24"/>
  <c r="G492" i="24"/>
  <c r="G493" i="24"/>
  <c r="G470" i="24"/>
  <c r="G471" i="24"/>
  <c r="G472" i="24"/>
  <c r="G473" i="24"/>
  <c r="G474" i="24"/>
  <c r="G475" i="24"/>
  <c r="G476" i="24"/>
  <c r="G477" i="24"/>
  <c r="G478" i="24"/>
  <c r="G460" i="24"/>
  <c r="G461" i="24"/>
  <c r="G462" i="24"/>
  <c r="G463" i="24"/>
  <c r="G464" i="24"/>
  <c r="G465" i="24"/>
  <c r="G466" i="24"/>
  <c r="G467" i="24"/>
  <c r="G468" i="24"/>
  <c r="G390" i="24"/>
  <c r="G391" i="24"/>
  <c r="G392" i="24"/>
  <c r="G393" i="24"/>
  <c r="G375" i="24"/>
  <c r="G376" i="24"/>
  <c r="G377" i="24"/>
  <c r="G378" i="24"/>
  <c r="G379" i="24"/>
  <c r="G380" i="24"/>
  <c r="G381" i="24"/>
  <c r="G382" i="24"/>
  <c r="G383" i="24"/>
  <c r="G340" i="24"/>
  <c r="G341" i="24"/>
  <c r="G342" i="24"/>
  <c r="G343" i="24"/>
  <c r="G344" i="24"/>
  <c r="G345" i="24"/>
  <c r="G346" i="24"/>
  <c r="G347" i="24"/>
  <c r="G348" i="24"/>
  <c r="G310" i="24"/>
  <c r="G311" i="24"/>
  <c r="G312" i="24"/>
  <c r="G313" i="24"/>
  <c r="G314" i="24"/>
  <c r="G315" i="24"/>
  <c r="G316" i="24"/>
  <c r="G317" i="24"/>
  <c r="G318" i="24"/>
  <c r="G319" i="24"/>
  <c r="G320" i="24"/>
  <c r="G321" i="24"/>
  <c r="G322" i="24"/>
  <c r="G323" i="24"/>
  <c r="G255" i="24"/>
  <c r="G256" i="24"/>
  <c r="G257" i="24"/>
  <c r="G258" i="24"/>
  <c r="G245" i="24"/>
  <c r="G246" i="24"/>
  <c r="G247" i="24"/>
  <c r="G248" i="24"/>
  <c r="G249" i="24"/>
  <c r="G250" i="24"/>
  <c r="G251" i="24"/>
  <c r="G252" i="24"/>
  <c r="G253" i="24"/>
  <c r="G158" i="24"/>
  <c r="G159" i="24"/>
  <c r="G160" i="24"/>
  <c r="G154" i="24"/>
  <c r="G155" i="24"/>
  <c r="G156" i="24"/>
  <c r="G146" i="24"/>
  <c r="G147" i="24"/>
  <c r="G148" i="24"/>
  <c r="G115" i="24"/>
  <c r="G116" i="24"/>
  <c r="G117" i="24"/>
  <c r="G118" i="24"/>
  <c r="G119" i="24"/>
  <c r="G120" i="24"/>
  <c r="G114" i="24"/>
  <c r="G106" i="24"/>
  <c r="G107" i="24"/>
  <c r="G108" i="24"/>
  <c r="G109" i="24"/>
  <c r="G110" i="24"/>
  <c r="G111" i="24"/>
  <c r="G112" i="24"/>
  <c r="G43" i="24"/>
  <c r="G44" i="24"/>
  <c r="G45" i="24"/>
  <c r="G46" i="24"/>
  <c r="G47" i="24"/>
  <c r="G48" i="24"/>
  <c r="G42" i="24"/>
  <c r="G40" i="24"/>
  <c r="G529" i="24"/>
  <c r="G519" i="24"/>
  <c r="G414" i="24"/>
  <c r="G409" i="24"/>
  <c r="G399" i="24"/>
  <c r="G389" i="24"/>
  <c r="G374" i="24"/>
  <c r="G359" i="24"/>
  <c r="G349" i="24"/>
  <c r="G339" i="24"/>
  <c r="G157" i="24"/>
  <c r="G153" i="24"/>
  <c r="G145" i="24"/>
  <c r="G137" i="24"/>
  <c r="G125" i="24"/>
  <c r="G121" i="24"/>
  <c r="G113" i="24"/>
  <c r="G105" i="24"/>
  <c r="G479" i="24"/>
  <c r="G469" i="24"/>
  <c r="G459" i="24"/>
  <c r="G309" i="24"/>
  <c r="G254" i="24"/>
  <c r="G244" i="24"/>
  <c r="G195" i="24"/>
  <c r="G196" i="24"/>
  <c r="G197" i="24"/>
  <c r="G198" i="24"/>
  <c r="G199" i="24"/>
  <c r="G200" i="24"/>
  <c r="G201" i="24"/>
  <c r="G202" i="24"/>
  <c r="G203" i="24"/>
  <c r="G204" i="24"/>
  <c r="G205" i="24"/>
  <c r="G206" i="24"/>
  <c r="G207" i="24"/>
  <c r="G208" i="24"/>
  <c r="G209" i="24"/>
  <c r="G210" i="24"/>
  <c r="G211" i="24"/>
  <c r="G212" i="24"/>
  <c r="G213" i="24"/>
  <c r="G194" i="24"/>
  <c r="G185" i="24"/>
  <c r="G186" i="24"/>
  <c r="G187" i="24"/>
  <c r="G188" i="24"/>
  <c r="G184" i="24"/>
  <c r="G180" i="24"/>
  <c r="G181" i="24"/>
  <c r="G182" i="24"/>
  <c r="G183" i="24"/>
  <c r="G179" i="24"/>
  <c r="G170" i="24"/>
  <c r="G171" i="24"/>
  <c r="G172" i="24"/>
  <c r="G173" i="24"/>
  <c r="G174" i="24"/>
  <c r="G175" i="24"/>
  <c r="G176" i="24"/>
  <c r="G177" i="24"/>
  <c r="G178" i="24"/>
  <c r="G169" i="24"/>
  <c r="G101" i="24"/>
  <c r="G102" i="24"/>
  <c r="G103" i="24"/>
  <c r="G104" i="24"/>
  <c r="G100" i="24"/>
  <c r="G96" i="24"/>
  <c r="G97" i="24"/>
  <c r="G98" i="24"/>
  <c r="G99" i="24"/>
  <c r="G95" i="24"/>
  <c r="G91" i="24"/>
  <c r="G92" i="24"/>
  <c r="G93" i="24"/>
  <c r="G94" i="24"/>
  <c r="G90" i="24"/>
  <c r="G86" i="24"/>
  <c r="G87" i="24"/>
  <c r="G88" i="24"/>
  <c r="G89" i="24"/>
  <c r="G85" i="24"/>
  <c r="G81" i="24"/>
  <c r="G82" i="24"/>
  <c r="G83" i="24"/>
  <c r="G84" i="24"/>
  <c r="G80" i="24"/>
  <c r="G71" i="24"/>
  <c r="G72" i="24"/>
  <c r="G73" i="24"/>
  <c r="G74" i="24"/>
  <c r="G70" i="24"/>
  <c r="G61" i="24"/>
  <c r="G62" i="24"/>
  <c r="G63" i="24"/>
  <c r="G64" i="24"/>
  <c r="G65" i="24"/>
  <c r="G66" i="24"/>
  <c r="G67" i="24"/>
  <c r="G68" i="24"/>
  <c r="G69" i="24"/>
  <c r="G60" i="24"/>
  <c r="O512" i="24" l="1"/>
  <c r="O498" i="24"/>
  <c r="O503" i="24"/>
  <c r="Q513" i="24"/>
  <c r="Q507" i="24"/>
  <c r="O508" i="24"/>
  <c r="Q497" i="24"/>
  <c r="O502" i="24"/>
  <c r="O518" i="24"/>
  <c r="Z5" i="4"/>
  <c r="P7" i="34" l="1"/>
  <c r="P8" i="34"/>
  <c r="P9" i="34"/>
  <c r="P10" i="34"/>
  <c r="P11" i="34"/>
  <c r="P12" i="34"/>
  <c r="P13" i="34"/>
  <c r="P14" i="34"/>
  <c r="P15" i="34"/>
  <c r="P16" i="34"/>
  <c r="P17" i="34"/>
  <c r="P18" i="34"/>
  <c r="P19" i="34"/>
  <c r="P20" i="34"/>
  <c r="P21" i="34"/>
  <c r="P22" i="34"/>
  <c r="P23" i="34"/>
  <c r="P24" i="34"/>
  <c r="P25" i="34"/>
  <c r="P26" i="34"/>
  <c r="P27" i="34"/>
  <c r="P28" i="34"/>
  <c r="P29" i="34"/>
  <c r="P30" i="34"/>
  <c r="P31" i="34"/>
  <c r="P32" i="34"/>
  <c r="P33" i="34"/>
  <c r="P34" i="34"/>
  <c r="P35" i="34"/>
  <c r="P36" i="34"/>
  <c r="P37" i="34"/>
  <c r="P38" i="34"/>
  <c r="P39" i="34"/>
  <c r="P40" i="34"/>
  <c r="P41" i="34"/>
  <c r="P42" i="34"/>
  <c r="P43" i="34"/>
  <c r="P44" i="34"/>
  <c r="P45" i="34"/>
  <c r="P46" i="34"/>
  <c r="P47" i="34"/>
  <c r="P48" i="34"/>
  <c r="P49" i="34"/>
  <c r="P50" i="34"/>
  <c r="P51" i="34"/>
  <c r="P52" i="34"/>
  <c r="P53" i="34"/>
  <c r="P54" i="34"/>
  <c r="P55" i="34"/>
  <c r="P56" i="34"/>
  <c r="P57" i="34"/>
  <c r="P58" i="34"/>
  <c r="P59" i="34"/>
  <c r="P60" i="34"/>
  <c r="P61" i="34"/>
  <c r="P62" i="34"/>
  <c r="P63" i="34"/>
  <c r="P64" i="34"/>
  <c r="P65" i="34"/>
  <c r="P66" i="34"/>
  <c r="P67" i="34"/>
  <c r="P68" i="34"/>
  <c r="P69" i="34"/>
  <c r="P70" i="34"/>
  <c r="P71" i="34"/>
  <c r="P72" i="34"/>
  <c r="P73" i="34"/>
  <c r="P74" i="34"/>
  <c r="P75" i="34"/>
  <c r="P76" i="34"/>
  <c r="P77" i="34"/>
  <c r="P78" i="34"/>
  <c r="P79" i="34"/>
  <c r="P80" i="34"/>
  <c r="P81" i="34"/>
  <c r="P82" i="34"/>
  <c r="P83" i="34"/>
  <c r="P84" i="34"/>
  <c r="P85" i="34"/>
  <c r="P86" i="34"/>
  <c r="P87" i="34"/>
  <c r="P88" i="34"/>
  <c r="P89" i="34"/>
  <c r="P90" i="34"/>
  <c r="P91" i="34"/>
  <c r="P92" i="34"/>
  <c r="P93" i="34"/>
  <c r="P94" i="34"/>
  <c r="P95" i="34"/>
  <c r="P96" i="34"/>
  <c r="P97" i="34"/>
  <c r="P98" i="34"/>
  <c r="P99" i="34"/>
  <c r="P100" i="34"/>
  <c r="P101" i="34"/>
  <c r="P102" i="34"/>
  <c r="P103" i="34"/>
  <c r="P104" i="34"/>
  <c r="P105" i="34"/>
  <c r="P106" i="34"/>
  <c r="P107" i="34"/>
  <c r="P108" i="34"/>
  <c r="P109" i="34"/>
  <c r="P110" i="34"/>
  <c r="P111" i="34"/>
  <c r="P112" i="34"/>
  <c r="P113" i="34"/>
  <c r="P114" i="34"/>
  <c r="P115" i="34"/>
  <c r="P116" i="34"/>
  <c r="P117" i="34"/>
  <c r="P118" i="34"/>
  <c r="P119" i="34"/>
  <c r="P120" i="34"/>
  <c r="P121" i="34"/>
  <c r="P122" i="34"/>
  <c r="P123" i="34"/>
  <c r="P124" i="34"/>
  <c r="P125" i="34"/>
  <c r="P126" i="34"/>
  <c r="P127" i="34"/>
  <c r="P128" i="34"/>
  <c r="P129" i="34"/>
  <c r="P130" i="34"/>
  <c r="P131" i="34"/>
  <c r="P132" i="34"/>
  <c r="P133" i="34"/>
  <c r="P134" i="34"/>
  <c r="P135" i="34"/>
  <c r="P136" i="34"/>
  <c r="P137" i="34"/>
  <c r="P138" i="34"/>
  <c r="P139" i="34"/>
  <c r="P140" i="34"/>
  <c r="P141" i="34"/>
  <c r="P142" i="34"/>
  <c r="P143" i="34"/>
  <c r="P144" i="34"/>
  <c r="P145" i="34"/>
  <c r="P146" i="34"/>
  <c r="P147" i="34"/>
  <c r="P148" i="34"/>
  <c r="P149" i="34"/>
  <c r="P150" i="34"/>
  <c r="P151" i="34"/>
  <c r="P152" i="34"/>
  <c r="P153" i="34"/>
  <c r="P154" i="34"/>
  <c r="P155" i="34"/>
  <c r="P156" i="34"/>
  <c r="P157" i="34"/>
  <c r="P158" i="34"/>
  <c r="P159" i="34"/>
  <c r="P160" i="34"/>
  <c r="P161" i="34"/>
  <c r="P162" i="34"/>
  <c r="P163" i="34"/>
  <c r="P164" i="34"/>
  <c r="P165" i="34"/>
  <c r="P166" i="34"/>
  <c r="P167" i="34"/>
  <c r="P168" i="34"/>
  <c r="P169" i="34"/>
  <c r="P170" i="34"/>
  <c r="P171" i="34"/>
  <c r="P172" i="34"/>
  <c r="P173" i="34"/>
  <c r="P174" i="34"/>
  <c r="P175" i="34"/>
  <c r="P176" i="34"/>
  <c r="P177" i="34"/>
  <c r="P178" i="34"/>
  <c r="P179" i="34"/>
  <c r="P180"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N10" i="34"/>
  <c r="N11" i="34" s="1"/>
  <c r="N12" i="34" s="1"/>
  <c r="N13" i="34" s="1"/>
  <c r="N14" i="34" s="1"/>
  <c r="N15" i="34" s="1"/>
  <c r="N16" i="34" s="1"/>
  <c r="N17" i="34" s="1"/>
  <c r="N18" i="34" s="1"/>
  <c r="N19" i="34" s="1"/>
  <c r="N20" i="34" s="1"/>
  <c r="N21" i="34" s="1"/>
  <c r="N22" i="34" s="1"/>
  <c r="N23" i="34" s="1"/>
  <c r="N24" i="34" s="1"/>
  <c r="N25" i="34" s="1"/>
  <c r="N26" i="34" s="1"/>
  <c r="N27" i="34" s="1"/>
  <c r="N28" i="34" s="1"/>
  <c r="N29" i="34" s="1"/>
  <c r="N30" i="34" s="1"/>
  <c r="N31" i="34" s="1"/>
  <c r="N32" i="34" s="1"/>
  <c r="N33" i="34" s="1"/>
  <c r="N34" i="34" s="1"/>
  <c r="N35" i="34" s="1"/>
  <c r="N36" i="34" s="1"/>
  <c r="N37" i="34" s="1"/>
  <c r="N38" i="34" s="1"/>
  <c r="N39" i="34"/>
  <c r="N40" i="34" s="1"/>
  <c r="N41" i="34" s="1"/>
  <c r="N42" i="34" s="1"/>
  <c r="N43" i="34" s="1"/>
  <c r="N44" i="34"/>
  <c r="N45" i="34" s="1"/>
  <c r="N46" i="34" s="1"/>
  <c r="N47" i="34" s="1"/>
  <c r="N48" i="34" s="1"/>
  <c r="N49" i="34" s="1"/>
  <c r="N50" i="34" s="1"/>
  <c r="N51" i="34" s="1"/>
  <c r="N52" i="34" s="1"/>
  <c r="N53" i="34" s="1"/>
  <c r="N54" i="34" s="1"/>
  <c r="N55" i="34" s="1"/>
  <c r="N56" i="34" s="1"/>
  <c r="N57" i="34" s="1"/>
  <c r="N58" i="34" s="1"/>
  <c r="N59" i="34" s="1"/>
  <c r="N60" i="34" s="1"/>
  <c r="N61" i="34" s="1"/>
  <c r="N62" i="34" s="1"/>
  <c r="N63" i="34" s="1"/>
  <c r="N64" i="34" s="1"/>
  <c r="N65" i="34" s="1"/>
  <c r="N66" i="34" s="1"/>
  <c r="N67" i="34" s="1"/>
  <c r="N68" i="34" s="1"/>
  <c r="N69" i="34" s="1"/>
  <c r="N70" i="34" s="1"/>
  <c r="N71" i="34" s="1"/>
  <c r="N72" i="34" s="1"/>
  <c r="N73" i="34" s="1"/>
  <c r="N74" i="34" s="1"/>
  <c r="N75" i="34" s="1"/>
  <c r="N76" i="34" s="1"/>
  <c r="N77" i="34" s="1"/>
  <c r="N78" i="34" s="1"/>
  <c r="N79" i="34" s="1"/>
  <c r="N80" i="34" s="1"/>
  <c r="N81" i="34" s="1"/>
  <c r="N82" i="34" s="1"/>
  <c r="N83" i="34" s="1"/>
  <c r="N84" i="34" s="1"/>
  <c r="N85" i="34" s="1"/>
  <c r="N86" i="34" s="1"/>
  <c r="N87" i="34" s="1"/>
  <c r="N88" i="34" s="1"/>
  <c r="N89" i="34" s="1"/>
  <c r="N90" i="34" s="1"/>
  <c r="N91" i="34" s="1"/>
  <c r="N92" i="34" s="1"/>
  <c r="N93" i="34" s="1"/>
  <c r="N94" i="34" s="1"/>
  <c r="N95" i="34" s="1"/>
  <c r="N96" i="34" s="1"/>
  <c r="N97" i="34" s="1"/>
  <c r="N98" i="34" s="1"/>
  <c r="N99" i="34" s="1"/>
  <c r="N100" i="34" s="1"/>
  <c r="N101" i="34" s="1"/>
  <c r="N102" i="34" s="1"/>
  <c r="N103" i="34" s="1"/>
  <c r="N104" i="34" s="1"/>
  <c r="N105" i="34" s="1"/>
  <c r="N106" i="34" s="1"/>
  <c r="N107" i="34" s="1"/>
  <c r="N108" i="34" s="1"/>
  <c r="N109" i="34" s="1"/>
  <c r="N110" i="34" s="1"/>
  <c r="N111" i="34" s="1"/>
  <c r="N112" i="34" s="1"/>
  <c r="N113" i="34" s="1"/>
  <c r="N114" i="34" s="1"/>
  <c r="N115" i="34" s="1"/>
  <c r="N116" i="34" s="1"/>
  <c r="N117" i="34" s="1"/>
  <c r="N118" i="34" s="1"/>
  <c r="N119" i="34" s="1"/>
  <c r="N120" i="34" s="1"/>
  <c r="N121" i="34" s="1"/>
  <c r="N122" i="34" s="1"/>
  <c r="N123" i="34" s="1"/>
  <c r="N124" i="34" s="1"/>
  <c r="N125" i="34" s="1"/>
  <c r="N126" i="34" s="1"/>
  <c r="N127" i="34" s="1"/>
  <c r="N128" i="34" s="1"/>
  <c r="N129" i="34" s="1"/>
  <c r="N130" i="34" s="1"/>
  <c r="N131" i="34" s="1"/>
  <c r="N132" i="34" s="1"/>
  <c r="N133" i="34" s="1"/>
  <c r="N134" i="34" s="1"/>
  <c r="N135" i="34" s="1"/>
  <c r="N136" i="34" s="1"/>
  <c r="N137" i="34" s="1"/>
  <c r="N138" i="34" s="1"/>
  <c r="N139" i="34" s="1"/>
  <c r="N140" i="34" s="1"/>
  <c r="N141" i="34" s="1"/>
  <c r="N142" i="34" s="1"/>
  <c r="N143" i="34" s="1"/>
  <c r="N144" i="34" s="1"/>
  <c r="N145" i="34" s="1"/>
  <c r="N146" i="34" s="1"/>
  <c r="N147" i="34" s="1"/>
  <c r="N148" i="34" s="1"/>
  <c r="N149" i="34" s="1"/>
  <c r="N150" i="34" s="1"/>
  <c r="N151" i="34" s="1"/>
  <c r="N152" i="34" s="1"/>
  <c r="N153" i="34" s="1"/>
  <c r="N154" i="34" s="1"/>
  <c r="N155" i="34" s="1"/>
  <c r="N156" i="34" s="1"/>
  <c r="N157" i="34" s="1"/>
  <c r="N158" i="34" s="1"/>
  <c r="N159" i="34" s="1"/>
  <c r="N160" i="34" s="1"/>
  <c r="N161" i="34" s="1"/>
  <c r="N162" i="34" s="1"/>
  <c r="N163" i="34" s="1"/>
  <c r="N164" i="34" s="1"/>
  <c r="N165" i="34" s="1"/>
  <c r="N166" i="34" s="1"/>
  <c r="N167" i="34" s="1"/>
  <c r="N168" i="34" s="1"/>
  <c r="N169" i="34" s="1"/>
  <c r="N170" i="34" s="1"/>
  <c r="N171" i="34" s="1"/>
  <c r="N172" i="34" s="1"/>
  <c r="N173" i="34" s="1"/>
  <c r="N174" i="34" s="1"/>
  <c r="N175" i="34" s="1"/>
  <c r="N176" i="34" s="1"/>
  <c r="N177" i="34" s="1"/>
  <c r="N178" i="34" s="1"/>
  <c r="N179" i="34" s="1"/>
  <c r="N180" i="34" s="1"/>
  <c r="N7" i="34"/>
  <c r="N8" i="34" s="1"/>
  <c r="N9" i="34" s="1"/>
  <c r="M7" i="34"/>
  <c r="O210" i="33"/>
  <c r="P210" i="33"/>
  <c r="O211" i="33"/>
  <c r="P211" i="33"/>
  <c r="O212" i="33"/>
  <c r="P212" i="33"/>
  <c r="O213" i="33"/>
  <c r="P213" i="33"/>
  <c r="O214" i="33"/>
  <c r="P214" i="33"/>
  <c r="O215" i="33"/>
  <c r="P215" i="33"/>
  <c r="O216" i="33"/>
  <c r="P216" i="33"/>
  <c r="O217" i="33"/>
  <c r="P217" i="33"/>
  <c r="O218" i="33"/>
  <c r="P218" i="33"/>
  <c r="O219" i="33"/>
  <c r="P219" i="33"/>
  <c r="O220" i="33"/>
  <c r="P220" i="33"/>
  <c r="O221" i="33"/>
  <c r="P221" i="33"/>
  <c r="O222" i="33"/>
  <c r="P222" i="33"/>
  <c r="O223" i="33"/>
  <c r="P223" i="33"/>
  <c r="O224" i="33"/>
  <c r="P224" i="33"/>
  <c r="O225" i="33"/>
  <c r="P225" i="33"/>
  <c r="O226" i="33"/>
  <c r="P226" i="33"/>
  <c r="O227" i="33"/>
  <c r="P227" i="33"/>
  <c r="O228" i="33"/>
  <c r="P228" i="33"/>
  <c r="O229" i="33"/>
  <c r="P229" i="33"/>
  <c r="O230" i="33"/>
  <c r="P230" i="33"/>
  <c r="O231" i="33"/>
  <c r="P231" i="33"/>
  <c r="O232" i="33"/>
  <c r="P232" i="33"/>
  <c r="O233" i="33"/>
  <c r="P233" i="33"/>
  <c r="O234" i="33"/>
  <c r="P234" i="33"/>
  <c r="O235" i="33"/>
  <c r="P235" i="33"/>
  <c r="O236" i="33"/>
  <c r="P236" i="33"/>
  <c r="O237" i="33"/>
  <c r="P237" i="33"/>
  <c r="O238" i="33"/>
  <c r="P238" i="33"/>
  <c r="O239" i="33"/>
  <c r="P239" i="33"/>
  <c r="O240" i="33"/>
  <c r="P240" i="33"/>
  <c r="O241" i="33"/>
  <c r="P241" i="33"/>
  <c r="O242" i="33"/>
  <c r="P242" i="33"/>
  <c r="O243" i="33"/>
  <c r="P243" i="33"/>
  <c r="O244" i="33"/>
  <c r="P244" i="33"/>
  <c r="O245" i="33"/>
  <c r="P245" i="33"/>
  <c r="O246" i="33"/>
  <c r="P246" i="33"/>
  <c r="O247" i="33"/>
  <c r="P247" i="33"/>
  <c r="O248" i="33"/>
  <c r="P248" i="33"/>
  <c r="O249" i="33"/>
  <c r="P249" i="33"/>
  <c r="O250" i="33"/>
  <c r="P250" i="33"/>
  <c r="O251" i="33"/>
  <c r="P251" i="33"/>
  <c r="O252" i="33"/>
  <c r="P252" i="33"/>
  <c r="O253" i="33"/>
  <c r="P253" i="33"/>
  <c r="O254" i="33"/>
  <c r="P254" i="33"/>
  <c r="O255" i="33"/>
  <c r="P255" i="33"/>
  <c r="O256" i="33"/>
  <c r="P256" i="33"/>
  <c r="O257" i="33"/>
  <c r="P257" i="33"/>
  <c r="O258" i="33"/>
  <c r="P258" i="33"/>
  <c r="O259" i="33"/>
  <c r="P259" i="33"/>
  <c r="O260" i="33"/>
  <c r="P260" i="33"/>
  <c r="O261" i="33"/>
  <c r="P261" i="33"/>
  <c r="O262" i="33"/>
  <c r="P262" i="33"/>
  <c r="O263" i="33"/>
  <c r="P263" i="33"/>
  <c r="O264" i="33"/>
  <c r="P264" i="33"/>
  <c r="O265" i="33"/>
  <c r="P265" i="33"/>
  <c r="O266" i="33"/>
  <c r="P266" i="33"/>
  <c r="O267" i="33"/>
  <c r="P267" i="33"/>
  <c r="O268" i="33"/>
  <c r="P268" i="33"/>
  <c r="O269" i="33"/>
  <c r="P269" i="33"/>
  <c r="O270" i="33"/>
  <c r="P270" i="33"/>
  <c r="O271" i="33"/>
  <c r="P271" i="33"/>
  <c r="O272" i="33"/>
  <c r="P272" i="33"/>
  <c r="O273" i="33"/>
  <c r="P273" i="33"/>
  <c r="O274" i="33"/>
  <c r="P274" i="33"/>
  <c r="O275" i="33"/>
  <c r="P275" i="33"/>
  <c r="O276" i="33"/>
  <c r="P276" i="33"/>
  <c r="O181" i="33"/>
  <c r="P181" i="33"/>
  <c r="O182" i="33"/>
  <c r="P182" i="33"/>
  <c r="O183" i="33"/>
  <c r="P183" i="33"/>
  <c r="O184" i="33"/>
  <c r="P184" i="33"/>
  <c r="O185" i="33"/>
  <c r="P185" i="33"/>
  <c r="O186" i="33"/>
  <c r="P186" i="33"/>
  <c r="O187" i="33"/>
  <c r="P187" i="33"/>
  <c r="O188" i="33"/>
  <c r="P188" i="33"/>
  <c r="O189" i="33"/>
  <c r="P189" i="33"/>
  <c r="O190" i="33"/>
  <c r="P190" i="33"/>
  <c r="O191" i="33"/>
  <c r="P191" i="33"/>
  <c r="O192" i="33"/>
  <c r="P192" i="33"/>
  <c r="O193" i="33"/>
  <c r="P193" i="33"/>
  <c r="O194" i="33"/>
  <c r="P194" i="33"/>
  <c r="O195" i="33"/>
  <c r="P195" i="33"/>
  <c r="N196" i="33"/>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N221" i="33" s="1"/>
  <c r="N222" i="33" s="1"/>
  <c r="N223" i="33" s="1"/>
  <c r="N224" i="33" s="1"/>
  <c r="N225" i="33" s="1"/>
  <c r="N226" i="33" s="1"/>
  <c r="N227" i="33" s="1"/>
  <c r="N228" i="33" s="1"/>
  <c r="N229" i="33" s="1"/>
  <c r="N230" i="33" s="1"/>
  <c r="N231" i="33" s="1"/>
  <c r="N232" i="33" s="1"/>
  <c r="N233" i="33" s="1"/>
  <c r="N234" i="33" s="1"/>
  <c r="N235" i="33" s="1"/>
  <c r="N236" i="33" s="1"/>
  <c r="N237" i="33" s="1"/>
  <c r="N238" i="33" s="1"/>
  <c r="N239" i="33" s="1"/>
  <c r="N240" i="33" s="1"/>
  <c r="N241" i="33" s="1"/>
  <c r="N242" i="33" s="1"/>
  <c r="N243" i="33" s="1"/>
  <c r="N244" i="33" s="1"/>
  <c r="N245" i="33" s="1"/>
  <c r="N246" i="33" s="1"/>
  <c r="N247" i="33" s="1"/>
  <c r="N248" i="33" s="1"/>
  <c r="N249" i="33" s="1"/>
  <c r="N250" i="33" s="1"/>
  <c r="N251" i="33" s="1"/>
  <c r="N252" i="33" s="1"/>
  <c r="N253" i="33" s="1"/>
  <c r="N254" i="33" s="1"/>
  <c r="N255" i="33" s="1"/>
  <c r="N256" i="33" s="1"/>
  <c r="N257" i="33" s="1"/>
  <c r="N258" i="33" s="1"/>
  <c r="N259" i="33" s="1"/>
  <c r="N260" i="33" s="1"/>
  <c r="N261" i="33" s="1"/>
  <c r="N262" i="33" s="1"/>
  <c r="N263" i="33" s="1"/>
  <c r="N264" i="33" s="1"/>
  <c r="N265" i="33" s="1"/>
  <c r="N266" i="33" s="1"/>
  <c r="N267" i="33" s="1"/>
  <c r="N268" i="33" s="1"/>
  <c r="N269" i="33" s="1"/>
  <c r="N270" i="33" s="1"/>
  <c r="N271" i="33" s="1"/>
  <c r="N272" i="33" s="1"/>
  <c r="N273" i="33" s="1"/>
  <c r="N274" i="33" s="1"/>
  <c r="N275" i="33" s="1"/>
  <c r="N276" i="33" s="1"/>
  <c r="O196" i="33"/>
  <c r="P196" i="33"/>
  <c r="O197" i="33"/>
  <c r="P197" i="33"/>
  <c r="O198" i="33"/>
  <c r="P198" i="33"/>
  <c r="O199" i="33"/>
  <c r="P199" i="33"/>
  <c r="O200" i="33"/>
  <c r="P200" i="33"/>
  <c r="O201" i="33"/>
  <c r="P201" i="33"/>
  <c r="O202" i="33"/>
  <c r="P202" i="33"/>
  <c r="O203" i="33"/>
  <c r="P203" i="33"/>
  <c r="O204" i="33"/>
  <c r="P204" i="33"/>
  <c r="O205" i="33"/>
  <c r="P205" i="33"/>
  <c r="O206" i="33"/>
  <c r="P206" i="33"/>
  <c r="O207" i="33"/>
  <c r="P207" i="33"/>
  <c r="O208" i="33"/>
  <c r="P208" i="33"/>
  <c r="O209" i="33"/>
  <c r="P209" i="33"/>
  <c r="P7" i="33"/>
  <c r="P8" i="33"/>
  <c r="P9" i="33"/>
  <c r="P10" i="33"/>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O7" i="33"/>
  <c r="O8" i="33"/>
  <c r="O9" i="33"/>
  <c r="O10" i="33"/>
  <c r="O11" i="33"/>
  <c r="O12" i="33"/>
  <c r="O13" i="33"/>
  <c r="O14" i="33"/>
  <c r="O15" i="33"/>
  <c r="O16" i="33"/>
  <c r="O17" i="33"/>
  <c r="O18" i="33"/>
  <c r="O19" i="33"/>
  <c r="O20" i="33"/>
  <c r="O21" i="33"/>
  <c r="O22" i="33"/>
  <c r="O23" i="33"/>
  <c r="O24" i="33"/>
  <c r="O25" i="33"/>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M9" i="33"/>
  <c r="M10" i="33" s="1"/>
  <c r="M11" i="33" s="1"/>
  <c r="M12" i="33" s="1"/>
  <c r="M13" i="33" s="1"/>
  <c r="M14" i="33" s="1"/>
  <c r="M15" i="33" s="1"/>
  <c r="M16" i="33" s="1"/>
  <c r="M17" i="33" s="1"/>
  <c r="M18" i="33" s="1"/>
  <c r="M19" i="33" s="1"/>
  <c r="M20" i="33" s="1"/>
  <c r="N7" i="33"/>
  <c r="N8" i="33" s="1"/>
  <c r="N9" i="33" s="1"/>
  <c r="N10" i="33" s="1"/>
  <c r="N11" i="33" s="1"/>
  <c r="N12" i="33" s="1"/>
  <c r="N13" i="33" s="1"/>
  <c r="N14" i="33" s="1"/>
  <c r="N15" i="33" s="1"/>
  <c r="N16" i="33" s="1"/>
  <c r="N17" i="33" s="1"/>
  <c r="N18" i="33" s="1"/>
  <c r="N19" i="33" s="1"/>
  <c r="N20" i="33" s="1"/>
  <c r="N21" i="33" s="1"/>
  <c r="N22" i="33" s="1"/>
  <c r="N23" i="33" s="1"/>
  <c r="N24" i="33" s="1"/>
  <c r="N25" i="33" s="1"/>
  <c r="N26" i="33" s="1"/>
  <c r="N27" i="33" s="1"/>
  <c r="N28" i="33" s="1"/>
  <c r="N29" i="33" s="1"/>
  <c r="N30" i="33" s="1"/>
  <c r="N31" i="33" s="1"/>
  <c r="N32" i="33" s="1"/>
  <c r="N33" i="33" s="1"/>
  <c r="N34" i="33" s="1"/>
  <c r="N35" i="33" s="1"/>
  <c r="N36" i="33" s="1"/>
  <c r="N37" i="33" s="1"/>
  <c r="N38" i="33" s="1"/>
  <c r="N39" i="33" s="1"/>
  <c r="N40" i="33" s="1"/>
  <c r="N41" i="33" s="1"/>
  <c r="N42" i="33" s="1"/>
  <c r="N43" i="33" s="1"/>
  <c r="N44" i="33" s="1"/>
  <c r="N45" i="33" s="1"/>
  <c r="N46" i="33" s="1"/>
  <c r="N47" i="33" s="1"/>
  <c r="N48" i="33" s="1"/>
  <c r="N49" i="33" s="1"/>
  <c r="N50" i="33" s="1"/>
  <c r="N51" i="33" s="1"/>
  <c r="N52" i="33" s="1"/>
  <c r="N53" i="33" s="1"/>
  <c r="N54" i="33" s="1"/>
  <c r="N55" i="33" s="1"/>
  <c r="N56" i="33" s="1"/>
  <c r="N57" i="33" s="1"/>
  <c r="N58" i="33" s="1"/>
  <c r="N59" i="33" s="1"/>
  <c r="N60" i="33" s="1"/>
  <c r="N61" i="33" s="1"/>
  <c r="N62" i="33" s="1"/>
  <c r="N63" i="33" s="1"/>
  <c r="N64" i="33" s="1"/>
  <c r="N65" i="33" s="1"/>
  <c r="N66" i="33" s="1"/>
  <c r="N67" i="33" s="1"/>
  <c r="N68" i="33" s="1"/>
  <c r="N69" i="33" s="1"/>
  <c r="N70" i="33" s="1"/>
  <c r="N71" i="33" s="1"/>
  <c r="N72" i="33" s="1"/>
  <c r="N73" i="33" s="1"/>
  <c r="N74" i="33" s="1"/>
  <c r="N75" i="33" s="1"/>
  <c r="N76" i="33" s="1"/>
  <c r="N77" i="33" s="1"/>
  <c r="N78" i="33" s="1"/>
  <c r="N79" i="33" s="1"/>
  <c r="N80" i="33" s="1"/>
  <c r="N81" i="33" s="1"/>
  <c r="N82" i="33" s="1"/>
  <c r="N83" i="33" s="1"/>
  <c r="N84" i="33" s="1"/>
  <c r="N85" i="33" s="1"/>
  <c r="N86" i="33" s="1"/>
  <c r="N87" i="33" s="1"/>
  <c r="N88" i="33" s="1"/>
  <c r="N89" i="33" s="1"/>
  <c r="N90" i="33" s="1"/>
  <c r="N91" i="33" s="1"/>
  <c r="N92" i="33" s="1"/>
  <c r="N93" i="33" s="1"/>
  <c r="N94" i="33" s="1"/>
  <c r="N95" i="33" s="1"/>
  <c r="N96" i="33" s="1"/>
  <c r="N97" i="33" s="1"/>
  <c r="N98" i="33" s="1"/>
  <c r="N99" i="33" s="1"/>
  <c r="N100" i="33" s="1"/>
  <c r="N101" i="33" s="1"/>
  <c r="N102" i="33" s="1"/>
  <c r="N103" i="33" s="1"/>
  <c r="N104" i="33" s="1"/>
  <c r="N105" i="33" s="1"/>
  <c r="N106" i="33" s="1"/>
  <c r="N107" i="33" s="1"/>
  <c r="N108" i="33" s="1"/>
  <c r="N109" i="33" s="1"/>
  <c r="N110" i="33" s="1"/>
  <c r="N111" i="33" s="1"/>
  <c r="N112" i="33" s="1"/>
  <c r="N113" i="33" s="1"/>
  <c r="N114" i="33" s="1"/>
  <c r="N115" i="33" s="1"/>
  <c r="N116" i="33" s="1"/>
  <c r="N117" i="33" s="1"/>
  <c r="N118" i="33" s="1"/>
  <c r="N119" i="33" s="1"/>
  <c r="N120" i="33" s="1"/>
  <c r="N121" i="33" s="1"/>
  <c r="N122" i="33" s="1"/>
  <c r="N123" i="33" s="1"/>
  <c r="N124" i="33" s="1"/>
  <c r="N125" i="33" s="1"/>
  <c r="N126" i="33" s="1"/>
  <c r="N127" i="33" s="1"/>
  <c r="N128" i="33" s="1"/>
  <c r="N129" i="33" s="1"/>
  <c r="N130" i="33" s="1"/>
  <c r="N131" i="33" s="1"/>
  <c r="N132" i="33" s="1"/>
  <c r="N133" i="33" s="1"/>
  <c r="N134" i="33" s="1"/>
  <c r="N135" i="33" s="1"/>
  <c r="N136" i="33" s="1"/>
  <c r="N137" i="33" s="1"/>
  <c r="N138" i="33" s="1"/>
  <c r="N139" i="33" s="1"/>
  <c r="N140" i="33" s="1"/>
  <c r="N141" i="33" s="1"/>
  <c r="N142" i="33" s="1"/>
  <c r="N143" i="33" s="1"/>
  <c r="N144" i="33" s="1"/>
  <c r="N145" i="33" s="1"/>
  <c r="N146" i="33" s="1"/>
  <c r="N147" i="33" s="1"/>
  <c r="N148" i="33" s="1"/>
  <c r="N149" i="33" s="1"/>
  <c r="N150" i="33" s="1"/>
  <c r="N151" i="33" s="1"/>
  <c r="N152" i="33" s="1"/>
  <c r="N153" i="33" s="1"/>
  <c r="N154" i="33" s="1"/>
  <c r="N155" i="33" s="1"/>
  <c r="N156" i="33" s="1"/>
  <c r="N157" i="33" s="1"/>
  <c r="N158" i="33" s="1"/>
  <c r="N159" i="33" s="1"/>
  <c r="N160" i="33" s="1"/>
  <c r="N161" i="33" s="1"/>
  <c r="N162" i="33" s="1"/>
  <c r="N163" i="33" s="1"/>
  <c r="N164" i="33" s="1"/>
  <c r="N165" i="33" s="1"/>
  <c r="N166" i="33" s="1"/>
  <c r="N167" i="33" s="1"/>
  <c r="N168" i="33" s="1"/>
  <c r="N169" i="33" s="1"/>
  <c r="N170" i="33" s="1"/>
  <c r="N171" i="33" s="1"/>
  <c r="N172" i="33" s="1"/>
  <c r="N173" i="33" s="1"/>
  <c r="N174" i="33" s="1"/>
  <c r="N175" i="33" s="1"/>
  <c r="N176" i="33" s="1"/>
  <c r="N177" i="33" s="1"/>
  <c r="N178" i="33" s="1"/>
  <c r="N179" i="33" s="1"/>
  <c r="N180" i="33" s="1"/>
  <c r="N181" i="33" s="1"/>
  <c r="N182" i="33" s="1"/>
  <c r="N183" i="33" s="1"/>
  <c r="N184" i="33" s="1"/>
  <c r="N185" i="33" s="1"/>
  <c r="N186" i="33" s="1"/>
  <c r="N187" i="33" s="1"/>
  <c r="N188" i="33" s="1"/>
  <c r="N189" i="33" s="1"/>
  <c r="N190" i="33" s="1"/>
  <c r="N191" i="33" s="1"/>
  <c r="N192" i="33" s="1"/>
  <c r="N193" i="33" s="1"/>
  <c r="N194" i="33" s="1"/>
  <c r="N195" i="33" s="1"/>
  <c r="P7" i="32"/>
  <c r="P8" i="32"/>
  <c r="P9" i="32"/>
  <c r="P10" i="32"/>
  <c r="P11" i="32"/>
  <c r="P12" i="32"/>
  <c r="P13" i="32"/>
  <c r="P14" i="32"/>
  <c r="P15" i="32"/>
  <c r="P16" i="32"/>
  <c r="P17" i="32"/>
  <c r="P18" i="32"/>
  <c r="P19" i="32"/>
  <c r="P20" i="32"/>
  <c r="P21" i="32"/>
  <c r="P22" i="32"/>
  <c r="P23" i="32"/>
  <c r="P24" i="32"/>
  <c r="P25" i="32"/>
  <c r="P26" i="32"/>
  <c r="P27" i="32"/>
  <c r="P28" i="32"/>
  <c r="P29" i="32"/>
  <c r="P30" i="32"/>
  <c r="P31" i="32"/>
  <c r="P32" i="32"/>
  <c r="P33" i="32"/>
  <c r="P34" i="32"/>
  <c r="P35" i="32"/>
  <c r="P36" i="32"/>
  <c r="P37" i="32"/>
  <c r="P38" i="32"/>
  <c r="P39" i="32"/>
  <c r="P40" i="32"/>
  <c r="P41" i="32"/>
  <c r="P42" i="32"/>
  <c r="P43" i="32"/>
  <c r="P44" i="32"/>
  <c r="P45" i="32"/>
  <c r="P46" i="32"/>
  <c r="P47" i="32"/>
  <c r="P48" i="32"/>
  <c r="P49" i="32"/>
  <c r="P50" i="32"/>
  <c r="P51" i="32"/>
  <c r="P52" i="32"/>
  <c r="P53" i="32"/>
  <c r="P54" i="32"/>
  <c r="P55" i="32"/>
  <c r="P56" i="32"/>
  <c r="P57" i="32"/>
  <c r="P58" i="32"/>
  <c r="P59" i="32"/>
  <c r="P60" i="32"/>
  <c r="P61" i="32"/>
  <c r="P62" i="32"/>
  <c r="P63" i="32"/>
  <c r="P64" i="32"/>
  <c r="P65" i="32"/>
  <c r="P66" i="32"/>
  <c r="P67" i="32"/>
  <c r="P68" i="32"/>
  <c r="P69" i="32"/>
  <c r="P70" i="32"/>
  <c r="P71" i="32"/>
  <c r="P72" i="32"/>
  <c r="P73" i="32"/>
  <c r="P74" i="32"/>
  <c r="P75" i="32"/>
  <c r="P76" i="32"/>
  <c r="P77" i="32"/>
  <c r="P78" i="32"/>
  <c r="P79" i="32"/>
  <c r="P80" i="32"/>
  <c r="P81" i="32"/>
  <c r="P82" i="32"/>
  <c r="P83" i="32"/>
  <c r="P84" i="32"/>
  <c r="P85" i="32"/>
  <c r="P86" i="32"/>
  <c r="P87" i="32"/>
  <c r="P88" i="32"/>
  <c r="P89" i="32"/>
  <c r="P90" i="32"/>
  <c r="P91" i="32"/>
  <c r="P92" i="32"/>
  <c r="P93" i="32"/>
  <c r="P94" i="32"/>
  <c r="P95" i="32"/>
  <c r="P96" i="32"/>
  <c r="P97" i="32"/>
  <c r="P98" i="32"/>
  <c r="P99" i="32"/>
  <c r="P100" i="32"/>
  <c r="P101" i="32"/>
  <c r="P102" i="32"/>
  <c r="P103" i="32"/>
  <c r="P104" i="32"/>
  <c r="P105" i="32"/>
  <c r="P106" i="32"/>
  <c r="P107" i="32"/>
  <c r="P108" i="32"/>
  <c r="P109" i="32"/>
  <c r="P110" i="32"/>
  <c r="P111" i="32"/>
  <c r="P112" i="32"/>
  <c r="P113" i="32"/>
  <c r="P114" i="32"/>
  <c r="P115" i="32"/>
  <c r="P116" i="32"/>
  <c r="P117" i="32"/>
  <c r="P118" i="32"/>
  <c r="P119" i="32"/>
  <c r="P120" i="32"/>
  <c r="P121" i="32"/>
  <c r="P122" i="32"/>
  <c r="P123" i="32"/>
  <c r="P124" i="32"/>
  <c r="P125" i="32"/>
  <c r="P126" i="32"/>
  <c r="P127" i="32"/>
  <c r="P128" i="32"/>
  <c r="P129" i="32"/>
  <c r="P130" i="32"/>
  <c r="P131" i="32"/>
  <c r="P132" i="32"/>
  <c r="P133" i="32"/>
  <c r="P134" i="32"/>
  <c r="P135" i="32"/>
  <c r="P136" i="32"/>
  <c r="P137" i="32"/>
  <c r="P138" i="32"/>
  <c r="P139" i="32"/>
  <c r="P140" i="32"/>
  <c r="P141" i="32"/>
  <c r="P142" i="32"/>
  <c r="P143" i="32"/>
  <c r="P144" i="32"/>
  <c r="P145" i="32"/>
  <c r="P146" i="32"/>
  <c r="P147" i="32"/>
  <c r="P148" i="32"/>
  <c r="P149" i="32"/>
  <c r="P150" i="32"/>
  <c r="P151" i="32"/>
  <c r="P152" i="32"/>
  <c r="P153" i="32"/>
  <c r="P154" i="32"/>
  <c r="P155" i="32"/>
  <c r="P156" i="32"/>
  <c r="P157" i="32"/>
  <c r="P158" i="32"/>
  <c r="P159" i="32"/>
  <c r="P160" i="32"/>
  <c r="P161" i="32"/>
  <c r="P162" i="32"/>
  <c r="P163" i="32"/>
  <c r="P164" i="32"/>
  <c r="P165" i="32"/>
  <c r="P166" i="32"/>
  <c r="P167" i="32"/>
  <c r="P168" i="32"/>
  <c r="P169" i="32"/>
  <c r="P170" i="32"/>
  <c r="P171" i="32"/>
  <c r="P172" i="32"/>
  <c r="P173" i="32"/>
  <c r="P174" i="32"/>
  <c r="P175" i="32"/>
  <c r="P176" i="32"/>
  <c r="P177" i="32"/>
  <c r="P178" i="32"/>
  <c r="P179" i="32"/>
  <c r="P180" i="32"/>
  <c r="O7" i="32"/>
  <c r="O8" i="32"/>
  <c r="O9" i="32"/>
  <c r="O10" i="32"/>
  <c r="O11" i="32"/>
  <c r="O12" i="32"/>
  <c r="O13" i="32"/>
  <c r="O14" i="32"/>
  <c r="O15" i="32"/>
  <c r="O16" i="32"/>
  <c r="O17" i="32"/>
  <c r="O18" i="32"/>
  <c r="O19" i="32"/>
  <c r="O20" i="32"/>
  <c r="O21" i="32"/>
  <c r="O22" i="32"/>
  <c r="O23" i="32"/>
  <c r="O24" i="32"/>
  <c r="O25" i="32"/>
  <c r="O26" i="32"/>
  <c r="O27" i="32"/>
  <c r="O28" i="32"/>
  <c r="O29" i="32"/>
  <c r="O30" i="32"/>
  <c r="O31" i="32"/>
  <c r="O32" i="32"/>
  <c r="O33" i="32"/>
  <c r="O34" i="32"/>
  <c r="O35" i="32"/>
  <c r="O36" i="32"/>
  <c r="O37" i="32"/>
  <c r="O38" i="32"/>
  <c r="O39" i="32"/>
  <c r="O40" i="32"/>
  <c r="O41" i="32"/>
  <c r="O42" i="32"/>
  <c r="O43" i="32"/>
  <c r="O44" i="32"/>
  <c r="O45" i="32"/>
  <c r="O46" i="32"/>
  <c r="O47" i="32"/>
  <c r="O48" i="32"/>
  <c r="O49" i="32"/>
  <c r="O50" i="32"/>
  <c r="O51" i="32"/>
  <c r="O52" i="32"/>
  <c r="O53" i="32"/>
  <c r="O54" i="32"/>
  <c r="O55" i="32"/>
  <c r="O56" i="32"/>
  <c r="O57" i="32"/>
  <c r="O58" i="32"/>
  <c r="O59" i="32"/>
  <c r="O60" i="32"/>
  <c r="O61" i="32"/>
  <c r="O62" i="32"/>
  <c r="O63" i="32"/>
  <c r="O64" i="32"/>
  <c r="O65" i="32"/>
  <c r="O66" i="32"/>
  <c r="O67" i="32"/>
  <c r="O68" i="32"/>
  <c r="O69" i="32"/>
  <c r="O70" i="32"/>
  <c r="O71" i="32"/>
  <c r="O72" i="32"/>
  <c r="O73" i="32"/>
  <c r="O74" i="32"/>
  <c r="O75" i="32"/>
  <c r="O76" i="32"/>
  <c r="O77" i="32"/>
  <c r="O78" i="32"/>
  <c r="O79" i="32"/>
  <c r="O80" i="32"/>
  <c r="O81" i="32"/>
  <c r="O82" i="32"/>
  <c r="O83" i="32"/>
  <c r="O84" i="32"/>
  <c r="O85" i="32"/>
  <c r="O86" i="32"/>
  <c r="O87" i="32"/>
  <c r="O88" i="32"/>
  <c r="O89" i="32"/>
  <c r="O90" i="32"/>
  <c r="O91" i="32"/>
  <c r="O92" i="32"/>
  <c r="O93" i="32"/>
  <c r="O94" i="32"/>
  <c r="O95" i="32"/>
  <c r="O96" i="32"/>
  <c r="O97" i="32"/>
  <c r="O98" i="32"/>
  <c r="O99" i="32"/>
  <c r="O100" i="32"/>
  <c r="O101" i="32"/>
  <c r="O102" i="32"/>
  <c r="O103" i="32"/>
  <c r="O104" i="32"/>
  <c r="O105" i="32"/>
  <c r="O106" i="32"/>
  <c r="O107" i="32"/>
  <c r="O108" i="32"/>
  <c r="O109" i="32"/>
  <c r="O110" i="32"/>
  <c r="O111" i="32"/>
  <c r="O112" i="32"/>
  <c r="O113" i="32"/>
  <c r="O114" i="32"/>
  <c r="O115" i="32"/>
  <c r="O116" i="32"/>
  <c r="O117" i="32"/>
  <c r="O118" i="32"/>
  <c r="O119" i="32"/>
  <c r="O120" i="32"/>
  <c r="O121" i="32"/>
  <c r="O122" i="32"/>
  <c r="O123" i="32"/>
  <c r="O124" i="32"/>
  <c r="O125" i="32"/>
  <c r="O126" i="32"/>
  <c r="O127" i="32"/>
  <c r="O128" i="32"/>
  <c r="O129" i="32"/>
  <c r="O130" i="32"/>
  <c r="O131" i="32"/>
  <c r="O132" i="32"/>
  <c r="O133" i="32"/>
  <c r="O134" i="32"/>
  <c r="O135" i="32"/>
  <c r="O136" i="32"/>
  <c r="O137" i="32"/>
  <c r="O138" i="32"/>
  <c r="O139" i="32"/>
  <c r="O140" i="32"/>
  <c r="O141" i="32"/>
  <c r="O142" i="32"/>
  <c r="O143" i="32"/>
  <c r="O144" i="32"/>
  <c r="O145" i="32"/>
  <c r="O146" i="32"/>
  <c r="O147" i="32"/>
  <c r="O148" i="32"/>
  <c r="O149" i="32"/>
  <c r="O150" i="32"/>
  <c r="O151" i="32"/>
  <c r="O152" i="32"/>
  <c r="O153" i="32"/>
  <c r="O154" i="32"/>
  <c r="O155" i="32"/>
  <c r="O156" i="32"/>
  <c r="O157" i="32"/>
  <c r="O158" i="32"/>
  <c r="O159" i="32"/>
  <c r="O160" i="32"/>
  <c r="O161" i="32"/>
  <c r="O162" i="32"/>
  <c r="O163" i="32"/>
  <c r="O164" i="32"/>
  <c r="O165" i="32"/>
  <c r="O166" i="32"/>
  <c r="O167" i="32"/>
  <c r="O168" i="32"/>
  <c r="O169" i="32"/>
  <c r="O170" i="32"/>
  <c r="O171" i="32"/>
  <c r="O172" i="32"/>
  <c r="O173" i="32"/>
  <c r="O174" i="32"/>
  <c r="O175" i="32"/>
  <c r="O176" i="32"/>
  <c r="O177" i="32"/>
  <c r="O178" i="32"/>
  <c r="O179" i="32"/>
  <c r="O180" i="32"/>
  <c r="L8" i="32"/>
  <c r="L9" i="32" s="1"/>
  <c r="L10" i="32" s="1"/>
  <c r="L11" i="32" s="1"/>
  <c r="L12" i="32" s="1"/>
  <c r="L13" i="32" s="1"/>
  <c r="L14" i="32" s="1"/>
  <c r="L15" i="32" s="1"/>
  <c r="L16" i="32" s="1"/>
  <c r="L17" i="32" s="1"/>
  <c r="L18" i="32" s="1"/>
  <c r="L19" i="32" s="1"/>
  <c r="L20" i="32" s="1"/>
  <c r="L21" i="32" s="1"/>
  <c r="L22" i="32" s="1"/>
  <c r="L23" i="32" s="1"/>
  <c r="L24" i="32" s="1"/>
  <c r="L25" i="32" s="1"/>
  <c r="L26" i="32" s="1"/>
  <c r="L27" i="32" s="1"/>
  <c r="L28" i="32" s="1"/>
  <c r="L29" i="32" s="1"/>
  <c r="L30" i="32" s="1"/>
  <c r="L31" i="32" s="1"/>
  <c r="L32" i="32" s="1"/>
  <c r="L33" i="32" s="1"/>
  <c r="L34" i="32" s="1"/>
  <c r="L35" i="32" s="1"/>
  <c r="L36" i="32" s="1"/>
  <c r="L37" i="32" s="1"/>
  <c r="L38" i="32" s="1"/>
  <c r="L39" i="32" s="1"/>
  <c r="L40" i="32" s="1"/>
  <c r="L41" i="32" s="1"/>
  <c r="L42" i="32" s="1"/>
  <c r="L43" i="32" s="1"/>
  <c r="L44" i="32" s="1"/>
  <c r="L45" i="32" s="1"/>
  <c r="L46" i="32" s="1"/>
  <c r="L47" i="32" s="1"/>
  <c r="L48" i="32" s="1"/>
  <c r="L49" i="32" s="1"/>
  <c r="L50" i="32" s="1"/>
  <c r="L51" i="32" s="1"/>
  <c r="L52" i="32" s="1"/>
  <c r="L53" i="32" s="1"/>
  <c r="L54" i="32" s="1"/>
  <c r="L55" i="32" s="1"/>
  <c r="L56" i="32" s="1"/>
  <c r="L57" i="32" s="1"/>
  <c r="L58" i="32" s="1"/>
  <c r="L59" i="32" s="1"/>
  <c r="L60" i="32" s="1"/>
  <c r="L61" i="32" s="1"/>
  <c r="L62" i="32" s="1"/>
  <c r="L63" i="32" s="1"/>
  <c r="L64" i="32" s="1"/>
  <c r="L65" i="32" s="1"/>
  <c r="L66" i="32" s="1"/>
  <c r="L67" i="32" s="1"/>
  <c r="L68" i="32" s="1"/>
  <c r="L69" i="32" s="1"/>
  <c r="L70" i="32" s="1"/>
  <c r="M9" i="32"/>
  <c r="M10" i="32" s="1"/>
  <c r="M11" i="32" s="1"/>
  <c r="M12" i="32" s="1"/>
  <c r="M13" i="32" s="1"/>
  <c r="M14" i="32" s="1"/>
  <c r="M15" i="32" s="1"/>
  <c r="M16" i="32" s="1"/>
  <c r="M17" i="32" s="1"/>
  <c r="M18" i="32" s="1"/>
  <c r="M19" i="32" s="1"/>
  <c r="M20" i="32" s="1"/>
  <c r="M21" i="32" s="1"/>
  <c r="M22" i="32" s="1"/>
  <c r="M23" i="32" s="1"/>
  <c r="M24" i="32" s="1"/>
  <c r="M25" i="32" s="1"/>
  <c r="M26" i="32" s="1"/>
  <c r="M27" i="32" s="1"/>
  <c r="M28" i="32" s="1"/>
  <c r="M29" i="32" s="1"/>
  <c r="M30" i="32" s="1"/>
  <c r="M31" i="32" s="1"/>
  <c r="M32" i="32" s="1"/>
  <c r="M33" i="32" s="1"/>
  <c r="M34" i="32" s="1"/>
  <c r="M35" i="32" s="1"/>
  <c r="M36" i="32" s="1"/>
  <c r="M37" i="32" s="1"/>
  <c r="M38" i="32" s="1"/>
  <c r="M39" i="32" s="1"/>
  <c r="M40" i="32" s="1"/>
  <c r="M41" i="32" s="1"/>
  <c r="M42" i="32" s="1"/>
  <c r="M43" i="32" s="1"/>
  <c r="M44" i="32" s="1"/>
  <c r="M45" i="32" s="1"/>
  <c r="M46" i="32" s="1"/>
  <c r="M47" i="32" s="1"/>
  <c r="M48" i="32" s="1"/>
  <c r="M49" i="32" s="1"/>
  <c r="M50" i="32" s="1"/>
  <c r="M51" i="32" s="1"/>
  <c r="M52" i="32" s="1"/>
  <c r="M53" i="32" s="1"/>
  <c r="M54" i="32" s="1"/>
  <c r="M55" i="32" s="1"/>
  <c r="M56" i="32" s="1"/>
  <c r="M57" i="32" s="1"/>
  <c r="M58" i="32" s="1"/>
  <c r="M59" i="32" s="1"/>
  <c r="M60" i="32" s="1"/>
  <c r="M61" i="32" s="1"/>
  <c r="M62" i="32" s="1"/>
  <c r="M63" i="32" s="1"/>
  <c r="M64" i="32" s="1"/>
  <c r="M65" i="32" s="1"/>
  <c r="M66" i="32" s="1"/>
  <c r="M67" i="32" s="1"/>
  <c r="M68" i="32" s="1"/>
  <c r="M69" i="32" s="1"/>
  <c r="M70" i="32" s="1"/>
  <c r="N10" i="32"/>
  <c r="N11" i="32" s="1"/>
  <c r="N12" i="32" s="1"/>
  <c r="N13" i="32" s="1"/>
  <c r="N14" i="32" s="1"/>
  <c r="N15" i="32" s="1"/>
  <c r="N16" i="32" s="1"/>
  <c r="N17" i="32" s="1"/>
  <c r="N18" i="32" s="1"/>
  <c r="N19" i="32" s="1"/>
  <c r="N20" i="32" s="1"/>
  <c r="N21" i="32" s="1"/>
  <c r="N22" i="32" s="1"/>
  <c r="N23" i="32" s="1"/>
  <c r="N24" i="32" s="1"/>
  <c r="N25" i="32" s="1"/>
  <c r="N26" i="32" s="1"/>
  <c r="N27" i="32" s="1"/>
  <c r="N28" i="32" s="1"/>
  <c r="N29" i="32" s="1"/>
  <c r="N30" i="32" s="1"/>
  <c r="N31" i="32" s="1"/>
  <c r="N32" i="32" s="1"/>
  <c r="N33" i="32"/>
  <c r="N34" i="32" s="1"/>
  <c r="N35" i="32" s="1"/>
  <c r="N36" i="32" s="1"/>
  <c r="N37" i="32" s="1"/>
  <c r="N38" i="32" s="1"/>
  <c r="N39" i="32" s="1"/>
  <c r="N40" i="32" s="1"/>
  <c r="N41" i="32" s="1"/>
  <c r="N42" i="32" s="1"/>
  <c r="N43" i="32" s="1"/>
  <c r="N44" i="32" s="1"/>
  <c r="N45" i="32" s="1"/>
  <c r="N46" i="32" s="1"/>
  <c r="N47" i="32" s="1"/>
  <c r="N48" i="32" s="1"/>
  <c r="N49" i="32" s="1"/>
  <c r="N50" i="32" s="1"/>
  <c r="N51" i="32" s="1"/>
  <c r="N52" i="32" s="1"/>
  <c r="N53" i="32" s="1"/>
  <c r="N54" i="32" s="1"/>
  <c r="N55" i="32" s="1"/>
  <c r="N56" i="32" s="1"/>
  <c r="N57" i="32" s="1"/>
  <c r="N58" i="32" s="1"/>
  <c r="N59" i="32" s="1"/>
  <c r="N60" i="32" s="1"/>
  <c r="N61" i="32" s="1"/>
  <c r="N62" i="32" s="1"/>
  <c r="N63" i="32" s="1"/>
  <c r="N64" i="32" s="1"/>
  <c r="N65" i="32" s="1"/>
  <c r="N66" i="32" s="1"/>
  <c r="N67" i="32" s="1"/>
  <c r="N68" i="32" s="1"/>
  <c r="N69" i="32" s="1"/>
  <c r="N70" i="32" s="1"/>
  <c r="N71" i="32" s="1"/>
  <c r="N72" i="32" s="1"/>
  <c r="N73" i="32" s="1"/>
  <c r="N74" i="32" s="1"/>
  <c r="N75" i="32" s="1"/>
  <c r="N76" i="32" s="1"/>
  <c r="N77" i="32" s="1"/>
  <c r="N78" i="32" s="1"/>
  <c r="N79" i="32" s="1"/>
  <c r="N80" i="32" s="1"/>
  <c r="N81" i="32" s="1"/>
  <c r="N82" i="32" s="1"/>
  <c r="N83" i="32" s="1"/>
  <c r="N84" i="32" s="1"/>
  <c r="N85" i="32" s="1"/>
  <c r="N86" i="32" s="1"/>
  <c r="N87" i="32" s="1"/>
  <c r="N88" i="32" s="1"/>
  <c r="N89" i="32" s="1"/>
  <c r="N90" i="32" s="1"/>
  <c r="N91" i="32" s="1"/>
  <c r="N92" i="32" s="1"/>
  <c r="N93" i="32" s="1"/>
  <c r="N94" i="32" s="1"/>
  <c r="N95" i="32" s="1"/>
  <c r="N96" i="32" s="1"/>
  <c r="N97" i="32" s="1"/>
  <c r="N98" i="32" s="1"/>
  <c r="N99" i="32" s="1"/>
  <c r="N100" i="32" s="1"/>
  <c r="N101" i="32" s="1"/>
  <c r="N102" i="32" s="1"/>
  <c r="N103" i="32" s="1"/>
  <c r="N104" i="32" s="1"/>
  <c r="N105" i="32" s="1"/>
  <c r="N106" i="32" s="1"/>
  <c r="N107" i="32" s="1"/>
  <c r="N108" i="32" s="1"/>
  <c r="N109" i="32" s="1"/>
  <c r="N110" i="32" s="1"/>
  <c r="N111" i="32" s="1"/>
  <c r="N112" i="32" s="1"/>
  <c r="N113" i="32" s="1"/>
  <c r="N114" i="32" s="1"/>
  <c r="N115" i="32" s="1"/>
  <c r="N116" i="32" s="1"/>
  <c r="N117" i="32" s="1"/>
  <c r="N118" i="32" s="1"/>
  <c r="N119" i="32" s="1"/>
  <c r="N120" i="32" s="1"/>
  <c r="N121" i="32" s="1"/>
  <c r="N122" i="32" s="1"/>
  <c r="N123" i="32" s="1"/>
  <c r="N124" i="32" s="1"/>
  <c r="N125" i="32" s="1"/>
  <c r="N126" i="32" s="1"/>
  <c r="N127" i="32" s="1"/>
  <c r="N128" i="32" s="1"/>
  <c r="N129" i="32" s="1"/>
  <c r="N130" i="32" s="1"/>
  <c r="N131" i="32" s="1"/>
  <c r="N132" i="32" s="1"/>
  <c r="N133" i="32" s="1"/>
  <c r="N134" i="32" s="1"/>
  <c r="N135" i="32" s="1"/>
  <c r="N136" i="32" s="1"/>
  <c r="N137" i="32" s="1"/>
  <c r="N138" i="32" s="1"/>
  <c r="N139" i="32" s="1"/>
  <c r="N140" i="32" s="1"/>
  <c r="N141" i="32" s="1"/>
  <c r="N142" i="32" s="1"/>
  <c r="N143" i="32" s="1"/>
  <c r="N144" i="32" s="1"/>
  <c r="N145" i="32" s="1"/>
  <c r="N146" i="32" s="1"/>
  <c r="N147" i="32" s="1"/>
  <c r="N148" i="32" s="1"/>
  <c r="N149" i="32" s="1"/>
  <c r="N150" i="32" s="1"/>
  <c r="N151" i="32" s="1"/>
  <c r="N152" i="32" s="1"/>
  <c r="N153" i="32" s="1"/>
  <c r="N154" i="32" s="1"/>
  <c r="N155" i="32" s="1"/>
  <c r="N156" i="32" s="1"/>
  <c r="N157" i="32" s="1"/>
  <c r="N158" i="32" s="1"/>
  <c r="N159" i="32" s="1"/>
  <c r="N160" i="32" s="1"/>
  <c r="N161" i="32" s="1"/>
  <c r="N162" i="32" s="1"/>
  <c r="N163" i="32" s="1"/>
  <c r="N164" i="32" s="1"/>
  <c r="N165" i="32" s="1"/>
  <c r="N166" i="32" s="1"/>
  <c r="N167" i="32" s="1"/>
  <c r="N168" i="32" s="1"/>
  <c r="N169" i="32" s="1"/>
  <c r="N170" i="32" s="1"/>
  <c r="N171" i="32" s="1"/>
  <c r="N172" i="32" s="1"/>
  <c r="N173" i="32" s="1"/>
  <c r="N174" i="32" s="1"/>
  <c r="N175" i="32" s="1"/>
  <c r="N176" i="32" s="1"/>
  <c r="N177" i="32" s="1"/>
  <c r="N178" i="32" s="1"/>
  <c r="N179" i="32" s="1"/>
  <c r="N180" i="32" s="1"/>
  <c r="N7" i="32"/>
  <c r="N8" i="32" s="1"/>
  <c r="N9" i="32" s="1"/>
  <c r="L7" i="32" l="1"/>
  <c r="O330" i="34"/>
  <c r="N330" i="34"/>
  <c r="O329" i="34"/>
  <c r="N329" i="34"/>
  <c r="O328" i="34"/>
  <c r="N328" i="34"/>
  <c r="O327" i="34"/>
  <c r="N327" i="34"/>
  <c r="O326" i="34"/>
  <c r="N326" i="34"/>
  <c r="O325" i="34"/>
  <c r="N325" i="34"/>
  <c r="O324" i="34"/>
  <c r="N324" i="34"/>
  <c r="O323" i="34"/>
  <c r="N323" i="34"/>
  <c r="O322" i="34"/>
  <c r="N322" i="34"/>
  <c r="O321" i="34"/>
  <c r="N321" i="34"/>
  <c r="O320" i="34"/>
  <c r="N320" i="34"/>
  <c r="O319" i="34"/>
  <c r="N319" i="34"/>
  <c r="O318" i="34"/>
  <c r="N318" i="34"/>
  <c r="O317" i="34"/>
  <c r="N317" i="34"/>
  <c r="O316" i="34"/>
  <c r="N316" i="34"/>
  <c r="O315" i="34"/>
  <c r="N315" i="34"/>
  <c r="O314" i="34"/>
  <c r="N314" i="34"/>
  <c r="O313" i="34"/>
  <c r="N313" i="34"/>
  <c r="O312" i="34"/>
  <c r="N312" i="34"/>
  <c r="O311" i="34"/>
  <c r="N311" i="34"/>
  <c r="O310" i="34"/>
  <c r="N310" i="34"/>
  <c r="O309" i="34"/>
  <c r="N309" i="34"/>
  <c r="O308" i="34"/>
  <c r="N308" i="34"/>
  <c r="O307" i="34"/>
  <c r="N307" i="34"/>
  <c r="O306" i="34"/>
  <c r="N306" i="34"/>
  <c r="O305" i="34"/>
  <c r="N305" i="34"/>
  <c r="O304" i="34"/>
  <c r="N304" i="34"/>
  <c r="O303" i="34"/>
  <c r="N303" i="34"/>
  <c r="O302" i="34"/>
  <c r="N302" i="34"/>
  <c r="O301" i="34"/>
  <c r="N301" i="34"/>
  <c r="O300" i="34"/>
  <c r="N300" i="34"/>
  <c r="O299" i="34"/>
  <c r="N299" i="34"/>
  <c r="O298" i="34"/>
  <c r="N298" i="34"/>
  <c r="O297" i="34"/>
  <c r="N297" i="34"/>
  <c r="O296" i="34"/>
  <c r="N296" i="34"/>
  <c r="O295" i="34"/>
  <c r="N295" i="34"/>
  <c r="O294" i="34"/>
  <c r="N294" i="34"/>
  <c r="O293" i="34"/>
  <c r="N293" i="34"/>
  <c r="O292" i="34"/>
  <c r="N292" i="34"/>
  <c r="O291" i="34"/>
  <c r="N291" i="34"/>
  <c r="O290" i="34"/>
  <c r="N290" i="34"/>
  <c r="O289" i="34"/>
  <c r="N289" i="34"/>
  <c r="O288" i="34"/>
  <c r="N288" i="34"/>
  <c r="O287" i="34"/>
  <c r="N287" i="34"/>
  <c r="O286" i="34"/>
  <c r="N286" i="34"/>
  <c r="O285" i="34"/>
  <c r="N285" i="34"/>
  <c r="O284" i="34"/>
  <c r="N284" i="34"/>
  <c r="O283" i="34"/>
  <c r="N283" i="34"/>
  <c r="O282" i="34"/>
  <c r="N282" i="34"/>
  <c r="O281" i="34"/>
  <c r="N281" i="34"/>
  <c r="O280" i="34"/>
  <c r="N280" i="34"/>
  <c r="O279" i="34"/>
  <c r="N279" i="34"/>
  <c r="O278" i="34"/>
  <c r="N278" i="34"/>
  <c r="O277" i="34"/>
  <c r="N277" i="34"/>
  <c r="O276" i="34"/>
  <c r="N276" i="34"/>
  <c r="O275" i="34"/>
  <c r="N275" i="34"/>
  <c r="O274" i="34"/>
  <c r="N274" i="34"/>
  <c r="O273" i="34"/>
  <c r="N273" i="34"/>
  <c r="O272" i="34"/>
  <c r="N272" i="34"/>
  <c r="O271" i="34"/>
  <c r="N271" i="34"/>
  <c r="O270" i="34"/>
  <c r="N270" i="34"/>
  <c r="O269" i="34"/>
  <c r="N269" i="34"/>
  <c r="O268" i="34"/>
  <c r="N268" i="34"/>
  <c r="O267" i="34"/>
  <c r="N267" i="34"/>
  <c r="O266" i="34"/>
  <c r="N266" i="34"/>
  <c r="O265" i="34"/>
  <c r="N265" i="34"/>
  <c r="O264" i="34"/>
  <c r="N264" i="34"/>
  <c r="O263" i="34"/>
  <c r="N263" i="34"/>
  <c r="O262" i="34"/>
  <c r="N262" i="34"/>
  <c r="O261" i="34"/>
  <c r="N261" i="34"/>
  <c r="O260" i="34"/>
  <c r="N260" i="34"/>
  <c r="O259" i="34"/>
  <c r="N259" i="34"/>
  <c r="O258" i="34"/>
  <c r="N258" i="34"/>
  <c r="O257" i="34"/>
  <c r="N257" i="34"/>
  <c r="O256" i="34"/>
  <c r="N256" i="34"/>
  <c r="O255" i="34"/>
  <c r="N255" i="34"/>
  <c r="O254" i="34"/>
  <c r="N254" i="34"/>
  <c r="O253" i="34"/>
  <c r="N253" i="34"/>
  <c r="O252" i="34"/>
  <c r="N252" i="34"/>
  <c r="O251" i="34"/>
  <c r="N251" i="34"/>
  <c r="O250" i="34"/>
  <c r="N250" i="34"/>
  <c r="O249" i="34"/>
  <c r="N249" i="34"/>
  <c r="O248" i="34"/>
  <c r="N248" i="34"/>
  <c r="O247" i="34"/>
  <c r="N247" i="34"/>
  <c r="O246" i="34"/>
  <c r="N246" i="34"/>
  <c r="O245" i="34"/>
  <c r="N245" i="34"/>
  <c r="O244" i="34"/>
  <c r="N244" i="34"/>
  <c r="O243" i="34"/>
  <c r="N243" i="34"/>
  <c r="O242" i="34"/>
  <c r="N242" i="34"/>
  <c r="O241" i="34"/>
  <c r="N241" i="34"/>
  <c r="O240" i="34"/>
  <c r="N240" i="34"/>
  <c r="O239" i="34"/>
  <c r="N239" i="34"/>
  <c r="O238" i="34"/>
  <c r="N238" i="34"/>
  <c r="O237" i="34"/>
  <c r="N237" i="34"/>
  <c r="O236" i="34"/>
  <c r="N236" i="34"/>
  <c r="O235" i="34"/>
  <c r="N235" i="34"/>
  <c r="O234" i="34"/>
  <c r="N234" i="34"/>
  <c r="O233" i="34"/>
  <c r="N233" i="34"/>
  <c r="O232" i="34"/>
  <c r="N232" i="34"/>
  <c r="O231" i="34"/>
  <c r="N231" i="34"/>
  <c r="O230" i="34"/>
  <c r="N230" i="34"/>
  <c r="O229" i="34"/>
  <c r="N229" i="34"/>
  <c r="O228" i="34"/>
  <c r="N228" i="34"/>
  <c r="O227" i="34"/>
  <c r="N227" i="34"/>
  <c r="O226" i="34"/>
  <c r="N226" i="34"/>
  <c r="O225" i="34"/>
  <c r="N225" i="34"/>
  <c r="O224" i="34"/>
  <c r="N224" i="34"/>
  <c r="O223" i="34"/>
  <c r="N223" i="34"/>
  <c r="O222" i="34"/>
  <c r="N222" i="34"/>
  <c r="O221" i="34"/>
  <c r="N221" i="34"/>
  <c r="M221" i="34"/>
  <c r="M222" i="34" s="1"/>
  <c r="M223" i="34" s="1"/>
  <c r="M224" i="34" s="1"/>
  <c r="M225" i="34" s="1"/>
  <c r="M226" i="34" s="1"/>
  <c r="M227" i="34" s="1"/>
  <c r="M228" i="34" s="1"/>
  <c r="M229" i="34" s="1"/>
  <c r="M230" i="34" s="1"/>
  <c r="M231" i="34" s="1"/>
  <c r="M232" i="34" s="1"/>
  <c r="M233" i="34" s="1"/>
  <c r="M234" i="34" s="1"/>
  <c r="M235" i="34" s="1"/>
  <c r="M236" i="34" s="1"/>
  <c r="M237" i="34" s="1"/>
  <c r="M238" i="34" s="1"/>
  <c r="M239" i="34" s="1"/>
  <c r="M240" i="34" s="1"/>
  <c r="M241" i="34" s="1"/>
  <c r="M242" i="34" s="1"/>
  <c r="M243" i="34" s="1"/>
  <c r="M244" i="34" s="1"/>
  <c r="M245" i="34" s="1"/>
  <c r="M246" i="34" s="1"/>
  <c r="M247" i="34" s="1"/>
  <c r="M248" i="34" s="1"/>
  <c r="M249" i="34" s="1"/>
  <c r="M250" i="34" s="1"/>
  <c r="M251" i="34" s="1"/>
  <c r="M252" i="34" s="1"/>
  <c r="M253" i="34" s="1"/>
  <c r="M254" i="34" s="1"/>
  <c r="M255" i="34" s="1"/>
  <c r="M256" i="34" s="1"/>
  <c r="M257" i="34" s="1"/>
  <c r="M258" i="34" s="1"/>
  <c r="M259" i="34" s="1"/>
  <c r="M260" i="34" s="1"/>
  <c r="M261" i="34" s="1"/>
  <c r="M262" i="34" s="1"/>
  <c r="M263" i="34" s="1"/>
  <c r="M264" i="34" s="1"/>
  <c r="M265" i="34" s="1"/>
  <c r="M266" i="34" s="1"/>
  <c r="M267" i="34" s="1"/>
  <c r="M268" i="34" s="1"/>
  <c r="M269" i="34" s="1"/>
  <c r="M270" i="34" s="1"/>
  <c r="M271" i="34" s="1"/>
  <c r="M272" i="34" s="1"/>
  <c r="M273" i="34" s="1"/>
  <c r="M274" i="34" s="1"/>
  <c r="M275" i="34" s="1"/>
  <c r="M276" i="34" s="1"/>
  <c r="M277" i="34" s="1"/>
  <c r="M278" i="34" s="1"/>
  <c r="M279" i="34" s="1"/>
  <c r="M280" i="34" s="1"/>
  <c r="M281" i="34" s="1"/>
  <c r="M282" i="34" s="1"/>
  <c r="M283" i="34" s="1"/>
  <c r="M284" i="34" s="1"/>
  <c r="M285" i="34" s="1"/>
  <c r="M286" i="34" s="1"/>
  <c r="M287" i="34" s="1"/>
  <c r="M288" i="34" s="1"/>
  <c r="M289" i="34" s="1"/>
  <c r="M290" i="34" s="1"/>
  <c r="M291" i="34" s="1"/>
  <c r="M292" i="34" s="1"/>
  <c r="M293" i="34" s="1"/>
  <c r="M294" i="34" s="1"/>
  <c r="M295" i="34" s="1"/>
  <c r="M296" i="34" s="1"/>
  <c r="M297" i="34" s="1"/>
  <c r="M298" i="34" s="1"/>
  <c r="M299" i="34" s="1"/>
  <c r="M300" i="34" s="1"/>
  <c r="M301" i="34" s="1"/>
  <c r="M302" i="34" s="1"/>
  <c r="M303" i="34" s="1"/>
  <c r="M304" i="34" s="1"/>
  <c r="M305" i="34" s="1"/>
  <c r="M306" i="34" s="1"/>
  <c r="M307" i="34" s="1"/>
  <c r="M308" i="34" s="1"/>
  <c r="M309" i="34" s="1"/>
  <c r="M310" i="34" s="1"/>
  <c r="M311" i="34" s="1"/>
  <c r="M312" i="34" s="1"/>
  <c r="M313" i="34" s="1"/>
  <c r="M314" i="34" s="1"/>
  <c r="M315" i="34" s="1"/>
  <c r="M316" i="34" s="1"/>
  <c r="M317" i="34" s="1"/>
  <c r="M318" i="34" s="1"/>
  <c r="M319" i="34" s="1"/>
  <c r="M320" i="34" s="1"/>
  <c r="M321" i="34" s="1"/>
  <c r="M322" i="34" s="1"/>
  <c r="M323" i="34" s="1"/>
  <c r="M324" i="34" s="1"/>
  <c r="M325" i="34" s="1"/>
  <c r="M326" i="34" s="1"/>
  <c r="M327" i="34" s="1"/>
  <c r="M328" i="34" s="1"/>
  <c r="M329" i="34" s="1"/>
  <c r="M330" i="34" s="1"/>
  <c r="O220" i="34"/>
  <c r="N220" i="34"/>
  <c r="L220" i="34"/>
  <c r="L221" i="34" s="1"/>
  <c r="L222" i="34" s="1"/>
  <c r="L223" i="34" s="1"/>
  <c r="L224" i="34" s="1"/>
  <c r="L225" i="34" s="1"/>
  <c r="L226" i="34" s="1"/>
  <c r="L227" i="34" s="1"/>
  <c r="L228" i="34" s="1"/>
  <c r="L229" i="34" s="1"/>
  <c r="L230" i="34" s="1"/>
  <c r="L231" i="34" s="1"/>
  <c r="L232" i="34" s="1"/>
  <c r="L233" i="34" s="1"/>
  <c r="L234" i="34" s="1"/>
  <c r="L235" i="34" s="1"/>
  <c r="L236" i="34" s="1"/>
  <c r="L237" i="34" s="1"/>
  <c r="L238" i="34" s="1"/>
  <c r="L239" i="34" s="1"/>
  <c r="L240" i="34" s="1"/>
  <c r="L241" i="34" s="1"/>
  <c r="L242" i="34" s="1"/>
  <c r="L243" i="34" s="1"/>
  <c r="L244" i="34" s="1"/>
  <c r="L245" i="34" s="1"/>
  <c r="L246" i="34" s="1"/>
  <c r="L247" i="34" s="1"/>
  <c r="L248" i="34" s="1"/>
  <c r="L249" i="34" s="1"/>
  <c r="L250" i="34" s="1"/>
  <c r="L251" i="34" s="1"/>
  <c r="L252" i="34" s="1"/>
  <c r="L253" i="34" s="1"/>
  <c r="L254" i="34" s="1"/>
  <c r="L255" i="34" s="1"/>
  <c r="L256" i="34" s="1"/>
  <c r="L257" i="34" s="1"/>
  <c r="L258" i="34" s="1"/>
  <c r="L259" i="34" s="1"/>
  <c r="L260" i="34" s="1"/>
  <c r="L261" i="34" s="1"/>
  <c r="L262" i="34" s="1"/>
  <c r="L263" i="34" s="1"/>
  <c r="L264" i="34" s="1"/>
  <c r="L265" i="34" s="1"/>
  <c r="L266" i="34" s="1"/>
  <c r="L267" i="34" s="1"/>
  <c r="L268" i="34" s="1"/>
  <c r="L269" i="34" s="1"/>
  <c r="L270" i="34" s="1"/>
  <c r="L271" i="34" s="1"/>
  <c r="L272" i="34" s="1"/>
  <c r="L273" i="34" s="1"/>
  <c r="L274" i="34" s="1"/>
  <c r="L275" i="34" s="1"/>
  <c r="L276" i="34" s="1"/>
  <c r="L277" i="34" s="1"/>
  <c r="L278" i="34" s="1"/>
  <c r="L279" i="34" s="1"/>
  <c r="L280" i="34" s="1"/>
  <c r="L281" i="34" s="1"/>
  <c r="L282" i="34" s="1"/>
  <c r="L283" i="34" s="1"/>
  <c r="L284" i="34" s="1"/>
  <c r="L285" i="34" s="1"/>
  <c r="L286" i="34" s="1"/>
  <c r="L287" i="34" s="1"/>
  <c r="L288" i="34" s="1"/>
  <c r="L289" i="34" s="1"/>
  <c r="L290" i="34" s="1"/>
  <c r="L291" i="34" s="1"/>
  <c r="L292" i="34" s="1"/>
  <c r="L293" i="34" s="1"/>
  <c r="L294" i="34" s="1"/>
  <c r="L295" i="34" s="1"/>
  <c r="L296" i="34" s="1"/>
  <c r="L297" i="34" s="1"/>
  <c r="L298" i="34" s="1"/>
  <c r="L299" i="34" s="1"/>
  <c r="L300" i="34" s="1"/>
  <c r="L301" i="34" s="1"/>
  <c r="L302" i="34" s="1"/>
  <c r="L303" i="34" s="1"/>
  <c r="L304" i="34" s="1"/>
  <c r="L305" i="34" s="1"/>
  <c r="L306" i="34" s="1"/>
  <c r="L307" i="34" s="1"/>
  <c r="L308" i="34" s="1"/>
  <c r="L309" i="34" s="1"/>
  <c r="L310" i="34" s="1"/>
  <c r="L311" i="34" s="1"/>
  <c r="L312" i="34" s="1"/>
  <c r="L313" i="34" s="1"/>
  <c r="L314" i="34" s="1"/>
  <c r="L315" i="34" s="1"/>
  <c r="L316" i="34" s="1"/>
  <c r="L317" i="34" s="1"/>
  <c r="L318" i="34" s="1"/>
  <c r="L319" i="34" s="1"/>
  <c r="L320" i="34" s="1"/>
  <c r="L321" i="34" s="1"/>
  <c r="L322" i="34" s="1"/>
  <c r="L323" i="34" s="1"/>
  <c r="L324" i="34" s="1"/>
  <c r="L325" i="34" s="1"/>
  <c r="L326" i="34" s="1"/>
  <c r="L327" i="34" s="1"/>
  <c r="L328" i="34" s="1"/>
  <c r="L329" i="34" s="1"/>
  <c r="L330" i="34" s="1"/>
  <c r="O219" i="34"/>
  <c r="N219" i="34"/>
  <c r="O218" i="34"/>
  <c r="N218" i="34"/>
  <c r="O217" i="34"/>
  <c r="N217" i="34"/>
  <c r="O216" i="34"/>
  <c r="N216" i="34"/>
  <c r="M216" i="34"/>
  <c r="M217" i="34" s="1"/>
  <c r="M218" i="34" s="1"/>
  <c r="M219" i="34" s="1"/>
  <c r="M220" i="34" s="1"/>
  <c r="O215" i="34"/>
  <c r="N215" i="34"/>
  <c r="L215" i="34"/>
  <c r="L216" i="34" s="1"/>
  <c r="L217" i="34" s="1"/>
  <c r="L218" i="34" s="1"/>
  <c r="L219" i="34" s="1"/>
  <c r="O214" i="34"/>
  <c r="N214" i="34"/>
  <c r="O213" i="34"/>
  <c r="N213" i="34"/>
  <c r="O212" i="34"/>
  <c r="N212" i="34"/>
  <c r="O211" i="34"/>
  <c r="N211" i="34"/>
  <c r="O210" i="34"/>
  <c r="N210" i="34"/>
  <c r="O209" i="34"/>
  <c r="N209" i="34"/>
  <c r="O208" i="34"/>
  <c r="N208" i="34"/>
  <c r="O207" i="34"/>
  <c r="N207" i="34"/>
  <c r="O206" i="34"/>
  <c r="N206" i="34"/>
  <c r="O205" i="34"/>
  <c r="N205" i="34"/>
  <c r="O204" i="34"/>
  <c r="N204" i="34"/>
  <c r="O203" i="34"/>
  <c r="N203" i="34"/>
  <c r="M203" i="34"/>
  <c r="M204" i="34" s="1"/>
  <c r="M205" i="34" s="1"/>
  <c r="M206" i="34" s="1"/>
  <c r="M207" i="34" s="1"/>
  <c r="M208" i="34" s="1"/>
  <c r="M209" i="34" s="1"/>
  <c r="M210" i="34" s="1"/>
  <c r="M211" i="34" s="1"/>
  <c r="M212" i="34" s="1"/>
  <c r="M213" i="34" s="1"/>
  <c r="M214" i="34" s="1"/>
  <c r="M215" i="34" s="1"/>
  <c r="O202" i="34"/>
  <c r="N202" i="34"/>
  <c r="L202" i="34"/>
  <c r="L203" i="34" s="1"/>
  <c r="L204" i="34" s="1"/>
  <c r="L205" i="34" s="1"/>
  <c r="L206" i="34" s="1"/>
  <c r="L207" i="34" s="1"/>
  <c r="L208" i="34" s="1"/>
  <c r="L209" i="34" s="1"/>
  <c r="L210" i="34" s="1"/>
  <c r="L211" i="34" s="1"/>
  <c r="L212" i="34" s="1"/>
  <c r="L213" i="34" s="1"/>
  <c r="L214" i="34" s="1"/>
  <c r="O201" i="34"/>
  <c r="N201" i="34"/>
  <c r="K201" i="34"/>
  <c r="K202" i="34" s="1"/>
  <c r="K203" i="34" s="1"/>
  <c r="K204" i="34" s="1"/>
  <c r="K205" i="34" s="1"/>
  <c r="K206" i="34" s="1"/>
  <c r="K207" i="34" s="1"/>
  <c r="K208" i="34" s="1"/>
  <c r="K209" i="34" s="1"/>
  <c r="K210" i="34" s="1"/>
  <c r="K211" i="34" s="1"/>
  <c r="K212" i="34" s="1"/>
  <c r="K213" i="34" s="1"/>
  <c r="K214" i="34" s="1"/>
  <c r="K215" i="34" s="1"/>
  <c r="K216" i="34" s="1"/>
  <c r="K217" i="34" s="1"/>
  <c r="K218" i="34" s="1"/>
  <c r="K219" i="34" s="1"/>
  <c r="K220" i="34" s="1"/>
  <c r="K221" i="34" s="1"/>
  <c r="K222" i="34" s="1"/>
  <c r="K223" i="34" s="1"/>
  <c r="K224" i="34" s="1"/>
  <c r="K225" i="34" s="1"/>
  <c r="K226" i="34" s="1"/>
  <c r="K227" i="34" s="1"/>
  <c r="K228" i="34" s="1"/>
  <c r="K229" i="34" s="1"/>
  <c r="K230" i="34" s="1"/>
  <c r="K231" i="34" s="1"/>
  <c r="K232" i="34" s="1"/>
  <c r="K233" i="34" s="1"/>
  <c r="K234" i="34" s="1"/>
  <c r="K235" i="34" s="1"/>
  <c r="K236" i="34" s="1"/>
  <c r="K237" i="34" s="1"/>
  <c r="K238" i="34" s="1"/>
  <c r="K239" i="34" s="1"/>
  <c r="K240" i="34" s="1"/>
  <c r="K241" i="34" s="1"/>
  <c r="K242" i="34" s="1"/>
  <c r="K243" i="34" s="1"/>
  <c r="K244" i="34" s="1"/>
  <c r="K245" i="34" s="1"/>
  <c r="K246" i="34" s="1"/>
  <c r="K247" i="34" s="1"/>
  <c r="K248" i="34" s="1"/>
  <c r="K249" i="34" s="1"/>
  <c r="K250" i="34" s="1"/>
  <c r="K251" i="34" s="1"/>
  <c r="K252" i="34" s="1"/>
  <c r="K253" i="34" s="1"/>
  <c r="K254" i="34" s="1"/>
  <c r="K255" i="34" s="1"/>
  <c r="K256" i="34" s="1"/>
  <c r="K257" i="34" s="1"/>
  <c r="K258" i="34" s="1"/>
  <c r="K259" i="34" s="1"/>
  <c r="K260" i="34" s="1"/>
  <c r="K261" i="34" s="1"/>
  <c r="K262" i="34" s="1"/>
  <c r="K263" i="34" s="1"/>
  <c r="K264" i="34" s="1"/>
  <c r="K265" i="34" s="1"/>
  <c r="K266" i="34" s="1"/>
  <c r="K267" i="34" s="1"/>
  <c r="K268" i="34" s="1"/>
  <c r="K269" i="34" s="1"/>
  <c r="K270" i="34" s="1"/>
  <c r="K271" i="34" s="1"/>
  <c r="K272" i="34" s="1"/>
  <c r="K273" i="34" s="1"/>
  <c r="K274" i="34" s="1"/>
  <c r="K275" i="34" s="1"/>
  <c r="K276" i="34" s="1"/>
  <c r="K277" i="34" s="1"/>
  <c r="K278" i="34" s="1"/>
  <c r="K279" i="34" s="1"/>
  <c r="K280" i="34" s="1"/>
  <c r="K281" i="34" s="1"/>
  <c r="K282" i="34" s="1"/>
  <c r="K283" i="34" s="1"/>
  <c r="K284" i="34" s="1"/>
  <c r="K285" i="34" s="1"/>
  <c r="K286" i="34" s="1"/>
  <c r="K287" i="34" s="1"/>
  <c r="K288" i="34" s="1"/>
  <c r="K289" i="34" s="1"/>
  <c r="K290" i="34" s="1"/>
  <c r="K291" i="34" s="1"/>
  <c r="K292" i="34" s="1"/>
  <c r="K293" i="34" s="1"/>
  <c r="K294" i="34" s="1"/>
  <c r="K295" i="34" s="1"/>
  <c r="K296" i="34" s="1"/>
  <c r="K297" i="34" s="1"/>
  <c r="K298" i="34" s="1"/>
  <c r="K299" i="34" s="1"/>
  <c r="K300" i="34" s="1"/>
  <c r="K301" i="34" s="1"/>
  <c r="K302" i="34" s="1"/>
  <c r="K303" i="34" s="1"/>
  <c r="K304" i="34" s="1"/>
  <c r="K305" i="34" s="1"/>
  <c r="K306" i="34" s="1"/>
  <c r="K307" i="34" s="1"/>
  <c r="K308" i="34" s="1"/>
  <c r="K309" i="34" s="1"/>
  <c r="K310" i="34" s="1"/>
  <c r="K311" i="34" s="1"/>
  <c r="K312" i="34" s="1"/>
  <c r="K313" i="34" s="1"/>
  <c r="K314" i="34" s="1"/>
  <c r="K315" i="34" s="1"/>
  <c r="K316" i="34" s="1"/>
  <c r="K317" i="34" s="1"/>
  <c r="K318" i="34" s="1"/>
  <c r="K319" i="34" s="1"/>
  <c r="K320" i="34" s="1"/>
  <c r="K321" i="34" s="1"/>
  <c r="K322" i="34" s="1"/>
  <c r="K323" i="34" s="1"/>
  <c r="K324" i="34" s="1"/>
  <c r="K325" i="34" s="1"/>
  <c r="K326" i="34" s="1"/>
  <c r="K327" i="34" s="1"/>
  <c r="K328" i="34" s="1"/>
  <c r="K329" i="34" s="1"/>
  <c r="K330" i="34" s="1"/>
  <c r="M201" i="34"/>
  <c r="M202" i="34" s="1"/>
  <c r="L201" i="34"/>
  <c r="M9" i="34"/>
  <c r="L8" i="34"/>
  <c r="L9" i="34" s="1"/>
  <c r="L10" i="34" s="1"/>
  <c r="L11" i="34" s="1"/>
  <c r="L12" i="34" s="1"/>
  <c r="L13" i="34" s="1"/>
  <c r="L14" i="34" s="1"/>
  <c r="L15" i="34" s="1"/>
  <c r="L16" i="34" s="1"/>
  <c r="L17" i="34" s="1"/>
  <c r="L18" i="34" s="1"/>
  <c r="L19" i="34" s="1"/>
  <c r="L20" i="34" s="1"/>
  <c r="L21" i="34" s="1"/>
  <c r="L22" i="34" s="1"/>
  <c r="L23" i="34" s="1"/>
  <c r="L24" i="34" s="1"/>
  <c r="L25" i="34" s="1"/>
  <c r="L26" i="34" s="1"/>
  <c r="L27" i="34" s="1"/>
  <c r="L28" i="34" s="1"/>
  <c r="L29" i="34" s="1"/>
  <c r="L30" i="34" s="1"/>
  <c r="L31" i="34" s="1"/>
  <c r="L32" i="34" s="1"/>
  <c r="L33" i="34" s="1"/>
  <c r="L34" i="34" s="1"/>
  <c r="L35" i="34" s="1"/>
  <c r="L36" i="34" s="1"/>
  <c r="L37" i="34" s="1"/>
  <c r="L38" i="34" s="1"/>
  <c r="L39" i="34" s="1"/>
  <c r="L40" i="34" s="1"/>
  <c r="L41" i="34" s="1"/>
  <c r="L42" i="34" s="1"/>
  <c r="L43" i="34" s="1"/>
  <c r="L44" i="34" s="1"/>
  <c r="L45" i="34" s="1"/>
  <c r="L46" i="34" s="1"/>
  <c r="L47" i="34" s="1"/>
  <c r="L48" i="34" s="1"/>
  <c r="L49" i="34" s="1"/>
  <c r="L50" i="34" s="1"/>
  <c r="L51" i="34" s="1"/>
  <c r="L52" i="34" s="1"/>
  <c r="L53" i="34" s="1"/>
  <c r="L54" i="34" s="1"/>
  <c r="L55" i="34" s="1"/>
  <c r="L56" i="34" s="1"/>
  <c r="L57" i="34" s="1"/>
  <c r="L58" i="34" s="1"/>
  <c r="L59" i="34" s="1"/>
  <c r="L60" i="34" s="1"/>
  <c r="L61" i="34" s="1"/>
  <c r="L62" i="34" s="1"/>
  <c r="L63" i="34" s="1"/>
  <c r="L64" i="34" s="1"/>
  <c r="L65" i="34" s="1"/>
  <c r="L66" i="34" s="1"/>
  <c r="L67" i="34" s="1"/>
  <c r="L68" i="34" s="1"/>
  <c r="L69" i="34" s="1"/>
  <c r="L70" i="34" s="1"/>
  <c r="L71" i="34" s="1"/>
  <c r="L72" i="34" s="1"/>
  <c r="L73" i="34" s="1"/>
  <c r="L74" i="34" s="1"/>
  <c r="L75" i="34" s="1"/>
  <c r="L76" i="34" s="1"/>
  <c r="L77" i="34" s="1"/>
  <c r="L78" i="34" s="1"/>
  <c r="L79" i="34" s="1"/>
  <c r="L80" i="34" s="1"/>
  <c r="L81" i="34" s="1"/>
  <c r="L82" i="34" s="1"/>
  <c r="L83" i="34" s="1"/>
  <c r="L84" i="34" s="1"/>
  <c r="L85" i="34" s="1"/>
  <c r="L86" i="34" s="1"/>
  <c r="L87" i="34" s="1"/>
  <c r="L88" i="34" s="1"/>
  <c r="L89" i="34" s="1"/>
  <c r="L90" i="34" s="1"/>
  <c r="L91" i="34" s="1"/>
  <c r="L92" i="34" s="1"/>
  <c r="L93" i="34" s="1"/>
  <c r="L94" i="34" s="1"/>
  <c r="L95" i="34" s="1"/>
  <c r="L96" i="34" s="1"/>
  <c r="L97" i="34" s="1"/>
  <c r="L98" i="34" s="1"/>
  <c r="L99" i="34" s="1"/>
  <c r="L100" i="34" s="1"/>
  <c r="L101" i="34" s="1"/>
  <c r="L102" i="34" s="1"/>
  <c r="L103" i="34" s="1"/>
  <c r="L104" i="34" s="1"/>
  <c r="L105" i="34" s="1"/>
  <c r="L106" i="34" s="1"/>
  <c r="L107" i="34" s="1"/>
  <c r="L108" i="34" s="1"/>
  <c r="L109" i="34" s="1"/>
  <c r="L110" i="34" s="1"/>
  <c r="L111" i="34" s="1"/>
  <c r="L112" i="34" s="1"/>
  <c r="L113" i="34" s="1"/>
  <c r="L114" i="34" s="1"/>
  <c r="L115" i="34" s="1"/>
  <c r="L116" i="34" s="1"/>
  <c r="L117" i="34" s="1"/>
  <c r="L118" i="34" s="1"/>
  <c r="L119" i="34" s="1"/>
  <c r="L120" i="34" s="1"/>
  <c r="L121" i="34" s="1"/>
  <c r="L122" i="34" s="1"/>
  <c r="L123" i="34" s="1"/>
  <c r="L124" i="34" s="1"/>
  <c r="L125" i="34" s="1"/>
  <c r="L126" i="34" s="1"/>
  <c r="L127" i="34" s="1"/>
  <c r="L128" i="34" s="1"/>
  <c r="L129" i="34" s="1"/>
  <c r="L130" i="34" s="1"/>
  <c r="L131" i="34" s="1"/>
  <c r="L132" i="34" s="1"/>
  <c r="L133" i="34" s="1"/>
  <c r="L134" i="34" s="1"/>
  <c r="L135" i="34" s="1"/>
  <c r="L136" i="34" s="1"/>
  <c r="L137" i="34" s="1"/>
  <c r="L138" i="34" s="1"/>
  <c r="L139" i="34" s="1"/>
  <c r="L140" i="34" s="1"/>
  <c r="L141" i="34" s="1"/>
  <c r="L142" i="34" s="1"/>
  <c r="L143" i="34" s="1"/>
  <c r="L144" i="34" s="1"/>
  <c r="L145" i="34" s="1"/>
  <c r="L146" i="34" s="1"/>
  <c r="L147" i="34" s="1"/>
  <c r="L148" i="34" s="1"/>
  <c r="L149" i="34" s="1"/>
  <c r="L150" i="34" s="1"/>
  <c r="L151" i="34" s="1"/>
  <c r="L152" i="34" s="1"/>
  <c r="L153" i="34" s="1"/>
  <c r="L154" i="34" s="1"/>
  <c r="L155" i="34" s="1"/>
  <c r="L156" i="34" s="1"/>
  <c r="L157" i="34" s="1"/>
  <c r="L158" i="34" s="1"/>
  <c r="L159" i="34" s="1"/>
  <c r="L160" i="34" s="1"/>
  <c r="L161" i="34" s="1"/>
  <c r="L162" i="34" s="1"/>
  <c r="L163" i="34" s="1"/>
  <c r="L164" i="34" s="1"/>
  <c r="L165" i="34" s="1"/>
  <c r="L166" i="34" s="1"/>
  <c r="L167" i="34" s="1"/>
  <c r="L168" i="34" s="1"/>
  <c r="L169" i="34" s="1"/>
  <c r="L170" i="34" s="1"/>
  <c r="L171" i="34" s="1"/>
  <c r="L172" i="34" s="1"/>
  <c r="L173" i="34" s="1"/>
  <c r="L174" i="34" s="1"/>
  <c r="L175" i="34" s="1"/>
  <c r="L176" i="34" s="1"/>
  <c r="L177" i="34" s="1"/>
  <c r="L178" i="34" s="1"/>
  <c r="L179" i="34" s="1"/>
  <c r="L180" i="34" s="1"/>
  <c r="K7" i="34"/>
  <c r="K8" i="34" s="1"/>
  <c r="K9" i="34" s="1"/>
  <c r="K10" i="34" s="1"/>
  <c r="K11" i="34" s="1"/>
  <c r="K12" i="34" s="1"/>
  <c r="K13" i="34" s="1"/>
  <c r="K14" i="34" s="1"/>
  <c r="K15" i="34" s="1"/>
  <c r="K16" i="34" s="1"/>
  <c r="K17" i="34" s="1"/>
  <c r="K18" i="34" s="1"/>
  <c r="K19" i="34" s="1"/>
  <c r="K20" i="34" s="1"/>
  <c r="K21" i="34" s="1"/>
  <c r="K22" i="34" s="1"/>
  <c r="K23" i="34" s="1"/>
  <c r="K24" i="34" s="1"/>
  <c r="K25" i="34" s="1"/>
  <c r="K26" i="34" s="1"/>
  <c r="K27" i="34" s="1"/>
  <c r="K28" i="34" s="1"/>
  <c r="K29" i="34" s="1"/>
  <c r="K30" i="34" s="1"/>
  <c r="K31" i="34" s="1"/>
  <c r="K32" i="34" s="1"/>
  <c r="K33" i="34" s="1"/>
  <c r="K34" i="34" s="1"/>
  <c r="K35" i="34" s="1"/>
  <c r="K36" i="34" s="1"/>
  <c r="K37" i="34" s="1"/>
  <c r="K38" i="34" s="1"/>
  <c r="K39" i="34" s="1"/>
  <c r="K40" i="34" s="1"/>
  <c r="K41" i="34" s="1"/>
  <c r="K42" i="34" s="1"/>
  <c r="K43" i="34" s="1"/>
  <c r="K44" i="34" s="1"/>
  <c r="K45" i="34" s="1"/>
  <c r="K46" i="34" s="1"/>
  <c r="K47" i="34" s="1"/>
  <c r="K48" i="34" s="1"/>
  <c r="K49" i="34" s="1"/>
  <c r="K50" i="34" s="1"/>
  <c r="K51" i="34" s="1"/>
  <c r="K52" i="34" s="1"/>
  <c r="K53" i="34" s="1"/>
  <c r="K54" i="34" s="1"/>
  <c r="K55" i="34" s="1"/>
  <c r="K56" i="34" s="1"/>
  <c r="K57" i="34" s="1"/>
  <c r="K58" i="34" s="1"/>
  <c r="K59" i="34" s="1"/>
  <c r="K60" i="34" s="1"/>
  <c r="K61" i="34" s="1"/>
  <c r="K62" i="34" s="1"/>
  <c r="K63" i="34" s="1"/>
  <c r="K64" i="34" s="1"/>
  <c r="K65" i="34" s="1"/>
  <c r="K66" i="34" s="1"/>
  <c r="K67" i="34" s="1"/>
  <c r="K68" i="34" s="1"/>
  <c r="K69" i="34" s="1"/>
  <c r="K70" i="34" s="1"/>
  <c r="K71" i="34" s="1"/>
  <c r="K72" i="34" s="1"/>
  <c r="K73" i="34" s="1"/>
  <c r="K74" i="34" s="1"/>
  <c r="K75" i="34" s="1"/>
  <c r="K76" i="34" s="1"/>
  <c r="K77" i="34" s="1"/>
  <c r="K78" i="34" s="1"/>
  <c r="K79" i="34" s="1"/>
  <c r="K80" i="34" s="1"/>
  <c r="K81" i="34" s="1"/>
  <c r="K82" i="34" s="1"/>
  <c r="K83" i="34" s="1"/>
  <c r="K84" i="34" s="1"/>
  <c r="K85" i="34" s="1"/>
  <c r="K86" i="34" s="1"/>
  <c r="K87" i="34" s="1"/>
  <c r="K88" i="34" s="1"/>
  <c r="K89" i="34" s="1"/>
  <c r="K90" i="34" s="1"/>
  <c r="K91" i="34" s="1"/>
  <c r="K92" i="34" s="1"/>
  <c r="K93" i="34" s="1"/>
  <c r="K94" i="34" s="1"/>
  <c r="K95" i="34" s="1"/>
  <c r="K96" i="34" s="1"/>
  <c r="K97" i="34" s="1"/>
  <c r="K98" i="34" s="1"/>
  <c r="K99" i="34" s="1"/>
  <c r="K100" i="34" s="1"/>
  <c r="K101" i="34" s="1"/>
  <c r="K102" i="34" s="1"/>
  <c r="K103" i="34" s="1"/>
  <c r="K104" i="34" s="1"/>
  <c r="K105" i="34" s="1"/>
  <c r="K106" i="34" s="1"/>
  <c r="K107" i="34" s="1"/>
  <c r="K108" i="34" s="1"/>
  <c r="K109" i="34" s="1"/>
  <c r="K110" i="34" s="1"/>
  <c r="K111" i="34" s="1"/>
  <c r="K112" i="34" s="1"/>
  <c r="K113" i="34" s="1"/>
  <c r="K114" i="34" s="1"/>
  <c r="K115" i="34" s="1"/>
  <c r="K116" i="34" s="1"/>
  <c r="K117" i="34" s="1"/>
  <c r="K118" i="34" s="1"/>
  <c r="K119" i="34" s="1"/>
  <c r="K120" i="34" s="1"/>
  <c r="K121" i="34" s="1"/>
  <c r="K122" i="34" s="1"/>
  <c r="K123" i="34" s="1"/>
  <c r="K124" i="34" s="1"/>
  <c r="K125" i="34" s="1"/>
  <c r="K126" i="34" s="1"/>
  <c r="K127" i="34" s="1"/>
  <c r="K128" i="34" s="1"/>
  <c r="K129" i="34" s="1"/>
  <c r="K130" i="34" s="1"/>
  <c r="K131" i="34" s="1"/>
  <c r="K132" i="34" s="1"/>
  <c r="K133" i="34" s="1"/>
  <c r="K134" i="34" s="1"/>
  <c r="K135" i="34" s="1"/>
  <c r="K136" i="34" s="1"/>
  <c r="K137" i="34" s="1"/>
  <c r="K138" i="34" s="1"/>
  <c r="K139" i="34" s="1"/>
  <c r="K140" i="34" s="1"/>
  <c r="K141" i="34" s="1"/>
  <c r="K142" i="34" s="1"/>
  <c r="K143" i="34" s="1"/>
  <c r="K144" i="34" s="1"/>
  <c r="K145" i="34" s="1"/>
  <c r="K146" i="34" s="1"/>
  <c r="K147" i="34" s="1"/>
  <c r="K148" i="34" s="1"/>
  <c r="K149" i="34" s="1"/>
  <c r="K150" i="34" s="1"/>
  <c r="K151" i="34" s="1"/>
  <c r="K152" i="34" s="1"/>
  <c r="K153" i="34" s="1"/>
  <c r="K154" i="34" s="1"/>
  <c r="K155" i="34" s="1"/>
  <c r="K156" i="34" s="1"/>
  <c r="K157" i="34" s="1"/>
  <c r="K158" i="34" s="1"/>
  <c r="K159" i="34" s="1"/>
  <c r="K160" i="34" s="1"/>
  <c r="K161" i="34" s="1"/>
  <c r="K162" i="34" s="1"/>
  <c r="K163" i="34" s="1"/>
  <c r="K164" i="34" s="1"/>
  <c r="K165" i="34" s="1"/>
  <c r="K166" i="34" s="1"/>
  <c r="K167" i="34" s="1"/>
  <c r="K168" i="34" s="1"/>
  <c r="K169" i="34" s="1"/>
  <c r="K170" i="34" s="1"/>
  <c r="K171" i="34" s="1"/>
  <c r="K172" i="34" s="1"/>
  <c r="K173" i="34" s="1"/>
  <c r="K174" i="34" s="1"/>
  <c r="K175" i="34" s="1"/>
  <c r="K176" i="34" s="1"/>
  <c r="K177" i="34" s="1"/>
  <c r="K178" i="34" s="1"/>
  <c r="K179" i="34" s="1"/>
  <c r="K180" i="34" s="1"/>
  <c r="M8" i="34"/>
  <c r="L7" i="34"/>
  <c r="O517" i="33"/>
  <c r="N517" i="33"/>
  <c r="O516" i="33"/>
  <c r="N516" i="33"/>
  <c r="O515" i="33"/>
  <c r="N515" i="33"/>
  <c r="O514" i="33"/>
  <c r="N514" i="33"/>
  <c r="O513" i="33"/>
  <c r="N513" i="33"/>
  <c r="O512" i="33"/>
  <c r="N512" i="33"/>
  <c r="O511" i="33"/>
  <c r="N511" i="33"/>
  <c r="O510" i="33"/>
  <c r="N510" i="33"/>
  <c r="O509" i="33"/>
  <c r="N509" i="33"/>
  <c r="O508" i="33"/>
  <c r="N508" i="33"/>
  <c r="O507" i="33"/>
  <c r="N507" i="33"/>
  <c r="O506" i="33"/>
  <c r="N506" i="33"/>
  <c r="O505" i="33"/>
  <c r="N505" i="33"/>
  <c r="O504" i="33"/>
  <c r="N504" i="33"/>
  <c r="O503" i="33"/>
  <c r="N503" i="33"/>
  <c r="O502" i="33"/>
  <c r="N502" i="33"/>
  <c r="O501" i="33"/>
  <c r="N501" i="33"/>
  <c r="O500" i="33"/>
  <c r="N500" i="33"/>
  <c r="O499" i="33"/>
  <c r="N499" i="33"/>
  <c r="O498" i="33"/>
  <c r="N498" i="33"/>
  <c r="O497" i="33"/>
  <c r="N497" i="33"/>
  <c r="O496" i="33"/>
  <c r="N496" i="33"/>
  <c r="O495" i="33"/>
  <c r="N495" i="33"/>
  <c r="O494" i="33"/>
  <c r="N494" i="33"/>
  <c r="O493" i="33"/>
  <c r="N493" i="33"/>
  <c r="O492" i="33"/>
  <c r="N492" i="33"/>
  <c r="O491" i="33"/>
  <c r="N491" i="33"/>
  <c r="O490" i="33"/>
  <c r="N490" i="33"/>
  <c r="O489" i="33"/>
  <c r="N489" i="33"/>
  <c r="O488" i="33"/>
  <c r="N488" i="33"/>
  <c r="O487" i="33"/>
  <c r="N487" i="33"/>
  <c r="O486" i="33"/>
  <c r="N486" i="33"/>
  <c r="O485" i="33"/>
  <c r="N485" i="33"/>
  <c r="O484" i="33"/>
  <c r="N484" i="33"/>
  <c r="O483" i="33"/>
  <c r="N483" i="33"/>
  <c r="O482" i="33"/>
  <c r="N482" i="33"/>
  <c r="O481" i="33"/>
  <c r="N481" i="33"/>
  <c r="O480" i="33"/>
  <c r="N480" i="33"/>
  <c r="O479" i="33"/>
  <c r="N479" i="33"/>
  <c r="O478" i="33"/>
  <c r="N478" i="33"/>
  <c r="O477" i="33"/>
  <c r="N477" i="33"/>
  <c r="O476" i="33"/>
  <c r="N476" i="33"/>
  <c r="O475" i="33"/>
  <c r="N475" i="33"/>
  <c r="O474" i="33"/>
  <c r="N474" i="33"/>
  <c r="O473" i="33"/>
  <c r="N473" i="33"/>
  <c r="O472" i="33"/>
  <c r="N472" i="33"/>
  <c r="O471" i="33"/>
  <c r="N471" i="33"/>
  <c r="O470" i="33"/>
  <c r="N470" i="33"/>
  <c r="O469" i="33"/>
  <c r="N469" i="33"/>
  <c r="O468" i="33"/>
  <c r="N468" i="33"/>
  <c r="O467" i="33"/>
  <c r="N467" i="33"/>
  <c r="O466" i="33"/>
  <c r="N466" i="33"/>
  <c r="O465" i="33"/>
  <c r="N465" i="33"/>
  <c r="O464" i="33"/>
  <c r="N464" i="33"/>
  <c r="O463" i="33"/>
  <c r="N463" i="33"/>
  <c r="O462" i="33"/>
  <c r="N462" i="33"/>
  <c r="O461" i="33"/>
  <c r="N461" i="33"/>
  <c r="O460" i="33"/>
  <c r="N460" i="33"/>
  <c r="O459" i="33"/>
  <c r="N459" i="33"/>
  <c r="O458" i="33"/>
  <c r="N458" i="33"/>
  <c r="O457" i="33"/>
  <c r="N457" i="33"/>
  <c r="O456" i="33"/>
  <c r="N456" i="33"/>
  <c r="O455" i="33"/>
  <c r="N455" i="33"/>
  <c r="O454" i="33"/>
  <c r="N454" i="33"/>
  <c r="O453" i="33"/>
  <c r="N453" i="33"/>
  <c r="O452" i="33"/>
  <c r="N452" i="33"/>
  <c r="O451" i="33"/>
  <c r="N451" i="33"/>
  <c r="O450" i="33"/>
  <c r="N450" i="33"/>
  <c r="O449" i="33"/>
  <c r="N449" i="33"/>
  <c r="O448" i="33"/>
  <c r="N448" i="33"/>
  <c r="O447" i="33"/>
  <c r="N447" i="33"/>
  <c r="O446" i="33"/>
  <c r="N446" i="33"/>
  <c r="O445" i="33"/>
  <c r="N445" i="33"/>
  <c r="O444" i="33"/>
  <c r="N444" i="33"/>
  <c r="O443" i="33"/>
  <c r="N443" i="33"/>
  <c r="O442" i="33"/>
  <c r="N442" i="33"/>
  <c r="O441" i="33"/>
  <c r="N441" i="33"/>
  <c r="O440" i="33"/>
  <c r="N440" i="33"/>
  <c r="O439" i="33"/>
  <c r="N439" i="33"/>
  <c r="O438" i="33"/>
  <c r="N438" i="33"/>
  <c r="O437" i="33"/>
  <c r="N437" i="33"/>
  <c r="O436" i="33"/>
  <c r="N436" i="33"/>
  <c r="O435" i="33"/>
  <c r="N435" i="33"/>
  <c r="O434" i="33"/>
  <c r="N434" i="33"/>
  <c r="O433" i="33"/>
  <c r="N433" i="33"/>
  <c r="O432" i="33"/>
  <c r="N432" i="33"/>
  <c r="O431" i="33"/>
  <c r="N431" i="33"/>
  <c r="O430" i="33"/>
  <c r="N430" i="33"/>
  <c r="O429" i="33"/>
  <c r="N429" i="33"/>
  <c r="O428" i="33"/>
  <c r="N428" i="33"/>
  <c r="O427" i="33"/>
  <c r="N427" i="33"/>
  <c r="O426" i="33"/>
  <c r="N426" i="33"/>
  <c r="O425" i="33"/>
  <c r="N425" i="33"/>
  <c r="O424" i="33"/>
  <c r="N424" i="33"/>
  <c r="O423" i="33"/>
  <c r="N423" i="33"/>
  <c r="O422" i="33"/>
  <c r="N422" i="33"/>
  <c r="O421" i="33"/>
  <c r="N421" i="33"/>
  <c r="O420" i="33"/>
  <c r="N420" i="33"/>
  <c r="O419" i="33"/>
  <c r="N419" i="33"/>
  <c r="O418" i="33"/>
  <c r="N418" i="33"/>
  <c r="O417" i="33"/>
  <c r="N417" i="33"/>
  <c r="O416" i="33"/>
  <c r="N416" i="33"/>
  <c r="M416" i="33"/>
  <c r="M417" i="33" s="1"/>
  <c r="M418" i="33" s="1"/>
  <c r="M419" i="33" s="1"/>
  <c r="M420" i="33" s="1"/>
  <c r="M421" i="33" s="1"/>
  <c r="M422" i="33" s="1"/>
  <c r="M423" i="33" s="1"/>
  <c r="M424" i="33" s="1"/>
  <c r="M425" i="33" s="1"/>
  <c r="M426" i="33" s="1"/>
  <c r="M427" i="33" s="1"/>
  <c r="M428" i="33" s="1"/>
  <c r="M429" i="33" s="1"/>
  <c r="M430" i="33" s="1"/>
  <c r="M431" i="33" s="1"/>
  <c r="M432" i="33" s="1"/>
  <c r="M433" i="33" s="1"/>
  <c r="M434" i="33" s="1"/>
  <c r="M435" i="33" s="1"/>
  <c r="M436" i="33" s="1"/>
  <c r="M437" i="33" s="1"/>
  <c r="M438" i="33" s="1"/>
  <c r="M439" i="33" s="1"/>
  <c r="M440" i="33" s="1"/>
  <c r="M441" i="33" s="1"/>
  <c r="M442" i="33" s="1"/>
  <c r="M443" i="33" s="1"/>
  <c r="M444" i="33" s="1"/>
  <c r="M445" i="33" s="1"/>
  <c r="M446" i="33" s="1"/>
  <c r="M447" i="33" s="1"/>
  <c r="M448" i="33" s="1"/>
  <c r="M449" i="33" s="1"/>
  <c r="M450" i="33" s="1"/>
  <c r="M451" i="33" s="1"/>
  <c r="M452" i="33" s="1"/>
  <c r="M453" i="33" s="1"/>
  <c r="M454" i="33" s="1"/>
  <c r="M455" i="33" s="1"/>
  <c r="M456" i="33" s="1"/>
  <c r="M457" i="33" s="1"/>
  <c r="M458" i="33" s="1"/>
  <c r="M459" i="33" s="1"/>
  <c r="M460" i="33" s="1"/>
  <c r="M461" i="33" s="1"/>
  <c r="M462" i="33" s="1"/>
  <c r="M463" i="33" s="1"/>
  <c r="M464" i="33" s="1"/>
  <c r="M465" i="33" s="1"/>
  <c r="M466" i="33" s="1"/>
  <c r="M467" i="33" s="1"/>
  <c r="M468" i="33" s="1"/>
  <c r="M469" i="33" s="1"/>
  <c r="M470" i="33" s="1"/>
  <c r="M471" i="33" s="1"/>
  <c r="M472" i="33" s="1"/>
  <c r="M473" i="33" s="1"/>
  <c r="M474" i="33" s="1"/>
  <c r="M475" i="33" s="1"/>
  <c r="M476" i="33" s="1"/>
  <c r="M477" i="33" s="1"/>
  <c r="M478" i="33" s="1"/>
  <c r="M479" i="33" s="1"/>
  <c r="M480" i="33" s="1"/>
  <c r="M481" i="33" s="1"/>
  <c r="M482" i="33" s="1"/>
  <c r="M483" i="33" s="1"/>
  <c r="M484" i="33" s="1"/>
  <c r="M485" i="33" s="1"/>
  <c r="M486" i="33" s="1"/>
  <c r="M487" i="33" s="1"/>
  <c r="M488" i="33" s="1"/>
  <c r="M489" i="33" s="1"/>
  <c r="M490" i="33" s="1"/>
  <c r="M491" i="33" s="1"/>
  <c r="M492" i="33" s="1"/>
  <c r="M493" i="33" s="1"/>
  <c r="M494" i="33" s="1"/>
  <c r="M495" i="33" s="1"/>
  <c r="M496" i="33" s="1"/>
  <c r="M497" i="33" s="1"/>
  <c r="M498" i="33" s="1"/>
  <c r="M499" i="33" s="1"/>
  <c r="M500" i="33" s="1"/>
  <c r="M501" i="33" s="1"/>
  <c r="M502" i="33" s="1"/>
  <c r="M503" i="33" s="1"/>
  <c r="M504" i="33" s="1"/>
  <c r="M505" i="33" s="1"/>
  <c r="M506" i="33" s="1"/>
  <c r="M507" i="33" s="1"/>
  <c r="M508" i="33" s="1"/>
  <c r="M509" i="33" s="1"/>
  <c r="M510" i="33" s="1"/>
  <c r="M511" i="33" s="1"/>
  <c r="M512" i="33" s="1"/>
  <c r="M513" i="33" s="1"/>
  <c r="M514" i="33" s="1"/>
  <c r="M515" i="33" s="1"/>
  <c r="M516" i="33" s="1"/>
  <c r="M517" i="33" s="1"/>
  <c r="O415" i="33"/>
  <c r="N415" i="33"/>
  <c r="O414" i="33"/>
  <c r="N414" i="33"/>
  <c r="O413" i="33"/>
  <c r="N413" i="33"/>
  <c r="O412" i="33"/>
  <c r="N412" i="33"/>
  <c r="O411" i="33"/>
  <c r="N411" i="33"/>
  <c r="O410" i="33"/>
  <c r="N410" i="33"/>
  <c r="O409" i="33"/>
  <c r="N409" i="33"/>
  <c r="O408" i="33"/>
  <c r="N408" i="33"/>
  <c r="O407" i="33"/>
  <c r="N407" i="33"/>
  <c r="O406" i="33"/>
  <c r="N406" i="33"/>
  <c r="O405" i="33"/>
  <c r="N405" i="33"/>
  <c r="O404" i="33"/>
  <c r="N404" i="33"/>
  <c r="O403" i="33"/>
  <c r="N403" i="33"/>
  <c r="O402" i="33"/>
  <c r="N402" i="33"/>
  <c r="O401" i="33"/>
  <c r="N401" i="33"/>
  <c r="M401" i="33"/>
  <c r="M402" i="33" s="1"/>
  <c r="M403" i="33" s="1"/>
  <c r="M404" i="33" s="1"/>
  <c r="M405" i="33" s="1"/>
  <c r="M406" i="33" s="1"/>
  <c r="M407" i="33" s="1"/>
  <c r="M408" i="33" s="1"/>
  <c r="M409" i="33" s="1"/>
  <c r="M410" i="33" s="1"/>
  <c r="M411" i="33" s="1"/>
  <c r="M412" i="33" s="1"/>
  <c r="M413" i="33" s="1"/>
  <c r="M414" i="33" s="1"/>
  <c r="M415" i="33" s="1"/>
  <c r="O400" i="33"/>
  <c r="N400" i="33"/>
  <c r="L400" i="33"/>
  <c r="L401" i="33" s="1"/>
  <c r="L402" i="33" s="1"/>
  <c r="L403" i="33" s="1"/>
  <c r="L404" i="33" s="1"/>
  <c r="L405" i="33" s="1"/>
  <c r="L406" i="33" s="1"/>
  <c r="L407" i="33" s="1"/>
  <c r="L408" i="33" s="1"/>
  <c r="L409" i="33" s="1"/>
  <c r="L410" i="33" s="1"/>
  <c r="L411" i="33" s="1"/>
  <c r="L412" i="33" s="1"/>
  <c r="L413" i="33" s="1"/>
  <c r="L414" i="33" s="1"/>
  <c r="L415" i="33" s="1"/>
  <c r="L416" i="33" s="1"/>
  <c r="L417" i="33" s="1"/>
  <c r="L418" i="33" s="1"/>
  <c r="L419" i="33" s="1"/>
  <c r="L420" i="33" s="1"/>
  <c r="L421" i="33" s="1"/>
  <c r="L422" i="33" s="1"/>
  <c r="L423" i="33" s="1"/>
  <c r="L424" i="33" s="1"/>
  <c r="L425" i="33" s="1"/>
  <c r="L426" i="33" s="1"/>
  <c r="L427" i="33" s="1"/>
  <c r="L428" i="33" s="1"/>
  <c r="L429" i="33" s="1"/>
  <c r="L430" i="33" s="1"/>
  <c r="L431" i="33" s="1"/>
  <c r="L432" i="33" s="1"/>
  <c r="L433" i="33" s="1"/>
  <c r="L434" i="33" s="1"/>
  <c r="L435" i="33" s="1"/>
  <c r="L436" i="33" s="1"/>
  <c r="L437" i="33" s="1"/>
  <c r="L438" i="33" s="1"/>
  <c r="L439" i="33" s="1"/>
  <c r="L440" i="33" s="1"/>
  <c r="L441" i="33" s="1"/>
  <c r="L442" i="33" s="1"/>
  <c r="L443" i="33" s="1"/>
  <c r="L444" i="33" s="1"/>
  <c r="L445" i="33" s="1"/>
  <c r="L446" i="33" s="1"/>
  <c r="L447" i="33" s="1"/>
  <c r="L448" i="33" s="1"/>
  <c r="L449" i="33" s="1"/>
  <c r="L450" i="33" s="1"/>
  <c r="L451" i="33" s="1"/>
  <c r="L452" i="33" s="1"/>
  <c r="L453" i="33" s="1"/>
  <c r="L454" i="33" s="1"/>
  <c r="L455" i="33" s="1"/>
  <c r="L456" i="33" s="1"/>
  <c r="L457" i="33" s="1"/>
  <c r="L458" i="33" s="1"/>
  <c r="L459" i="33" s="1"/>
  <c r="L460" i="33" s="1"/>
  <c r="L461" i="33" s="1"/>
  <c r="L462" i="33" s="1"/>
  <c r="L463" i="33" s="1"/>
  <c r="L464" i="33" s="1"/>
  <c r="L465" i="33" s="1"/>
  <c r="L466" i="33" s="1"/>
  <c r="L467" i="33" s="1"/>
  <c r="L468" i="33" s="1"/>
  <c r="L469" i="33" s="1"/>
  <c r="L470" i="33" s="1"/>
  <c r="L471" i="33" s="1"/>
  <c r="L472" i="33" s="1"/>
  <c r="L473" i="33" s="1"/>
  <c r="L474" i="33" s="1"/>
  <c r="L475" i="33" s="1"/>
  <c r="L476" i="33" s="1"/>
  <c r="L477" i="33" s="1"/>
  <c r="L478" i="33" s="1"/>
  <c r="L479" i="33" s="1"/>
  <c r="L480" i="33" s="1"/>
  <c r="L481" i="33" s="1"/>
  <c r="L482" i="33" s="1"/>
  <c r="L483" i="33" s="1"/>
  <c r="L484" i="33" s="1"/>
  <c r="L485" i="33" s="1"/>
  <c r="L486" i="33" s="1"/>
  <c r="L487" i="33" s="1"/>
  <c r="L488" i="33" s="1"/>
  <c r="L489" i="33" s="1"/>
  <c r="L490" i="33" s="1"/>
  <c r="L491" i="33" s="1"/>
  <c r="L492" i="33" s="1"/>
  <c r="L493" i="33" s="1"/>
  <c r="L494" i="33" s="1"/>
  <c r="L495" i="33" s="1"/>
  <c r="L496" i="33" s="1"/>
  <c r="L497" i="33" s="1"/>
  <c r="L498" i="33" s="1"/>
  <c r="L499" i="33" s="1"/>
  <c r="L500" i="33" s="1"/>
  <c r="L501" i="33" s="1"/>
  <c r="L502" i="33" s="1"/>
  <c r="L503" i="33" s="1"/>
  <c r="L504" i="33" s="1"/>
  <c r="L505" i="33" s="1"/>
  <c r="L506" i="33" s="1"/>
  <c r="L507" i="33" s="1"/>
  <c r="L508" i="33" s="1"/>
  <c r="L509" i="33" s="1"/>
  <c r="L510" i="33" s="1"/>
  <c r="L511" i="33" s="1"/>
  <c r="L512" i="33" s="1"/>
  <c r="L513" i="33" s="1"/>
  <c r="L514" i="33" s="1"/>
  <c r="L515" i="33" s="1"/>
  <c r="L516" i="33" s="1"/>
  <c r="L517" i="33" s="1"/>
  <c r="O399" i="33"/>
  <c r="N399" i="33"/>
  <c r="O398" i="33"/>
  <c r="N398" i="33"/>
  <c r="O397" i="33"/>
  <c r="N397" i="33"/>
  <c r="O396" i="33"/>
  <c r="N396" i="33"/>
  <c r="M396" i="33"/>
  <c r="M397" i="33" s="1"/>
  <c r="M398" i="33" s="1"/>
  <c r="M399" i="33" s="1"/>
  <c r="M400" i="33" s="1"/>
  <c r="O395" i="33"/>
  <c r="N395" i="33"/>
  <c r="L395" i="33"/>
  <c r="L396" i="33" s="1"/>
  <c r="L397" i="33" s="1"/>
  <c r="L398" i="33" s="1"/>
  <c r="L399" i="33" s="1"/>
  <c r="O394" i="33"/>
  <c r="N394" i="33"/>
  <c r="O393" i="33"/>
  <c r="N393" i="33"/>
  <c r="O392" i="33"/>
  <c r="N392" i="33"/>
  <c r="O391" i="33"/>
  <c r="N391" i="33"/>
  <c r="O390" i="33"/>
  <c r="N390" i="33"/>
  <c r="M390" i="33"/>
  <c r="M391" i="33" s="1"/>
  <c r="M392" i="33" s="1"/>
  <c r="M393" i="33" s="1"/>
  <c r="M394" i="33" s="1"/>
  <c r="M395" i="33" s="1"/>
  <c r="O389" i="33"/>
  <c r="N389" i="33"/>
  <c r="L389" i="33"/>
  <c r="L390" i="33" s="1"/>
  <c r="L391" i="33" s="1"/>
  <c r="L392" i="33" s="1"/>
  <c r="L393" i="33" s="1"/>
  <c r="L394" i="33" s="1"/>
  <c r="O388" i="33"/>
  <c r="N388" i="33"/>
  <c r="K388" i="33"/>
  <c r="K389" i="33" s="1"/>
  <c r="K390" i="33" s="1"/>
  <c r="K391" i="33" s="1"/>
  <c r="K392" i="33" s="1"/>
  <c r="K393" i="33" s="1"/>
  <c r="K394" i="33" s="1"/>
  <c r="K395" i="33" s="1"/>
  <c r="K396" i="33" s="1"/>
  <c r="K397" i="33" s="1"/>
  <c r="K398" i="33" s="1"/>
  <c r="K399" i="33" s="1"/>
  <c r="K400" i="33" s="1"/>
  <c r="K401" i="33" s="1"/>
  <c r="K402" i="33" s="1"/>
  <c r="K403" i="33" s="1"/>
  <c r="K404" i="33" s="1"/>
  <c r="K405" i="33" s="1"/>
  <c r="K406" i="33" s="1"/>
  <c r="K407" i="33" s="1"/>
  <c r="K408" i="33" s="1"/>
  <c r="K409" i="33" s="1"/>
  <c r="K410" i="33" s="1"/>
  <c r="K411" i="33" s="1"/>
  <c r="K412" i="33" s="1"/>
  <c r="K413" i="33" s="1"/>
  <c r="K414" i="33" s="1"/>
  <c r="K415" i="33" s="1"/>
  <c r="K416" i="33" s="1"/>
  <c r="K417" i="33" s="1"/>
  <c r="K418" i="33" s="1"/>
  <c r="K419" i="33" s="1"/>
  <c r="K420" i="33" s="1"/>
  <c r="K421" i="33" s="1"/>
  <c r="K422" i="33" s="1"/>
  <c r="K423" i="33" s="1"/>
  <c r="K424" i="33" s="1"/>
  <c r="K425" i="33" s="1"/>
  <c r="K426" i="33" s="1"/>
  <c r="K427" i="33" s="1"/>
  <c r="K428" i="33" s="1"/>
  <c r="K429" i="33" s="1"/>
  <c r="K430" i="33" s="1"/>
  <c r="K431" i="33" s="1"/>
  <c r="K432" i="33" s="1"/>
  <c r="K433" i="33" s="1"/>
  <c r="K434" i="33" s="1"/>
  <c r="K435" i="33" s="1"/>
  <c r="K436" i="33" s="1"/>
  <c r="K437" i="33" s="1"/>
  <c r="K438" i="33" s="1"/>
  <c r="K439" i="33" s="1"/>
  <c r="K440" i="33" s="1"/>
  <c r="K441" i="33" s="1"/>
  <c r="K442" i="33" s="1"/>
  <c r="K443" i="33" s="1"/>
  <c r="K444" i="33" s="1"/>
  <c r="K445" i="33" s="1"/>
  <c r="K446" i="33" s="1"/>
  <c r="K447" i="33" s="1"/>
  <c r="K448" i="33" s="1"/>
  <c r="K449" i="33" s="1"/>
  <c r="K450" i="33" s="1"/>
  <c r="K451" i="33" s="1"/>
  <c r="K452" i="33" s="1"/>
  <c r="K453" i="33" s="1"/>
  <c r="K454" i="33" s="1"/>
  <c r="K455" i="33" s="1"/>
  <c r="K456" i="33" s="1"/>
  <c r="K457" i="33" s="1"/>
  <c r="K458" i="33" s="1"/>
  <c r="K459" i="33" s="1"/>
  <c r="K460" i="33" s="1"/>
  <c r="K461" i="33" s="1"/>
  <c r="K462" i="33" s="1"/>
  <c r="K463" i="33" s="1"/>
  <c r="K464" i="33" s="1"/>
  <c r="K465" i="33" s="1"/>
  <c r="K466" i="33" s="1"/>
  <c r="K467" i="33" s="1"/>
  <c r="K468" i="33" s="1"/>
  <c r="K469" i="33" s="1"/>
  <c r="K470" i="33" s="1"/>
  <c r="K471" i="33" s="1"/>
  <c r="K472" i="33" s="1"/>
  <c r="K473" i="33" s="1"/>
  <c r="K474" i="33" s="1"/>
  <c r="K475" i="33" s="1"/>
  <c r="K476" i="33" s="1"/>
  <c r="K477" i="33" s="1"/>
  <c r="K478" i="33" s="1"/>
  <c r="K479" i="33" s="1"/>
  <c r="K480" i="33" s="1"/>
  <c r="K481" i="33" s="1"/>
  <c r="K482" i="33" s="1"/>
  <c r="K483" i="33" s="1"/>
  <c r="K484" i="33" s="1"/>
  <c r="K485" i="33" s="1"/>
  <c r="K486" i="33" s="1"/>
  <c r="K487" i="33" s="1"/>
  <c r="K488" i="33" s="1"/>
  <c r="K489" i="33" s="1"/>
  <c r="K490" i="33" s="1"/>
  <c r="K491" i="33" s="1"/>
  <c r="K492" i="33" s="1"/>
  <c r="K493" i="33" s="1"/>
  <c r="K494" i="33" s="1"/>
  <c r="K495" i="33" s="1"/>
  <c r="K496" i="33" s="1"/>
  <c r="K497" i="33" s="1"/>
  <c r="K498" i="33" s="1"/>
  <c r="K499" i="33" s="1"/>
  <c r="K500" i="33" s="1"/>
  <c r="K501" i="33" s="1"/>
  <c r="K502" i="33" s="1"/>
  <c r="K503" i="33" s="1"/>
  <c r="K504" i="33" s="1"/>
  <c r="K505" i="33" s="1"/>
  <c r="K506" i="33" s="1"/>
  <c r="K507" i="33" s="1"/>
  <c r="K508" i="33" s="1"/>
  <c r="K509" i="33" s="1"/>
  <c r="K510" i="33" s="1"/>
  <c r="K511" i="33" s="1"/>
  <c r="K512" i="33" s="1"/>
  <c r="K513" i="33" s="1"/>
  <c r="K514" i="33" s="1"/>
  <c r="K515" i="33" s="1"/>
  <c r="K516" i="33" s="1"/>
  <c r="K517" i="33" s="1"/>
  <c r="M388" i="33"/>
  <c r="M389" i="33" s="1"/>
  <c r="L388" i="33"/>
  <c r="M21" i="33"/>
  <c r="M22" i="33" s="1"/>
  <c r="M23" i="33" s="1"/>
  <c r="M24" i="33" s="1"/>
  <c r="M25" i="33" s="1"/>
  <c r="M26" i="33" s="1"/>
  <c r="M27" i="33" s="1"/>
  <c r="M28" i="33" s="1"/>
  <c r="M29" i="33" s="1"/>
  <c r="M30" i="33" s="1"/>
  <c r="M31" i="33" s="1"/>
  <c r="M32" i="33" s="1"/>
  <c r="M33" i="33" s="1"/>
  <c r="M34" i="33" s="1"/>
  <c r="M35" i="33" s="1"/>
  <c r="M36" i="33" s="1"/>
  <c r="M37" i="33" s="1"/>
  <c r="M38" i="33" s="1"/>
  <c r="M39" i="33" s="1"/>
  <c r="M40" i="33" s="1"/>
  <c r="M41" i="33" s="1"/>
  <c r="M42" i="33" s="1"/>
  <c r="M43" i="33" s="1"/>
  <c r="M44" i="33" s="1"/>
  <c r="M45" i="33" s="1"/>
  <c r="M46" i="33" s="1"/>
  <c r="M47" i="33" s="1"/>
  <c r="M48" i="33" s="1"/>
  <c r="M49" i="33" s="1"/>
  <c r="M50" i="33" s="1"/>
  <c r="M51" i="33" s="1"/>
  <c r="M52" i="33" s="1"/>
  <c r="M53" i="33" s="1"/>
  <c r="M54" i="33" s="1"/>
  <c r="M55" i="33" s="1"/>
  <c r="M56" i="33" s="1"/>
  <c r="M57" i="33" s="1"/>
  <c r="M58" i="33" s="1"/>
  <c r="M59" i="33" s="1"/>
  <c r="M60" i="33" s="1"/>
  <c r="M61" i="33" s="1"/>
  <c r="M62" i="33" s="1"/>
  <c r="M63" i="33" s="1"/>
  <c r="M64" i="33" s="1"/>
  <c r="M65" i="33" s="1"/>
  <c r="M66" i="33" s="1"/>
  <c r="M67" i="33" s="1"/>
  <c r="M68" i="33" s="1"/>
  <c r="M69" i="33" s="1"/>
  <c r="M70" i="33" s="1"/>
  <c r="M71" i="33" s="1"/>
  <c r="M72" i="33" s="1"/>
  <c r="M73" i="33" s="1"/>
  <c r="M74" i="33" s="1"/>
  <c r="M75" i="33" s="1"/>
  <c r="M76" i="33" s="1"/>
  <c r="M77" i="33" s="1"/>
  <c r="M78" i="33" s="1"/>
  <c r="M79" i="33" s="1"/>
  <c r="M80" i="33" s="1"/>
  <c r="M81" i="33" s="1"/>
  <c r="M82" i="33" s="1"/>
  <c r="M83" i="33" s="1"/>
  <c r="M84" i="33" s="1"/>
  <c r="M85" i="33" s="1"/>
  <c r="M86" i="33" s="1"/>
  <c r="M87" i="33" s="1"/>
  <c r="M88" i="33" s="1"/>
  <c r="M89" i="33" s="1"/>
  <c r="M90" i="33" s="1"/>
  <c r="M91" i="33" s="1"/>
  <c r="M92" i="33" s="1"/>
  <c r="M93" i="33" s="1"/>
  <c r="M94" i="33" s="1"/>
  <c r="M95" i="33" s="1"/>
  <c r="M96" i="33" s="1"/>
  <c r="M97" i="33" s="1"/>
  <c r="M98" i="33" s="1"/>
  <c r="M99" i="33" s="1"/>
  <c r="M100" i="33" s="1"/>
  <c r="M101" i="33" s="1"/>
  <c r="M102" i="33" s="1"/>
  <c r="M103" i="33" s="1"/>
  <c r="M104" i="33" s="1"/>
  <c r="M105" i="33" s="1"/>
  <c r="M106" i="33" s="1"/>
  <c r="M107" i="33" s="1"/>
  <c r="M108" i="33" s="1"/>
  <c r="M109" i="33" s="1"/>
  <c r="M110" i="33" s="1"/>
  <c r="M111" i="33" s="1"/>
  <c r="M112" i="33" s="1"/>
  <c r="M113" i="33" s="1"/>
  <c r="M114" i="33" s="1"/>
  <c r="M115" i="33" s="1"/>
  <c r="M116" i="33" s="1"/>
  <c r="M117" i="33" s="1"/>
  <c r="M118" i="33" s="1"/>
  <c r="M119" i="33" s="1"/>
  <c r="M120" i="33" s="1"/>
  <c r="M121" i="33" s="1"/>
  <c r="M122" i="33" s="1"/>
  <c r="M123" i="33" s="1"/>
  <c r="M124" i="33" s="1"/>
  <c r="M125" i="33" s="1"/>
  <c r="M126" i="33" s="1"/>
  <c r="M127" i="33" s="1"/>
  <c r="M128" i="33" s="1"/>
  <c r="M129" i="33" s="1"/>
  <c r="M130" i="33" s="1"/>
  <c r="M131" i="33" s="1"/>
  <c r="M132" i="33" s="1"/>
  <c r="M133" i="33" s="1"/>
  <c r="M134" i="33" s="1"/>
  <c r="M135" i="33" s="1"/>
  <c r="M136" i="33" s="1"/>
  <c r="M137" i="33" s="1"/>
  <c r="M138" i="33" s="1"/>
  <c r="M139" i="33" s="1"/>
  <c r="M140" i="33" s="1"/>
  <c r="M141" i="33" s="1"/>
  <c r="M142" i="33" s="1"/>
  <c r="M143" i="33" s="1"/>
  <c r="M144" i="33" s="1"/>
  <c r="M145" i="33" s="1"/>
  <c r="M146" i="33" s="1"/>
  <c r="M147" i="33" s="1"/>
  <c r="M148" i="33" s="1"/>
  <c r="M149" i="33" s="1"/>
  <c r="M150" i="33" s="1"/>
  <c r="M151" i="33" s="1"/>
  <c r="M152" i="33" s="1"/>
  <c r="M153" i="33" s="1"/>
  <c r="M154" i="33" s="1"/>
  <c r="M155" i="33" s="1"/>
  <c r="M156" i="33" s="1"/>
  <c r="M157" i="33" s="1"/>
  <c r="M158" i="33" s="1"/>
  <c r="M159" i="33" s="1"/>
  <c r="M160" i="33" s="1"/>
  <c r="M161" i="33" s="1"/>
  <c r="M162" i="33" s="1"/>
  <c r="M163" i="33" s="1"/>
  <c r="M164" i="33" s="1"/>
  <c r="M165" i="33" s="1"/>
  <c r="M166" i="33" s="1"/>
  <c r="M167" i="33" s="1"/>
  <c r="M168" i="33" s="1"/>
  <c r="M169" i="33" s="1"/>
  <c r="M170" i="33" s="1"/>
  <c r="M171" i="33" s="1"/>
  <c r="M172" i="33" s="1"/>
  <c r="M173" i="33" s="1"/>
  <c r="M174" i="33" s="1"/>
  <c r="M175" i="33" s="1"/>
  <c r="M176" i="33" s="1"/>
  <c r="M177" i="33" s="1"/>
  <c r="M178" i="33" s="1"/>
  <c r="M179" i="33" s="1"/>
  <c r="M180" i="33" s="1"/>
  <c r="M181" i="33" s="1"/>
  <c r="M182" i="33" s="1"/>
  <c r="M183" i="33" s="1"/>
  <c r="M184" i="33" s="1"/>
  <c r="M185" i="33" s="1"/>
  <c r="M186" i="33" s="1"/>
  <c r="M187" i="33" s="1"/>
  <c r="M188" i="33" s="1"/>
  <c r="M189" i="33" s="1"/>
  <c r="M190" i="33" s="1"/>
  <c r="M191" i="33" s="1"/>
  <c r="M192" i="33" s="1"/>
  <c r="M193" i="33" s="1"/>
  <c r="M194" i="33" s="1"/>
  <c r="M195" i="33" s="1"/>
  <c r="M196" i="33" s="1"/>
  <c r="M197" i="33" s="1"/>
  <c r="M198" i="33" s="1"/>
  <c r="M199" i="33" s="1"/>
  <c r="M200" i="33" s="1"/>
  <c r="M201" i="33" s="1"/>
  <c r="M202" i="33" s="1"/>
  <c r="M203" i="33" s="1"/>
  <c r="M204" i="33" s="1"/>
  <c r="M205" i="33" s="1"/>
  <c r="M206" i="33" s="1"/>
  <c r="M207" i="33" s="1"/>
  <c r="M208" i="33" s="1"/>
  <c r="M209" i="33" s="1"/>
  <c r="M210" i="33" s="1"/>
  <c r="M211" i="33" s="1"/>
  <c r="M212" i="33" s="1"/>
  <c r="M213" i="33" s="1"/>
  <c r="M214" i="33" s="1"/>
  <c r="M215" i="33" s="1"/>
  <c r="M216" i="33" s="1"/>
  <c r="M217" i="33" s="1"/>
  <c r="M218" i="33" s="1"/>
  <c r="M219" i="33" s="1"/>
  <c r="M220" i="33" s="1"/>
  <c r="M221" i="33" s="1"/>
  <c r="M222" i="33" s="1"/>
  <c r="M223" i="33" s="1"/>
  <c r="M224" i="33" s="1"/>
  <c r="M225" i="33" s="1"/>
  <c r="M226" i="33" s="1"/>
  <c r="M227" i="33" s="1"/>
  <c r="M228" i="33" s="1"/>
  <c r="M229" i="33" s="1"/>
  <c r="M230" i="33" s="1"/>
  <c r="M231" i="33" s="1"/>
  <c r="M232" i="33" s="1"/>
  <c r="M233" i="33" s="1"/>
  <c r="M234" i="33" s="1"/>
  <c r="M235" i="33" s="1"/>
  <c r="M236" i="33" s="1"/>
  <c r="M237" i="33" s="1"/>
  <c r="M238" i="33" s="1"/>
  <c r="M239" i="33" s="1"/>
  <c r="M240" i="33" s="1"/>
  <c r="M241" i="33" s="1"/>
  <c r="M242" i="33" s="1"/>
  <c r="M243" i="33" s="1"/>
  <c r="M244" i="33" s="1"/>
  <c r="M245" i="33" s="1"/>
  <c r="M246" i="33" s="1"/>
  <c r="M247" i="33" s="1"/>
  <c r="M248" i="33" s="1"/>
  <c r="M249" i="33" s="1"/>
  <c r="M250" i="33" s="1"/>
  <c r="M251" i="33" s="1"/>
  <c r="M252" i="33" s="1"/>
  <c r="M253" i="33" s="1"/>
  <c r="M254" i="33" s="1"/>
  <c r="M255" i="33" s="1"/>
  <c r="M256" i="33" s="1"/>
  <c r="M257" i="33" s="1"/>
  <c r="M258" i="33" s="1"/>
  <c r="M259" i="33" s="1"/>
  <c r="M260" i="33" s="1"/>
  <c r="M261" i="33" s="1"/>
  <c r="M262" i="33" s="1"/>
  <c r="M263" i="33" s="1"/>
  <c r="M264" i="33" s="1"/>
  <c r="M265" i="33" s="1"/>
  <c r="M266" i="33" s="1"/>
  <c r="M267" i="33" s="1"/>
  <c r="M268" i="33" s="1"/>
  <c r="M269" i="33" s="1"/>
  <c r="M270" i="33" s="1"/>
  <c r="M271" i="33" s="1"/>
  <c r="M272" i="33" s="1"/>
  <c r="M273" i="33" s="1"/>
  <c r="M274" i="33" s="1"/>
  <c r="M275" i="33" s="1"/>
  <c r="M276" i="33" s="1"/>
  <c r="L8" i="33"/>
  <c r="L9" i="33" s="1"/>
  <c r="L10" i="33" s="1"/>
  <c r="L11" i="33" s="1"/>
  <c r="L12" i="33" s="1"/>
  <c r="L13" i="33" s="1"/>
  <c r="L14" i="33" s="1"/>
  <c r="L15" i="33" s="1"/>
  <c r="L16" i="33" s="1"/>
  <c r="L17" i="33" s="1"/>
  <c r="L18" i="33" s="1"/>
  <c r="L19" i="33" s="1"/>
  <c r="L20" i="33" s="1"/>
  <c r="L21" i="33" s="1"/>
  <c r="L22" i="33" s="1"/>
  <c r="L23" i="33" s="1"/>
  <c r="L24" i="33" s="1"/>
  <c r="L25" i="33" s="1"/>
  <c r="L26" i="33" s="1"/>
  <c r="L27" i="33" s="1"/>
  <c r="L28" i="33" s="1"/>
  <c r="L29" i="33" s="1"/>
  <c r="L30" i="33" s="1"/>
  <c r="L31" i="33" s="1"/>
  <c r="L32" i="33" s="1"/>
  <c r="L33" i="33" s="1"/>
  <c r="L34" i="33" s="1"/>
  <c r="L35" i="33" s="1"/>
  <c r="L36" i="33" s="1"/>
  <c r="L37" i="33" s="1"/>
  <c r="L38" i="33" s="1"/>
  <c r="L39" i="33" s="1"/>
  <c r="L40" i="33" s="1"/>
  <c r="L41" i="33" s="1"/>
  <c r="L42" i="33" s="1"/>
  <c r="L43" i="33" s="1"/>
  <c r="L44" i="33" s="1"/>
  <c r="L45" i="33" s="1"/>
  <c r="L46" i="33" s="1"/>
  <c r="L47" i="33" s="1"/>
  <c r="L48" i="33" s="1"/>
  <c r="L49" i="33" s="1"/>
  <c r="L50" i="33" s="1"/>
  <c r="L51" i="33" s="1"/>
  <c r="L52" i="33" s="1"/>
  <c r="L53" i="33" s="1"/>
  <c r="L54" i="33" s="1"/>
  <c r="L55" i="33" s="1"/>
  <c r="L56" i="33" s="1"/>
  <c r="L57" i="33" s="1"/>
  <c r="L58" i="33" s="1"/>
  <c r="L59" i="33" s="1"/>
  <c r="L60" i="33" s="1"/>
  <c r="L61" i="33" s="1"/>
  <c r="L62" i="33" s="1"/>
  <c r="L63" i="33" s="1"/>
  <c r="L64" i="33" s="1"/>
  <c r="L65" i="33" s="1"/>
  <c r="L66" i="33" s="1"/>
  <c r="L67" i="33" s="1"/>
  <c r="L68" i="33" s="1"/>
  <c r="L69" i="33" s="1"/>
  <c r="L70" i="33" s="1"/>
  <c r="L71" i="33" s="1"/>
  <c r="L72" i="33" s="1"/>
  <c r="L73" i="33" s="1"/>
  <c r="L74" i="33" s="1"/>
  <c r="L75" i="33" s="1"/>
  <c r="L76" i="33" s="1"/>
  <c r="L77" i="33" s="1"/>
  <c r="L78" i="33" s="1"/>
  <c r="L79" i="33" s="1"/>
  <c r="L80" i="33" s="1"/>
  <c r="L81" i="33" s="1"/>
  <c r="L82" i="33" s="1"/>
  <c r="L83" i="33" s="1"/>
  <c r="L84" i="33" s="1"/>
  <c r="L85" i="33" s="1"/>
  <c r="L86" i="33" s="1"/>
  <c r="L87" i="33" s="1"/>
  <c r="L88" i="33" s="1"/>
  <c r="L89" i="33" s="1"/>
  <c r="L90" i="33" s="1"/>
  <c r="L91" i="33" s="1"/>
  <c r="L92" i="33" s="1"/>
  <c r="L93" i="33" s="1"/>
  <c r="L94" i="33" s="1"/>
  <c r="L95" i="33" s="1"/>
  <c r="L96" i="33" s="1"/>
  <c r="L97" i="33" s="1"/>
  <c r="L98" i="33" s="1"/>
  <c r="L99" i="33" s="1"/>
  <c r="L100" i="33" s="1"/>
  <c r="L101" i="33" s="1"/>
  <c r="L102" i="33" s="1"/>
  <c r="L103" i="33" s="1"/>
  <c r="L104" i="33" s="1"/>
  <c r="L105" i="33" s="1"/>
  <c r="L106" i="33" s="1"/>
  <c r="L107" i="33" s="1"/>
  <c r="L108" i="33" s="1"/>
  <c r="L109" i="33" s="1"/>
  <c r="L110" i="33" s="1"/>
  <c r="L111" i="33" s="1"/>
  <c r="L112" i="33" s="1"/>
  <c r="L113" i="33" s="1"/>
  <c r="L114" i="33" s="1"/>
  <c r="L115" i="33" s="1"/>
  <c r="L116" i="33" s="1"/>
  <c r="L117" i="33" s="1"/>
  <c r="L118" i="33" s="1"/>
  <c r="L119" i="33" s="1"/>
  <c r="L120" i="33" s="1"/>
  <c r="L121" i="33" s="1"/>
  <c r="L122" i="33" s="1"/>
  <c r="L123" i="33" s="1"/>
  <c r="L124" i="33" s="1"/>
  <c r="L125" i="33" s="1"/>
  <c r="L126" i="33" s="1"/>
  <c r="L127" i="33" s="1"/>
  <c r="L128" i="33" s="1"/>
  <c r="L129" i="33" s="1"/>
  <c r="L130" i="33" s="1"/>
  <c r="L131" i="33" s="1"/>
  <c r="L132" i="33" s="1"/>
  <c r="L133" i="33" s="1"/>
  <c r="L134" i="33" s="1"/>
  <c r="L135" i="33" s="1"/>
  <c r="L136" i="33" s="1"/>
  <c r="L137" i="33" s="1"/>
  <c r="L138" i="33" s="1"/>
  <c r="L139" i="33" s="1"/>
  <c r="L140" i="33" s="1"/>
  <c r="L141" i="33" s="1"/>
  <c r="L142" i="33" s="1"/>
  <c r="L143" i="33" s="1"/>
  <c r="L144" i="33" s="1"/>
  <c r="L145" i="33" s="1"/>
  <c r="L146" i="33" s="1"/>
  <c r="L147" i="33" s="1"/>
  <c r="L148" i="33" s="1"/>
  <c r="L149" i="33" s="1"/>
  <c r="L150" i="33" s="1"/>
  <c r="L151" i="33" s="1"/>
  <c r="L152" i="33" s="1"/>
  <c r="L153" i="33" s="1"/>
  <c r="L154" i="33" s="1"/>
  <c r="L155" i="33" s="1"/>
  <c r="L156" i="33" s="1"/>
  <c r="L157" i="33" s="1"/>
  <c r="L158" i="33" s="1"/>
  <c r="L159" i="33" s="1"/>
  <c r="L160" i="33" s="1"/>
  <c r="L161" i="33" s="1"/>
  <c r="L162" i="33" s="1"/>
  <c r="L163" i="33" s="1"/>
  <c r="L164" i="33" s="1"/>
  <c r="L165" i="33" s="1"/>
  <c r="L166" i="33" s="1"/>
  <c r="L167" i="33" s="1"/>
  <c r="L168" i="33" s="1"/>
  <c r="L169" i="33" s="1"/>
  <c r="L170" i="33" s="1"/>
  <c r="L171" i="33" s="1"/>
  <c r="L172" i="33" s="1"/>
  <c r="L173" i="33" s="1"/>
  <c r="L174" i="33" s="1"/>
  <c r="L175" i="33" s="1"/>
  <c r="L176" i="33" s="1"/>
  <c r="L177" i="33" s="1"/>
  <c r="L178" i="33" s="1"/>
  <c r="L179" i="33" s="1"/>
  <c r="L180" i="33" s="1"/>
  <c r="L181" i="33" s="1"/>
  <c r="L182" i="33" s="1"/>
  <c r="L183" i="33" s="1"/>
  <c r="L184" i="33" s="1"/>
  <c r="L185" i="33" s="1"/>
  <c r="L186" i="33" s="1"/>
  <c r="L187" i="33" s="1"/>
  <c r="L188" i="33" s="1"/>
  <c r="L189" i="33" s="1"/>
  <c r="L190" i="33" s="1"/>
  <c r="L191" i="33" s="1"/>
  <c r="L192" i="33" s="1"/>
  <c r="L193" i="33" s="1"/>
  <c r="L194" i="33" s="1"/>
  <c r="L195" i="33" s="1"/>
  <c r="L196" i="33" s="1"/>
  <c r="L197" i="33" s="1"/>
  <c r="L198" i="33" s="1"/>
  <c r="L199" i="33" s="1"/>
  <c r="L200" i="33" s="1"/>
  <c r="L201" i="33" s="1"/>
  <c r="L202" i="33" s="1"/>
  <c r="L203" i="33" s="1"/>
  <c r="L204" i="33" s="1"/>
  <c r="L205" i="33" s="1"/>
  <c r="L206" i="33" s="1"/>
  <c r="L207" i="33" s="1"/>
  <c r="L208" i="33" s="1"/>
  <c r="L209" i="33" s="1"/>
  <c r="L210" i="33" s="1"/>
  <c r="L211" i="33" s="1"/>
  <c r="L212" i="33" s="1"/>
  <c r="L213" i="33" s="1"/>
  <c r="L214" i="33" s="1"/>
  <c r="L215" i="33" s="1"/>
  <c r="L216" i="33" s="1"/>
  <c r="L217" i="33" s="1"/>
  <c r="L218" i="33" s="1"/>
  <c r="L219" i="33" s="1"/>
  <c r="L220" i="33" s="1"/>
  <c r="L221" i="33" s="1"/>
  <c r="L222" i="33" s="1"/>
  <c r="L223" i="33" s="1"/>
  <c r="L224" i="33" s="1"/>
  <c r="L225" i="33" s="1"/>
  <c r="L226" i="33" s="1"/>
  <c r="L227" i="33" s="1"/>
  <c r="L228" i="33" s="1"/>
  <c r="L229" i="33" s="1"/>
  <c r="L230" i="33" s="1"/>
  <c r="L231" i="33" s="1"/>
  <c r="L232" i="33" s="1"/>
  <c r="L233" i="33" s="1"/>
  <c r="L234" i="33" s="1"/>
  <c r="L235" i="33" s="1"/>
  <c r="L236" i="33" s="1"/>
  <c r="L237" i="33" s="1"/>
  <c r="L238" i="33" s="1"/>
  <c r="L239" i="33" s="1"/>
  <c r="L240" i="33" s="1"/>
  <c r="L241" i="33" s="1"/>
  <c r="L242" i="33" s="1"/>
  <c r="L243" i="33" s="1"/>
  <c r="L244" i="33" s="1"/>
  <c r="L245" i="33" s="1"/>
  <c r="L246" i="33" s="1"/>
  <c r="L247" i="33" s="1"/>
  <c r="L248" i="33" s="1"/>
  <c r="L249" i="33" s="1"/>
  <c r="L250" i="33" s="1"/>
  <c r="L251" i="33" s="1"/>
  <c r="L252" i="33" s="1"/>
  <c r="L253" i="33" s="1"/>
  <c r="L254" i="33" s="1"/>
  <c r="L255" i="33" s="1"/>
  <c r="L256" i="33" s="1"/>
  <c r="L257" i="33" s="1"/>
  <c r="L258" i="33" s="1"/>
  <c r="L259" i="33" s="1"/>
  <c r="L260" i="33" s="1"/>
  <c r="L261" i="33" s="1"/>
  <c r="L262" i="33" s="1"/>
  <c r="L263" i="33" s="1"/>
  <c r="L264" i="33" s="1"/>
  <c r="L265" i="33" s="1"/>
  <c r="L266" i="33" s="1"/>
  <c r="L267" i="33" s="1"/>
  <c r="L268" i="33" s="1"/>
  <c r="L269" i="33" s="1"/>
  <c r="L270" i="33" s="1"/>
  <c r="L271" i="33" s="1"/>
  <c r="L272" i="33" s="1"/>
  <c r="L273" i="33" s="1"/>
  <c r="L274" i="33" s="1"/>
  <c r="L275" i="33" s="1"/>
  <c r="L276" i="33" s="1"/>
  <c r="K7" i="33"/>
  <c r="K8" i="33" s="1"/>
  <c r="K9" i="33" s="1"/>
  <c r="K10" i="33" s="1"/>
  <c r="K11" i="33" s="1"/>
  <c r="K12" i="33" s="1"/>
  <c r="K13" i="33" s="1"/>
  <c r="K14" i="33" s="1"/>
  <c r="K15" i="33" s="1"/>
  <c r="K16" i="33" s="1"/>
  <c r="K17" i="33" s="1"/>
  <c r="K18" i="33" s="1"/>
  <c r="K19" i="33" s="1"/>
  <c r="K20" i="33" s="1"/>
  <c r="K21" i="33" s="1"/>
  <c r="K22" i="33" s="1"/>
  <c r="K23" i="33" s="1"/>
  <c r="K24" i="33" s="1"/>
  <c r="K25" i="33" s="1"/>
  <c r="K26" i="33" s="1"/>
  <c r="K27" i="33" s="1"/>
  <c r="K28" i="33" s="1"/>
  <c r="K29" i="33" s="1"/>
  <c r="K30" i="33" s="1"/>
  <c r="K31" i="33" s="1"/>
  <c r="K32" i="33" s="1"/>
  <c r="K33" i="33" s="1"/>
  <c r="K34" i="33" s="1"/>
  <c r="K35" i="33" s="1"/>
  <c r="K36" i="33" s="1"/>
  <c r="K37" i="33" s="1"/>
  <c r="K38" i="33" s="1"/>
  <c r="K39" i="33" s="1"/>
  <c r="K40" i="33" s="1"/>
  <c r="K41" i="33" s="1"/>
  <c r="K42" i="33" s="1"/>
  <c r="K43" i="33" s="1"/>
  <c r="K44" i="33" s="1"/>
  <c r="K45" i="33" s="1"/>
  <c r="K46" i="33" s="1"/>
  <c r="K47" i="33" s="1"/>
  <c r="K48" i="33" s="1"/>
  <c r="K49" i="33" s="1"/>
  <c r="K50" i="33" s="1"/>
  <c r="K51" i="33" s="1"/>
  <c r="K52" i="33" s="1"/>
  <c r="K53" i="33" s="1"/>
  <c r="K54" i="33" s="1"/>
  <c r="K55" i="33" s="1"/>
  <c r="K56" i="33" s="1"/>
  <c r="K57" i="33" s="1"/>
  <c r="K58" i="33" s="1"/>
  <c r="K59" i="33" s="1"/>
  <c r="K60" i="33" s="1"/>
  <c r="K61" i="33" s="1"/>
  <c r="K62" i="33" s="1"/>
  <c r="K63" i="33" s="1"/>
  <c r="K64" i="33" s="1"/>
  <c r="K65" i="33" s="1"/>
  <c r="K66" i="33" s="1"/>
  <c r="K67" i="33" s="1"/>
  <c r="K68" i="33" s="1"/>
  <c r="K69" i="33" s="1"/>
  <c r="K70" i="33" s="1"/>
  <c r="K71" i="33" s="1"/>
  <c r="K72" i="33" s="1"/>
  <c r="K73" i="33" s="1"/>
  <c r="K74" i="33" s="1"/>
  <c r="K75" i="33" s="1"/>
  <c r="K76" i="33" s="1"/>
  <c r="K77" i="33" s="1"/>
  <c r="K78" i="33" s="1"/>
  <c r="K79" i="33" s="1"/>
  <c r="K80" i="33" s="1"/>
  <c r="K81" i="33" s="1"/>
  <c r="K82" i="33" s="1"/>
  <c r="K83" i="33" s="1"/>
  <c r="K84" i="33" s="1"/>
  <c r="K85" i="33" s="1"/>
  <c r="K86" i="33" s="1"/>
  <c r="K87" i="33" s="1"/>
  <c r="K88" i="33" s="1"/>
  <c r="K89" i="33" s="1"/>
  <c r="K90" i="33" s="1"/>
  <c r="K91" i="33" s="1"/>
  <c r="K92" i="33" s="1"/>
  <c r="K93" i="33" s="1"/>
  <c r="K94" i="33" s="1"/>
  <c r="K95" i="33" s="1"/>
  <c r="K96" i="33" s="1"/>
  <c r="K97" i="33" s="1"/>
  <c r="K98" i="33" s="1"/>
  <c r="K99" i="33" s="1"/>
  <c r="K100" i="33" s="1"/>
  <c r="K101" i="33" s="1"/>
  <c r="K102" i="33" s="1"/>
  <c r="K103" i="33" s="1"/>
  <c r="K104" i="33" s="1"/>
  <c r="K105" i="33" s="1"/>
  <c r="K106" i="33" s="1"/>
  <c r="K107" i="33" s="1"/>
  <c r="K108" i="33" s="1"/>
  <c r="K109" i="33" s="1"/>
  <c r="K110" i="33" s="1"/>
  <c r="K111" i="33" s="1"/>
  <c r="K112" i="33" s="1"/>
  <c r="K113" i="33" s="1"/>
  <c r="K114" i="33" s="1"/>
  <c r="K115" i="33" s="1"/>
  <c r="K116" i="33" s="1"/>
  <c r="K117" i="33" s="1"/>
  <c r="K118" i="33" s="1"/>
  <c r="K119" i="33" s="1"/>
  <c r="K120" i="33" s="1"/>
  <c r="K121" i="33" s="1"/>
  <c r="K122" i="33" s="1"/>
  <c r="K123" i="33" s="1"/>
  <c r="K124" i="33" s="1"/>
  <c r="K125" i="33" s="1"/>
  <c r="K126" i="33" s="1"/>
  <c r="K127" i="33" s="1"/>
  <c r="K128" i="33" s="1"/>
  <c r="K129" i="33" s="1"/>
  <c r="K130" i="33" s="1"/>
  <c r="K131" i="33" s="1"/>
  <c r="K132" i="33" s="1"/>
  <c r="K133" i="33" s="1"/>
  <c r="K134" i="33" s="1"/>
  <c r="K135" i="33" s="1"/>
  <c r="K136" i="33" s="1"/>
  <c r="K137" i="33" s="1"/>
  <c r="K138" i="33" s="1"/>
  <c r="K139" i="33" s="1"/>
  <c r="K140" i="33" s="1"/>
  <c r="K141" i="33" s="1"/>
  <c r="K142" i="33" s="1"/>
  <c r="K143" i="33" s="1"/>
  <c r="K144" i="33" s="1"/>
  <c r="K145" i="33" s="1"/>
  <c r="K146" i="33" s="1"/>
  <c r="K147" i="33" s="1"/>
  <c r="K148" i="33" s="1"/>
  <c r="K149" i="33" s="1"/>
  <c r="K150" i="33" s="1"/>
  <c r="K151" i="33" s="1"/>
  <c r="K152" i="33" s="1"/>
  <c r="K153" i="33" s="1"/>
  <c r="K154" i="33" s="1"/>
  <c r="K155" i="33" s="1"/>
  <c r="K156" i="33" s="1"/>
  <c r="K157" i="33" s="1"/>
  <c r="K158" i="33" s="1"/>
  <c r="K159" i="33" s="1"/>
  <c r="K160" i="33" s="1"/>
  <c r="K161" i="33" s="1"/>
  <c r="K162" i="33" s="1"/>
  <c r="K163" i="33" s="1"/>
  <c r="K164" i="33" s="1"/>
  <c r="K165" i="33" s="1"/>
  <c r="K166" i="33" s="1"/>
  <c r="K167" i="33" s="1"/>
  <c r="K168" i="33" s="1"/>
  <c r="K169" i="33" s="1"/>
  <c r="K170" i="33" s="1"/>
  <c r="K171" i="33" s="1"/>
  <c r="K172" i="33" s="1"/>
  <c r="K173" i="33" s="1"/>
  <c r="K174" i="33" s="1"/>
  <c r="K175" i="33" s="1"/>
  <c r="K176" i="33" s="1"/>
  <c r="K177" i="33" s="1"/>
  <c r="K178" i="33" s="1"/>
  <c r="K179" i="33" s="1"/>
  <c r="K180" i="33" s="1"/>
  <c r="K181" i="33" s="1"/>
  <c r="K182" i="33" s="1"/>
  <c r="K183" i="33" s="1"/>
  <c r="K184" i="33" s="1"/>
  <c r="K185" i="33" s="1"/>
  <c r="K186" i="33" s="1"/>
  <c r="K187" i="33" s="1"/>
  <c r="K188" i="33" s="1"/>
  <c r="K189" i="33" s="1"/>
  <c r="K190" i="33" s="1"/>
  <c r="K191" i="33" s="1"/>
  <c r="K192" i="33" s="1"/>
  <c r="K193" i="33" s="1"/>
  <c r="K194" i="33" s="1"/>
  <c r="K195" i="33" s="1"/>
  <c r="K196" i="33" s="1"/>
  <c r="K197" i="33" s="1"/>
  <c r="K198" i="33" s="1"/>
  <c r="K199" i="33" s="1"/>
  <c r="K200" i="33" s="1"/>
  <c r="K201" i="33" s="1"/>
  <c r="K202" i="33" s="1"/>
  <c r="K203" i="33" s="1"/>
  <c r="K204" i="33" s="1"/>
  <c r="K205" i="33" s="1"/>
  <c r="K206" i="33" s="1"/>
  <c r="K207" i="33" s="1"/>
  <c r="K208" i="33" s="1"/>
  <c r="K209" i="33" s="1"/>
  <c r="K210" i="33" s="1"/>
  <c r="K211" i="33" s="1"/>
  <c r="K212" i="33" s="1"/>
  <c r="K213" i="33" s="1"/>
  <c r="K214" i="33" s="1"/>
  <c r="K215" i="33" s="1"/>
  <c r="K216" i="33" s="1"/>
  <c r="K217" i="33" s="1"/>
  <c r="K218" i="33" s="1"/>
  <c r="K219" i="33" s="1"/>
  <c r="K220" i="33" s="1"/>
  <c r="K221" i="33" s="1"/>
  <c r="K222" i="33" s="1"/>
  <c r="K223" i="33" s="1"/>
  <c r="K224" i="33" s="1"/>
  <c r="K225" i="33" s="1"/>
  <c r="K226" i="33" s="1"/>
  <c r="K227" i="33" s="1"/>
  <c r="K228" i="33" s="1"/>
  <c r="K229" i="33" s="1"/>
  <c r="K230" i="33" s="1"/>
  <c r="K231" i="33" s="1"/>
  <c r="K232" i="33" s="1"/>
  <c r="K233" i="33" s="1"/>
  <c r="K234" i="33" s="1"/>
  <c r="K235" i="33" s="1"/>
  <c r="K236" i="33" s="1"/>
  <c r="K237" i="33" s="1"/>
  <c r="K238" i="33" s="1"/>
  <c r="K239" i="33" s="1"/>
  <c r="K240" i="33" s="1"/>
  <c r="K241" i="33" s="1"/>
  <c r="K242" i="33" s="1"/>
  <c r="K243" i="33" s="1"/>
  <c r="K244" i="33" s="1"/>
  <c r="K245" i="33" s="1"/>
  <c r="K246" i="33" s="1"/>
  <c r="K247" i="33" s="1"/>
  <c r="K248" i="33" s="1"/>
  <c r="K249" i="33" s="1"/>
  <c r="K250" i="33" s="1"/>
  <c r="K251" i="33" s="1"/>
  <c r="K252" i="33" s="1"/>
  <c r="K253" i="33" s="1"/>
  <c r="K254" i="33" s="1"/>
  <c r="K255" i="33" s="1"/>
  <c r="K256" i="33" s="1"/>
  <c r="K257" i="33" s="1"/>
  <c r="K258" i="33" s="1"/>
  <c r="K259" i="33" s="1"/>
  <c r="K260" i="33" s="1"/>
  <c r="K261" i="33" s="1"/>
  <c r="K262" i="33" s="1"/>
  <c r="K263" i="33" s="1"/>
  <c r="K264" i="33" s="1"/>
  <c r="K265" i="33" s="1"/>
  <c r="K266" i="33" s="1"/>
  <c r="K267" i="33" s="1"/>
  <c r="K268" i="33" s="1"/>
  <c r="K269" i="33" s="1"/>
  <c r="K270" i="33" s="1"/>
  <c r="K271" i="33" s="1"/>
  <c r="K272" i="33" s="1"/>
  <c r="K273" i="33" s="1"/>
  <c r="K274" i="33" s="1"/>
  <c r="K275" i="33" s="1"/>
  <c r="K276" i="33" s="1"/>
  <c r="M7" i="33"/>
  <c r="M8" i="33" s="1"/>
  <c r="L7" i="33"/>
  <c r="O330" i="32"/>
  <c r="N330" i="32"/>
  <c r="O329" i="32"/>
  <c r="N329" i="32"/>
  <c r="O328" i="32"/>
  <c r="N328" i="32"/>
  <c r="O327" i="32"/>
  <c r="N327" i="32"/>
  <c r="O326" i="32"/>
  <c r="N326" i="32"/>
  <c r="O325" i="32"/>
  <c r="N325" i="32"/>
  <c r="O324" i="32"/>
  <c r="N324" i="32"/>
  <c r="O323" i="32"/>
  <c r="N323" i="32"/>
  <c r="O322" i="32"/>
  <c r="N322" i="32"/>
  <c r="O321" i="32"/>
  <c r="N321" i="32"/>
  <c r="O320" i="32"/>
  <c r="N320" i="32"/>
  <c r="O319" i="32"/>
  <c r="N319" i="32"/>
  <c r="O318" i="32"/>
  <c r="N318" i="32"/>
  <c r="O317" i="32"/>
  <c r="N317" i="32"/>
  <c r="O316" i="32"/>
  <c r="N316" i="32"/>
  <c r="O315" i="32"/>
  <c r="N315" i="32"/>
  <c r="O314" i="32"/>
  <c r="N314" i="32"/>
  <c r="O313" i="32"/>
  <c r="N313" i="32"/>
  <c r="O312" i="32"/>
  <c r="N312" i="32"/>
  <c r="O311" i="32"/>
  <c r="N311" i="32"/>
  <c r="O310" i="32"/>
  <c r="N310" i="32"/>
  <c r="O309" i="32"/>
  <c r="N309" i="32"/>
  <c r="O308" i="32"/>
  <c r="N308" i="32"/>
  <c r="O307" i="32"/>
  <c r="N307" i="32"/>
  <c r="O306" i="32"/>
  <c r="N306" i="32"/>
  <c r="O305" i="32"/>
  <c r="N305" i="32"/>
  <c r="O304" i="32"/>
  <c r="N304" i="32"/>
  <c r="O303" i="32"/>
  <c r="N303" i="32"/>
  <c r="O302" i="32"/>
  <c r="N302" i="32"/>
  <c r="O301" i="32"/>
  <c r="N301" i="32"/>
  <c r="O300" i="32"/>
  <c r="N300" i="32"/>
  <c r="O299" i="32"/>
  <c r="N299" i="32"/>
  <c r="O298" i="32"/>
  <c r="N298" i="32"/>
  <c r="O297" i="32"/>
  <c r="N297" i="32"/>
  <c r="O296" i="32"/>
  <c r="N296" i="32"/>
  <c r="O295" i="32"/>
  <c r="N295" i="32"/>
  <c r="O294" i="32"/>
  <c r="N294" i="32"/>
  <c r="O293" i="32"/>
  <c r="N293" i="32"/>
  <c r="O292" i="32"/>
  <c r="N292" i="32"/>
  <c r="O291" i="32"/>
  <c r="N291" i="32"/>
  <c r="O290" i="32"/>
  <c r="N290" i="32"/>
  <c r="O289" i="32"/>
  <c r="N289" i="32"/>
  <c r="O288" i="32"/>
  <c r="N288" i="32"/>
  <c r="O287" i="32"/>
  <c r="N287" i="32"/>
  <c r="O286" i="32"/>
  <c r="N286" i="32"/>
  <c r="O285" i="32"/>
  <c r="N285" i="32"/>
  <c r="O284" i="32"/>
  <c r="N284" i="32"/>
  <c r="O283" i="32"/>
  <c r="N283" i="32"/>
  <c r="O282" i="32"/>
  <c r="N282" i="32"/>
  <c r="O281" i="32"/>
  <c r="N281" i="32"/>
  <c r="O280" i="32"/>
  <c r="N280" i="32"/>
  <c r="O279" i="32"/>
  <c r="N279" i="32"/>
  <c r="O278" i="32"/>
  <c r="N278" i="32"/>
  <c r="O277" i="32"/>
  <c r="N277" i="32"/>
  <c r="O276" i="32"/>
  <c r="N276" i="32"/>
  <c r="O275" i="32"/>
  <c r="N275" i="32"/>
  <c r="O274" i="32"/>
  <c r="N274" i="32"/>
  <c r="O273" i="32"/>
  <c r="N273" i="32"/>
  <c r="O272" i="32"/>
  <c r="N272" i="32"/>
  <c r="O271" i="32"/>
  <c r="N271" i="32"/>
  <c r="O270" i="32"/>
  <c r="N270" i="32"/>
  <c r="O269" i="32"/>
  <c r="N269" i="32"/>
  <c r="O268" i="32"/>
  <c r="N268" i="32"/>
  <c r="O267" i="32"/>
  <c r="N267" i="32"/>
  <c r="O266" i="32"/>
  <c r="N266" i="32"/>
  <c r="O265" i="32"/>
  <c r="N265" i="32"/>
  <c r="O264" i="32"/>
  <c r="N264" i="32"/>
  <c r="O263" i="32"/>
  <c r="N263" i="32"/>
  <c r="O262" i="32"/>
  <c r="N262" i="32"/>
  <c r="O261" i="32"/>
  <c r="N261" i="32"/>
  <c r="O260" i="32"/>
  <c r="N260" i="32"/>
  <c r="O259" i="32"/>
  <c r="N259" i="32"/>
  <c r="O258" i="32"/>
  <c r="N258" i="32"/>
  <c r="O257" i="32"/>
  <c r="N257" i="32"/>
  <c r="O256" i="32"/>
  <c r="N256" i="32"/>
  <c r="O255" i="32"/>
  <c r="N255" i="32"/>
  <c r="O254" i="32"/>
  <c r="N254" i="32"/>
  <c r="O253" i="32"/>
  <c r="N253" i="32"/>
  <c r="O252" i="32"/>
  <c r="N252" i="32"/>
  <c r="O251" i="32"/>
  <c r="N251" i="32"/>
  <c r="O250" i="32"/>
  <c r="N250" i="32"/>
  <c r="O249" i="32"/>
  <c r="N249" i="32"/>
  <c r="O248" i="32"/>
  <c r="N248" i="32"/>
  <c r="O247" i="32"/>
  <c r="N247" i="32"/>
  <c r="O246" i="32"/>
  <c r="N246" i="32"/>
  <c r="O245" i="32"/>
  <c r="N245" i="32"/>
  <c r="O244" i="32"/>
  <c r="N244" i="32"/>
  <c r="O243" i="32"/>
  <c r="N243" i="32"/>
  <c r="O242" i="32"/>
  <c r="N242" i="32"/>
  <c r="O241" i="32"/>
  <c r="N241" i="32"/>
  <c r="O240" i="32"/>
  <c r="N240" i="32"/>
  <c r="O239" i="32"/>
  <c r="N239" i="32"/>
  <c r="O238" i="32"/>
  <c r="N238" i="32"/>
  <c r="O237" i="32"/>
  <c r="N237" i="32"/>
  <c r="O236" i="32"/>
  <c r="N236" i="32"/>
  <c r="O235" i="32"/>
  <c r="N235" i="32"/>
  <c r="O234" i="32"/>
  <c r="N234" i="32"/>
  <c r="O233" i="32"/>
  <c r="N233" i="32"/>
  <c r="O232" i="32"/>
  <c r="N232" i="32"/>
  <c r="O231" i="32"/>
  <c r="N231" i="32"/>
  <c r="O230" i="32"/>
  <c r="N230" i="32"/>
  <c r="L230" i="32"/>
  <c r="L231" i="32" s="1"/>
  <c r="L232" i="32" s="1"/>
  <c r="L233" i="32" s="1"/>
  <c r="L234" i="32" s="1"/>
  <c r="L235" i="32" s="1"/>
  <c r="L236" i="32" s="1"/>
  <c r="L237" i="32" s="1"/>
  <c r="L238" i="32" s="1"/>
  <c r="L239" i="32" s="1"/>
  <c r="L240" i="32" s="1"/>
  <c r="L241" i="32" s="1"/>
  <c r="L242" i="32" s="1"/>
  <c r="L243" i="32" s="1"/>
  <c r="L244" i="32" s="1"/>
  <c r="L245" i="32" s="1"/>
  <c r="L246" i="32" s="1"/>
  <c r="L247" i="32" s="1"/>
  <c r="L248" i="32" s="1"/>
  <c r="L249" i="32" s="1"/>
  <c r="L250" i="32" s="1"/>
  <c r="L251" i="32" s="1"/>
  <c r="L252" i="32" s="1"/>
  <c r="L253" i="32" s="1"/>
  <c r="L254" i="32" s="1"/>
  <c r="L255" i="32" s="1"/>
  <c r="L256" i="32" s="1"/>
  <c r="L257" i="32" s="1"/>
  <c r="L258" i="32" s="1"/>
  <c r="L259" i="32" s="1"/>
  <c r="L260" i="32" s="1"/>
  <c r="L261" i="32" s="1"/>
  <c r="L262" i="32" s="1"/>
  <c r="L263" i="32" s="1"/>
  <c r="L264" i="32" s="1"/>
  <c r="L265" i="32" s="1"/>
  <c r="L266" i="32" s="1"/>
  <c r="L267" i="32" s="1"/>
  <c r="L268" i="32" s="1"/>
  <c r="L269" i="32" s="1"/>
  <c r="L270" i="32" s="1"/>
  <c r="L271" i="32" s="1"/>
  <c r="L272" i="32" s="1"/>
  <c r="L273" i="32" s="1"/>
  <c r="L274" i="32" s="1"/>
  <c r="L275" i="32" s="1"/>
  <c r="L276" i="32" s="1"/>
  <c r="L277" i="32" s="1"/>
  <c r="L278" i="32" s="1"/>
  <c r="L279" i="32" s="1"/>
  <c r="L280" i="32" s="1"/>
  <c r="L281" i="32" s="1"/>
  <c r="L282" i="32" s="1"/>
  <c r="L283" i="32" s="1"/>
  <c r="L284" i="32" s="1"/>
  <c r="L285" i="32" s="1"/>
  <c r="L286" i="32" s="1"/>
  <c r="L287" i="32" s="1"/>
  <c r="L288" i="32" s="1"/>
  <c r="L289" i="32" s="1"/>
  <c r="L290" i="32" s="1"/>
  <c r="L291" i="32" s="1"/>
  <c r="L292" i="32" s="1"/>
  <c r="L293" i="32" s="1"/>
  <c r="L294" i="32" s="1"/>
  <c r="L295" i="32" s="1"/>
  <c r="L296" i="32" s="1"/>
  <c r="L297" i="32" s="1"/>
  <c r="L298" i="32" s="1"/>
  <c r="L299" i="32" s="1"/>
  <c r="L300" i="32" s="1"/>
  <c r="L301" i="32" s="1"/>
  <c r="L302" i="32" s="1"/>
  <c r="L303" i="32" s="1"/>
  <c r="L304" i="32" s="1"/>
  <c r="L305" i="32" s="1"/>
  <c r="L306" i="32" s="1"/>
  <c r="L307" i="32" s="1"/>
  <c r="L308" i="32" s="1"/>
  <c r="L309" i="32" s="1"/>
  <c r="L310" i="32" s="1"/>
  <c r="L311" i="32" s="1"/>
  <c r="L312" i="32" s="1"/>
  <c r="L313" i="32" s="1"/>
  <c r="L314" i="32" s="1"/>
  <c r="L315" i="32" s="1"/>
  <c r="L316" i="32" s="1"/>
  <c r="L317" i="32" s="1"/>
  <c r="L318" i="32" s="1"/>
  <c r="L319" i="32" s="1"/>
  <c r="L320" i="32" s="1"/>
  <c r="L321" i="32" s="1"/>
  <c r="L322" i="32" s="1"/>
  <c r="L323" i="32" s="1"/>
  <c r="L324" i="32" s="1"/>
  <c r="L325" i="32" s="1"/>
  <c r="L326" i="32" s="1"/>
  <c r="L327" i="32" s="1"/>
  <c r="L328" i="32" s="1"/>
  <c r="L329" i="32" s="1"/>
  <c r="L330" i="32" s="1"/>
  <c r="O229" i="32"/>
  <c r="N229" i="32"/>
  <c r="O228" i="32"/>
  <c r="N228" i="32"/>
  <c r="O227" i="32"/>
  <c r="N227" i="32"/>
  <c r="O226" i="32"/>
  <c r="N226" i="32"/>
  <c r="O225" i="32"/>
  <c r="N225" i="32"/>
  <c r="O224" i="32"/>
  <c r="N224" i="32"/>
  <c r="O223" i="32"/>
  <c r="N223" i="32"/>
  <c r="O222" i="32"/>
  <c r="N222" i="32"/>
  <c r="O221" i="32"/>
  <c r="N221" i="32"/>
  <c r="O220" i="32"/>
  <c r="N220" i="32"/>
  <c r="O219" i="32"/>
  <c r="N219" i="32"/>
  <c r="O218" i="32"/>
  <c r="N218" i="32"/>
  <c r="M218" i="32"/>
  <c r="M219" i="32" s="1"/>
  <c r="M220" i="32" s="1"/>
  <c r="M221" i="32" s="1"/>
  <c r="M222" i="32" s="1"/>
  <c r="M223" i="32" s="1"/>
  <c r="M224" i="32" s="1"/>
  <c r="M225" i="32" s="1"/>
  <c r="M226" i="32" s="1"/>
  <c r="M227" i="32" s="1"/>
  <c r="M228" i="32" s="1"/>
  <c r="M229" i="32" s="1"/>
  <c r="M230" i="32" s="1"/>
  <c r="M231" i="32" s="1"/>
  <c r="M232" i="32" s="1"/>
  <c r="M233" i="32" s="1"/>
  <c r="M234" i="32" s="1"/>
  <c r="M235" i="32" s="1"/>
  <c r="M236" i="32" s="1"/>
  <c r="M237" i="32" s="1"/>
  <c r="M238" i="32" s="1"/>
  <c r="M239" i="32" s="1"/>
  <c r="M240" i="32" s="1"/>
  <c r="M241" i="32" s="1"/>
  <c r="M242" i="32" s="1"/>
  <c r="M243" i="32" s="1"/>
  <c r="M244" i="32" s="1"/>
  <c r="M245" i="32" s="1"/>
  <c r="M246" i="32" s="1"/>
  <c r="M247" i="32" s="1"/>
  <c r="M248" i="32" s="1"/>
  <c r="M249" i="32" s="1"/>
  <c r="M250" i="32" s="1"/>
  <c r="M251" i="32" s="1"/>
  <c r="M252" i="32" s="1"/>
  <c r="M253" i="32" s="1"/>
  <c r="M254" i="32" s="1"/>
  <c r="M255" i="32" s="1"/>
  <c r="M256" i="32" s="1"/>
  <c r="M257" i="32" s="1"/>
  <c r="M258" i="32" s="1"/>
  <c r="M259" i="32" s="1"/>
  <c r="M260" i="32" s="1"/>
  <c r="M261" i="32" s="1"/>
  <c r="M262" i="32" s="1"/>
  <c r="M263" i="32" s="1"/>
  <c r="M264" i="32" s="1"/>
  <c r="M265" i="32" s="1"/>
  <c r="M266" i="32" s="1"/>
  <c r="M267" i="32" s="1"/>
  <c r="M268" i="32" s="1"/>
  <c r="M269" i="32" s="1"/>
  <c r="M270" i="32" s="1"/>
  <c r="M271" i="32" s="1"/>
  <c r="M272" i="32" s="1"/>
  <c r="M273" i="32" s="1"/>
  <c r="M274" i="32" s="1"/>
  <c r="M275" i="32" s="1"/>
  <c r="M276" i="32" s="1"/>
  <c r="M277" i="32" s="1"/>
  <c r="M278" i="32" s="1"/>
  <c r="M279" i="32" s="1"/>
  <c r="M280" i="32" s="1"/>
  <c r="M281" i="32" s="1"/>
  <c r="M282" i="32" s="1"/>
  <c r="M283" i="32" s="1"/>
  <c r="M284" i="32" s="1"/>
  <c r="M285" i="32" s="1"/>
  <c r="M286" i="32" s="1"/>
  <c r="M287" i="32" s="1"/>
  <c r="M288" i="32" s="1"/>
  <c r="M289" i="32" s="1"/>
  <c r="M290" i="32" s="1"/>
  <c r="M291" i="32" s="1"/>
  <c r="M292" i="32" s="1"/>
  <c r="M293" i="32" s="1"/>
  <c r="M294" i="32" s="1"/>
  <c r="M295" i="32" s="1"/>
  <c r="M296" i="32" s="1"/>
  <c r="M297" i="32" s="1"/>
  <c r="M298" i="32" s="1"/>
  <c r="M299" i="32" s="1"/>
  <c r="M300" i="32" s="1"/>
  <c r="M301" i="32" s="1"/>
  <c r="M302" i="32" s="1"/>
  <c r="M303" i="32" s="1"/>
  <c r="M304" i="32" s="1"/>
  <c r="M305" i="32" s="1"/>
  <c r="M306" i="32" s="1"/>
  <c r="M307" i="32" s="1"/>
  <c r="M308" i="32" s="1"/>
  <c r="M309" i="32" s="1"/>
  <c r="M310" i="32" s="1"/>
  <c r="M311" i="32" s="1"/>
  <c r="M312" i="32" s="1"/>
  <c r="M313" i="32" s="1"/>
  <c r="M314" i="32" s="1"/>
  <c r="M315" i="32" s="1"/>
  <c r="M316" i="32" s="1"/>
  <c r="M317" i="32" s="1"/>
  <c r="M318" i="32" s="1"/>
  <c r="M319" i="32" s="1"/>
  <c r="M320" i="32" s="1"/>
  <c r="M321" i="32" s="1"/>
  <c r="M322" i="32" s="1"/>
  <c r="M323" i="32" s="1"/>
  <c r="M324" i="32" s="1"/>
  <c r="M325" i="32" s="1"/>
  <c r="M326" i="32" s="1"/>
  <c r="M327" i="32" s="1"/>
  <c r="M328" i="32" s="1"/>
  <c r="M329" i="32" s="1"/>
  <c r="M330" i="32" s="1"/>
  <c r="O217" i="32"/>
  <c r="N217" i="32"/>
  <c r="O216" i="32"/>
  <c r="N216" i="32"/>
  <c r="O215" i="32"/>
  <c r="N215" i="32"/>
  <c r="O214" i="32"/>
  <c r="N214" i="32"/>
  <c r="O213" i="32"/>
  <c r="N213" i="32"/>
  <c r="O212" i="32"/>
  <c r="N212" i="32"/>
  <c r="O211" i="32"/>
  <c r="N211" i="32"/>
  <c r="O210" i="32"/>
  <c r="N210" i="32"/>
  <c r="O209" i="32"/>
  <c r="N209" i="32"/>
  <c r="O208" i="32"/>
  <c r="N208" i="32"/>
  <c r="O207" i="32"/>
  <c r="N207" i="32"/>
  <c r="O206" i="32"/>
  <c r="N206" i="32"/>
  <c r="O205" i="32"/>
  <c r="N205" i="32"/>
  <c r="M205" i="32"/>
  <c r="M206" i="32" s="1"/>
  <c r="M207" i="32" s="1"/>
  <c r="M208" i="32" s="1"/>
  <c r="M209" i="32" s="1"/>
  <c r="M210" i="32" s="1"/>
  <c r="M211" i="32" s="1"/>
  <c r="M212" i="32" s="1"/>
  <c r="M213" i="32" s="1"/>
  <c r="M214" i="32" s="1"/>
  <c r="M215" i="32" s="1"/>
  <c r="M216" i="32" s="1"/>
  <c r="M217" i="32" s="1"/>
  <c r="O204" i="32"/>
  <c r="N204" i="32"/>
  <c r="O203" i="32"/>
  <c r="N203" i="32"/>
  <c r="M203" i="32"/>
  <c r="M204" i="32" s="1"/>
  <c r="O202" i="32"/>
  <c r="N202" i="32"/>
  <c r="L202" i="32"/>
  <c r="L203" i="32" s="1"/>
  <c r="L204" i="32" s="1"/>
  <c r="L205" i="32" s="1"/>
  <c r="L206" i="32" s="1"/>
  <c r="L207" i="32" s="1"/>
  <c r="L208" i="32" s="1"/>
  <c r="L209" i="32" s="1"/>
  <c r="L210" i="32" s="1"/>
  <c r="L211" i="32" s="1"/>
  <c r="L212" i="32" s="1"/>
  <c r="L213" i="32" s="1"/>
  <c r="L214" i="32" s="1"/>
  <c r="L215" i="32" s="1"/>
  <c r="L216" i="32" s="1"/>
  <c r="L217" i="32" s="1"/>
  <c r="L218" i="32" s="1"/>
  <c r="L219" i="32" s="1"/>
  <c r="L220" i="32" s="1"/>
  <c r="L221" i="32" s="1"/>
  <c r="L222" i="32" s="1"/>
  <c r="L223" i="32" s="1"/>
  <c r="L224" i="32" s="1"/>
  <c r="L225" i="32" s="1"/>
  <c r="L226" i="32" s="1"/>
  <c r="L227" i="32" s="1"/>
  <c r="L228" i="32" s="1"/>
  <c r="L229" i="32" s="1"/>
  <c r="O201" i="32"/>
  <c r="N201" i="32"/>
  <c r="K201" i="32"/>
  <c r="K202" i="32" s="1"/>
  <c r="K203" i="32" s="1"/>
  <c r="K204" i="32" s="1"/>
  <c r="K205" i="32" s="1"/>
  <c r="K206" i="32" s="1"/>
  <c r="K207" i="32" s="1"/>
  <c r="K208" i="32" s="1"/>
  <c r="K209" i="32" s="1"/>
  <c r="K210" i="32" s="1"/>
  <c r="K211" i="32" s="1"/>
  <c r="K212" i="32" s="1"/>
  <c r="K213" i="32" s="1"/>
  <c r="K214" i="32" s="1"/>
  <c r="K215" i="32" s="1"/>
  <c r="K216" i="32" s="1"/>
  <c r="K217" i="32" s="1"/>
  <c r="K218" i="32" s="1"/>
  <c r="K219" i="32" s="1"/>
  <c r="K220" i="32" s="1"/>
  <c r="K221" i="32" s="1"/>
  <c r="K222" i="32" s="1"/>
  <c r="K223" i="32" s="1"/>
  <c r="K224" i="32" s="1"/>
  <c r="K225" i="32" s="1"/>
  <c r="K226" i="32" s="1"/>
  <c r="K227" i="32" s="1"/>
  <c r="K228" i="32" s="1"/>
  <c r="K229" i="32" s="1"/>
  <c r="K230" i="32" s="1"/>
  <c r="K231" i="32" s="1"/>
  <c r="K232" i="32" s="1"/>
  <c r="K233" i="32" s="1"/>
  <c r="K234" i="32" s="1"/>
  <c r="K235" i="32" s="1"/>
  <c r="K236" i="32" s="1"/>
  <c r="K237" i="32" s="1"/>
  <c r="K238" i="32" s="1"/>
  <c r="K239" i="32" s="1"/>
  <c r="K240" i="32" s="1"/>
  <c r="K241" i="32" s="1"/>
  <c r="K242" i="32" s="1"/>
  <c r="K243" i="32" s="1"/>
  <c r="K244" i="32" s="1"/>
  <c r="K245" i="32" s="1"/>
  <c r="K246" i="32" s="1"/>
  <c r="K247" i="32" s="1"/>
  <c r="K248" i="32" s="1"/>
  <c r="K249" i="32" s="1"/>
  <c r="K250" i="32" s="1"/>
  <c r="K251" i="32" s="1"/>
  <c r="K252" i="32" s="1"/>
  <c r="K253" i="32" s="1"/>
  <c r="K254" i="32" s="1"/>
  <c r="K255" i="32" s="1"/>
  <c r="K256" i="32" s="1"/>
  <c r="K257" i="32" s="1"/>
  <c r="K258" i="32" s="1"/>
  <c r="K259" i="32" s="1"/>
  <c r="K260" i="32" s="1"/>
  <c r="K261" i="32" s="1"/>
  <c r="K262" i="32" s="1"/>
  <c r="K263" i="32" s="1"/>
  <c r="K264" i="32" s="1"/>
  <c r="K265" i="32" s="1"/>
  <c r="K266" i="32" s="1"/>
  <c r="K267" i="32" s="1"/>
  <c r="K268" i="32" s="1"/>
  <c r="K269" i="32" s="1"/>
  <c r="K270" i="32" s="1"/>
  <c r="K271" i="32" s="1"/>
  <c r="K272" i="32" s="1"/>
  <c r="K273" i="32" s="1"/>
  <c r="K274" i="32" s="1"/>
  <c r="K275" i="32" s="1"/>
  <c r="K276" i="32" s="1"/>
  <c r="K277" i="32" s="1"/>
  <c r="K278" i="32" s="1"/>
  <c r="K279" i="32" s="1"/>
  <c r="K280" i="32" s="1"/>
  <c r="K281" i="32" s="1"/>
  <c r="K282" i="32" s="1"/>
  <c r="K283" i="32" s="1"/>
  <c r="K284" i="32" s="1"/>
  <c r="K285" i="32" s="1"/>
  <c r="K286" i="32" s="1"/>
  <c r="K287" i="32" s="1"/>
  <c r="K288" i="32" s="1"/>
  <c r="K289" i="32" s="1"/>
  <c r="K290" i="32" s="1"/>
  <c r="K291" i="32" s="1"/>
  <c r="K292" i="32" s="1"/>
  <c r="K293" i="32" s="1"/>
  <c r="K294" i="32" s="1"/>
  <c r="K295" i="32" s="1"/>
  <c r="K296" i="32" s="1"/>
  <c r="K297" i="32" s="1"/>
  <c r="K298" i="32" s="1"/>
  <c r="K299" i="32" s="1"/>
  <c r="K300" i="32" s="1"/>
  <c r="K301" i="32" s="1"/>
  <c r="K302" i="32" s="1"/>
  <c r="K303" i="32" s="1"/>
  <c r="K304" i="32" s="1"/>
  <c r="K305" i="32" s="1"/>
  <c r="K306" i="32" s="1"/>
  <c r="K307" i="32" s="1"/>
  <c r="K308" i="32" s="1"/>
  <c r="K309" i="32" s="1"/>
  <c r="K310" i="32" s="1"/>
  <c r="K311" i="32" s="1"/>
  <c r="K312" i="32" s="1"/>
  <c r="K313" i="32" s="1"/>
  <c r="K314" i="32" s="1"/>
  <c r="K315" i="32" s="1"/>
  <c r="K316" i="32" s="1"/>
  <c r="K317" i="32" s="1"/>
  <c r="K318" i="32" s="1"/>
  <c r="K319" i="32" s="1"/>
  <c r="K320" i="32" s="1"/>
  <c r="K321" i="32" s="1"/>
  <c r="K322" i="32" s="1"/>
  <c r="K323" i="32" s="1"/>
  <c r="K324" i="32" s="1"/>
  <c r="K325" i="32" s="1"/>
  <c r="K326" i="32" s="1"/>
  <c r="K327" i="32" s="1"/>
  <c r="K328" i="32" s="1"/>
  <c r="K329" i="32" s="1"/>
  <c r="K330" i="32" s="1"/>
  <c r="M201" i="32"/>
  <c r="M202" i="32" s="1"/>
  <c r="L201" i="32"/>
  <c r="M71" i="32"/>
  <c r="M72" i="32" s="1"/>
  <c r="M73" i="32" s="1"/>
  <c r="M74" i="32" s="1"/>
  <c r="M75" i="32" s="1"/>
  <c r="M76" i="32" s="1"/>
  <c r="M77" i="32" s="1"/>
  <c r="M78" i="32" s="1"/>
  <c r="M79" i="32" s="1"/>
  <c r="M80" i="32" s="1"/>
  <c r="M81" i="32" s="1"/>
  <c r="M82" i="32" s="1"/>
  <c r="M83" i="32" s="1"/>
  <c r="M84" i="32" s="1"/>
  <c r="M85" i="32" s="1"/>
  <c r="M86" i="32" s="1"/>
  <c r="M87" i="32" s="1"/>
  <c r="M88" i="32" s="1"/>
  <c r="M89" i="32" s="1"/>
  <c r="M90" i="32" s="1"/>
  <c r="M91" i="32" s="1"/>
  <c r="M92" i="32" s="1"/>
  <c r="M93" i="32" s="1"/>
  <c r="M94" i="32" s="1"/>
  <c r="M95" i="32" s="1"/>
  <c r="M96" i="32" s="1"/>
  <c r="M97" i="32" s="1"/>
  <c r="M98" i="32" s="1"/>
  <c r="M99" i="32" s="1"/>
  <c r="M100" i="32" s="1"/>
  <c r="M101" i="32" s="1"/>
  <c r="M102" i="32" s="1"/>
  <c r="M103" i="32" s="1"/>
  <c r="M104" i="32" s="1"/>
  <c r="M105" i="32" s="1"/>
  <c r="M106" i="32" s="1"/>
  <c r="M107" i="32" s="1"/>
  <c r="M108" i="32" s="1"/>
  <c r="M109" i="32" s="1"/>
  <c r="M110" i="32" s="1"/>
  <c r="M111" i="32" s="1"/>
  <c r="M112" i="32" s="1"/>
  <c r="M113" i="32" s="1"/>
  <c r="M114" i="32" s="1"/>
  <c r="M115" i="32" s="1"/>
  <c r="M116" i="32" s="1"/>
  <c r="M117" i="32" s="1"/>
  <c r="M118" i="32" s="1"/>
  <c r="M119" i="32" s="1"/>
  <c r="M120" i="32" s="1"/>
  <c r="M121" i="32" s="1"/>
  <c r="M122" i="32" s="1"/>
  <c r="M123" i="32" s="1"/>
  <c r="M124" i="32" s="1"/>
  <c r="M125" i="32" s="1"/>
  <c r="M126" i="32" s="1"/>
  <c r="M127" i="32" s="1"/>
  <c r="M128" i="32" s="1"/>
  <c r="M129" i="32" s="1"/>
  <c r="M130" i="32" s="1"/>
  <c r="M131" i="32" s="1"/>
  <c r="M132" i="32" s="1"/>
  <c r="M133" i="32" s="1"/>
  <c r="M134" i="32" s="1"/>
  <c r="M135" i="32" s="1"/>
  <c r="M136" i="32" s="1"/>
  <c r="M137" i="32" s="1"/>
  <c r="M138" i="32" s="1"/>
  <c r="M139" i="32" s="1"/>
  <c r="M140" i="32" s="1"/>
  <c r="M141" i="32" s="1"/>
  <c r="M142" i="32" s="1"/>
  <c r="M143" i="32" s="1"/>
  <c r="M144" i="32" s="1"/>
  <c r="M145" i="32" s="1"/>
  <c r="M146" i="32" s="1"/>
  <c r="M147" i="32" s="1"/>
  <c r="M148" i="32" s="1"/>
  <c r="M149" i="32" s="1"/>
  <c r="M150" i="32" s="1"/>
  <c r="M151" i="32" s="1"/>
  <c r="M152" i="32" s="1"/>
  <c r="M153" i="32" s="1"/>
  <c r="M154" i="32" s="1"/>
  <c r="M155" i="32" s="1"/>
  <c r="M156" i="32" s="1"/>
  <c r="M157" i="32" s="1"/>
  <c r="M158" i="32" s="1"/>
  <c r="M159" i="32" s="1"/>
  <c r="M160" i="32" s="1"/>
  <c r="M161" i="32" s="1"/>
  <c r="M162" i="32" s="1"/>
  <c r="M163" i="32" s="1"/>
  <c r="M164" i="32" s="1"/>
  <c r="M165" i="32" s="1"/>
  <c r="M166" i="32" s="1"/>
  <c r="M167" i="32" s="1"/>
  <c r="M168" i="32" s="1"/>
  <c r="M169" i="32" s="1"/>
  <c r="M170" i="32" s="1"/>
  <c r="M171" i="32" s="1"/>
  <c r="M172" i="32" s="1"/>
  <c r="M173" i="32" s="1"/>
  <c r="M174" i="32" s="1"/>
  <c r="M175" i="32" s="1"/>
  <c r="M176" i="32" s="1"/>
  <c r="M177" i="32" s="1"/>
  <c r="M178" i="32" s="1"/>
  <c r="M179" i="32" s="1"/>
  <c r="M180" i="32" s="1"/>
  <c r="L71" i="32"/>
  <c r="L72" i="32" s="1"/>
  <c r="L73" i="32" s="1"/>
  <c r="L74" i="32" s="1"/>
  <c r="L75" i="32" s="1"/>
  <c r="L76" i="32" s="1"/>
  <c r="L77" i="32" s="1"/>
  <c r="L78" i="32" s="1"/>
  <c r="L79" i="32" s="1"/>
  <c r="L80" i="32" s="1"/>
  <c r="L81" i="32" s="1"/>
  <c r="L82" i="32" s="1"/>
  <c r="L83" i="32" s="1"/>
  <c r="L84" i="32" s="1"/>
  <c r="L85" i="32" s="1"/>
  <c r="L86" i="32" s="1"/>
  <c r="L87" i="32" s="1"/>
  <c r="L88" i="32" s="1"/>
  <c r="L89" i="32" s="1"/>
  <c r="L90" i="32" s="1"/>
  <c r="L91" i="32" s="1"/>
  <c r="L92" i="32" s="1"/>
  <c r="L93" i="32" s="1"/>
  <c r="L94" i="32" s="1"/>
  <c r="L95" i="32" s="1"/>
  <c r="L96" i="32" s="1"/>
  <c r="L97" i="32" s="1"/>
  <c r="L98" i="32" s="1"/>
  <c r="L99" i="32" s="1"/>
  <c r="L100" i="32" s="1"/>
  <c r="L101" i="32" s="1"/>
  <c r="L102" i="32" s="1"/>
  <c r="L103" i="32" s="1"/>
  <c r="L104" i="32" s="1"/>
  <c r="L105" i="32" s="1"/>
  <c r="L106" i="32" s="1"/>
  <c r="L107" i="32" s="1"/>
  <c r="L108" i="32" s="1"/>
  <c r="L109" i="32" s="1"/>
  <c r="L110" i="32" s="1"/>
  <c r="L111" i="32" s="1"/>
  <c r="L112" i="32" s="1"/>
  <c r="L113" i="32" s="1"/>
  <c r="L114" i="32" s="1"/>
  <c r="L115" i="32" s="1"/>
  <c r="L116" i="32" s="1"/>
  <c r="L117" i="32" s="1"/>
  <c r="L118" i="32" s="1"/>
  <c r="L119" i="32" s="1"/>
  <c r="L120" i="32" s="1"/>
  <c r="L121" i="32" s="1"/>
  <c r="L122" i="32" s="1"/>
  <c r="L123" i="32" s="1"/>
  <c r="L124" i="32" s="1"/>
  <c r="L125" i="32" s="1"/>
  <c r="L126" i="32" s="1"/>
  <c r="L127" i="32" s="1"/>
  <c r="L128" i="32" s="1"/>
  <c r="L129" i="32" s="1"/>
  <c r="L130" i="32" s="1"/>
  <c r="L131" i="32" s="1"/>
  <c r="L132" i="32" s="1"/>
  <c r="L133" i="32" s="1"/>
  <c r="L134" i="32" s="1"/>
  <c r="L135" i="32" s="1"/>
  <c r="L136" i="32" s="1"/>
  <c r="L137" i="32" s="1"/>
  <c r="L138" i="32" s="1"/>
  <c r="L139" i="32" s="1"/>
  <c r="L140" i="32" s="1"/>
  <c r="L141" i="32" s="1"/>
  <c r="L142" i="32" s="1"/>
  <c r="L143" i="32" s="1"/>
  <c r="L144" i="32" s="1"/>
  <c r="L145" i="32" s="1"/>
  <c r="L146" i="32" s="1"/>
  <c r="L147" i="32" s="1"/>
  <c r="L148" i="32" s="1"/>
  <c r="L149" i="32" s="1"/>
  <c r="L150" i="32" s="1"/>
  <c r="L151" i="32" s="1"/>
  <c r="L152" i="32" s="1"/>
  <c r="L153" i="32" s="1"/>
  <c r="L154" i="32" s="1"/>
  <c r="L155" i="32" s="1"/>
  <c r="L156" i="32" s="1"/>
  <c r="L157" i="32" s="1"/>
  <c r="L158" i="32" s="1"/>
  <c r="L159" i="32" s="1"/>
  <c r="L160" i="32" s="1"/>
  <c r="L161" i="32" s="1"/>
  <c r="L162" i="32" s="1"/>
  <c r="L163" i="32" s="1"/>
  <c r="L164" i="32" s="1"/>
  <c r="L165" i="32" s="1"/>
  <c r="L166" i="32" s="1"/>
  <c r="L167" i="32" s="1"/>
  <c r="L168" i="32" s="1"/>
  <c r="L169" i="32" s="1"/>
  <c r="L170" i="32" s="1"/>
  <c r="L171" i="32" s="1"/>
  <c r="L172" i="32" s="1"/>
  <c r="L173" i="32" s="1"/>
  <c r="L174" i="32" s="1"/>
  <c r="L175" i="32" s="1"/>
  <c r="L176" i="32" s="1"/>
  <c r="L177" i="32" s="1"/>
  <c r="L178" i="32" s="1"/>
  <c r="L179" i="32" s="1"/>
  <c r="L180" i="32" s="1"/>
  <c r="K7" i="32"/>
  <c r="M7" i="32"/>
  <c r="M8" i="32" s="1"/>
  <c r="M10" i="34" l="1"/>
  <c r="K8" i="32"/>
  <c r="K9" i="32" s="1"/>
  <c r="K10" i="32" s="1"/>
  <c r="K11" i="32" s="1"/>
  <c r="K12" i="32" s="1"/>
  <c r="K13" i="32" s="1"/>
  <c r="K14" i="32" s="1"/>
  <c r="K15" i="32" s="1"/>
  <c r="K16" i="32" s="1"/>
  <c r="K17" i="32" s="1"/>
  <c r="K18" i="32" s="1"/>
  <c r="K19" i="32" s="1"/>
  <c r="K20" i="32" s="1"/>
  <c r="K21" i="32" s="1"/>
  <c r="K22" i="32" s="1"/>
  <c r="K23" i="32" s="1"/>
  <c r="K24" i="32" s="1"/>
  <c r="K25" i="32" s="1"/>
  <c r="K26" i="32" s="1"/>
  <c r="K27" i="32" s="1"/>
  <c r="K28" i="32" s="1"/>
  <c r="K29" i="32" s="1"/>
  <c r="K30" i="32" s="1"/>
  <c r="K31" i="32" s="1"/>
  <c r="K32" i="32" s="1"/>
  <c r="K33" i="32" s="1"/>
  <c r="K34" i="32" s="1"/>
  <c r="K35" i="32" s="1"/>
  <c r="K36" i="32" s="1"/>
  <c r="K37" i="32" s="1"/>
  <c r="K38" i="32" s="1"/>
  <c r="K39" i="32" s="1"/>
  <c r="K40" i="32" s="1"/>
  <c r="K41" i="32" s="1"/>
  <c r="K42" i="32" s="1"/>
  <c r="K43" i="32" s="1"/>
  <c r="K44" i="32" s="1"/>
  <c r="K45" i="32" s="1"/>
  <c r="K46" i="32" s="1"/>
  <c r="K47" i="32" s="1"/>
  <c r="K48" i="32" s="1"/>
  <c r="K49" i="32" s="1"/>
  <c r="K50" i="32" s="1"/>
  <c r="K51" i="32" s="1"/>
  <c r="K52" i="32" s="1"/>
  <c r="K53" i="32" s="1"/>
  <c r="K54" i="32" s="1"/>
  <c r="K55" i="32" s="1"/>
  <c r="K56" i="32" s="1"/>
  <c r="K57" i="32" s="1"/>
  <c r="K58" i="32" s="1"/>
  <c r="K59" i="32" s="1"/>
  <c r="K60" i="32" s="1"/>
  <c r="K61" i="32" s="1"/>
  <c r="K62" i="32" s="1"/>
  <c r="K63" i="32" s="1"/>
  <c r="K64" i="32" s="1"/>
  <c r="K65" i="32" s="1"/>
  <c r="K66" i="32" s="1"/>
  <c r="K67" i="32" s="1"/>
  <c r="K68" i="32" s="1"/>
  <c r="K69" i="32" s="1"/>
  <c r="K70" i="32" s="1"/>
  <c r="K71" i="32" s="1"/>
  <c r="K72" i="32" s="1"/>
  <c r="K73" i="32" s="1"/>
  <c r="K74" i="32" s="1"/>
  <c r="K75" i="32" s="1"/>
  <c r="K76" i="32" s="1"/>
  <c r="K77" i="32" s="1"/>
  <c r="K78" i="32" s="1"/>
  <c r="K79" i="32" s="1"/>
  <c r="K80" i="32" s="1"/>
  <c r="K81" i="32" s="1"/>
  <c r="K82" i="32" s="1"/>
  <c r="K83" i="32" s="1"/>
  <c r="K84" i="32" s="1"/>
  <c r="K85" i="32" s="1"/>
  <c r="K86" i="32" s="1"/>
  <c r="K87" i="32" s="1"/>
  <c r="K88" i="32" s="1"/>
  <c r="K89" i="32" s="1"/>
  <c r="K90" i="32" s="1"/>
  <c r="K91" i="32" s="1"/>
  <c r="K92" i="32" s="1"/>
  <c r="K93" i="32" s="1"/>
  <c r="K94" i="32" s="1"/>
  <c r="K95" i="32" s="1"/>
  <c r="K96" i="32" s="1"/>
  <c r="K97" i="32" s="1"/>
  <c r="K98" i="32" s="1"/>
  <c r="K99" i="32" s="1"/>
  <c r="K100" i="32" s="1"/>
  <c r="K101" i="32" s="1"/>
  <c r="K102" i="32" s="1"/>
  <c r="K103" i="32" s="1"/>
  <c r="K104" i="32" s="1"/>
  <c r="K105" i="32" s="1"/>
  <c r="K106" i="32" s="1"/>
  <c r="K107" i="32" s="1"/>
  <c r="K108" i="32" s="1"/>
  <c r="K109" i="32" s="1"/>
  <c r="K110" i="32" s="1"/>
  <c r="K111" i="32" s="1"/>
  <c r="K112" i="32" s="1"/>
  <c r="K113" i="32" s="1"/>
  <c r="K114" i="32" s="1"/>
  <c r="K115" i="32" s="1"/>
  <c r="K116" i="32" s="1"/>
  <c r="K117" i="32" s="1"/>
  <c r="K118" i="32" s="1"/>
  <c r="K119" i="32" s="1"/>
  <c r="K120" i="32" s="1"/>
  <c r="K121" i="32" s="1"/>
  <c r="K122" i="32" s="1"/>
  <c r="K123" i="32" s="1"/>
  <c r="K124" i="32" s="1"/>
  <c r="K125" i="32" s="1"/>
  <c r="K126" i="32" s="1"/>
  <c r="K127" i="32" s="1"/>
  <c r="K128" i="32" s="1"/>
  <c r="K129" i="32" s="1"/>
  <c r="K130" i="32" s="1"/>
  <c r="K131" i="32" s="1"/>
  <c r="K132" i="32" s="1"/>
  <c r="K133" i="32" s="1"/>
  <c r="K134" i="32" s="1"/>
  <c r="K135" i="32" s="1"/>
  <c r="K136" i="32" s="1"/>
  <c r="K137" i="32" s="1"/>
  <c r="K138" i="32" s="1"/>
  <c r="K139" i="32" s="1"/>
  <c r="K140" i="32" s="1"/>
  <c r="K141" i="32" s="1"/>
  <c r="K142" i="32" s="1"/>
  <c r="K143" i="32" s="1"/>
  <c r="K144" i="32" s="1"/>
  <c r="K145" i="32" s="1"/>
  <c r="K146" i="32" s="1"/>
  <c r="K147" i="32" s="1"/>
  <c r="K148" i="32" s="1"/>
  <c r="K149" i="32" s="1"/>
  <c r="K150" i="32" s="1"/>
  <c r="K151" i="32" s="1"/>
  <c r="K152" i="32" s="1"/>
  <c r="K153" i="32" s="1"/>
  <c r="K154" i="32" s="1"/>
  <c r="K155" i="32" s="1"/>
  <c r="K156" i="32" s="1"/>
  <c r="K157" i="32" s="1"/>
  <c r="K158" i="32" s="1"/>
  <c r="K159" i="32" s="1"/>
  <c r="K160" i="32" s="1"/>
  <c r="K161" i="32" s="1"/>
  <c r="K162" i="32" s="1"/>
  <c r="K163" i="32" s="1"/>
  <c r="K164" i="32" s="1"/>
  <c r="K165" i="32" s="1"/>
  <c r="K166" i="32" s="1"/>
  <c r="K167" i="32" s="1"/>
  <c r="K168" i="32" s="1"/>
  <c r="K169" i="32" s="1"/>
  <c r="K170" i="32" s="1"/>
  <c r="K171" i="32" s="1"/>
  <c r="K172" i="32" s="1"/>
  <c r="K173" i="32" s="1"/>
  <c r="K174" i="32" s="1"/>
  <c r="K175" i="32" s="1"/>
  <c r="K176" i="32" s="1"/>
  <c r="K177" i="32" s="1"/>
  <c r="K178" i="32" s="1"/>
  <c r="K179" i="32" s="1"/>
  <c r="K180" i="32" s="1"/>
  <c r="M27" i="34" l="1"/>
  <c r="M11" i="34"/>
  <c r="M12" i="34" l="1"/>
  <c r="M13" i="34" s="1"/>
  <c r="M28" i="34"/>
  <c r="M29" i="34" s="1"/>
  <c r="E32" i="21"/>
  <c r="E11" i="21"/>
  <c r="E43" i="21" s="1"/>
  <c r="E10" i="21"/>
  <c r="E9" i="21"/>
  <c r="E8" i="21"/>
  <c r="E7" i="21"/>
  <c r="P497" i="24" l="1"/>
  <c r="P495" i="24"/>
  <c r="P494" i="24"/>
  <c r="P496" i="24"/>
  <c r="P498" i="24"/>
  <c r="M30" i="34"/>
  <c r="M14" i="34"/>
  <c r="G92" i="19"/>
  <c r="G96" i="19"/>
  <c r="G97" i="19"/>
  <c r="G98" i="19"/>
  <c r="G99" i="19"/>
  <c r="G100" i="19"/>
  <c r="G101" i="19"/>
  <c r="G102" i="19"/>
  <c r="G91" i="19"/>
  <c r="M15" i="34" l="1"/>
  <c r="M16" i="34" s="1"/>
  <c r="M31" i="34"/>
  <c r="M32" i="34" l="1"/>
  <c r="M17" i="34"/>
  <c r="M18" i="34" l="1"/>
  <c r="M33" i="34"/>
  <c r="M34" i="34" s="1"/>
  <c r="M35" i="34" l="1"/>
  <c r="M19" i="34"/>
  <c r="M20" i="34" l="1"/>
  <c r="M21" i="34" s="1"/>
  <c r="M36" i="34"/>
  <c r="M22" i="34" l="1"/>
  <c r="M37" i="34"/>
  <c r="M38" i="34" s="1"/>
  <c r="M39" i="34" l="1"/>
  <c r="M23" i="34"/>
  <c r="H268" i="4"/>
  <c r="H267" i="4"/>
  <c r="M24" i="34" l="1"/>
  <c r="M25" i="34" s="1"/>
  <c r="M26" i="34" s="1"/>
  <c r="M40" i="34"/>
  <c r="M41" i="34" l="1"/>
  <c r="M42" i="34" s="1"/>
  <c r="E44" i="21"/>
  <c r="E45" i="21"/>
  <c r="M43" i="34" l="1"/>
  <c r="E15" i="21"/>
  <c r="G171" i="21"/>
  <c r="E42" i="21" s="1"/>
  <c r="E20" i="21"/>
  <c r="E19" i="21"/>
  <c r="N516" i="24" l="1"/>
  <c r="N514" i="24"/>
  <c r="N518" i="24"/>
  <c r="N515" i="24"/>
  <c r="N517" i="24"/>
  <c r="P515" i="24"/>
  <c r="P518" i="24"/>
  <c r="P514" i="24"/>
  <c r="P516" i="24"/>
  <c r="P517" i="24"/>
  <c r="N511" i="24"/>
  <c r="N509" i="24"/>
  <c r="N513" i="24"/>
  <c r="N512" i="24"/>
  <c r="N510" i="24"/>
  <c r="P513" i="24"/>
  <c r="P512" i="24"/>
  <c r="P509" i="24"/>
  <c r="P510" i="24"/>
  <c r="P511" i="24"/>
  <c r="M44" i="34"/>
  <c r="J151" i="21"/>
  <c r="L151" i="21" s="1"/>
  <c r="J150" i="21"/>
  <c r="L150" i="21" s="1"/>
  <c r="J148" i="21"/>
  <c r="L148" i="21" s="1"/>
  <c r="J147" i="21"/>
  <c r="L147" i="21" s="1"/>
  <c r="J146" i="21"/>
  <c r="L146" i="21" s="1"/>
  <c r="M146" i="21" l="1"/>
  <c r="M45" i="34"/>
  <c r="E28" i="21" l="1"/>
  <c r="E24" i="21"/>
  <c r="E26" i="21"/>
  <c r="P504" i="24"/>
  <c r="P506" i="24"/>
  <c r="P507" i="24"/>
  <c r="M46" i="34"/>
  <c r="M47" i="34" s="1"/>
  <c r="E13" i="21"/>
  <c r="E12" i="21"/>
  <c r="E40" i="21"/>
  <c r="C53" i="19"/>
  <c r="C68" i="19" s="1"/>
  <c r="D53" i="19"/>
  <c r="D69" i="19" s="1"/>
  <c r="E53" i="19"/>
  <c r="E67" i="19" s="1"/>
  <c r="B53" i="19"/>
  <c r="B69" i="19" s="1"/>
  <c r="D72" i="19" l="1"/>
  <c r="D66" i="19"/>
  <c r="E70" i="19"/>
  <c r="D71" i="19"/>
  <c r="D67" i="19"/>
  <c r="D65" i="19"/>
  <c r="D76" i="19" s="1"/>
  <c r="D74" i="19"/>
  <c r="D68" i="19"/>
  <c r="E73" i="19"/>
  <c r="P508" i="24"/>
  <c r="P505" i="24"/>
  <c r="B72" i="19"/>
  <c r="B68" i="19"/>
  <c r="E69" i="19"/>
  <c r="D70" i="19"/>
  <c r="E74" i="19"/>
  <c r="E66" i="19"/>
  <c r="P501" i="24"/>
  <c r="P503" i="24"/>
  <c r="P502" i="24"/>
  <c r="P500" i="24"/>
  <c r="P499" i="24"/>
  <c r="C65" i="19"/>
  <c r="C76" i="19" s="1"/>
  <c r="C71" i="19"/>
  <c r="C67" i="19"/>
  <c r="B65" i="19"/>
  <c r="B76" i="19" s="1"/>
  <c r="B71" i="19"/>
  <c r="B67" i="19"/>
  <c r="C74" i="19"/>
  <c r="C70" i="19"/>
  <c r="B74" i="19"/>
  <c r="B70" i="19"/>
  <c r="B66" i="19"/>
  <c r="C73" i="19"/>
  <c r="C69" i="19"/>
  <c r="E72" i="19"/>
  <c r="E68" i="19"/>
  <c r="B73" i="19"/>
  <c r="C66" i="19"/>
  <c r="C72" i="19"/>
  <c r="D73" i="19"/>
  <c r="E65" i="19"/>
  <c r="E71" i="19"/>
  <c r="M48" i="34"/>
  <c r="D78" i="19" l="1"/>
  <c r="F76" i="19"/>
  <c r="D77" i="19"/>
  <c r="B78" i="19"/>
  <c r="B77" i="19"/>
  <c r="C77" i="19"/>
  <c r="C78" i="19"/>
  <c r="M49" i="34"/>
  <c r="F77" i="19" l="1"/>
  <c r="F78" i="19"/>
  <c r="M50" i="34"/>
  <c r="I420" i="24"/>
  <c r="I421" i="24"/>
  <c r="I422" i="24"/>
  <c r="I423" i="24"/>
  <c r="I424" i="24"/>
  <c r="I425" i="24"/>
  <c r="I426" i="24"/>
  <c r="I427" i="24"/>
  <c r="I428" i="24"/>
  <c r="I429" i="24"/>
  <c r="I430" i="24"/>
  <c r="I431" i="24"/>
  <c r="I432" i="24"/>
  <c r="I433" i="24"/>
  <c r="I434" i="24"/>
  <c r="I435" i="24"/>
  <c r="I436" i="24"/>
  <c r="I437" i="24"/>
  <c r="I438" i="24"/>
  <c r="I439" i="24"/>
  <c r="I440" i="24"/>
  <c r="I441" i="24"/>
  <c r="I442" i="24"/>
  <c r="I443" i="24"/>
  <c r="I444" i="24"/>
  <c r="I445" i="24"/>
  <c r="I446" i="24"/>
  <c r="I447" i="24"/>
  <c r="I448" i="24"/>
  <c r="I449" i="24"/>
  <c r="I450" i="24"/>
  <c r="I451" i="24"/>
  <c r="I452" i="24"/>
  <c r="I453" i="24"/>
  <c r="I454" i="24"/>
  <c r="I455" i="24"/>
  <c r="I456" i="24"/>
  <c r="I457" i="24"/>
  <c r="I458" i="24"/>
  <c r="I419" i="24"/>
  <c r="I334" i="24"/>
  <c r="I335" i="24"/>
  <c r="I336" i="24"/>
  <c r="I337" i="24"/>
  <c r="I338" i="24"/>
  <c r="I329" i="24"/>
  <c r="I330" i="24"/>
  <c r="I331" i="24"/>
  <c r="I332" i="24"/>
  <c r="I333" i="24"/>
  <c r="I324" i="24"/>
  <c r="I325" i="24"/>
  <c r="I326" i="24"/>
  <c r="I327" i="24"/>
  <c r="I328" i="24"/>
  <c r="G324" i="24"/>
  <c r="G325" i="24"/>
  <c r="G326" i="24"/>
  <c r="G327" i="24"/>
  <c r="G328" i="24"/>
  <c r="I308" i="24"/>
  <c r="I307" i="24"/>
  <c r="I306" i="24"/>
  <c r="I305" i="24"/>
  <c r="I304" i="24"/>
  <c r="I299" i="24"/>
  <c r="I300" i="24"/>
  <c r="I301" i="24"/>
  <c r="I302" i="24"/>
  <c r="I303" i="24"/>
  <c r="I298" i="24"/>
  <c r="I297" i="24"/>
  <c r="I296" i="24"/>
  <c r="I295" i="24"/>
  <c r="I294" i="24"/>
  <c r="I293" i="24"/>
  <c r="I292" i="24"/>
  <c r="I291" i="24"/>
  <c r="I290" i="24"/>
  <c r="I289" i="24"/>
  <c r="I284" i="24"/>
  <c r="I285" i="24"/>
  <c r="I286" i="24"/>
  <c r="I287" i="24"/>
  <c r="I288" i="24"/>
  <c r="I283" i="24"/>
  <c r="I282" i="24"/>
  <c r="I281" i="24"/>
  <c r="I280" i="24"/>
  <c r="I279" i="24"/>
  <c r="I278" i="24"/>
  <c r="I277" i="24"/>
  <c r="I276" i="24"/>
  <c r="I275" i="24"/>
  <c r="I274" i="24"/>
  <c r="I270" i="24"/>
  <c r="I271" i="24"/>
  <c r="I272" i="24"/>
  <c r="I273" i="24"/>
  <c r="I269" i="24"/>
  <c r="N503" i="24" l="1"/>
  <c r="N502" i="24"/>
  <c r="N500" i="24"/>
  <c r="N499" i="24"/>
  <c r="N501" i="24"/>
  <c r="N495" i="24"/>
  <c r="N496" i="24"/>
  <c r="N498" i="24"/>
  <c r="N497" i="24"/>
  <c r="N494" i="24"/>
  <c r="M51" i="34"/>
  <c r="M52" i="34" l="1"/>
  <c r="V7" i="4" l="1"/>
  <c r="M53" i="34"/>
  <c r="V8" i="4" l="1"/>
  <c r="AA9" i="4" s="1"/>
  <c r="AA5" i="4"/>
  <c r="V16" i="4"/>
  <c r="M54" i="34"/>
  <c r="AE9" i="4" l="1"/>
  <c r="AC9" i="4"/>
  <c r="AD9" i="4"/>
  <c r="AA16" i="4"/>
  <c r="AA8" i="4"/>
  <c r="M55" i="34"/>
  <c r="AB9" i="4" l="1"/>
  <c r="AC16" i="4"/>
  <c r="AD16" i="4"/>
  <c r="AE16" i="4"/>
  <c r="AC8" i="4"/>
  <c r="AD8" i="4"/>
  <c r="AE8" i="4"/>
  <c r="M56" i="34"/>
  <c r="I684" i="24"/>
  <c r="I683" i="24"/>
  <c r="I682" i="24"/>
  <c r="I681" i="24"/>
  <c r="I680" i="24"/>
  <c r="I679" i="24"/>
  <c r="I678" i="24"/>
  <c r="I677" i="24"/>
  <c r="I676" i="24"/>
  <c r="I675" i="24"/>
  <c r="I673" i="24"/>
  <c r="I672" i="24"/>
  <c r="I671" i="24"/>
  <c r="I670" i="24"/>
  <c r="I669" i="24"/>
  <c r="I663" i="24"/>
  <c r="I662" i="24"/>
  <c r="I661" i="24"/>
  <c r="I660" i="24"/>
  <c r="I659" i="24"/>
  <c r="I658" i="24"/>
  <c r="I657" i="24"/>
  <c r="I656" i="24"/>
  <c r="I655" i="24"/>
  <c r="I654" i="24"/>
  <c r="I648" i="24"/>
  <c r="I647" i="24"/>
  <c r="I646" i="24"/>
  <c r="I645" i="24"/>
  <c r="I644" i="24"/>
  <c r="B47" i="19"/>
  <c r="C47" i="19"/>
  <c r="D47" i="19"/>
  <c r="H47" i="19"/>
  <c r="I47" i="19"/>
  <c r="K47" i="19"/>
  <c r="C48" i="19"/>
  <c r="D48" i="19"/>
  <c r="E48" i="19"/>
  <c r="F48" i="19"/>
  <c r="G48" i="19"/>
  <c r="H48" i="19"/>
  <c r="I48" i="19"/>
  <c r="K48" i="19"/>
  <c r="D49" i="19"/>
  <c r="I49" i="19"/>
  <c r="C50" i="19"/>
  <c r="K40" i="19"/>
  <c r="J40" i="19"/>
  <c r="I40" i="19"/>
  <c r="H40" i="19"/>
  <c r="G40" i="19"/>
  <c r="F40" i="19"/>
  <c r="E40" i="19"/>
  <c r="D40" i="19"/>
  <c r="B40" i="19"/>
  <c r="K39" i="19"/>
  <c r="J39" i="19"/>
  <c r="H39" i="19"/>
  <c r="G39" i="19"/>
  <c r="F39" i="19"/>
  <c r="E39" i="19"/>
  <c r="C39" i="19"/>
  <c r="B39" i="19"/>
  <c r="J38" i="19"/>
  <c r="B38" i="19"/>
  <c r="J37" i="19"/>
  <c r="G37" i="19"/>
  <c r="F37" i="19"/>
  <c r="E37" i="19"/>
  <c r="C36" i="19"/>
  <c r="D36" i="19"/>
  <c r="E36" i="19"/>
  <c r="F36" i="19"/>
  <c r="G36" i="19"/>
  <c r="H36" i="19"/>
  <c r="I36" i="19"/>
  <c r="J36" i="19"/>
  <c r="K36" i="19"/>
  <c r="B36" i="19"/>
  <c r="C110" i="19"/>
  <c r="D108" i="19" s="1"/>
  <c r="AB16" i="4" l="1"/>
  <c r="E324" i="24" s="1"/>
  <c r="N324" i="24" s="1"/>
  <c r="P324" i="24" s="1"/>
  <c r="E75" i="24"/>
  <c r="E77" i="24"/>
  <c r="E79" i="24"/>
  <c r="E76" i="24"/>
  <c r="E78" i="24"/>
  <c r="AB8" i="4"/>
  <c r="E94" i="24"/>
  <c r="E98" i="24"/>
  <c r="N98" i="24" s="1"/>
  <c r="P98" i="24" s="1"/>
  <c r="E102" i="24"/>
  <c r="N102" i="24" s="1"/>
  <c r="E71" i="24"/>
  <c r="E80" i="24"/>
  <c r="N80" i="24" s="1"/>
  <c r="P80" i="24" s="1"/>
  <c r="E84" i="24"/>
  <c r="N84" i="24" s="1"/>
  <c r="P84" i="24" s="1"/>
  <c r="E88" i="24"/>
  <c r="E62" i="24"/>
  <c r="E66" i="24"/>
  <c r="E60" i="24"/>
  <c r="E96" i="24"/>
  <c r="N96" i="24" s="1"/>
  <c r="P96" i="24" s="1"/>
  <c r="E104" i="24"/>
  <c r="N104" i="24" s="1"/>
  <c r="E82" i="24"/>
  <c r="E70" i="24"/>
  <c r="E68" i="24"/>
  <c r="E93" i="24"/>
  <c r="E101" i="24"/>
  <c r="N101" i="24" s="1"/>
  <c r="E74" i="24"/>
  <c r="E87" i="24"/>
  <c r="Q87" i="24" s="1"/>
  <c r="E65" i="24"/>
  <c r="E91" i="24"/>
  <c r="E95" i="24"/>
  <c r="N95" i="24" s="1"/>
  <c r="P95" i="24" s="1"/>
  <c r="E99" i="24"/>
  <c r="N99" i="24" s="1"/>
  <c r="P99" i="24" s="1"/>
  <c r="E103" i="24"/>
  <c r="N103" i="24" s="1"/>
  <c r="E72" i="24"/>
  <c r="Q72" i="24" s="1"/>
  <c r="E81" i="24"/>
  <c r="N81" i="24" s="1"/>
  <c r="P81" i="24" s="1"/>
  <c r="E85" i="24"/>
  <c r="E89" i="24"/>
  <c r="E63" i="24"/>
  <c r="E67" i="24"/>
  <c r="E92" i="24"/>
  <c r="E100" i="24"/>
  <c r="N100" i="24" s="1"/>
  <c r="E73" i="24"/>
  <c r="E86" i="24"/>
  <c r="E64" i="24"/>
  <c r="E97" i="24"/>
  <c r="N97" i="24" s="1"/>
  <c r="P97" i="24" s="1"/>
  <c r="E90" i="24"/>
  <c r="E83" i="24"/>
  <c r="N83" i="24" s="1"/>
  <c r="P83" i="24" s="1"/>
  <c r="E61" i="24"/>
  <c r="E69" i="24"/>
  <c r="M57" i="34"/>
  <c r="D109" i="19"/>
  <c r="D105" i="19"/>
  <c r="L40" i="19"/>
  <c r="D50" i="19" s="1"/>
  <c r="D107" i="19"/>
  <c r="L36" i="19"/>
  <c r="J46" i="19" s="1"/>
  <c r="L37" i="19"/>
  <c r="E47" i="19" s="1"/>
  <c r="H50" i="19"/>
  <c r="D106" i="19"/>
  <c r="L38" i="19"/>
  <c r="L39" i="19"/>
  <c r="B49" i="19" s="1"/>
  <c r="G674" i="24"/>
  <c r="AC669" i="24"/>
  <c r="AC670" i="24"/>
  <c r="AC671" i="24"/>
  <c r="AC672" i="24"/>
  <c r="AC659" i="24"/>
  <c r="AC660" i="24"/>
  <c r="AC661" i="24"/>
  <c r="AC662" i="24"/>
  <c r="AC654" i="24"/>
  <c r="AC655" i="24"/>
  <c r="AC656" i="24"/>
  <c r="AC657" i="24"/>
  <c r="AC644" i="24"/>
  <c r="AC645" i="24"/>
  <c r="AC646" i="24"/>
  <c r="AC647" i="24"/>
  <c r="S60" i="5"/>
  <c r="S59" i="5"/>
  <c r="E334" i="24" l="1"/>
  <c r="E333" i="24"/>
  <c r="E330" i="24"/>
  <c r="E336" i="24"/>
  <c r="E326" i="24"/>
  <c r="N326" i="24" s="1"/>
  <c r="P326" i="24" s="1"/>
  <c r="E332" i="24"/>
  <c r="E337" i="24"/>
  <c r="E331" i="24"/>
  <c r="E335" i="24"/>
  <c r="E329" i="24"/>
  <c r="E328" i="24"/>
  <c r="N328" i="24" s="1"/>
  <c r="P328" i="24" s="1"/>
  <c r="E338" i="24"/>
  <c r="E327" i="24"/>
  <c r="N327" i="24" s="1"/>
  <c r="P327" i="24" s="1"/>
  <c r="E325" i="24"/>
  <c r="N325" i="24" s="1"/>
  <c r="P325" i="24" s="1"/>
  <c r="N79" i="24"/>
  <c r="P79" i="24"/>
  <c r="Q79" i="24"/>
  <c r="O79" i="24"/>
  <c r="N77" i="24"/>
  <c r="P77" i="24"/>
  <c r="O77" i="24"/>
  <c r="Q77" i="24"/>
  <c r="G652" i="24"/>
  <c r="G651" i="24"/>
  <c r="G650" i="24"/>
  <c r="G649" i="24"/>
  <c r="G653" i="24"/>
  <c r="P78" i="24"/>
  <c r="N78" i="24"/>
  <c r="Q78" i="24"/>
  <c r="O78" i="24"/>
  <c r="P75" i="24"/>
  <c r="N75" i="24"/>
  <c r="O75" i="24"/>
  <c r="Q75" i="24"/>
  <c r="F50" i="19"/>
  <c r="N76" i="24"/>
  <c r="P76" i="24"/>
  <c r="O76" i="24"/>
  <c r="Q76" i="24"/>
  <c r="N82" i="24"/>
  <c r="P82" i="24" s="1"/>
  <c r="Q82" i="24"/>
  <c r="N71" i="24"/>
  <c r="P71" i="24"/>
  <c r="P74" i="24"/>
  <c r="N74" i="24"/>
  <c r="P70" i="24"/>
  <c r="N70" i="24"/>
  <c r="P73" i="24"/>
  <c r="N73" i="24"/>
  <c r="P72" i="24"/>
  <c r="N72" i="24"/>
  <c r="O97" i="24"/>
  <c r="Q97" i="24"/>
  <c r="P103" i="24"/>
  <c r="O103" i="24"/>
  <c r="Q103" i="24"/>
  <c r="P93" i="24"/>
  <c r="Q93" i="24"/>
  <c r="N93" i="24"/>
  <c r="O93" i="24"/>
  <c r="P104" i="24"/>
  <c r="O104" i="24"/>
  <c r="Q104" i="24"/>
  <c r="O71" i="24"/>
  <c r="Q71" i="24"/>
  <c r="Q61" i="24"/>
  <c r="O61" i="24"/>
  <c r="N61" i="24"/>
  <c r="P61" i="24"/>
  <c r="P92" i="24"/>
  <c r="Q92" i="24"/>
  <c r="N92" i="24"/>
  <c r="O92" i="24"/>
  <c r="O99" i="24"/>
  <c r="Q99" i="24"/>
  <c r="Q68" i="24"/>
  <c r="N68" i="24"/>
  <c r="O68" i="24"/>
  <c r="P68" i="24"/>
  <c r="P88" i="24"/>
  <c r="N88" i="24"/>
  <c r="O86" i="24"/>
  <c r="N86" i="24"/>
  <c r="P86" i="24"/>
  <c r="Q86" i="24"/>
  <c r="Q67" i="24"/>
  <c r="P67" i="24"/>
  <c r="O67" i="24"/>
  <c r="N67" i="24"/>
  <c r="Q81" i="24"/>
  <c r="O81" i="24"/>
  <c r="O95" i="24"/>
  <c r="Q95" i="24"/>
  <c r="Q74" i="24"/>
  <c r="O74" i="24"/>
  <c r="O70" i="24"/>
  <c r="Q70" i="24"/>
  <c r="Q60" i="24"/>
  <c r="N60" i="24"/>
  <c r="P60" i="24"/>
  <c r="O60" i="24"/>
  <c r="O84" i="24"/>
  <c r="Q84" i="24"/>
  <c r="Q98" i="24"/>
  <c r="O98" i="24"/>
  <c r="Q69" i="24"/>
  <c r="P69" i="24"/>
  <c r="N69" i="24"/>
  <c r="O69" i="24"/>
  <c r="P100" i="24"/>
  <c r="Q100" i="24"/>
  <c r="O100" i="24"/>
  <c r="P89" i="24"/>
  <c r="N89" i="24"/>
  <c r="Q89" i="24"/>
  <c r="O89" i="24"/>
  <c r="Q65" i="24"/>
  <c r="N65" i="24"/>
  <c r="P65" i="24"/>
  <c r="O65" i="24"/>
  <c r="Q62" i="24"/>
  <c r="N62" i="24"/>
  <c r="P62" i="24"/>
  <c r="O62" i="24"/>
  <c r="E311" i="24"/>
  <c r="E315" i="24"/>
  <c r="E319" i="24"/>
  <c r="E323" i="24"/>
  <c r="E312" i="24"/>
  <c r="E316" i="24"/>
  <c r="E320" i="24"/>
  <c r="E309" i="24"/>
  <c r="E314" i="24"/>
  <c r="E322" i="24"/>
  <c r="E313" i="24"/>
  <c r="E317" i="24"/>
  <c r="E310" i="24"/>
  <c r="E318" i="24"/>
  <c r="E321" i="24"/>
  <c r="Q64" i="24"/>
  <c r="N64" i="24"/>
  <c r="P64" i="24"/>
  <c r="O64" i="24"/>
  <c r="P85" i="24"/>
  <c r="N85" i="24"/>
  <c r="Q85" i="24"/>
  <c r="O85" i="24"/>
  <c r="O87" i="24"/>
  <c r="N87" i="24"/>
  <c r="P87" i="24"/>
  <c r="O96" i="24"/>
  <c r="Q96" i="24"/>
  <c r="P102" i="24"/>
  <c r="O102" i="24"/>
  <c r="Q102" i="24"/>
  <c r="P90" i="24"/>
  <c r="Q90" i="24"/>
  <c r="N90" i="24"/>
  <c r="O90" i="24"/>
  <c r="Q73" i="24"/>
  <c r="O73" i="24"/>
  <c r="Q63" i="24"/>
  <c r="N63" i="24"/>
  <c r="P63" i="24"/>
  <c r="O63" i="24"/>
  <c r="O72" i="24"/>
  <c r="P91" i="24"/>
  <c r="N91" i="24"/>
  <c r="O91" i="24"/>
  <c r="Q91" i="24"/>
  <c r="P101" i="24"/>
  <c r="O101" i="24"/>
  <c r="Q101" i="24"/>
  <c r="O82" i="24"/>
  <c r="Q66" i="24"/>
  <c r="P66" i="24"/>
  <c r="O66" i="24"/>
  <c r="N66" i="24"/>
  <c r="O80" i="24"/>
  <c r="Q80" i="24"/>
  <c r="P94" i="24"/>
  <c r="Q94" i="24"/>
  <c r="O94" i="24"/>
  <c r="N94" i="24"/>
  <c r="K50" i="19"/>
  <c r="D46" i="19"/>
  <c r="G50" i="19"/>
  <c r="G669" i="24" s="1"/>
  <c r="F46" i="19"/>
  <c r="G47" i="19"/>
  <c r="M58" i="34"/>
  <c r="L41" i="19"/>
  <c r="M36" i="19" s="1"/>
  <c r="D110" i="19"/>
  <c r="B50" i="19"/>
  <c r="J50" i="19"/>
  <c r="I50" i="19"/>
  <c r="E50" i="19"/>
  <c r="K49" i="19"/>
  <c r="E49" i="19"/>
  <c r="O38" i="19"/>
  <c r="V42" i="4" s="1"/>
  <c r="J48" i="19"/>
  <c r="O40" i="19"/>
  <c r="V43" i="4" s="1"/>
  <c r="W43" i="4" s="1"/>
  <c r="C46" i="19"/>
  <c r="G46" i="19"/>
  <c r="K46" i="19"/>
  <c r="N36" i="19"/>
  <c r="V45" i="4" s="1"/>
  <c r="W45" i="4" s="1"/>
  <c r="E46" i="19"/>
  <c r="I46" i="19"/>
  <c r="N39" i="19"/>
  <c r="F49" i="19"/>
  <c r="H49" i="19"/>
  <c r="G658" i="24"/>
  <c r="G656" i="24"/>
  <c r="G654" i="24"/>
  <c r="G647" i="24"/>
  <c r="G645" i="24"/>
  <c r="G657" i="24"/>
  <c r="G648" i="24"/>
  <c r="G644" i="24"/>
  <c r="G655" i="24"/>
  <c r="G646" i="24"/>
  <c r="C49" i="19"/>
  <c r="G49" i="19"/>
  <c r="N37" i="19"/>
  <c r="V44" i="4" s="1"/>
  <c r="J47" i="19"/>
  <c r="F47" i="19"/>
  <c r="J49" i="19"/>
  <c r="B48" i="19"/>
  <c r="H46" i="19"/>
  <c r="B46" i="19"/>
  <c r="M39" i="19"/>
  <c r="V15" i="4"/>
  <c r="AA17" i="4" s="1"/>
  <c r="V11" i="4"/>
  <c r="AA7" i="4" s="1"/>
  <c r="V18" i="4"/>
  <c r="AA14" i="4" s="1"/>
  <c r="V14" i="4"/>
  <c r="AA13" i="4" s="1"/>
  <c r="V10" i="4"/>
  <c r="V17" i="4"/>
  <c r="AA15" i="4" s="1"/>
  <c r="V13" i="4"/>
  <c r="V9" i="4"/>
  <c r="AA11" i="4" s="1"/>
  <c r="V12" i="4"/>
  <c r="W15" i="4"/>
  <c r="W11" i="4"/>
  <c r="W7" i="4"/>
  <c r="W18" i="4"/>
  <c r="W14" i="4"/>
  <c r="W10" i="4"/>
  <c r="W17" i="4"/>
  <c r="W13" i="4"/>
  <c r="W9" i="4"/>
  <c r="W16" i="4"/>
  <c r="W12" i="4"/>
  <c r="W8" i="4"/>
  <c r="M40" i="19" l="1"/>
  <c r="W44" i="4"/>
  <c r="E681" i="24" s="1"/>
  <c r="G673" i="24"/>
  <c r="G666" i="24"/>
  <c r="G665" i="24"/>
  <c r="G664" i="24"/>
  <c r="G668" i="24"/>
  <c r="G667" i="24"/>
  <c r="E640" i="24"/>
  <c r="P640" i="24" s="1"/>
  <c r="E642" i="24"/>
  <c r="P642" i="24" s="1"/>
  <c r="E641" i="24"/>
  <c r="P641" i="24" s="1"/>
  <c r="E639" i="24"/>
  <c r="P639" i="24" s="1"/>
  <c r="E643" i="24"/>
  <c r="P643" i="24" s="1"/>
  <c r="E622" i="24"/>
  <c r="E621" i="24"/>
  <c r="E620" i="24"/>
  <c r="E619" i="24"/>
  <c r="E623" i="24"/>
  <c r="E587" i="24"/>
  <c r="E591" i="24"/>
  <c r="E595" i="24"/>
  <c r="E599" i="24"/>
  <c r="E603" i="24"/>
  <c r="E607" i="24"/>
  <c r="E611" i="24"/>
  <c r="E615" i="24"/>
  <c r="E624" i="24"/>
  <c r="E628" i="24"/>
  <c r="E632" i="24"/>
  <c r="E636" i="24"/>
  <c r="E592" i="24"/>
  <c r="E596" i="24"/>
  <c r="E604" i="24"/>
  <c r="O604" i="24" s="1"/>
  <c r="E612" i="24"/>
  <c r="E616" i="24"/>
  <c r="E629" i="24"/>
  <c r="E589" i="24"/>
  <c r="O589" i="24" s="1"/>
  <c r="E597" i="24"/>
  <c r="E605" i="24"/>
  <c r="E613" i="24"/>
  <c r="E626" i="24"/>
  <c r="E638" i="24"/>
  <c r="E588" i="24"/>
  <c r="E600" i="24"/>
  <c r="E608" i="24"/>
  <c r="E625" i="24"/>
  <c r="E637" i="24"/>
  <c r="E593" i="24"/>
  <c r="E630" i="24"/>
  <c r="E586" i="24"/>
  <c r="E590" i="24"/>
  <c r="E594" i="24"/>
  <c r="E598" i="24"/>
  <c r="E602" i="24"/>
  <c r="E606" i="24"/>
  <c r="E610" i="24"/>
  <c r="E614" i="24"/>
  <c r="E618" i="24"/>
  <c r="E627" i="24"/>
  <c r="E631" i="24"/>
  <c r="E635" i="24"/>
  <c r="E584" i="24"/>
  <c r="E633" i="24"/>
  <c r="E585" i="24"/>
  <c r="E601" i="24"/>
  <c r="E609" i="24"/>
  <c r="O609" i="24" s="1"/>
  <c r="E617" i="24"/>
  <c r="E634" i="24"/>
  <c r="M37" i="19"/>
  <c r="V47" i="4"/>
  <c r="W47" i="4" s="1"/>
  <c r="V46" i="4"/>
  <c r="W46" i="4" s="1"/>
  <c r="E651" i="24"/>
  <c r="E665" i="24"/>
  <c r="E650" i="24"/>
  <c r="E664" i="24"/>
  <c r="E668" i="24"/>
  <c r="E649" i="24"/>
  <c r="E653" i="24"/>
  <c r="Q653" i="24" s="1"/>
  <c r="E667" i="24"/>
  <c r="E652" i="24"/>
  <c r="E666" i="24"/>
  <c r="G661" i="24"/>
  <c r="M38" i="19"/>
  <c r="N323" i="24"/>
  <c r="P323" i="24" s="1"/>
  <c r="O319" i="24"/>
  <c r="Q319" i="24"/>
  <c r="N319" i="24"/>
  <c r="P319" i="24" s="1"/>
  <c r="N322" i="24"/>
  <c r="P322" i="24" s="1"/>
  <c r="N321" i="24"/>
  <c r="P321" i="24" s="1"/>
  <c r="N320" i="24"/>
  <c r="P320" i="24" s="1"/>
  <c r="AD7" i="4"/>
  <c r="AE7" i="4"/>
  <c r="AC7" i="4"/>
  <c r="N309" i="24"/>
  <c r="Q309" i="24"/>
  <c r="P309" i="24"/>
  <c r="O309" i="24"/>
  <c r="AE17" i="4"/>
  <c r="AC17" i="4"/>
  <c r="AD17" i="4"/>
  <c r="O322" i="24"/>
  <c r="Q322" i="24"/>
  <c r="AE11" i="4"/>
  <c r="AD11" i="4"/>
  <c r="AC11" i="4"/>
  <c r="AE13" i="4"/>
  <c r="AC13" i="4"/>
  <c r="AD13" i="4"/>
  <c r="E646" i="24"/>
  <c r="E655" i="24"/>
  <c r="E659" i="24"/>
  <c r="E663" i="24"/>
  <c r="E672" i="24"/>
  <c r="E644" i="24"/>
  <c r="E645" i="24"/>
  <c r="E658" i="24"/>
  <c r="E671" i="24"/>
  <c r="E647" i="24"/>
  <c r="E656" i="24"/>
  <c r="E660" i="24"/>
  <c r="E669" i="24"/>
  <c r="P669" i="24" s="1"/>
  <c r="E673" i="24"/>
  <c r="E648" i="24"/>
  <c r="E657" i="24"/>
  <c r="E661" i="24"/>
  <c r="E670" i="24"/>
  <c r="E654" i="24"/>
  <c r="E662" i="24"/>
  <c r="O318" i="24"/>
  <c r="P318" i="24"/>
  <c r="Q318" i="24"/>
  <c r="N318" i="24"/>
  <c r="Q323" i="24"/>
  <c r="O323" i="24"/>
  <c r="P316" i="24"/>
  <c r="N316" i="24"/>
  <c r="N315" i="24"/>
  <c r="O315" i="24"/>
  <c r="Q315" i="24"/>
  <c r="P315" i="24"/>
  <c r="AE15" i="4"/>
  <c r="AC15" i="4"/>
  <c r="AD15" i="4"/>
  <c r="N317" i="24"/>
  <c r="O317" i="24"/>
  <c r="Q317" i="24"/>
  <c r="P317" i="24"/>
  <c r="O313" i="24"/>
  <c r="N313" i="24"/>
  <c r="P313" i="24"/>
  <c r="Q313" i="24"/>
  <c r="Q320" i="24"/>
  <c r="O320" i="24"/>
  <c r="AE14" i="4"/>
  <c r="AD14" i="4"/>
  <c r="AC14" i="4"/>
  <c r="P310" i="24"/>
  <c r="Q310" i="24"/>
  <c r="O310" i="24"/>
  <c r="N310" i="24"/>
  <c r="Q314" i="24"/>
  <c r="O314" i="24"/>
  <c r="N314" i="24"/>
  <c r="P314" i="24"/>
  <c r="P312" i="24"/>
  <c r="Q312" i="24"/>
  <c r="O312" i="24"/>
  <c r="N312" i="24"/>
  <c r="N311" i="24"/>
  <c r="P311" i="24"/>
  <c r="AA12" i="4"/>
  <c r="AA10" i="4"/>
  <c r="G672" i="24"/>
  <c r="G662" i="24"/>
  <c r="G659" i="24"/>
  <c r="G670" i="24"/>
  <c r="G671" i="24"/>
  <c r="G663" i="24"/>
  <c r="G660" i="24"/>
  <c r="M59" i="34"/>
  <c r="L47" i="19"/>
  <c r="L50" i="19"/>
  <c r="L49" i="19"/>
  <c r="L46" i="19"/>
  <c r="L48" i="19"/>
  <c r="E683" i="24"/>
  <c r="W42" i="4"/>
  <c r="E678" i="24" l="1"/>
  <c r="E684" i="24"/>
  <c r="E682" i="24"/>
  <c r="E677" i="24"/>
  <c r="E676" i="24"/>
  <c r="E679" i="24"/>
  <c r="E680" i="24"/>
  <c r="P668" i="24"/>
  <c r="P664" i="24"/>
  <c r="P673" i="24"/>
  <c r="P666" i="24"/>
  <c r="P667" i="24"/>
  <c r="N661" i="24"/>
  <c r="P665" i="24"/>
  <c r="P649" i="24"/>
  <c r="N649" i="24"/>
  <c r="P601" i="24"/>
  <c r="N601" i="24"/>
  <c r="P614" i="24"/>
  <c r="N614" i="24"/>
  <c r="O614" i="24"/>
  <c r="O598" i="24"/>
  <c r="Q598" i="24"/>
  <c r="P598" i="24"/>
  <c r="N598" i="24"/>
  <c r="P630" i="24"/>
  <c r="N630" i="24"/>
  <c r="Q608" i="24"/>
  <c r="O608" i="24"/>
  <c r="N626" i="24"/>
  <c r="P626" i="24"/>
  <c r="O632" i="24"/>
  <c r="Q632" i="24"/>
  <c r="N632" i="24"/>
  <c r="P632" i="24"/>
  <c r="N620" i="24"/>
  <c r="P620" i="24"/>
  <c r="E674" i="24"/>
  <c r="AB13" i="4"/>
  <c r="P653" i="24"/>
  <c r="N653" i="24"/>
  <c r="P650" i="24"/>
  <c r="N650" i="24"/>
  <c r="E547" i="24"/>
  <c r="P547" i="24" s="1"/>
  <c r="E545" i="24"/>
  <c r="P545" i="24" s="1"/>
  <c r="E544" i="24"/>
  <c r="P544" i="24" s="1"/>
  <c r="E548" i="24"/>
  <c r="P548" i="24" s="1"/>
  <c r="E546" i="24"/>
  <c r="P546" i="24" s="1"/>
  <c r="E537" i="24"/>
  <c r="E541" i="24"/>
  <c r="E542" i="24"/>
  <c r="E539" i="24"/>
  <c r="E536" i="24"/>
  <c r="E540" i="24"/>
  <c r="E534" i="24"/>
  <c r="E538" i="24"/>
  <c r="E535" i="24"/>
  <c r="E543" i="24"/>
  <c r="O653" i="24"/>
  <c r="N584" i="24"/>
  <c r="P584" i="24"/>
  <c r="N618" i="24"/>
  <c r="P618" i="24"/>
  <c r="O618" i="24"/>
  <c r="Q618" i="24"/>
  <c r="O602" i="24"/>
  <c r="Q602" i="24"/>
  <c r="P602" i="24"/>
  <c r="N602" i="24"/>
  <c r="N586" i="24"/>
  <c r="P586" i="24"/>
  <c r="P625" i="24"/>
  <c r="N625" i="24"/>
  <c r="Q638" i="24"/>
  <c r="O638" i="24"/>
  <c r="O597" i="24"/>
  <c r="Q597" i="24"/>
  <c r="N597" i="24"/>
  <c r="P597" i="24"/>
  <c r="O612" i="24"/>
  <c r="Q612" i="24"/>
  <c r="N615" i="24"/>
  <c r="P615" i="24"/>
  <c r="O599" i="24"/>
  <c r="N599" i="24"/>
  <c r="P599" i="24"/>
  <c r="O619" i="24"/>
  <c r="P619" i="24"/>
  <c r="N619" i="24"/>
  <c r="N643" i="24"/>
  <c r="O643" i="24"/>
  <c r="Q643" i="24"/>
  <c r="N640" i="24"/>
  <c r="N595" i="24"/>
  <c r="P595" i="24"/>
  <c r="N639" i="24"/>
  <c r="O639" i="24"/>
  <c r="N652" i="24"/>
  <c r="P652" i="24"/>
  <c r="N651" i="24"/>
  <c r="P651" i="24"/>
  <c r="O634" i="24"/>
  <c r="P634" i="24"/>
  <c r="N634" i="24"/>
  <c r="N585" i="24"/>
  <c r="P585" i="24"/>
  <c r="P631" i="24"/>
  <c r="N631" i="24"/>
  <c r="O594" i="24"/>
  <c r="P594" i="24"/>
  <c r="N594" i="24"/>
  <c r="Q593" i="24"/>
  <c r="O593" i="24"/>
  <c r="N600" i="24"/>
  <c r="P600" i="24"/>
  <c r="O613" i="24"/>
  <c r="Q613" i="24"/>
  <c r="O629" i="24"/>
  <c r="N629" i="24"/>
  <c r="P629" i="24"/>
  <c r="N596" i="24"/>
  <c r="P596" i="24"/>
  <c r="O628" i="24"/>
  <c r="P628" i="24"/>
  <c r="N628" i="24"/>
  <c r="Q628" i="24"/>
  <c r="O607" i="24"/>
  <c r="Q607" i="24"/>
  <c r="P621" i="24"/>
  <c r="N621" i="24"/>
  <c r="N641" i="24"/>
  <c r="Q652" i="24"/>
  <c r="O667" i="24"/>
  <c r="Q667" i="24"/>
  <c r="E574" i="24"/>
  <c r="E578" i="24"/>
  <c r="E577" i="24"/>
  <c r="E576" i="24"/>
  <c r="E575" i="24"/>
  <c r="E550" i="24"/>
  <c r="P550" i="24" s="1"/>
  <c r="E554" i="24"/>
  <c r="E558" i="24"/>
  <c r="E562" i="24"/>
  <c r="Q562" i="24" s="1"/>
  <c r="E566" i="24"/>
  <c r="E570" i="24"/>
  <c r="E579" i="24"/>
  <c r="E583" i="24"/>
  <c r="E551" i="24"/>
  <c r="P551" i="24" s="1"/>
  <c r="E555" i="24"/>
  <c r="E567" i="24"/>
  <c r="Q567" i="24" s="1"/>
  <c r="E580" i="24"/>
  <c r="E556" i="24"/>
  <c r="E564" i="24"/>
  <c r="Q564" i="24" s="1"/>
  <c r="E572" i="24"/>
  <c r="E563" i="24"/>
  <c r="Q563" i="24" s="1"/>
  <c r="E549" i="24"/>
  <c r="E560" i="24"/>
  <c r="E581" i="24"/>
  <c r="E553" i="24"/>
  <c r="E557" i="24"/>
  <c r="E561" i="24"/>
  <c r="E565" i="24"/>
  <c r="E569" i="24"/>
  <c r="E573" i="24"/>
  <c r="E582" i="24"/>
  <c r="E559" i="24"/>
  <c r="Q559" i="24" s="1"/>
  <c r="E571" i="24"/>
  <c r="E552" i="24"/>
  <c r="E568" i="24"/>
  <c r="Q568" i="24" s="1"/>
  <c r="N617" i="24"/>
  <c r="P617" i="24"/>
  <c r="O617" i="24"/>
  <c r="Q617" i="24"/>
  <c r="O633" i="24"/>
  <c r="Q633" i="24"/>
  <c r="N633" i="24"/>
  <c r="P633" i="24"/>
  <c r="N627" i="24"/>
  <c r="Q627" i="24"/>
  <c r="P627" i="24"/>
  <c r="O627" i="24"/>
  <c r="O637" i="24"/>
  <c r="Q637" i="24"/>
  <c r="N588" i="24"/>
  <c r="Q588" i="24"/>
  <c r="P588" i="24"/>
  <c r="P616" i="24"/>
  <c r="N616" i="24"/>
  <c r="O592" i="24"/>
  <c r="Q592" i="24"/>
  <c r="O624" i="24"/>
  <c r="P624" i="24"/>
  <c r="N624" i="24"/>
  <c r="O603" i="24"/>
  <c r="Q603" i="24"/>
  <c r="N603" i="24"/>
  <c r="P603" i="24"/>
  <c r="N587" i="24"/>
  <c r="Q587" i="24"/>
  <c r="P587" i="24"/>
  <c r="Q623" i="24"/>
  <c r="O623" i="24"/>
  <c r="N623" i="24"/>
  <c r="P623" i="24"/>
  <c r="Q622" i="24"/>
  <c r="O622" i="24"/>
  <c r="P622" i="24"/>
  <c r="N622" i="24"/>
  <c r="N642" i="24"/>
  <c r="O642" i="24"/>
  <c r="Q642" i="24"/>
  <c r="O652" i="24"/>
  <c r="Q668" i="24"/>
  <c r="O668" i="24"/>
  <c r="E675" i="24"/>
  <c r="P644" i="24"/>
  <c r="N644" i="24"/>
  <c r="N655" i="24"/>
  <c r="P655" i="24"/>
  <c r="Q657" i="24"/>
  <c r="N657" i="24"/>
  <c r="P657" i="24"/>
  <c r="O658" i="24"/>
  <c r="N658" i="24"/>
  <c r="P658" i="24"/>
  <c r="Q647" i="24"/>
  <c r="N647" i="24"/>
  <c r="P647" i="24"/>
  <c r="P646" i="24"/>
  <c r="N646" i="24"/>
  <c r="N654" i="24"/>
  <c r="P654" i="24"/>
  <c r="Q648" i="24"/>
  <c r="P648" i="24"/>
  <c r="N648" i="24"/>
  <c r="N656" i="24"/>
  <c r="P656" i="24"/>
  <c r="N645" i="24"/>
  <c r="P645" i="24"/>
  <c r="O648" i="24"/>
  <c r="P660" i="24"/>
  <c r="O657" i="24"/>
  <c r="P661" i="24"/>
  <c r="O647" i="24"/>
  <c r="Q673" i="24"/>
  <c r="P670" i="24"/>
  <c r="O673" i="24"/>
  <c r="N663" i="24"/>
  <c r="P659" i="24"/>
  <c r="O663" i="24"/>
  <c r="AE10" i="4"/>
  <c r="AD10" i="4"/>
  <c r="AC10" i="4"/>
  <c r="Q658" i="24"/>
  <c r="P671" i="24"/>
  <c r="O662" i="24"/>
  <c r="AB11" i="4"/>
  <c r="AB17" i="4"/>
  <c r="AD12" i="4"/>
  <c r="AE12" i="4"/>
  <c r="AC12" i="4"/>
  <c r="AC5" i="4" s="1"/>
  <c r="AB15" i="4"/>
  <c r="O672" i="24"/>
  <c r="AB14" i="4"/>
  <c r="AB7" i="4"/>
  <c r="Q663" i="24"/>
  <c r="N662" i="24"/>
  <c r="P663" i="24"/>
  <c r="N660" i="24"/>
  <c r="Q662" i="24"/>
  <c r="P662" i="24"/>
  <c r="P672" i="24"/>
  <c r="Q672" i="24"/>
  <c r="N659" i="24"/>
  <c r="M60" i="34"/>
  <c r="AD5" i="4" l="1"/>
  <c r="E49" i="24" s="1"/>
  <c r="O49" i="24" s="1"/>
  <c r="AE5" i="4"/>
  <c r="E53" i="24" s="1"/>
  <c r="Q579" i="24"/>
  <c r="N579" i="24"/>
  <c r="P579" i="24"/>
  <c r="N558" i="24"/>
  <c r="P558" i="24"/>
  <c r="Q558" i="24"/>
  <c r="P576" i="24"/>
  <c r="N576" i="24"/>
  <c r="Q552" i="24"/>
  <c r="P552" i="24"/>
  <c r="Q573" i="24"/>
  <c r="P573" i="24"/>
  <c r="N573" i="24"/>
  <c r="Q549" i="24"/>
  <c r="P549" i="24"/>
  <c r="E523" i="24"/>
  <c r="E527" i="24"/>
  <c r="E521" i="24"/>
  <c r="E525" i="24"/>
  <c r="E529" i="24"/>
  <c r="E533" i="24"/>
  <c r="E522" i="24"/>
  <c r="E526" i="24"/>
  <c r="E530" i="24"/>
  <c r="E519" i="24"/>
  <c r="E531" i="24"/>
  <c r="E528" i="24"/>
  <c r="E520" i="24"/>
  <c r="E532" i="24"/>
  <c r="E524" i="24"/>
  <c r="P571" i="24"/>
  <c r="N571" i="24"/>
  <c r="P569" i="24"/>
  <c r="Q569" i="24"/>
  <c r="N569" i="24"/>
  <c r="Q553" i="24"/>
  <c r="P553" i="24"/>
  <c r="N580" i="24"/>
  <c r="P580" i="24"/>
  <c r="P583" i="24"/>
  <c r="Q583" i="24"/>
  <c r="N583" i="24"/>
  <c r="P575" i="24"/>
  <c r="N575" i="24"/>
  <c r="O574" i="24"/>
  <c r="Q574" i="24"/>
  <c r="P574" i="24"/>
  <c r="N574" i="24"/>
  <c r="N548" i="24"/>
  <c r="O548" i="24"/>
  <c r="P572" i="24"/>
  <c r="N572" i="24"/>
  <c r="Q572" i="24"/>
  <c r="N544" i="24"/>
  <c r="O544" i="24"/>
  <c r="Q582" i="24"/>
  <c r="N582" i="24"/>
  <c r="P582" i="24"/>
  <c r="N555" i="24"/>
  <c r="P555" i="24"/>
  <c r="N570" i="24"/>
  <c r="P570" i="24"/>
  <c r="N554" i="24"/>
  <c r="P554" i="24"/>
  <c r="Q554" i="24"/>
  <c r="Q577" i="24"/>
  <c r="O577" i="24"/>
  <c r="P577" i="24"/>
  <c r="N577" i="24"/>
  <c r="N545" i="24"/>
  <c r="O545" i="24"/>
  <c r="N581" i="24"/>
  <c r="P581" i="24"/>
  <c r="N557" i="24"/>
  <c r="Q557" i="24"/>
  <c r="P557" i="24"/>
  <c r="N556" i="24"/>
  <c r="P556" i="24"/>
  <c r="Q578" i="24"/>
  <c r="O578" i="24"/>
  <c r="P578" i="24"/>
  <c r="N578" i="24"/>
  <c r="N546" i="24"/>
  <c r="N547" i="24"/>
  <c r="O547" i="24"/>
  <c r="E41" i="24"/>
  <c r="E40" i="24"/>
  <c r="P40" i="24" s="1"/>
  <c r="E55" i="24"/>
  <c r="E263" i="24"/>
  <c r="P263" i="24" s="1"/>
  <c r="E268" i="24"/>
  <c r="E261" i="24"/>
  <c r="P261" i="24" s="1"/>
  <c r="E257" i="24"/>
  <c r="E246" i="24"/>
  <c r="E250" i="24"/>
  <c r="E244" i="24"/>
  <c r="E265" i="24"/>
  <c r="E264" i="24"/>
  <c r="E262" i="24"/>
  <c r="P262" i="24" s="1"/>
  <c r="E258" i="24"/>
  <c r="E247" i="24"/>
  <c r="E251" i="24"/>
  <c r="E266" i="24"/>
  <c r="E255" i="24"/>
  <c r="E248" i="24"/>
  <c r="E267" i="24"/>
  <c r="E249" i="24"/>
  <c r="E259" i="24"/>
  <c r="P259" i="24" s="1"/>
  <c r="E254" i="24"/>
  <c r="E260" i="24"/>
  <c r="P260" i="24" s="1"/>
  <c r="E253" i="24"/>
  <c r="E256" i="24"/>
  <c r="E252" i="24"/>
  <c r="E245" i="24"/>
  <c r="AB12" i="4"/>
  <c r="AB10" i="4"/>
  <c r="P593" i="24"/>
  <c r="P635" i="24"/>
  <c r="P638" i="24"/>
  <c r="P589" i="24"/>
  <c r="P604" i="24"/>
  <c r="P592" i="24"/>
  <c r="P607" i="24"/>
  <c r="O584" i="24"/>
  <c r="P611" i="24"/>
  <c r="O588" i="24"/>
  <c r="P608" i="24"/>
  <c r="P637" i="24"/>
  <c r="P605" i="24"/>
  <c r="P610" i="24"/>
  <c r="P636" i="24"/>
  <c r="P606" i="24"/>
  <c r="P609" i="24"/>
  <c r="P590" i="24"/>
  <c r="P591" i="24"/>
  <c r="P613" i="24"/>
  <c r="O587" i="24"/>
  <c r="P612" i="24"/>
  <c r="M61" i="34"/>
  <c r="O328" i="24"/>
  <c r="Q328" i="24"/>
  <c r="O327" i="24"/>
  <c r="Q327" i="24"/>
  <c r="O324" i="24"/>
  <c r="Q324" i="24"/>
  <c r="O325" i="24"/>
  <c r="Q325" i="24"/>
  <c r="D174" i="4"/>
  <c r="H174" i="4"/>
  <c r="D175" i="4"/>
  <c r="H175" i="4"/>
  <c r="C267" i="4"/>
  <c r="C268" i="4"/>
  <c r="E58" i="24" l="1"/>
  <c r="O58" i="24" s="1"/>
  <c r="E59" i="24"/>
  <c r="O59" i="24" s="1"/>
  <c r="E52" i="24"/>
  <c r="P52" i="24" s="1"/>
  <c r="E56" i="24"/>
  <c r="Q56" i="24" s="1"/>
  <c r="E46" i="24"/>
  <c r="E57" i="24"/>
  <c r="O57" i="24" s="1"/>
  <c r="E51" i="24"/>
  <c r="N51" i="24" s="1"/>
  <c r="E54" i="24"/>
  <c r="O54" i="24" s="1"/>
  <c r="E44" i="24"/>
  <c r="E50" i="24"/>
  <c r="N50" i="24" s="1"/>
  <c r="P50" i="24" s="1"/>
  <c r="E47" i="24"/>
  <c r="E48" i="24"/>
  <c r="O48" i="24" s="1"/>
  <c r="E43" i="24"/>
  <c r="E42" i="24"/>
  <c r="O42" i="24" s="1"/>
  <c r="E45" i="24"/>
  <c r="N532" i="24"/>
  <c r="P532" i="24" s="1"/>
  <c r="O532" i="24"/>
  <c r="Q532" i="24"/>
  <c r="E192" i="24"/>
  <c r="E191" i="24"/>
  <c r="E190" i="24"/>
  <c r="E189" i="24"/>
  <c r="E193" i="24"/>
  <c r="Q524" i="24"/>
  <c r="O524" i="24"/>
  <c r="N524" i="24"/>
  <c r="P524" i="24"/>
  <c r="Q531" i="24"/>
  <c r="O531" i="24"/>
  <c r="N531" i="24"/>
  <c r="P531" i="24" s="1"/>
  <c r="O522" i="24"/>
  <c r="P522" i="24"/>
  <c r="N522" i="24"/>
  <c r="Q522" i="24"/>
  <c r="O521" i="24"/>
  <c r="Q521" i="24"/>
  <c r="N521" i="24"/>
  <c r="P521" i="24"/>
  <c r="E165" i="24"/>
  <c r="E161" i="24"/>
  <c r="E162" i="24"/>
  <c r="E166" i="24"/>
  <c r="E163" i="24"/>
  <c r="E164" i="24"/>
  <c r="E168" i="24"/>
  <c r="E167" i="24"/>
  <c r="E143" i="24"/>
  <c r="E151" i="24"/>
  <c r="E144" i="24"/>
  <c r="E152" i="24"/>
  <c r="E141" i="24"/>
  <c r="E149" i="24"/>
  <c r="E142" i="24"/>
  <c r="E150" i="24"/>
  <c r="O527" i="24"/>
  <c r="Q527" i="24"/>
  <c r="N527" i="24"/>
  <c r="P527" i="24"/>
  <c r="P520" i="24"/>
  <c r="O520" i="24"/>
  <c r="Q520" i="24"/>
  <c r="N520" i="24"/>
  <c r="N530" i="24"/>
  <c r="P530" i="24" s="1"/>
  <c r="Q530" i="24"/>
  <c r="O530" i="24"/>
  <c r="N529" i="24"/>
  <c r="P529" i="24" s="1"/>
  <c r="Q529" i="24"/>
  <c r="O529" i="24"/>
  <c r="Q523" i="24"/>
  <c r="N523" i="24"/>
  <c r="O523" i="24"/>
  <c r="P523" i="24"/>
  <c r="P519" i="24"/>
  <c r="N519" i="24"/>
  <c r="O519" i="24"/>
  <c r="Q519" i="24"/>
  <c r="N533" i="24"/>
  <c r="P533" i="24" s="1"/>
  <c r="Q533" i="24"/>
  <c r="O533" i="24"/>
  <c r="P528" i="24"/>
  <c r="N528" i="24"/>
  <c r="Q528" i="24"/>
  <c r="O528" i="24"/>
  <c r="Q526" i="24"/>
  <c r="O526" i="24"/>
  <c r="P526" i="24"/>
  <c r="N526" i="24"/>
  <c r="N525" i="24"/>
  <c r="O525" i="24"/>
  <c r="Q525" i="24"/>
  <c r="P525" i="24"/>
  <c r="Q55" i="24"/>
  <c r="P55" i="24"/>
  <c r="O55" i="24"/>
  <c r="N55" i="24"/>
  <c r="O53" i="24"/>
  <c r="N53" i="24"/>
  <c r="P53" i="24"/>
  <c r="N49" i="24"/>
  <c r="P49" i="24" s="1"/>
  <c r="N41" i="24"/>
  <c r="P41" i="24"/>
  <c r="E188" i="24"/>
  <c r="E197" i="24"/>
  <c r="E201" i="24"/>
  <c r="E205" i="24"/>
  <c r="E209" i="24"/>
  <c r="E213" i="24"/>
  <c r="E172" i="24"/>
  <c r="E176" i="24"/>
  <c r="E180" i="24"/>
  <c r="N180" i="24" s="1"/>
  <c r="P180" i="24" s="1"/>
  <c r="E169" i="24"/>
  <c r="E185" i="24"/>
  <c r="E194" i="24"/>
  <c r="N194" i="24" s="1"/>
  <c r="E198" i="24"/>
  <c r="E202" i="24"/>
  <c r="E206" i="24"/>
  <c r="E210" i="24"/>
  <c r="E184" i="24"/>
  <c r="N184" i="24" s="1"/>
  <c r="E173" i="24"/>
  <c r="E177" i="24"/>
  <c r="E181" i="24"/>
  <c r="N181" i="24" s="1"/>
  <c r="P181" i="24" s="1"/>
  <c r="E186" i="24"/>
  <c r="E199" i="24"/>
  <c r="E207" i="24"/>
  <c r="E170" i="24"/>
  <c r="E178" i="24"/>
  <c r="E187" i="24"/>
  <c r="E200" i="24"/>
  <c r="E171" i="24"/>
  <c r="E179" i="24"/>
  <c r="N179" i="24" s="1"/>
  <c r="P179" i="24" s="1"/>
  <c r="E195" i="24"/>
  <c r="E211" i="24"/>
  <c r="E182" i="24"/>
  <c r="N182" i="24" s="1"/>
  <c r="P182" i="24" s="1"/>
  <c r="E204" i="24"/>
  <c r="E175" i="24"/>
  <c r="E208" i="24"/>
  <c r="E203" i="24"/>
  <c r="E174" i="24"/>
  <c r="E196" i="24"/>
  <c r="E212" i="24"/>
  <c r="E183" i="24"/>
  <c r="N183" i="24" s="1"/>
  <c r="P183" i="24" s="1"/>
  <c r="O267" i="24"/>
  <c r="Q267" i="24"/>
  <c r="O264" i="24"/>
  <c r="O263" i="24"/>
  <c r="N263" i="24"/>
  <c r="O254" i="24"/>
  <c r="P254" i="24"/>
  <c r="N254" i="24"/>
  <c r="P247" i="24"/>
  <c r="N247" i="24"/>
  <c r="O247" i="24"/>
  <c r="Q247" i="24"/>
  <c r="N257" i="24"/>
  <c r="O257" i="24"/>
  <c r="Q257" i="24"/>
  <c r="P257" i="24"/>
  <c r="P256" i="24"/>
  <c r="N256" i="24"/>
  <c r="N259" i="24"/>
  <c r="O259" i="24"/>
  <c r="O255" i="24"/>
  <c r="P255" i="24"/>
  <c r="N255" i="24"/>
  <c r="O258" i="24"/>
  <c r="P258" i="24"/>
  <c r="N258" i="24"/>
  <c r="N244" i="24"/>
  <c r="O244" i="24"/>
  <c r="P244" i="24"/>
  <c r="N261" i="24"/>
  <c r="O245" i="24"/>
  <c r="P245" i="24"/>
  <c r="N245" i="24"/>
  <c r="N260" i="24"/>
  <c r="O260" i="24"/>
  <c r="N251" i="24"/>
  <c r="P251" i="24"/>
  <c r="N246" i="24"/>
  <c r="P246" i="24"/>
  <c r="N252" i="24"/>
  <c r="O252" i="24"/>
  <c r="Q252" i="24"/>
  <c r="P252" i="24"/>
  <c r="N248" i="24"/>
  <c r="P248" i="24"/>
  <c r="O248" i="24"/>
  <c r="O265" i="24"/>
  <c r="E132" i="24"/>
  <c r="E145" i="24"/>
  <c r="E153" i="24"/>
  <c r="E129" i="24"/>
  <c r="E138" i="24"/>
  <c r="E146" i="24"/>
  <c r="E154" i="24"/>
  <c r="E158" i="24"/>
  <c r="E114" i="24"/>
  <c r="E130" i="24"/>
  <c r="E147" i="24"/>
  <c r="Q147" i="24" s="1"/>
  <c r="E157" i="24"/>
  <c r="E115" i="24"/>
  <c r="E119" i="24"/>
  <c r="E123" i="24"/>
  <c r="E127" i="24"/>
  <c r="E135" i="24"/>
  <c r="E107" i="24"/>
  <c r="E111" i="24"/>
  <c r="E131" i="24"/>
  <c r="E159" i="24"/>
  <c r="Q159" i="24" s="1"/>
  <c r="E116" i="24"/>
  <c r="E120" i="24"/>
  <c r="E124" i="24"/>
  <c r="E136" i="24"/>
  <c r="E108" i="24"/>
  <c r="E139" i="24"/>
  <c r="Q139" i="24" s="1"/>
  <c r="E155" i="24"/>
  <c r="Q155" i="24" s="1"/>
  <c r="E117" i="24"/>
  <c r="E125" i="24"/>
  <c r="E113" i="24"/>
  <c r="E105" i="24"/>
  <c r="E140" i="24"/>
  <c r="E148" i="24"/>
  <c r="E128" i="24"/>
  <c r="E112" i="24"/>
  <c r="E160" i="24"/>
  <c r="E121" i="24"/>
  <c r="E133" i="24"/>
  <c r="E109" i="24"/>
  <c r="E137" i="24"/>
  <c r="E134" i="24"/>
  <c r="E122" i="24"/>
  <c r="E126" i="24"/>
  <c r="E118" i="24"/>
  <c r="E106" i="24"/>
  <c r="E110" i="24"/>
  <c r="E156" i="24"/>
  <c r="AB5" i="4"/>
  <c r="O253" i="24"/>
  <c r="N253" i="24"/>
  <c r="P253" i="24"/>
  <c r="O249" i="24"/>
  <c r="N249" i="24"/>
  <c r="P249" i="24"/>
  <c r="N262" i="24"/>
  <c r="Q262" i="24"/>
  <c r="O262" i="24"/>
  <c r="O250" i="24"/>
  <c r="N250" i="24"/>
  <c r="P250" i="24"/>
  <c r="O268" i="24"/>
  <c r="Q268" i="24"/>
  <c r="P542" i="24"/>
  <c r="N542" i="24"/>
  <c r="O542" i="24"/>
  <c r="N543" i="24"/>
  <c r="O543" i="24"/>
  <c r="P543" i="24"/>
  <c r="O558" i="24"/>
  <c r="O572" i="24"/>
  <c r="O557" i="24"/>
  <c r="O564" i="24"/>
  <c r="P564" i="24"/>
  <c r="P563" i="24"/>
  <c r="O563" i="24"/>
  <c r="O569" i="24"/>
  <c r="N541" i="24"/>
  <c r="P541" i="24"/>
  <c r="N540" i="24"/>
  <c r="P540" i="24"/>
  <c r="O540" i="24"/>
  <c r="P539" i="24"/>
  <c r="O539" i="24"/>
  <c r="N539" i="24"/>
  <c r="O554" i="24"/>
  <c r="O559" i="24"/>
  <c r="P559" i="24"/>
  <c r="O562" i="24"/>
  <c r="P562" i="24"/>
  <c r="O573" i="24"/>
  <c r="O583" i="24"/>
  <c r="P537" i="24"/>
  <c r="O537" i="24"/>
  <c r="P538" i="24"/>
  <c r="O538" i="24"/>
  <c r="P535" i="24"/>
  <c r="O535" i="24"/>
  <c r="P561" i="24"/>
  <c r="O552" i="24"/>
  <c r="P568" i="24"/>
  <c r="O568" i="24"/>
  <c r="P560" i="24"/>
  <c r="O567" i="24"/>
  <c r="P567" i="24"/>
  <c r="O579" i="24"/>
  <c r="O534" i="24"/>
  <c r="P534" i="24"/>
  <c r="P536" i="24"/>
  <c r="O553" i="24"/>
  <c r="P566" i="24"/>
  <c r="O582" i="24"/>
  <c r="O549" i="24"/>
  <c r="P565" i="24"/>
  <c r="P37" i="3"/>
  <c r="M62" i="34"/>
  <c r="E229" i="4"/>
  <c r="I174" i="4"/>
  <c r="E174" i="4"/>
  <c r="E230" i="4"/>
  <c r="E231" i="4"/>
  <c r="D267" i="4"/>
  <c r="G9" i="5"/>
  <c r="G8" i="5"/>
  <c r="C86" i="19"/>
  <c r="N674" i="24"/>
  <c r="AC658" i="24"/>
  <c r="AC648" i="24"/>
  <c r="AC673" i="24"/>
  <c r="AC663" i="24"/>
  <c r="U100" i="4"/>
  <c r="G7" i="12"/>
  <c r="G6" i="12"/>
  <c r="G428" i="24"/>
  <c r="G427" i="24"/>
  <c r="G426" i="24"/>
  <c r="G425" i="24"/>
  <c r="G424" i="24"/>
  <c r="G423" i="24"/>
  <c r="G422" i="24"/>
  <c r="G421" i="24"/>
  <c r="G420" i="24"/>
  <c r="G419" i="24"/>
  <c r="G26" i="12"/>
  <c r="G22" i="12"/>
  <c r="G86" i="12"/>
  <c r="G85" i="12"/>
  <c r="G84" i="12"/>
  <c r="G338" i="24"/>
  <c r="Q338" i="24" s="1"/>
  <c r="G337" i="24"/>
  <c r="Q337" i="24" s="1"/>
  <c r="G336" i="24"/>
  <c r="P336" i="24" s="1"/>
  <c r="G335" i="24"/>
  <c r="Q335" i="24" s="1"/>
  <c r="G334" i="24"/>
  <c r="Q334" i="24" s="1"/>
  <c r="G333" i="24"/>
  <c r="Q333" i="24" s="1"/>
  <c r="G332" i="24"/>
  <c r="Q332" i="24" s="1"/>
  <c r="G331" i="24"/>
  <c r="P331" i="24" s="1"/>
  <c r="G330" i="24"/>
  <c r="Q329" i="24"/>
  <c r="G36" i="12"/>
  <c r="G49" i="12"/>
  <c r="AC307" i="24" s="1"/>
  <c r="AC304" i="24"/>
  <c r="AC299" i="24"/>
  <c r="AC294" i="24"/>
  <c r="AC290" i="24"/>
  <c r="AC286" i="24"/>
  <c r="AC282" i="24"/>
  <c r="G44" i="12"/>
  <c r="G103" i="12"/>
  <c r="G6" i="9"/>
  <c r="AC224" i="24" s="1"/>
  <c r="G91" i="12"/>
  <c r="G81" i="12"/>
  <c r="G80" i="12"/>
  <c r="G79" i="12"/>
  <c r="G78" i="12"/>
  <c r="G76" i="12"/>
  <c r="G75" i="12"/>
  <c r="G74" i="12"/>
  <c r="G73" i="12"/>
  <c r="G72" i="12"/>
  <c r="G70" i="12"/>
  <c r="G69" i="12"/>
  <c r="G68" i="12"/>
  <c r="G67" i="12"/>
  <c r="G66" i="12"/>
  <c r="G97" i="12"/>
  <c r="G77" i="12"/>
  <c r="AC24" i="24"/>
  <c r="AC23" i="24"/>
  <c r="AC22" i="24"/>
  <c r="AC21" i="24"/>
  <c r="AC20" i="24"/>
  <c r="AC19" i="24"/>
  <c r="AC18" i="24"/>
  <c r="AC17" i="24"/>
  <c r="AC12" i="24"/>
  <c r="AC11" i="24"/>
  <c r="AC13" i="24"/>
  <c r="AC9" i="24"/>
  <c r="AC8" i="24"/>
  <c r="AC16" i="24"/>
  <c r="AC15" i="24"/>
  <c r="AC10" i="24"/>
  <c r="AC7" i="24"/>
  <c r="AC6" i="24"/>
  <c r="G71" i="12"/>
  <c r="C122" i="21"/>
  <c r="I12" i="22"/>
  <c r="E29" i="21"/>
  <c r="E41" i="21"/>
  <c r="E14" i="21"/>
  <c r="G149" i="21"/>
  <c r="G151" i="21"/>
  <c r="G150" i="21"/>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D100" i="4"/>
  <c r="E30" i="21"/>
  <c r="N267" i="24" s="1"/>
  <c r="J8" i="9"/>
  <c r="E97" i="3"/>
  <c r="F97" i="3"/>
  <c r="G97" i="3"/>
  <c r="H97" i="3"/>
  <c r="I97" i="3"/>
  <c r="E98" i="3"/>
  <c r="F98" i="3"/>
  <c r="G98" i="3"/>
  <c r="H98" i="3"/>
  <c r="I98" i="3"/>
  <c r="E99" i="3"/>
  <c r="F99" i="3"/>
  <c r="G99" i="3"/>
  <c r="H99" i="3"/>
  <c r="I99" i="3"/>
  <c r="E100" i="3"/>
  <c r="F100" i="3"/>
  <c r="G100" i="3"/>
  <c r="H100" i="3"/>
  <c r="I100" i="3"/>
  <c r="E101" i="3"/>
  <c r="F101" i="3"/>
  <c r="G101" i="3"/>
  <c r="H101" i="3"/>
  <c r="I101" i="3"/>
  <c r="E102" i="3"/>
  <c r="F102" i="3"/>
  <c r="G102" i="3"/>
  <c r="H102" i="3"/>
  <c r="I102" i="3"/>
  <c r="E103" i="3"/>
  <c r="F103" i="3"/>
  <c r="G103" i="3"/>
  <c r="H103" i="3"/>
  <c r="I103" i="3"/>
  <c r="E104" i="3"/>
  <c r="F104" i="3"/>
  <c r="G104" i="3"/>
  <c r="H104" i="3"/>
  <c r="I104" i="3"/>
  <c r="E105" i="3"/>
  <c r="F105" i="3"/>
  <c r="G105" i="3"/>
  <c r="H105" i="3"/>
  <c r="I105" i="3"/>
  <c r="E106" i="3"/>
  <c r="F106" i="3"/>
  <c r="G106" i="3"/>
  <c r="H106" i="3"/>
  <c r="I106" i="3"/>
  <c r="D98" i="3"/>
  <c r="D99" i="3"/>
  <c r="D100" i="3"/>
  <c r="D101" i="3"/>
  <c r="D102" i="3"/>
  <c r="D103" i="3"/>
  <c r="D104" i="3"/>
  <c r="D105" i="3"/>
  <c r="D106" i="3"/>
  <c r="D97" i="3"/>
  <c r="G5" i="12"/>
  <c r="G8" i="12"/>
  <c r="G9" i="12"/>
  <c r="G10" i="12"/>
  <c r="G11" i="12"/>
  <c r="G12" i="12"/>
  <c r="G13" i="12"/>
  <c r="G14" i="12"/>
  <c r="G15" i="12"/>
  <c r="G16" i="12"/>
  <c r="G17" i="12"/>
  <c r="G18" i="12"/>
  <c r="G19" i="12"/>
  <c r="G20" i="12"/>
  <c r="G21" i="12"/>
  <c r="G23" i="12"/>
  <c r="G24" i="12"/>
  <c r="G25" i="12"/>
  <c r="G27" i="12"/>
  <c r="G28" i="12"/>
  <c r="G29" i="12"/>
  <c r="G30" i="12"/>
  <c r="G31" i="12"/>
  <c r="G32" i="12"/>
  <c r="G33" i="12"/>
  <c r="G34" i="12"/>
  <c r="G35" i="12"/>
  <c r="G37" i="12"/>
  <c r="G38" i="12"/>
  <c r="G39" i="12"/>
  <c r="G40" i="12"/>
  <c r="G41" i="12"/>
  <c r="G42" i="12"/>
  <c r="G43" i="12"/>
  <c r="G45" i="12"/>
  <c r="G46" i="12"/>
  <c r="G47" i="12"/>
  <c r="G48" i="12"/>
  <c r="G50" i="12"/>
  <c r="G51" i="12"/>
  <c r="G52" i="12"/>
  <c r="G53" i="12"/>
  <c r="G54" i="12"/>
  <c r="G55" i="12"/>
  <c r="G56" i="12"/>
  <c r="G57" i="12"/>
  <c r="G58" i="12"/>
  <c r="G59" i="12"/>
  <c r="G60" i="12"/>
  <c r="G61" i="12"/>
  <c r="G62" i="12"/>
  <c r="G63" i="12"/>
  <c r="G64" i="12"/>
  <c r="G65" i="12"/>
  <c r="G82" i="12"/>
  <c r="G83" i="12"/>
  <c r="G87" i="12"/>
  <c r="G88" i="12"/>
  <c r="G89" i="12"/>
  <c r="G90" i="12"/>
  <c r="G92" i="12"/>
  <c r="G93" i="12"/>
  <c r="G94" i="12"/>
  <c r="G95" i="12"/>
  <c r="G96" i="12"/>
  <c r="G98" i="12"/>
  <c r="G99" i="12"/>
  <c r="G100" i="12"/>
  <c r="G101" i="12"/>
  <c r="G102" i="12"/>
  <c r="G104" i="12"/>
  <c r="G105" i="12"/>
  <c r="G106" i="12"/>
  <c r="G107" i="12"/>
  <c r="G108" i="12"/>
  <c r="G109" i="12"/>
  <c r="G110" i="12"/>
  <c r="G111" i="12"/>
  <c r="G112" i="12"/>
  <c r="G4" i="12"/>
  <c r="E80" i="3"/>
  <c r="F80" i="3"/>
  <c r="D80" i="3"/>
  <c r="I56" i="3"/>
  <c r="I57" i="3"/>
  <c r="I58" i="3"/>
  <c r="I59" i="3"/>
  <c r="I60" i="3"/>
  <c r="I61" i="3"/>
  <c r="I62" i="3"/>
  <c r="I63" i="3"/>
  <c r="I64" i="3"/>
  <c r="E65" i="3"/>
  <c r="F65" i="3"/>
  <c r="G65" i="3"/>
  <c r="H65" i="3"/>
  <c r="I65" i="3"/>
  <c r="D65" i="3"/>
  <c r="D57" i="3"/>
  <c r="E57" i="3"/>
  <c r="F57" i="3"/>
  <c r="G57" i="3"/>
  <c r="H57" i="3"/>
  <c r="D58" i="3"/>
  <c r="E58" i="3"/>
  <c r="F58" i="3"/>
  <c r="G58" i="3"/>
  <c r="H58" i="3"/>
  <c r="D59" i="3"/>
  <c r="E59" i="3"/>
  <c r="F59" i="3"/>
  <c r="G59" i="3"/>
  <c r="H59" i="3"/>
  <c r="D60" i="3"/>
  <c r="E60" i="3"/>
  <c r="F60" i="3"/>
  <c r="G60" i="3"/>
  <c r="H60" i="3"/>
  <c r="D61" i="3"/>
  <c r="E61" i="3"/>
  <c r="F61" i="3"/>
  <c r="G61" i="3"/>
  <c r="H61" i="3"/>
  <c r="D62" i="3"/>
  <c r="E62" i="3"/>
  <c r="F62" i="3"/>
  <c r="G62" i="3"/>
  <c r="H62" i="3"/>
  <c r="D63" i="3"/>
  <c r="E63" i="3"/>
  <c r="F63" i="3"/>
  <c r="G63" i="3"/>
  <c r="H63" i="3"/>
  <c r="D64" i="3"/>
  <c r="E64" i="3"/>
  <c r="F64" i="3"/>
  <c r="G64" i="3"/>
  <c r="H64" i="3"/>
  <c r="E56" i="3"/>
  <c r="F56" i="3"/>
  <c r="G56" i="3"/>
  <c r="H56" i="3"/>
  <c r="D56" i="3"/>
  <c r="D87" i="5"/>
  <c r="E87" i="5"/>
  <c r="T100" i="4"/>
  <c r="S100" i="4"/>
  <c r="R100" i="4"/>
  <c r="Q100" i="4"/>
  <c r="P100" i="4"/>
  <c r="O100" i="4"/>
  <c r="N100" i="4"/>
  <c r="M100" i="4"/>
  <c r="L100" i="4"/>
  <c r="K100" i="4"/>
  <c r="J100" i="4"/>
  <c r="I100" i="4"/>
  <c r="H100" i="4"/>
  <c r="G100" i="4"/>
  <c r="F100" i="4"/>
  <c r="E100" i="4"/>
  <c r="G31" i="3"/>
  <c r="N59" i="24" l="1"/>
  <c r="P59" i="24" s="1"/>
  <c r="Q59" i="24"/>
  <c r="O52" i="24"/>
  <c r="D83" i="19"/>
  <c r="D84" i="19"/>
  <c r="D82" i="19"/>
  <c r="D85" i="19"/>
  <c r="N52" i="24"/>
  <c r="N58" i="24"/>
  <c r="P58" i="24" s="1"/>
  <c r="P56" i="24"/>
  <c r="O56" i="24"/>
  <c r="N56" i="24"/>
  <c r="P51" i="24"/>
  <c r="N57" i="24"/>
  <c r="P57" i="24" s="1"/>
  <c r="O51" i="24"/>
  <c r="K268" i="4"/>
  <c r="E29" i="24"/>
  <c r="E34" i="24"/>
  <c r="E31" i="24"/>
  <c r="E28" i="24"/>
  <c r="P54" i="24"/>
  <c r="N54" i="24"/>
  <c r="Q330" i="24"/>
  <c r="N48" i="24"/>
  <c r="P48" i="24" s="1"/>
  <c r="AC281" i="24"/>
  <c r="AC289" i="24"/>
  <c r="AC297" i="24"/>
  <c r="AC308" i="24"/>
  <c r="AC285" i="24"/>
  <c r="AC293" i="24"/>
  <c r="AC303" i="24"/>
  <c r="Q151" i="24"/>
  <c r="O151" i="24"/>
  <c r="N151" i="24"/>
  <c r="P151" i="24"/>
  <c r="AC279" i="24"/>
  <c r="AC283" i="24"/>
  <c r="AC291" i="24"/>
  <c r="AC295" i="24"/>
  <c r="AC300" i="24"/>
  <c r="AC305" i="24"/>
  <c r="E398" i="24"/>
  <c r="E391" i="24"/>
  <c r="E399" i="24"/>
  <c r="P399" i="24" s="1"/>
  <c r="E415" i="24"/>
  <c r="N415" i="24" s="1"/>
  <c r="P415" i="24" s="1"/>
  <c r="E408" i="24"/>
  <c r="E413" i="24"/>
  <c r="E418" i="24"/>
  <c r="N418" i="24" s="1"/>
  <c r="P418" i="24" s="1"/>
  <c r="E410" i="24"/>
  <c r="E401" i="24"/>
  <c r="P401" i="24" s="1"/>
  <c r="E392" i="24"/>
  <c r="E397" i="24"/>
  <c r="E412" i="24"/>
  <c r="E409" i="24"/>
  <c r="E403" i="24"/>
  <c r="P403" i="24" s="1"/>
  <c r="E389" i="24"/>
  <c r="E416" i="24"/>
  <c r="N416" i="24" s="1"/>
  <c r="P416" i="24" s="1"/>
  <c r="E406" i="24"/>
  <c r="E400" i="24"/>
  <c r="P400" i="24" s="1"/>
  <c r="E393" i="24"/>
  <c r="E394" i="24"/>
  <c r="E395" i="24"/>
  <c r="E417" i="24"/>
  <c r="N417" i="24" s="1"/>
  <c r="P417" i="24" s="1"/>
  <c r="E390" i="24"/>
  <c r="E411" i="24"/>
  <c r="E404" i="24"/>
  <c r="E405" i="24"/>
  <c r="E402" i="24"/>
  <c r="P402" i="24" s="1"/>
  <c r="E414" i="24"/>
  <c r="N414" i="24" s="1"/>
  <c r="P414" i="24" s="1"/>
  <c r="E396" i="24"/>
  <c r="E407" i="24"/>
  <c r="P36" i="3"/>
  <c r="E14" i="24" s="1"/>
  <c r="P35" i="3"/>
  <c r="E25" i="24" s="1"/>
  <c r="AC280" i="24"/>
  <c r="AC284" i="24"/>
  <c r="AC288" i="24"/>
  <c r="AC292" i="24"/>
  <c r="AC296" i="24"/>
  <c r="AC301" i="24"/>
  <c r="N142" i="24"/>
  <c r="P142" i="24"/>
  <c r="N144" i="24"/>
  <c r="P144" i="24"/>
  <c r="N168" i="24"/>
  <c r="P168" i="24"/>
  <c r="N162" i="24"/>
  <c r="P162" i="24"/>
  <c r="O189" i="24"/>
  <c r="N189" i="24"/>
  <c r="P189" i="24"/>
  <c r="N149" i="24"/>
  <c r="P149" i="24"/>
  <c r="N161" i="24"/>
  <c r="P161" i="24"/>
  <c r="O190" i="24"/>
  <c r="N190" i="24"/>
  <c r="P190" i="24"/>
  <c r="AC276" i="24"/>
  <c r="AC306" i="24"/>
  <c r="E384" i="24"/>
  <c r="E388" i="24"/>
  <c r="E386" i="24"/>
  <c r="E385" i="24"/>
  <c r="E387" i="24"/>
  <c r="E365" i="24"/>
  <c r="E373" i="24"/>
  <c r="E368" i="24"/>
  <c r="E369" i="24"/>
  <c r="E367" i="24"/>
  <c r="E370" i="24"/>
  <c r="E364" i="24"/>
  <c r="E372" i="24"/>
  <c r="E371" i="24"/>
  <c r="E366" i="24"/>
  <c r="N141" i="24"/>
  <c r="P141" i="24"/>
  <c r="Q143" i="24"/>
  <c r="O143" i="24"/>
  <c r="N143" i="24"/>
  <c r="P143" i="24"/>
  <c r="N163" i="24"/>
  <c r="Q163" i="24"/>
  <c r="O163" i="24"/>
  <c r="P163" i="24"/>
  <c r="N165" i="24"/>
  <c r="P165" i="24"/>
  <c r="N191" i="24"/>
  <c r="P191" i="24"/>
  <c r="N164" i="24"/>
  <c r="P164" i="24"/>
  <c r="AC287" i="24"/>
  <c r="P150" i="24"/>
  <c r="N150" i="24"/>
  <c r="N152" i="24"/>
  <c r="P152" i="24"/>
  <c r="N167" i="24"/>
  <c r="Q167" i="24"/>
  <c r="O167" i="24"/>
  <c r="P167" i="24"/>
  <c r="N166" i="24"/>
  <c r="P166" i="24"/>
  <c r="Q193" i="24"/>
  <c r="O193" i="24"/>
  <c r="N193" i="24"/>
  <c r="P193" i="24"/>
  <c r="O192" i="24"/>
  <c r="Q192" i="24"/>
  <c r="N192" i="24"/>
  <c r="P192" i="24"/>
  <c r="H146" i="21"/>
  <c r="N664" i="24"/>
  <c r="N665" i="24"/>
  <c r="N666" i="24"/>
  <c r="N667" i="24"/>
  <c r="N668" i="24"/>
  <c r="O118" i="24"/>
  <c r="Q118" i="24"/>
  <c r="N160" i="24"/>
  <c r="P160" i="24" s="1"/>
  <c r="O136" i="24"/>
  <c r="Q136" i="24"/>
  <c r="N159" i="24"/>
  <c r="P159" i="24" s="1"/>
  <c r="O159" i="24"/>
  <c r="Q115" i="24"/>
  <c r="O115" i="24"/>
  <c r="O114" i="24"/>
  <c r="Q114" i="24"/>
  <c r="O132" i="24"/>
  <c r="Q132" i="24"/>
  <c r="Q126" i="24"/>
  <c r="O126" i="24"/>
  <c r="O109" i="24"/>
  <c r="Q109" i="24"/>
  <c r="O105" i="24"/>
  <c r="Q105" i="24"/>
  <c r="O155" i="24"/>
  <c r="Q131" i="24"/>
  <c r="O131" i="24"/>
  <c r="Q127" i="24"/>
  <c r="O127" i="24"/>
  <c r="N158" i="24"/>
  <c r="P158" i="24" s="1"/>
  <c r="O129" i="24"/>
  <c r="Q129" i="24"/>
  <c r="Q110" i="24"/>
  <c r="O110" i="24"/>
  <c r="O122" i="24"/>
  <c r="Q122" i="24"/>
  <c r="O133" i="24"/>
  <c r="Q133" i="24"/>
  <c r="O128" i="24"/>
  <c r="Q128" i="24"/>
  <c r="O113" i="24"/>
  <c r="Q113" i="24"/>
  <c r="O139" i="24"/>
  <c r="O120" i="24"/>
  <c r="Q120" i="24"/>
  <c r="O111" i="24"/>
  <c r="Q111" i="24"/>
  <c r="Q123" i="24"/>
  <c r="O123" i="24"/>
  <c r="O147" i="24"/>
  <c r="O117" i="24"/>
  <c r="Q117" i="24"/>
  <c r="O135" i="24"/>
  <c r="Q135" i="24"/>
  <c r="Q112" i="24"/>
  <c r="O112" i="24"/>
  <c r="O124" i="24"/>
  <c r="Q124" i="24"/>
  <c r="N157" i="24"/>
  <c r="P157" i="24" s="1"/>
  <c r="O106" i="24"/>
  <c r="Q106" i="24"/>
  <c r="O134" i="24"/>
  <c r="Q134" i="24"/>
  <c r="O121" i="24"/>
  <c r="Q121" i="24"/>
  <c r="O125" i="24"/>
  <c r="Q125" i="24"/>
  <c r="Q108" i="24"/>
  <c r="O108" i="24"/>
  <c r="O116" i="24"/>
  <c r="Q116" i="24"/>
  <c r="Q107" i="24"/>
  <c r="O107" i="24"/>
  <c r="O119" i="24"/>
  <c r="Q119" i="24"/>
  <c r="O130" i="24"/>
  <c r="Q130" i="24"/>
  <c r="N536" i="24"/>
  <c r="N552" i="24"/>
  <c r="N553" i="24"/>
  <c r="N550" i="24"/>
  <c r="N549" i="24"/>
  <c r="N551" i="24"/>
  <c r="N264" i="24"/>
  <c r="N265" i="24"/>
  <c r="P268" i="24"/>
  <c r="N266" i="24"/>
  <c r="P126" i="24"/>
  <c r="N126" i="24"/>
  <c r="N124" i="24"/>
  <c r="P124" i="24" s="1"/>
  <c r="P131" i="24"/>
  <c r="N131" i="24"/>
  <c r="P127" i="24"/>
  <c r="N127" i="24"/>
  <c r="P129" i="24"/>
  <c r="N129" i="24"/>
  <c r="P173" i="24"/>
  <c r="N173" i="24"/>
  <c r="P169" i="24"/>
  <c r="N169" i="24"/>
  <c r="N122" i="24"/>
  <c r="P122" i="24" s="1"/>
  <c r="P133" i="24"/>
  <c r="P128" i="24"/>
  <c r="N128" i="24"/>
  <c r="P113" i="24"/>
  <c r="N113" i="24"/>
  <c r="N139" i="24"/>
  <c r="P139" i="24"/>
  <c r="N120" i="24"/>
  <c r="P120" i="24"/>
  <c r="N123" i="24"/>
  <c r="P123" i="24" s="1"/>
  <c r="P134" i="24"/>
  <c r="N121" i="24"/>
  <c r="P121" i="24" s="1"/>
  <c r="P125" i="24"/>
  <c r="N125" i="24"/>
  <c r="P116" i="24"/>
  <c r="N116" i="24"/>
  <c r="N119" i="24"/>
  <c r="P119" i="24"/>
  <c r="P130" i="24"/>
  <c r="N130" i="24"/>
  <c r="P171" i="24"/>
  <c r="N171" i="24"/>
  <c r="P170" i="24"/>
  <c r="N170" i="24"/>
  <c r="N118" i="24"/>
  <c r="P118" i="24"/>
  <c r="N137" i="24"/>
  <c r="P137" i="24"/>
  <c r="N140" i="24"/>
  <c r="P140" i="24"/>
  <c r="N117" i="24"/>
  <c r="P117" i="24"/>
  <c r="P136" i="24"/>
  <c r="P135" i="24"/>
  <c r="P115" i="24"/>
  <c r="N115" i="24"/>
  <c r="P114" i="24"/>
  <c r="N114" i="24"/>
  <c r="N138" i="24"/>
  <c r="P138" i="24"/>
  <c r="P132" i="24"/>
  <c r="N132" i="24"/>
  <c r="N172" i="24"/>
  <c r="P172" i="24"/>
  <c r="N566" i="24"/>
  <c r="N567" i="24"/>
  <c r="N568" i="24"/>
  <c r="N565" i="24"/>
  <c r="N564" i="24"/>
  <c r="N268" i="24"/>
  <c r="P265" i="24"/>
  <c r="P264" i="24"/>
  <c r="N535" i="24"/>
  <c r="N534" i="24"/>
  <c r="N538" i="24"/>
  <c r="N537" i="24"/>
  <c r="P266" i="24"/>
  <c r="P267" i="24"/>
  <c r="E272" i="24"/>
  <c r="E273" i="24"/>
  <c r="N273" i="24" s="1"/>
  <c r="P273" i="24" s="1"/>
  <c r="E275" i="24"/>
  <c r="E270" i="24"/>
  <c r="E274" i="24"/>
  <c r="E277" i="24"/>
  <c r="N277" i="24" s="1"/>
  <c r="E271" i="24"/>
  <c r="E278" i="24"/>
  <c r="E276" i="24"/>
  <c r="E269" i="24"/>
  <c r="O269" i="24" s="1"/>
  <c r="P111" i="24"/>
  <c r="N111" i="24"/>
  <c r="P147" i="24"/>
  <c r="N147" i="24"/>
  <c r="Q183" i="24"/>
  <c r="O183" i="24"/>
  <c r="Q182" i="24"/>
  <c r="O182" i="24"/>
  <c r="O170" i="24"/>
  <c r="P176" i="24"/>
  <c r="N176" i="24"/>
  <c r="E341" i="24"/>
  <c r="E357" i="24"/>
  <c r="E354" i="24"/>
  <c r="E344" i="24"/>
  <c r="E356" i="24"/>
  <c r="E359" i="24"/>
  <c r="N359" i="24" s="1"/>
  <c r="P359" i="24" s="1"/>
  <c r="E353" i="24"/>
  <c r="E350" i="24"/>
  <c r="E363" i="24"/>
  <c r="N363" i="24" s="1"/>
  <c r="P363" i="24" s="1"/>
  <c r="E345" i="24"/>
  <c r="E361" i="24"/>
  <c r="E342" i="24"/>
  <c r="E358" i="24"/>
  <c r="E352" i="24"/>
  <c r="E347" i="24"/>
  <c r="E348" i="24"/>
  <c r="E349" i="24"/>
  <c r="E346" i="24"/>
  <c r="E362" i="24"/>
  <c r="N362" i="24" s="1"/>
  <c r="P362" i="24" s="1"/>
  <c r="E360" i="24"/>
  <c r="N360" i="24" s="1"/>
  <c r="P360" i="24" s="1"/>
  <c r="E351" i="24"/>
  <c r="P351" i="24" s="1"/>
  <c r="E355" i="24"/>
  <c r="E339" i="24"/>
  <c r="E340" i="24"/>
  <c r="E343" i="24"/>
  <c r="P106" i="24"/>
  <c r="N106" i="24"/>
  <c r="N107" i="24"/>
  <c r="P107" i="24"/>
  <c r="P145" i="24"/>
  <c r="N145" i="24"/>
  <c r="O208" i="24"/>
  <c r="Q208" i="24"/>
  <c r="N208" i="24"/>
  <c r="P208" i="24"/>
  <c r="P200" i="24"/>
  <c r="O200" i="24"/>
  <c r="P207" i="24"/>
  <c r="N207" i="24"/>
  <c r="Q207" i="24"/>
  <c r="O207" i="24"/>
  <c r="P177" i="24"/>
  <c r="O177" i="24"/>
  <c r="N177" i="24"/>
  <c r="Q177" i="24"/>
  <c r="P206" i="24"/>
  <c r="N206" i="24"/>
  <c r="P185" i="24"/>
  <c r="N185" i="24"/>
  <c r="O185" i="24"/>
  <c r="Q172" i="24"/>
  <c r="O172" i="24"/>
  <c r="P196" i="24"/>
  <c r="N196" i="24"/>
  <c r="N175" i="24"/>
  <c r="P175" i="24"/>
  <c r="O175" i="24"/>
  <c r="N195" i="24"/>
  <c r="P195" i="24"/>
  <c r="O195" i="24"/>
  <c r="P187" i="24"/>
  <c r="Q187" i="24"/>
  <c r="O187" i="24"/>
  <c r="N187" i="24"/>
  <c r="P199" i="24"/>
  <c r="O199" i="24"/>
  <c r="O173" i="24"/>
  <c r="Q173" i="24"/>
  <c r="O202" i="24"/>
  <c r="Q202" i="24"/>
  <c r="P202" i="24"/>
  <c r="O169" i="24"/>
  <c r="Q213" i="24"/>
  <c r="O213" i="24"/>
  <c r="P213" i="24"/>
  <c r="N213" i="24"/>
  <c r="Q197" i="24"/>
  <c r="P197" i="24"/>
  <c r="N197" i="24"/>
  <c r="O197" i="24"/>
  <c r="E424" i="24"/>
  <c r="Q424" i="24" s="1"/>
  <c r="E419" i="24"/>
  <c r="Q419" i="24" s="1"/>
  <c r="E422" i="24"/>
  <c r="Q422" i="24" s="1"/>
  <c r="E421" i="24"/>
  <c r="Q421" i="24" s="1"/>
  <c r="E423" i="24"/>
  <c r="Q423" i="24" s="1"/>
  <c r="E430" i="24"/>
  <c r="N430" i="24" s="1"/>
  <c r="P430" i="24" s="1"/>
  <c r="E420" i="24"/>
  <c r="Q420" i="24" s="1"/>
  <c r="E428" i="24"/>
  <c r="Q428" i="24" s="1"/>
  <c r="E433" i="24"/>
  <c r="N433" i="24" s="1"/>
  <c r="P433" i="24" s="1"/>
  <c r="E426" i="24"/>
  <c r="Q426" i="24" s="1"/>
  <c r="E432" i="24"/>
  <c r="N432" i="24" s="1"/>
  <c r="P432" i="24" s="1"/>
  <c r="E427" i="24"/>
  <c r="Q427" i="24" s="1"/>
  <c r="E429" i="24"/>
  <c r="N429" i="24" s="1"/>
  <c r="P429" i="24" s="1"/>
  <c r="E431" i="24"/>
  <c r="N431" i="24" s="1"/>
  <c r="P431" i="24" s="1"/>
  <c r="E425" i="24"/>
  <c r="Q425" i="24" s="1"/>
  <c r="N110" i="24"/>
  <c r="P110" i="24"/>
  <c r="P203" i="24"/>
  <c r="O203" i="24"/>
  <c r="Q203" i="24"/>
  <c r="O210" i="24"/>
  <c r="P210" i="24"/>
  <c r="N210" i="24"/>
  <c r="P194" i="24"/>
  <c r="O194" i="24"/>
  <c r="O205" i="24"/>
  <c r="N205" i="24"/>
  <c r="P205" i="24"/>
  <c r="E383" i="24"/>
  <c r="E374" i="24"/>
  <c r="E377" i="24"/>
  <c r="E382" i="24"/>
  <c r="E379" i="24"/>
  <c r="E381" i="24"/>
  <c r="E376" i="24"/>
  <c r="E380" i="24"/>
  <c r="E378" i="24"/>
  <c r="E375" i="24"/>
  <c r="N148" i="24"/>
  <c r="P148" i="24"/>
  <c r="N108" i="24"/>
  <c r="P108" i="24"/>
  <c r="N146" i="24"/>
  <c r="P146" i="24"/>
  <c r="Q212" i="24"/>
  <c r="O212" i="24"/>
  <c r="N212" i="24"/>
  <c r="P212" i="24"/>
  <c r="P211" i="24"/>
  <c r="N211" i="24"/>
  <c r="P201" i="24"/>
  <c r="E466" i="24"/>
  <c r="E463" i="24"/>
  <c r="E460" i="24"/>
  <c r="E459" i="24"/>
  <c r="E464" i="24"/>
  <c r="E467" i="24"/>
  <c r="E465" i="24"/>
  <c r="E468" i="24"/>
  <c r="E462" i="24"/>
  <c r="E461" i="24"/>
  <c r="N109" i="24"/>
  <c r="P109" i="24"/>
  <c r="P112" i="24"/>
  <c r="N112" i="24"/>
  <c r="N105" i="24"/>
  <c r="P105" i="24"/>
  <c r="P174" i="24"/>
  <c r="O174" i="24"/>
  <c r="N174" i="24"/>
  <c r="N204" i="24"/>
  <c r="P204" i="24"/>
  <c r="O204" i="24"/>
  <c r="O179" i="24"/>
  <c r="N178" i="24"/>
  <c r="Q178" i="24"/>
  <c r="P178" i="24"/>
  <c r="O178" i="24"/>
  <c r="N186" i="24"/>
  <c r="P186" i="24"/>
  <c r="O184" i="24"/>
  <c r="P184" i="24"/>
  <c r="Q198" i="24"/>
  <c r="O198" i="24"/>
  <c r="N198" i="24"/>
  <c r="P198" i="24"/>
  <c r="O180" i="24"/>
  <c r="O209" i="24"/>
  <c r="P209" i="24"/>
  <c r="N209" i="24"/>
  <c r="P188" i="24"/>
  <c r="Q188" i="24"/>
  <c r="N188" i="24"/>
  <c r="O188" i="24"/>
  <c r="P42" i="24"/>
  <c r="N42" i="24"/>
  <c r="P44" i="24"/>
  <c r="O44" i="24"/>
  <c r="N44" i="24"/>
  <c r="P43" i="24"/>
  <c r="N43" i="24"/>
  <c r="O43" i="24"/>
  <c r="N45" i="24"/>
  <c r="O45" i="24"/>
  <c r="P45" i="24"/>
  <c r="P46" i="24"/>
  <c r="N46" i="24"/>
  <c r="Q46" i="24"/>
  <c r="O46" i="24"/>
  <c r="Q50" i="24"/>
  <c r="O50" i="24"/>
  <c r="N47" i="24"/>
  <c r="Q47" i="24"/>
  <c r="P47" i="24"/>
  <c r="O47" i="24"/>
  <c r="AC298" i="24"/>
  <c r="AC302" i="24"/>
  <c r="M63" i="34"/>
  <c r="O334" i="24"/>
  <c r="P334" i="24"/>
  <c r="O335" i="24"/>
  <c r="P335" i="24"/>
  <c r="O330" i="24"/>
  <c r="P330" i="24"/>
  <c r="O332" i="24"/>
  <c r="P332" i="24"/>
  <c r="O338" i="24"/>
  <c r="P338" i="24"/>
  <c r="O329" i="24"/>
  <c r="P329" i="24"/>
  <c r="O333" i="24"/>
  <c r="P333" i="24"/>
  <c r="O337" i="24"/>
  <c r="P337" i="24"/>
  <c r="C87" i="19"/>
  <c r="N336" i="24"/>
  <c r="D86" i="19"/>
  <c r="N331" i="24"/>
  <c r="E175" i="4"/>
  <c r="I175" i="4"/>
  <c r="N333" i="24"/>
  <c r="N335" i="24"/>
  <c r="N332" i="24"/>
  <c r="N329" i="24"/>
  <c r="N337" i="24"/>
  <c r="N330" i="24"/>
  <c r="N334" i="24"/>
  <c r="N338" i="24"/>
  <c r="AC243" i="24"/>
  <c r="AC233" i="24"/>
  <c r="AC219" i="24"/>
  <c r="AC278" i="24"/>
  <c r="AC274" i="24"/>
  <c r="AC270" i="24"/>
  <c r="D268" i="4"/>
  <c r="AC214" i="24"/>
  <c r="AC238" i="24"/>
  <c r="AC272" i="24"/>
  <c r="G681" i="24"/>
  <c r="P681" i="24" s="1"/>
  <c r="G683" i="24"/>
  <c r="G680" i="24"/>
  <c r="G682" i="24"/>
  <c r="G676" i="24"/>
  <c r="G678" i="24"/>
  <c r="G675" i="24"/>
  <c r="G677" i="24"/>
  <c r="AC239" i="24"/>
  <c r="AC241" i="24"/>
  <c r="AC234" i="24"/>
  <c r="AC236" i="24"/>
  <c r="AC229" i="24"/>
  <c r="AC230" i="24"/>
  <c r="AC231" i="24"/>
  <c r="AC232" i="24"/>
  <c r="AC225" i="24"/>
  <c r="AC226" i="24"/>
  <c r="AC227" i="24"/>
  <c r="AC228" i="24"/>
  <c r="AC220" i="24"/>
  <c r="AC221" i="24"/>
  <c r="AC222" i="24"/>
  <c r="AC223" i="24"/>
  <c r="AC216" i="24"/>
  <c r="AC217" i="24"/>
  <c r="AC215" i="24"/>
  <c r="AC218" i="24"/>
  <c r="AC240" i="24"/>
  <c r="AC242" i="24"/>
  <c r="AC235" i="24"/>
  <c r="AC237" i="24"/>
  <c r="AC269" i="24"/>
  <c r="AC271" i="24"/>
  <c r="AC273" i="24"/>
  <c r="AC275" i="24"/>
  <c r="AC277" i="24"/>
  <c r="G684" i="24"/>
  <c r="Q684" i="24" s="1"/>
  <c r="G679" i="24"/>
  <c r="P14" i="24" l="1"/>
  <c r="N14" i="24"/>
  <c r="Q14" i="24"/>
  <c r="O14" i="24"/>
  <c r="N34" i="24"/>
  <c r="P34" i="24"/>
  <c r="O34" i="24"/>
  <c r="P29" i="24"/>
  <c r="N29" i="24"/>
  <c r="O29" i="24"/>
  <c r="N25" i="24"/>
  <c r="P25" i="24"/>
  <c r="O25" i="24"/>
  <c r="Q25" i="24"/>
  <c r="P31" i="24"/>
  <c r="N31" i="24"/>
  <c r="O31" i="24"/>
  <c r="E38" i="24"/>
  <c r="O38" i="24" s="1"/>
  <c r="E35" i="24"/>
  <c r="E32" i="24"/>
  <c r="E36" i="24"/>
  <c r="O36" i="24" s="1"/>
  <c r="E33" i="24"/>
  <c r="E37" i="24"/>
  <c r="O37" i="24" s="1"/>
  <c r="E30" i="24"/>
  <c r="O30" i="24" s="1"/>
  <c r="P385" i="24"/>
  <c r="N385" i="24"/>
  <c r="Q385" i="24"/>
  <c r="O385" i="24"/>
  <c r="N364" i="24"/>
  <c r="P364" i="24"/>
  <c r="O364" i="24"/>
  <c r="Q364" i="24"/>
  <c r="N367" i="24"/>
  <c r="P367" i="24"/>
  <c r="Q367" i="24"/>
  <c r="O367" i="24"/>
  <c r="N365" i="24"/>
  <c r="O365" i="24"/>
  <c r="P365" i="24"/>
  <c r="Q365" i="24"/>
  <c r="P396" i="24"/>
  <c r="N396" i="24"/>
  <c r="P404" i="24"/>
  <c r="N404" i="24"/>
  <c r="N399" i="24"/>
  <c r="N393" i="24"/>
  <c r="P393" i="24"/>
  <c r="N389" i="24"/>
  <c r="P389" i="24"/>
  <c r="P398" i="24"/>
  <c r="N398" i="24"/>
  <c r="N406" i="24"/>
  <c r="P406" i="24"/>
  <c r="N401" i="24"/>
  <c r="P371" i="24"/>
  <c r="N371" i="24"/>
  <c r="N368" i="24"/>
  <c r="O368" i="24"/>
  <c r="Q368" i="24"/>
  <c r="P368" i="24"/>
  <c r="Q387" i="24"/>
  <c r="N387" i="24"/>
  <c r="P387" i="24"/>
  <c r="O387" i="24"/>
  <c r="P386" i="24"/>
  <c r="N386" i="24"/>
  <c r="P407" i="24"/>
  <c r="N407" i="24"/>
  <c r="N402" i="24"/>
  <c r="N390" i="24"/>
  <c r="P390" i="24"/>
  <c r="N395" i="24"/>
  <c r="P395" i="24"/>
  <c r="O397" i="24"/>
  <c r="Q397" i="24"/>
  <c r="N397" i="24"/>
  <c r="P397" i="24"/>
  <c r="N403" i="24"/>
  <c r="P408" i="24"/>
  <c r="N408" i="24"/>
  <c r="P366" i="24"/>
  <c r="N366" i="24"/>
  <c r="N391" i="24"/>
  <c r="P391" i="24"/>
  <c r="N372" i="24"/>
  <c r="P372" i="24"/>
  <c r="Q372" i="24"/>
  <c r="O372" i="24"/>
  <c r="N370" i="24"/>
  <c r="P370" i="24"/>
  <c r="O370" i="24"/>
  <c r="Q370" i="24"/>
  <c r="N369" i="24"/>
  <c r="P369" i="24"/>
  <c r="O369" i="24"/>
  <c r="Q369" i="24"/>
  <c r="P373" i="24"/>
  <c r="N373" i="24"/>
  <c r="O373" i="24"/>
  <c r="Q373" i="24"/>
  <c r="P388" i="24"/>
  <c r="N388" i="24"/>
  <c r="Q388" i="24"/>
  <c r="O388" i="24"/>
  <c r="N384" i="24"/>
  <c r="P384" i="24"/>
  <c r="Q384" i="24"/>
  <c r="O384" i="24"/>
  <c r="N400" i="24"/>
  <c r="P405" i="24"/>
  <c r="N405" i="24"/>
  <c r="P394" i="24"/>
  <c r="N394" i="24"/>
  <c r="N392" i="24"/>
  <c r="P392" i="24"/>
  <c r="E25" i="21"/>
  <c r="N610" i="24" s="1"/>
  <c r="E23" i="21"/>
  <c r="E27" i="21"/>
  <c r="N199" i="24" s="1"/>
  <c r="N380" i="24"/>
  <c r="N375" i="24"/>
  <c r="N381" i="24"/>
  <c r="N376" i="24"/>
  <c r="N361" i="24"/>
  <c r="P361" i="24" s="1"/>
  <c r="N354" i="24"/>
  <c r="N349" i="24"/>
  <c r="N382" i="24"/>
  <c r="N377" i="24"/>
  <c r="N358" i="24"/>
  <c r="N353" i="24"/>
  <c r="N356" i="24"/>
  <c r="N351" i="24"/>
  <c r="N374" i="24"/>
  <c r="N379" i="24"/>
  <c r="N383" i="24"/>
  <c r="N378" i="24"/>
  <c r="N350" i="24"/>
  <c r="N355" i="24"/>
  <c r="N357" i="24"/>
  <c r="N352" i="24"/>
  <c r="N133" i="24"/>
  <c r="N562" i="24"/>
  <c r="N560" i="24"/>
  <c r="N591" i="24"/>
  <c r="N504" i="24"/>
  <c r="E448" i="24"/>
  <c r="E437" i="24"/>
  <c r="E453" i="24"/>
  <c r="E447" i="24"/>
  <c r="E458" i="24"/>
  <c r="E451" i="24"/>
  <c r="E454" i="24"/>
  <c r="P454" i="24" s="1"/>
  <c r="E440" i="24"/>
  <c r="P440" i="24" s="1"/>
  <c r="E442" i="24"/>
  <c r="E449" i="24"/>
  <c r="P449" i="24" s="1"/>
  <c r="E439" i="24"/>
  <c r="P439" i="24" s="1"/>
  <c r="E446" i="24"/>
  <c r="E435" i="24"/>
  <c r="E436" i="24"/>
  <c r="E452" i="24"/>
  <c r="E441" i="24"/>
  <c r="E457" i="24"/>
  <c r="E455" i="24"/>
  <c r="P455" i="24" s="1"/>
  <c r="E443" i="24"/>
  <c r="E434" i="24"/>
  <c r="P434" i="24" s="1"/>
  <c r="E456" i="24"/>
  <c r="E445" i="24"/>
  <c r="P445" i="24" s="1"/>
  <c r="E444" i="24"/>
  <c r="P444" i="24" s="1"/>
  <c r="E450" i="24"/>
  <c r="P450" i="24" s="1"/>
  <c r="E438" i="24"/>
  <c r="O461" i="24"/>
  <c r="N461" i="24"/>
  <c r="Q461" i="24"/>
  <c r="P461" i="24"/>
  <c r="N467" i="24"/>
  <c r="P467" i="24"/>
  <c r="O467" i="24"/>
  <c r="Q467" i="24"/>
  <c r="Q463" i="24"/>
  <c r="P463" i="24"/>
  <c r="N463" i="24"/>
  <c r="O463" i="24"/>
  <c r="P378" i="24"/>
  <c r="O378" i="24"/>
  <c r="Q378" i="24"/>
  <c r="O379" i="24"/>
  <c r="Q379" i="24"/>
  <c r="P379" i="24"/>
  <c r="P383" i="24"/>
  <c r="O383" i="24"/>
  <c r="Q383" i="24"/>
  <c r="O392" i="24"/>
  <c r="Q392" i="24"/>
  <c r="O407" i="24"/>
  <c r="Q407" i="24"/>
  <c r="O417" i="24"/>
  <c r="Q417" i="24"/>
  <c r="O355" i="24"/>
  <c r="P355" i="24"/>
  <c r="Q355" i="24"/>
  <c r="N346" i="24"/>
  <c r="P346" i="24"/>
  <c r="O352" i="24"/>
  <c r="Q352" i="24"/>
  <c r="P352" i="24"/>
  <c r="Q345" i="24"/>
  <c r="N345" i="24"/>
  <c r="P345" i="24"/>
  <c r="O345" i="24"/>
  <c r="Q359" i="24"/>
  <c r="O359" i="24"/>
  <c r="P357" i="24"/>
  <c r="Q357" i="24"/>
  <c r="O357" i="24"/>
  <c r="E485" i="24"/>
  <c r="E482" i="24"/>
  <c r="Q482" i="24" s="1"/>
  <c r="E492" i="24"/>
  <c r="Q492" i="24" s="1"/>
  <c r="E483" i="24"/>
  <c r="Q483" i="24" s="1"/>
  <c r="E472" i="24"/>
  <c r="Q472" i="24" s="1"/>
  <c r="E481" i="24"/>
  <c r="Q481" i="24" s="1"/>
  <c r="E478" i="24"/>
  <c r="Q478" i="24" s="1"/>
  <c r="E484" i="24"/>
  <c r="E487" i="24"/>
  <c r="Q487" i="24" s="1"/>
  <c r="E473" i="24"/>
  <c r="Q473" i="24" s="1"/>
  <c r="E489" i="24"/>
  <c r="E470" i="24"/>
  <c r="E486" i="24"/>
  <c r="Q486" i="24" s="1"/>
  <c r="E471" i="24"/>
  <c r="Q471" i="24" s="1"/>
  <c r="E475" i="24"/>
  <c r="E477" i="24"/>
  <c r="Q477" i="24" s="1"/>
  <c r="E493" i="24"/>
  <c r="Q493" i="24" s="1"/>
  <c r="E474" i="24"/>
  <c r="E490" i="24"/>
  <c r="E476" i="24"/>
  <c r="Q476" i="24" s="1"/>
  <c r="E480" i="24"/>
  <c r="E479" i="24"/>
  <c r="E491" i="24"/>
  <c r="Q491" i="24" s="1"/>
  <c r="E469" i="24"/>
  <c r="E488" i="24"/>
  <c r="Q488" i="24" s="1"/>
  <c r="N462" i="24"/>
  <c r="P462" i="24"/>
  <c r="O462" i="24"/>
  <c r="Q462" i="24"/>
  <c r="O464" i="24"/>
  <c r="P464" i="24"/>
  <c r="N464" i="24"/>
  <c r="Q466" i="24"/>
  <c r="P466" i="24"/>
  <c r="O466" i="24"/>
  <c r="N466" i="24"/>
  <c r="Q380" i="24"/>
  <c r="P380" i="24"/>
  <c r="O380" i="24"/>
  <c r="P382" i="24"/>
  <c r="Q382" i="24"/>
  <c r="O382" i="24"/>
  <c r="Q402" i="24"/>
  <c r="O402" i="24"/>
  <c r="O343" i="24"/>
  <c r="P343" i="24"/>
  <c r="Q343" i="24"/>
  <c r="N343" i="24"/>
  <c r="O349" i="24"/>
  <c r="Q349" i="24"/>
  <c r="P349" i="24"/>
  <c r="O358" i="24"/>
  <c r="P358" i="24"/>
  <c r="Q358" i="24"/>
  <c r="Q363" i="24"/>
  <c r="O363" i="24"/>
  <c r="P356" i="24"/>
  <c r="N341" i="24"/>
  <c r="P341" i="24"/>
  <c r="O468" i="24"/>
  <c r="N468" i="24"/>
  <c r="Q468" i="24"/>
  <c r="P468" i="24"/>
  <c r="O459" i="24"/>
  <c r="P459" i="24"/>
  <c r="N459" i="24"/>
  <c r="P376" i="24"/>
  <c r="P377" i="24"/>
  <c r="O377" i="24"/>
  <c r="Q377" i="24"/>
  <c r="O412" i="24"/>
  <c r="Q412" i="24"/>
  <c r="O340" i="24"/>
  <c r="P340" i="24"/>
  <c r="N340" i="24"/>
  <c r="Q340" i="24"/>
  <c r="O360" i="24"/>
  <c r="Q360" i="24"/>
  <c r="P348" i="24"/>
  <c r="O348" i="24"/>
  <c r="Q348" i="24"/>
  <c r="N348" i="24"/>
  <c r="N342" i="24"/>
  <c r="P342" i="24"/>
  <c r="Q342" i="24"/>
  <c r="O342" i="24"/>
  <c r="O350" i="24"/>
  <c r="Q350" i="24"/>
  <c r="P350" i="24"/>
  <c r="P344" i="24"/>
  <c r="O344" i="24"/>
  <c r="Q344" i="24"/>
  <c r="N344" i="24"/>
  <c r="E288" i="24"/>
  <c r="P288" i="24" s="1"/>
  <c r="E304" i="24"/>
  <c r="P304" i="24" s="1"/>
  <c r="E289" i="24"/>
  <c r="E305" i="24"/>
  <c r="P305" i="24" s="1"/>
  <c r="E307" i="24"/>
  <c r="P307" i="24" s="1"/>
  <c r="E287" i="24"/>
  <c r="P287" i="24" s="1"/>
  <c r="E306" i="24"/>
  <c r="E302" i="24"/>
  <c r="P302" i="24" s="1"/>
  <c r="E282" i="24"/>
  <c r="P282" i="24" s="1"/>
  <c r="E296" i="24"/>
  <c r="E281" i="24"/>
  <c r="E286" i="24"/>
  <c r="E284" i="24"/>
  <c r="P284" i="24" s="1"/>
  <c r="E301" i="24"/>
  <c r="E299" i="24"/>
  <c r="P299" i="24" s="1"/>
  <c r="E290" i="24"/>
  <c r="E292" i="24"/>
  <c r="E308" i="24"/>
  <c r="P308" i="24" s="1"/>
  <c r="E293" i="24"/>
  <c r="E279" i="24"/>
  <c r="P279" i="24" s="1"/>
  <c r="E283" i="24"/>
  <c r="P283" i="24" s="1"/>
  <c r="E303" i="24"/>
  <c r="P303" i="24" s="1"/>
  <c r="E298" i="24"/>
  <c r="P298" i="24" s="1"/>
  <c r="E280" i="24"/>
  <c r="P280" i="24" s="1"/>
  <c r="E297" i="24"/>
  <c r="P297" i="24" s="1"/>
  <c r="E291" i="24"/>
  <c r="E295" i="24"/>
  <c r="P295" i="24" s="1"/>
  <c r="E300" i="24"/>
  <c r="P300" i="24" s="1"/>
  <c r="E285" i="24"/>
  <c r="P285" i="24" s="1"/>
  <c r="E294" i="24"/>
  <c r="O465" i="24"/>
  <c r="N465" i="24"/>
  <c r="P465" i="24"/>
  <c r="N460" i="24"/>
  <c r="P460" i="24"/>
  <c r="O460" i="24"/>
  <c r="P375" i="24"/>
  <c r="Q375" i="24"/>
  <c r="O375" i="24"/>
  <c r="P381" i="24"/>
  <c r="Q374" i="24"/>
  <c r="O374" i="24"/>
  <c r="P374" i="24"/>
  <c r="P339" i="24"/>
  <c r="O339" i="24"/>
  <c r="N339" i="24"/>
  <c r="Q339" i="24"/>
  <c r="Q362" i="24"/>
  <c r="O362" i="24"/>
  <c r="Q347" i="24"/>
  <c r="N347" i="24"/>
  <c r="P347" i="24"/>
  <c r="O347" i="24"/>
  <c r="P353" i="24"/>
  <c r="O353" i="24"/>
  <c r="Q353" i="24"/>
  <c r="O354" i="24"/>
  <c r="P354" i="24"/>
  <c r="Q354" i="24"/>
  <c r="N40" i="24"/>
  <c r="O273" i="24"/>
  <c r="N426" i="24"/>
  <c r="N269" i="24"/>
  <c r="P269" i="24" s="1"/>
  <c r="N428" i="24"/>
  <c r="M64" i="34"/>
  <c r="O274" i="24"/>
  <c r="Q274" i="24"/>
  <c r="O275" i="24"/>
  <c r="Q275" i="24"/>
  <c r="O433" i="24"/>
  <c r="Q433" i="24"/>
  <c r="O432" i="24"/>
  <c r="Q432" i="24"/>
  <c r="O430" i="24"/>
  <c r="Q430" i="24"/>
  <c r="Q273" i="24"/>
  <c r="Q269" i="24"/>
  <c r="O431" i="24"/>
  <c r="Q431" i="24"/>
  <c r="O276" i="24"/>
  <c r="Q276" i="24"/>
  <c r="P679" i="24"/>
  <c r="Q679" i="24"/>
  <c r="O429" i="24"/>
  <c r="Q429" i="24"/>
  <c r="P678" i="24"/>
  <c r="Q678" i="24"/>
  <c r="P683" i="24"/>
  <c r="Q683" i="24"/>
  <c r="O278" i="24"/>
  <c r="Q278" i="24"/>
  <c r="O271" i="24"/>
  <c r="Q271" i="24"/>
  <c r="O270" i="24"/>
  <c r="Q270" i="24"/>
  <c r="N677" i="24"/>
  <c r="P677" i="24"/>
  <c r="N682" i="24"/>
  <c r="P682" i="24"/>
  <c r="O684" i="24"/>
  <c r="P684" i="24"/>
  <c r="N675" i="24"/>
  <c r="P675" i="24"/>
  <c r="P680" i="24"/>
  <c r="N680" i="24"/>
  <c r="P275" i="24"/>
  <c r="N676" i="24"/>
  <c r="P676" i="24"/>
  <c r="N271" i="24"/>
  <c r="P271" i="24" s="1"/>
  <c r="P278" i="24"/>
  <c r="P277" i="24"/>
  <c r="O426" i="24"/>
  <c r="P426" i="24"/>
  <c r="O428" i="24"/>
  <c r="P428" i="24"/>
  <c r="P276" i="24"/>
  <c r="O423" i="24"/>
  <c r="P423" i="24"/>
  <c r="N422" i="24"/>
  <c r="P422" i="24"/>
  <c r="N424" i="24"/>
  <c r="P424" i="24"/>
  <c r="O419" i="24"/>
  <c r="P419" i="24"/>
  <c r="O421" i="24"/>
  <c r="P421" i="24"/>
  <c r="N425" i="24"/>
  <c r="P425" i="24"/>
  <c r="O420" i="24"/>
  <c r="P420" i="24"/>
  <c r="N427" i="24"/>
  <c r="P427" i="24"/>
  <c r="P274" i="24"/>
  <c r="N278" i="24"/>
  <c r="D87" i="19"/>
  <c r="N673" i="24"/>
  <c r="N275" i="24"/>
  <c r="N276" i="24"/>
  <c r="N420" i="24"/>
  <c r="O427" i="24"/>
  <c r="N423" i="24"/>
  <c r="N272" i="24"/>
  <c r="P272" i="24" s="1"/>
  <c r="N419" i="24"/>
  <c r="O425" i="24"/>
  <c r="O424" i="24"/>
  <c r="N270" i="24"/>
  <c r="P270" i="24" s="1"/>
  <c r="N274" i="24"/>
  <c r="O422" i="24"/>
  <c r="N421" i="24"/>
  <c r="N678" i="24"/>
  <c r="O678" i="24"/>
  <c r="N683" i="24"/>
  <c r="O683" i="24"/>
  <c r="N679" i="24"/>
  <c r="O679" i="24"/>
  <c r="E27" i="24"/>
  <c r="O27" i="24" s="1"/>
  <c r="E24" i="24"/>
  <c r="Q24" i="24" s="1"/>
  <c r="E22" i="24"/>
  <c r="E20" i="24"/>
  <c r="E18" i="24"/>
  <c r="E16" i="24"/>
  <c r="E13" i="24"/>
  <c r="Q13" i="24" s="1"/>
  <c r="E11" i="24"/>
  <c r="P11" i="24" s="1"/>
  <c r="E9" i="24"/>
  <c r="E7" i="24"/>
  <c r="E39" i="24"/>
  <c r="O39" i="24" s="1"/>
  <c r="P28" i="24"/>
  <c r="E26" i="24"/>
  <c r="O26" i="24" s="1"/>
  <c r="E23" i="24"/>
  <c r="E21" i="24"/>
  <c r="E19" i="24"/>
  <c r="P19" i="24" s="1"/>
  <c r="E17" i="24"/>
  <c r="E15" i="24"/>
  <c r="E12" i="24"/>
  <c r="P12" i="24" s="1"/>
  <c r="E10" i="24"/>
  <c r="P10" i="24" s="1"/>
  <c r="E8" i="24"/>
  <c r="E6" i="24"/>
  <c r="N684" i="24"/>
  <c r="N505" i="24" l="1"/>
  <c r="N135" i="24"/>
  <c r="N136" i="24"/>
  <c r="N508" i="24"/>
  <c r="N201" i="24"/>
  <c r="N203" i="24"/>
  <c r="N507" i="24"/>
  <c r="N134" i="24"/>
  <c r="P32" i="24"/>
  <c r="O32" i="24"/>
  <c r="O35" i="24"/>
  <c r="N35" i="24"/>
  <c r="P35" i="24"/>
  <c r="P33" i="24"/>
  <c r="O33" i="24"/>
  <c r="N33" i="24"/>
  <c r="Q23" i="24"/>
  <c r="N23" i="24"/>
  <c r="P23" i="24"/>
  <c r="Q8" i="24"/>
  <c r="P8" i="24"/>
  <c r="Q22" i="24"/>
  <c r="P22" i="24"/>
  <c r="N22" i="24"/>
  <c r="Q9" i="24"/>
  <c r="P9" i="24"/>
  <c r="N9" i="24"/>
  <c r="N589" i="24"/>
  <c r="N26" i="24"/>
  <c r="P26" i="24"/>
  <c r="O9" i="24"/>
  <c r="O18" i="24"/>
  <c r="P18" i="24"/>
  <c r="N27" i="24"/>
  <c r="P27" i="24"/>
  <c r="N36" i="24"/>
  <c r="P36" i="24"/>
  <c r="P17" i="24"/>
  <c r="O17" i="24"/>
  <c r="O19" i="24"/>
  <c r="O20" i="24"/>
  <c r="P20" i="24"/>
  <c r="N30" i="24"/>
  <c r="P30" i="24"/>
  <c r="N32" i="24"/>
  <c r="P21" i="24"/>
  <c r="O21" i="24"/>
  <c r="P39" i="24"/>
  <c r="N39" i="24"/>
  <c r="O13" i="24"/>
  <c r="P13" i="24"/>
  <c r="O22" i="24"/>
  <c r="N37" i="24"/>
  <c r="P37" i="24"/>
  <c r="O10" i="24"/>
  <c r="O6" i="24"/>
  <c r="P6" i="24"/>
  <c r="O15" i="24"/>
  <c r="P15" i="24"/>
  <c r="O23" i="24"/>
  <c r="O7" i="24"/>
  <c r="P7" i="24"/>
  <c r="O16" i="24"/>
  <c r="P16" i="24"/>
  <c r="O24" i="24"/>
  <c r="P24" i="24"/>
  <c r="P38" i="24"/>
  <c r="N38" i="24"/>
  <c r="N8" i="24"/>
  <c r="O8" i="24"/>
  <c r="N12" i="24"/>
  <c r="O12" i="24"/>
  <c r="N11" i="24"/>
  <c r="O11" i="24"/>
  <c r="N671" i="24"/>
  <c r="N561" i="24"/>
  <c r="N6" i="24"/>
  <c r="N563" i="24"/>
  <c r="N670" i="24"/>
  <c r="N672" i="24"/>
  <c r="N669" i="24"/>
  <c r="N506" i="24"/>
  <c r="N590" i="24"/>
  <c r="N611" i="24"/>
  <c r="N559" i="24"/>
  <c r="N202" i="24"/>
  <c r="N609" i="24"/>
  <c r="N637" i="24"/>
  <c r="N607" i="24"/>
  <c r="N638" i="24"/>
  <c r="N605" i="24"/>
  <c r="N613" i="24"/>
  <c r="N608" i="24"/>
  <c r="N635" i="24"/>
  <c r="N593" i="24"/>
  <c r="N612" i="24"/>
  <c r="N592" i="24"/>
  <c r="N636" i="24"/>
  <c r="N604" i="24"/>
  <c r="N606" i="24"/>
  <c r="N200" i="24"/>
  <c r="P435" i="24"/>
  <c r="O435" i="24"/>
  <c r="N491" i="24"/>
  <c r="P491" i="24"/>
  <c r="O490" i="24"/>
  <c r="N490" i="24"/>
  <c r="P490" i="24"/>
  <c r="N475" i="24"/>
  <c r="P475" i="24"/>
  <c r="O475" i="24"/>
  <c r="O489" i="24"/>
  <c r="N489" i="24"/>
  <c r="P489" i="24"/>
  <c r="N478" i="24"/>
  <c r="P478" i="24"/>
  <c r="O478" i="24"/>
  <c r="O492" i="24"/>
  <c r="N492" i="24"/>
  <c r="P492" i="24"/>
  <c r="O479" i="24"/>
  <c r="N479" i="24"/>
  <c r="P479" i="24"/>
  <c r="N474" i="24"/>
  <c r="O474" i="24"/>
  <c r="P474" i="24"/>
  <c r="N471" i="24"/>
  <c r="P471" i="24"/>
  <c r="P473" i="24"/>
  <c r="O473" i="24"/>
  <c r="N473" i="24"/>
  <c r="P481" i="24"/>
  <c r="N481" i="24"/>
  <c r="N482" i="24"/>
  <c r="O482" i="24"/>
  <c r="P482" i="24"/>
  <c r="O488" i="24"/>
  <c r="P488" i="24"/>
  <c r="N488" i="24"/>
  <c r="P480" i="24"/>
  <c r="N480" i="24"/>
  <c r="O480" i="24"/>
  <c r="P493" i="24"/>
  <c r="O493" i="24"/>
  <c r="N493" i="24"/>
  <c r="P486" i="24"/>
  <c r="N486" i="24"/>
  <c r="P487" i="24"/>
  <c r="N487" i="24"/>
  <c r="O487" i="24"/>
  <c r="O472" i="24"/>
  <c r="N472" i="24"/>
  <c r="P472" i="24"/>
  <c r="P485" i="24"/>
  <c r="N485" i="24"/>
  <c r="O485" i="24"/>
  <c r="P469" i="24"/>
  <c r="N469" i="24"/>
  <c r="O469" i="24"/>
  <c r="P476" i="24"/>
  <c r="N476" i="24"/>
  <c r="N477" i="24"/>
  <c r="O477" i="24"/>
  <c r="P477" i="24"/>
  <c r="N470" i="24"/>
  <c r="O470" i="24"/>
  <c r="P470" i="24"/>
  <c r="O484" i="24"/>
  <c r="P484" i="24"/>
  <c r="N484" i="24"/>
  <c r="N483" i="24"/>
  <c r="O483" i="24"/>
  <c r="P483" i="24"/>
  <c r="M65" i="34"/>
  <c r="P294" i="24"/>
  <c r="P436" i="24"/>
  <c r="Q436" i="24"/>
  <c r="P437" i="24"/>
  <c r="Q437" i="24"/>
  <c r="P446" i="24"/>
  <c r="Q446" i="24"/>
  <c r="P448" i="24"/>
  <c r="Q448" i="24"/>
  <c r="P443" i="24"/>
  <c r="Q443" i="24"/>
  <c r="P458" i="24"/>
  <c r="Q458" i="24"/>
  <c r="P438" i="24"/>
  <c r="Q438" i="24"/>
  <c r="P442" i="24"/>
  <c r="Q442" i="24"/>
  <c r="P452" i="24"/>
  <c r="Q452" i="24"/>
  <c r="P447" i="24"/>
  <c r="Q447" i="24"/>
  <c r="P457" i="24"/>
  <c r="Q457" i="24"/>
  <c r="P453" i="24"/>
  <c r="Q453" i="24"/>
  <c r="P441" i="24"/>
  <c r="Q441" i="24"/>
  <c r="P456" i="24"/>
  <c r="Q456" i="24"/>
  <c r="P451" i="24"/>
  <c r="Q451" i="24"/>
  <c r="N296" i="24"/>
  <c r="P296" i="24"/>
  <c r="N286" i="24"/>
  <c r="P286" i="24"/>
  <c r="N292" i="24"/>
  <c r="P292" i="24"/>
  <c r="N289" i="24"/>
  <c r="P289" i="24"/>
  <c r="P293" i="24"/>
  <c r="N293" i="24"/>
  <c r="N301" i="24"/>
  <c r="P301" i="24"/>
  <c r="N290" i="24"/>
  <c r="P290" i="24"/>
  <c r="N281" i="24"/>
  <c r="P281" i="24"/>
  <c r="N291" i="24"/>
  <c r="P291" i="24"/>
  <c r="N306" i="24"/>
  <c r="P306" i="24"/>
  <c r="N21" i="24"/>
  <c r="N28" i="24"/>
  <c r="O28" i="24"/>
  <c r="O285" i="24"/>
  <c r="N285" i="24"/>
  <c r="O294" i="24"/>
  <c r="N294" i="24"/>
  <c r="N305" i="24"/>
  <c r="O305" i="24"/>
  <c r="O287" i="24"/>
  <c r="N287" i="24"/>
  <c r="N445" i="24"/>
  <c r="O445" i="24"/>
  <c r="O454" i="24"/>
  <c r="N454" i="24"/>
  <c r="O290" i="24"/>
  <c r="O446" i="24"/>
  <c r="N446" i="24"/>
  <c r="O302" i="24"/>
  <c r="N302" i="24"/>
  <c r="O292" i="24"/>
  <c r="O282" i="24"/>
  <c r="N282" i="24"/>
  <c r="N300" i="24"/>
  <c r="O300" i="24"/>
  <c r="O289" i="24"/>
  <c r="O280" i="24"/>
  <c r="N280" i="24"/>
  <c r="N303" i="24"/>
  <c r="O303" i="24"/>
  <c r="O453" i="24"/>
  <c r="N453" i="24"/>
  <c r="O450" i="24"/>
  <c r="N450" i="24"/>
  <c r="O441" i="24"/>
  <c r="N441" i="24"/>
  <c r="O456" i="24"/>
  <c r="N456" i="24"/>
  <c r="N440" i="24"/>
  <c r="O440" i="24"/>
  <c r="N451" i="24"/>
  <c r="O451" i="24"/>
  <c r="N435" i="24"/>
  <c r="O308" i="24"/>
  <c r="N308" i="24"/>
  <c r="O288" i="24"/>
  <c r="N288" i="24"/>
  <c r="O297" i="24"/>
  <c r="N297" i="24"/>
  <c r="O299" i="24"/>
  <c r="N299" i="24"/>
  <c r="O442" i="24"/>
  <c r="N442" i="24"/>
  <c r="N452" i="24"/>
  <c r="O452" i="24"/>
  <c r="O436" i="24"/>
  <c r="N436" i="24"/>
  <c r="O447" i="24"/>
  <c r="N447" i="24"/>
  <c r="O293" i="24"/>
  <c r="O283" i="24"/>
  <c r="N283" i="24"/>
  <c r="O304" i="24"/>
  <c r="N304" i="24"/>
  <c r="O437" i="24"/>
  <c r="N437" i="24"/>
  <c r="O457" i="24"/>
  <c r="N457" i="24"/>
  <c r="N448" i="24"/>
  <c r="O448" i="24"/>
  <c r="O434" i="24"/>
  <c r="N434" i="24"/>
  <c r="N443" i="24"/>
  <c r="O443" i="24"/>
  <c r="O284" i="24"/>
  <c r="N284" i="24"/>
  <c r="N307" i="24"/>
  <c r="O307" i="24"/>
  <c r="O298" i="24"/>
  <c r="N298" i="24"/>
  <c r="O279" i="24"/>
  <c r="N279" i="24"/>
  <c r="O295" i="24"/>
  <c r="N295" i="24"/>
  <c r="N458" i="24"/>
  <c r="O458" i="24"/>
  <c r="O449" i="24"/>
  <c r="N449" i="24"/>
  <c r="N438" i="24"/>
  <c r="O438" i="24"/>
  <c r="N444" i="24"/>
  <c r="O444" i="24"/>
  <c r="N455" i="24"/>
  <c r="O455" i="24"/>
  <c r="N439" i="24"/>
  <c r="O439" i="24"/>
  <c r="N7" i="24"/>
  <c r="N10" i="24"/>
  <c r="N15" i="24"/>
  <c r="N19" i="24"/>
  <c r="N16" i="24"/>
  <c r="N20" i="24"/>
  <c r="N24" i="24"/>
  <c r="N17" i="24"/>
  <c r="N13" i="24"/>
  <c r="N18" i="24"/>
  <c r="L4" i="9"/>
  <c r="L5" i="9"/>
  <c r="L7" i="9"/>
  <c r="L6" i="9"/>
  <c r="E214" i="24" l="1"/>
  <c r="AA20" i="4"/>
  <c r="M66" i="34"/>
  <c r="E239" i="24"/>
  <c r="E241" i="24"/>
  <c r="E234" i="24"/>
  <c r="E236" i="24"/>
  <c r="E240" i="24"/>
  <c r="E242" i="24"/>
  <c r="E235" i="24"/>
  <c r="E237" i="24"/>
  <c r="E229" i="24"/>
  <c r="E230" i="24"/>
  <c r="E231" i="24"/>
  <c r="E232" i="24"/>
  <c r="E225" i="24"/>
  <c r="E226" i="24"/>
  <c r="E227" i="24"/>
  <c r="E228" i="24"/>
  <c r="E220" i="24"/>
  <c r="E221" i="24"/>
  <c r="E222" i="24"/>
  <c r="E223" i="24"/>
  <c r="E216" i="24"/>
  <c r="E217" i="24"/>
  <c r="E215" i="24"/>
  <c r="E218" i="24"/>
  <c r="E243" i="24"/>
  <c r="E233" i="24"/>
  <c r="E219" i="24"/>
  <c r="E238" i="24"/>
  <c r="E224" i="24"/>
  <c r="P224" i="24" l="1"/>
  <c r="O224" i="24"/>
  <c r="N224" i="24"/>
  <c r="N243" i="24"/>
  <c r="P243" i="24"/>
  <c r="N238" i="24"/>
  <c r="P238" i="24"/>
  <c r="N218" i="24"/>
  <c r="P218" i="24"/>
  <c r="P223" i="24"/>
  <c r="N223" i="24"/>
  <c r="P228" i="24"/>
  <c r="N228" i="24"/>
  <c r="P232" i="24"/>
  <c r="N232" i="24"/>
  <c r="N237" i="24"/>
  <c r="P237" i="24"/>
  <c r="P236" i="24"/>
  <c r="N236" i="24"/>
  <c r="N219" i="24"/>
  <c r="O219" i="24"/>
  <c r="P219" i="24"/>
  <c r="N222" i="24"/>
  <c r="P222" i="24"/>
  <c r="N227" i="24"/>
  <c r="P227" i="24"/>
  <c r="P235" i="24"/>
  <c r="N235" i="24"/>
  <c r="O235" i="24"/>
  <c r="N233" i="24"/>
  <c r="P233" i="24"/>
  <c r="P217" i="24"/>
  <c r="N217" i="24"/>
  <c r="N221" i="24"/>
  <c r="P221" i="24"/>
  <c r="N226" i="24"/>
  <c r="P226" i="24"/>
  <c r="O230" i="24"/>
  <c r="P230" i="24"/>
  <c r="N230" i="24"/>
  <c r="N242" i="24"/>
  <c r="P242" i="24"/>
  <c r="P241" i="24"/>
  <c r="N241" i="24"/>
  <c r="P214" i="24"/>
  <c r="N214" i="24"/>
  <c r="O214" i="24"/>
  <c r="O215" i="24"/>
  <c r="P215" i="24"/>
  <c r="N215" i="24"/>
  <c r="N231" i="24"/>
  <c r="P231" i="24"/>
  <c r="P234" i="24"/>
  <c r="N234" i="24"/>
  <c r="O234" i="24"/>
  <c r="N216" i="24"/>
  <c r="P216" i="24"/>
  <c r="O220" i="24"/>
  <c r="N220" i="24"/>
  <c r="P220" i="24"/>
  <c r="P225" i="24"/>
  <c r="N225" i="24"/>
  <c r="O225" i="24"/>
  <c r="O229" i="24"/>
  <c r="N229" i="24"/>
  <c r="P229" i="24"/>
  <c r="O240" i="24"/>
  <c r="N240" i="24"/>
  <c r="P240" i="24"/>
  <c r="P239" i="24"/>
  <c r="O239" i="24"/>
  <c r="N239" i="24"/>
  <c r="M67" i="34"/>
  <c r="N681" i="24"/>
  <c r="M68" i="34" l="1"/>
  <c r="M69" i="34" l="1"/>
  <c r="M70" i="34" l="1"/>
  <c r="M71" i="34" l="1"/>
  <c r="M72" i="34" l="1"/>
  <c r="M73" i="34" l="1"/>
  <c r="M74" i="34" l="1"/>
  <c r="M75" i="34" l="1"/>
  <c r="M76" i="34" l="1"/>
  <c r="M77" i="34" l="1"/>
  <c r="M78" i="34" l="1"/>
  <c r="M79" i="34" l="1"/>
  <c r="M80" i="34" l="1"/>
  <c r="M81" i="34" l="1"/>
  <c r="M82" i="34" l="1"/>
  <c r="M83" i="34" l="1"/>
  <c r="M84" i="34" l="1"/>
  <c r="M85" i="34" l="1"/>
  <c r="M86" i="34" l="1"/>
  <c r="M87" i="34" l="1"/>
  <c r="M88" i="34" l="1"/>
  <c r="M89" i="34" l="1"/>
  <c r="M90" i="34" l="1"/>
  <c r="M91" i="34" l="1"/>
  <c r="M92" i="34" l="1"/>
  <c r="M93" i="34" l="1"/>
  <c r="M94" i="34" l="1"/>
  <c r="M95" i="34" l="1"/>
  <c r="M96" i="34" l="1"/>
  <c r="M97" i="34" l="1"/>
  <c r="M98" i="34" l="1"/>
  <c r="M99" i="34" l="1"/>
  <c r="M100" i="34" l="1"/>
  <c r="M101" i="34" l="1"/>
  <c r="M102" i="34" l="1"/>
  <c r="M103" i="34" l="1"/>
  <c r="M104" i="34" l="1"/>
  <c r="M105" i="34" l="1"/>
  <c r="M106" i="34" l="1"/>
  <c r="M107" i="34" l="1"/>
  <c r="M108" i="34" l="1"/>
  <c r="M109" i="34" l="1"/>
  <c r="M110" i="34" l="1"/>
  <c r="M111" i="34" l="1"/>
  <c r="M112" i="34" l="1"/>
  <c r="M113" i="34" l="1"/>
  <c r="M114" i="34" l="1"/>
  <c r="M115" i="34" l="1"/>
  <c r="M116" i="34" l="1"/>
  <c r="M117" i="34" l="1"/>
  <c r="M118" i="34" l="1"/>
  <c r="M119" i="34" l="1"/>
  <c r="M120" i="34" l="1"/>
  <c r="M121" i="34" l="1"/>
  <c r="M122" i="34" l="1"/>
  <c r="M123" i="34" l="1"/>
  <c r="M124" i="34" l="1"/>
  <c r="M125" i="34" l="1"/>
  <c r="M126" i="34" l="1"/>
  <c r="M127" i="34" l="1"/>
  <c r="M128" i="34" l="1"/>
  <c r="M129" i="34" l="1"/>
  <c r="M130" i="34" l="1"/>
  <c r="M131" i="34" l="1"/>
  <c r="M132" i="34" l="1"/>
  <c r="M133" i="34" l="1"/>
  <c r="M134" i="34" l="1"/>
  <c r="M135" i="34" l="1"/>
  <c r="M136" i="34" l="1"/>
  <c r="M137" i="34" l="1"/>
  <c r="M138" i="34" l="1"/>
  <c r="M139" i="34" l="1"/>
  <c r="M140" i="34" l="1"/>
  <c r="M141" i="34" l="1"/>
  <c r="M142" i="34" l="1"/>
  <c r="M143" i="34" l="1"/>
  <c r="M144" i="34" l="1"/>
  <c r="M145" i="34" l="1"/>
  <c r="M146" i="34" l="1"/>
  <c r="M147" i="34" l="1"/>
  <c r="M148" i="34" l="1"/>
  <c r="M149" i="34" l="1"/>
  <c r="M150" i="34" l="1"/>
  <c r="M151" i="34" l="1"/>
  <c r="M152" i="34" l="1"/>
  <c r="M153" i="34" l="1"/>
  <c r="M154" i="34" l="1"/>
  <c r="M155" i="34" l="1"/>
  <c r="M156" i="34" l="1"/>
  <c r="M157" i="34" l="1"/>
  <c r="M158" i="34" l="1"/>
  <c r="M159" i="34" l="1"/>
  <c r="M160" i="34" l="1"/>
  <c r="M161" i="34" l="1"/>
  <c r="M162" i="34" l="1"/>
  <c r="M163" i="34" l="1"/>
  <c r="M164" i="34" l="1"/>
  <c r="M165" i="34" l="1"/>
  <c r="M166" i="34" l="1"/>
  <c r="M167" i="34" l="1"/>
  <c r="M168" i="34" l="1"/>
  <c r="M169" i="34" l="1"/>
  <c r="M170" i="34" l="1"/>
  <c r="M171" i="34" l="1"/>
  <c r="M172" i="34" l="1"/>
  <c r="M173" i="34" l="1"/>
  <c r="M174" i="34" l="1"/>
  <c r="M175" i="34" l="1"/>
  <c r="M176" i="34" l="1"/>
  <c r="M177" i="34" l="1"/>
  <c r="M178" i="34" l="1"/>
  <c r="M179" i="34" l="1"/>
  <c r="M180" i="34" l="1"/>
</calcChain>
</file>

<file path=xl/comments1.xml><?xml version="1.0" encoding="utf-8"?>
<comments xmlns="http://schemas.openxmlformats.org/spreadsheetml/2006/main">
  <authors>
    <author>Sahar Abbaszadeh</author>
  </authors>
  <commentList>
    <comment ref="D137" authorId="0" shapeId="0">
      <text>
        <r>
          <rPr>
            <b/>
            <sz val="9"/>
            <color indexed="81"/>
            <rFont val="Tahoma"/>
            <family val="2"/>
          </rPr>
          <t>Sahar Abbaszadeh:</t>
        </r>
        <r>
          <rPr>
            <sz val="9"/>
            <color indexed="81"/>
            <rFont val="Tahoma"/>
            <family val="2"/>
          </rPr>
          <t xml:space="preserve">
Display, track, advertising, etc.</t>
        </r>
      </text>
    </comment>
    <comment ref="D269" authorId="0" shapeId="0">
      <text>
        <r>
          <rPr>
            <b/>
            <sz val="9"/>
            <color indexed="81"/>
            <rFont val="Tahoma"/>
            <family val="2"/>
          </rPr>
          <t>Sahar Abbaszadeh:</t>
        </r>
        <r>
          <rPr>
            <sz val="9"/>
            <color indexed="81"/>
            <rFont val="Tahoma"/>
            <family val="2"/>
          </rPr>
          <t xml:space="preserve">
Used to be portable fixtures in rooms.</t>
        </r>
      </text>
    </comment>
    <comment ref="G269" authorId="0" shapeId="0">
      <text>
        <r>
          <rPr>
            <b/>
            <sz val="9"/>
            <color indexed="81"/>
            <rFont val="Tahoma"/>
            <family val="2"/>
          </rPr>
          <t>Sahar Abbaszadeh:</t>
        </r>
        <r>
          <rPr>
            <sz val="9"/>
            <color indexed="81"/>
            <rFont val="Tahoma"/>
            <family val="2"/>
          </rPr>
          <t xml:space="preserve">
Revise based on residential data from DNV/GL CLASS survey</t>
        </r>
      </text>
    </comment>
    <comment ref="D374" authorId="0" shapeId="0">
      <text>
        <r>
          <rPr>
            <b/>
            <sz val="9"/>
            <color indexed="81"/>
            <rFont val="Tahoma"/>
            <family val="2"/>
          </rPr>
          <t>Sahar Abbaszadeh:</t>
        </r>
        <r>
          <rPr>
            <sz val="9"/>
            <color indexed="81"/>
            <rFont val="Tahoma"/>
            <family val="2"/>
          </rPr>
          <t xml:space="preserve">
This is track, ornamental, architectural, wall-wash, etc.</t>
        </r>
      </text>
    </comment>
  </commentList>
</comments>
</file>

<file path=xl/comments2.xml><?xml version="1.0" encoding="utf-8"?>
<comments xmlns="http://schemas.openxmlformats.org/spreadsheetml/2006/main">
  <authors>
    <author>Sahar Abbaszadeh</author>
  </authors>
  <commentList>
    <comment ref="L53" authorId="0" shapeId="0">
      <text>
        <r>
          <rPr>
            <b/>
            <sz val="9"/>
            <color indexed="81"/>
            <rFont val="Tahoma"/>
            <family val="2"/>
          </rPr>
          <t>Sahar Abbaszadeh:</t>
        </r>
        <r>
          <rPr>
            <sz val="9"/>
            <color indexed="81"/>
            <rFont val="Tahoma"/>
            <family val="2"/>
          </rPr>
          <t xml:space="preserve">
Allen, thinks that for future versions we should have the formulas look-up building sub-sector specific values from the table and have the Y/N in this column be the indicator of whether that value is reliable to be used on the workbook (e.g. is based on a large sample, or based on pre- and post-evaluation)</t>
        </r>
      </text>
    </comment>
    <comment ref="L59" authorId="0" shapeId="0">
      <text>
        <r>
          <rPr>
            <b/>
            <sz val="9"/>
            <color indexed="81"/>
            <rFont val="Tahoma"/>
            <family val="2"/>
          </rPr>
          <t>Sahar Abbaszadeh:</t>
        </r>
        <r>
          <rPr>
            <sz val="9"/>
            <color indexed="81"/>
            <rFont val="Tahoma"/>
            <family val="2"/>
          </rPr>
          <t xml:space="preserve">
Complete these fields based on whether values used in workbook</t>
        </r>
      </text>
    </comment>
  </commentList>
</comments>
</file>

<file path=xl/comments3.xml><?xml version="1.0" encoding="utf-8"?>
<comments xmlns="http://schemas.openxmlformats.org/spreadsheetml/2006/main">
  <authors>
    <author>Sahar Abbaszadeh</author>
    <author>JShelton</author>
  </authors>
  <commentList>
    <comment ref="B3" authorId="0" shapeId="0">
      <text>
        <r>
          <rPr>
            <b/>
            <sz val="9"/>
            <color indexed="81"/>
            <rFont val="Tahoma"/>
            <family val="2"/>
          </rPr>
          <t>Sahar Abbaszadeh:</t>
        </r>
        <r>
          <rPr>
            <sz val="9"/>
            <color indexed="81"/>
            <rFont val="Tahoma"/>
            <family val="2"/>
          </rPr>
          <t xml:space="preserve">
We will use CSS building types.</t>
        </r>
      </text>
    </comment>
    <comment ref="C3" authorId="0" shapeId="0">
      <text>
        <r>
          <rPr>
            <b/>
            <sz val="9"/>
            <color indexed="81"/>
            <rFont val="Tahoma"/>
            <family val="2"/>
          </rPr>
          <t>Sahar Abbaszadeh:</t>
        </r>
        <r>
          <rPr>
            <sz val="9"/>
            <color indexed="81"/>
            <rFont val="Tahoma"/>
            <family val="2"/>
          </rPr>
          <t xml:space="preserve">
Trying to include primary lighting use applications; my guess is area and task lighting. Need to understand the definition for trck vs. arch/wall wash, ornamental, and accent.</t>
        </r>
      </text>
    </comment>
    <comment ref="D3"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E3" authorId="0" shapeId="0">
      <text>
        <r>
          <rPr>
            <b/>
            <sz val="9"/>
            <color indexed="81"/>
            <rFont val="Tahoma"/>
            <family val="2"/>
          </rPr>
          <t>Sahar Abbaszadeh:</t>
        </r>
        <r>
          <rPr>
            <sz val="9"/>
            <color indexed="81"/>
            <rFont val="Tahoma"/>
            <family val="2"/>
          </rPr>
          <t xml:space="preserve">
I am adding this column, so that we have the wattage totals as well- in case we need to combine two categories.</t>
        </r>
      </text>
    </comment>
    <comment ref="G3" authorId="0" shapeId="0">
      <text>
        <r>
          <rPr>
            <b/>
            <sz val="9"/>
            <color indexed="81"/>
            <rFont val="Tahoma"/>
            <family val="2"/>
          </rPr>
          <t>Sahar Abbaszadeh:</t>
        </r>
        <r>
          <rPr>
            <sz val="9"/>
            <color indexed="81"/>
            <rFont val="Tahoma"/>
            <family val="2"/>
          </rPr>
          <t xml:space="preserve">
will this be the wattage controlled?</t>
        </r>
      </text>
    </comment>
    <comment ref="H3" authorId="0" shapeId="0">
      <text>
        <r>
          <rPr>
            <b/>
            <sz val="9"/>
            <color indexed="81"/>
            <rFont val="Tahoma"/>
            <family val="2"/>
          </rPr>
          <t>Sahar Abbaszadeh:</t>
        </r>
        <r>
          <rPr>
            <sz val="9"/>
            <color indexed="81"/>
            <rFont val="Tahoma"/>
            <family val="2"/>
          </rPr>
          <t xml:space="preserve">
I am adding this column, so that we have the wattage totals as well- in case we need to combine two categories.</t>
        </r>
      </text>
    </comment>
    <comment ref="D12"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E12" authorId="0" shapeId="0">
      <text>
        <r>
          <rPr>
            <b/>
            <sz val="9"/>
            <color indexed="81"/>
            <rFont val="Tahoma"/>
            <family val="2"/>
          </rPr>
          <t>Sahar Abbaszadeh:</t>
        </r>
        <r>
          <rPr>
            <sz val="9"/>
            <color indexed="81"/>
            <rFont val="Tahoma"/>
            <family val="2"/>
          </rPr>
          <t xml:space="preserve">
I am adding this column, so that we have the wattage totals as well- in case we need to combine two categories.</t>
        </r>
      </text>
    </comment>
    <comment ref="G12" authorId="0" shapeId="0">
      <text>
        <r>
          <rPr>
            <b/>
            <sz val="9"/>
            <color indexed="81"/>
            <rFont val="Tahoma"/>
            <family val="2"/>
          </rPr>
          <t>Sahar Abbaszadeh:</t>
        </r>
        <r>
          <rPr>
            <sz val="9"/>
            <color indexed="81"/>
            <rFont val="Tahoma"/>
            <family val="2"/>
          </rPr>
          <t xml:space="preserve">
will this be the wattage controlled?</t>
        </r>
      </text>
    </comment>
    <comment ref="H12" authorId="0" shapeId="0">
      <text>
        <r>
          <rPr>
            <b/>
            <sz val="9"/>
            <color indexed="81"/>
            <rFont val="Tahoma"/>
            <family val="2"/>
          </rPr>
          <t>Sahar Abbaszadeh:</t>
        </r>
        <r>
          <rPr>
            <sz val="9"/>
            <color indexed="81"/>
            <rFont val="Tahoma"/>
            <family val="2"/>
          </rPr>
          <t xml:space="preserve">
I am adding this column, so that we have the wattage totals as well- in case we need to combine two categories.</t>
        </r>
      </text>
    </comment>
    <comment ref="E19" authorId="0" shapeId="0">
      <text>
        <r>
          <rPr>
            <b/>
            <sz val="9"/>
            <color indexed="81"/>
            <rFont val="Tahoma"/>
            <family val="2"/>
          </rPr>
          <t>Sahar Abbaszadeh:</t>
        </r>
        <r>
          <rPr>
            <sz val="9"/>
            <color indexed="81"/>
            <rFont val="Tahoma"/>
            <family val="2"/>
          </rPr>
          <t xml:space="preserve">
I am adding this column, so that we have the wattage totals as well- in case we need to combine two categories.</t>
        </r>
      </text>
    </comment>
    <comment ref="H19" authorId="0" shapeId="0">
      <text>
        <r>
          <rPr>
            <b/>
            <sz val="9"/>
            <color indexed="81"/>
            <rFont val="Tahoma"/>
            <family val="2"/>
          </rPr>
          <t>Sahar Abbaszadeh:</t>
        </r>
        <r>
          <rPr>
            <sz val="9"/>
            <color indexed="81"/>
            <rFont val="Tahoma"/>
            <family val="2"/>
          </rPr>
          <t xml:space="preserve">
I am adding this column, so that we have the wattage totals as well- in case we need to combine two categories.</t>
        </r>
      </text>
    </comment>
    <comment ref="G25" authorId="0" shapeId="0">
      <text>
        <r>
          <rPr>
            <b/>
            <sz val="9"/>
            <color indexed="81"/>
            <rFont val="Tahoma"/>
            <family val="2"/>
          </rPr>
          <t>Sahar Abbaszadeh:</t>
        </r>
        <r>
          <rPr>
            <sz val="9"/>
            <color indexed="81"/>
            <rFont val="Tahoma"/>
            <family val="2"/>
          </rPr>
          <t xml:space="preserve">
will this be the wattage controlled?</t>
        </r>
      </text>
    </comment>
    <comment ref="B30" authorId="1" shapeId="0">
      <text>
        <r>
          <rPr>
            <b/>
            <sz val="9"/>
            <color indexed="81"/>
            <rFont val="Tahoma"/>
            <family val="2"/>
          </rPr>
          <t>JShelton:</t>
        </r>
        <r>
          <rPr>
            <sz val="9"/>
            <color indexed="81"/>
            <rFont val="Tahoma"/>
            <family val="2"/>
          </rPr>
          <t xml:space="preserve">
Note:  Non-food Retail is not a building type.  Many large big box retail now have food - think target and wallmart
</t>
        </r>
      </text>
    </comment>
    <comment ref="C30" authorId="0" shapeId="0">
      <text>
        <r>
          <rPr>
            <b/>
            <sz val="9"/>
            <color indexed="81"/>
            <rFont val="Tahoma"/>
            <family val="2"/>
          </rPr>
          <t>Sahar Abbaszadeh:</t>
        </r>
        <r>
          <rPr>
            <sz val="9"/>
            <color indexed="81"/>
            <rFont val="Tahoma"/>
            <family val="2"/>
          </rPr>
          <t xml:space="preserve">
Is there a way to break out area lighting into low/medium and high bay? Not a big deal if not.
Trypically high-bay starts from 20 feet, but if you can only distinguish between less than 15 and more than 15 that is ok.</t>
        </r>
      </text>
    </comment>
    <comment ref="D30"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30" authorId="0" shapeId="0">
      <text>
        <r>
          <rPr>
            <b/>
            <sz val="9"/>
            <color indexed="81"/>
            <rFont val="Tahoma"/>
            <family val="2"/>
          </rPr>
          <t>Sahar Abbaszadeh:</t>
        </r>
        <r>
          <rPr>
            <sz val="9"/>
            <color indexed="81"/>
            <rFont val="Tahoma"/>
            <family val="2"/>
          </rPr>
          <t xml:space="preserve">
will this be the wattage controlled?</t>
        </r>
      </text>
    </comment>
    <comment ref="C31" authorId="0" shapeId="0">
      <text>
        <r>
          <rPr>
            <b/>
            <sz val="9"/>
            <color indexed="81"/>
            <rFont val="Tahoma"/>
            <family val="2"/>
          </rPr>
          <t>Sahar Abbaszadeh:</t>
        </r>
        <r>
          <rPr>
            <sz val="9"/>
            <color indexed="81"/>
            <rFont val="Tahoma"/>
            <family val="2"/>
          </rPr>
          <t xml:space="preserve">
Trying to include the primary lighting applications in this building type, my guess: area lighting high vs low/medium bay?</t>
        </r>
      </text>
    </comment>
    <comment ref="B38" authorId="1" shapeId="0">
      <text>
        <r>
          <rPr>
            <b/>
            <sz val="9"/>
            <color indexed="81"/>
            <rFont val="Tahoma"/>
            <family val="2"/>
          </rPr>
          <t>JShelton:</t>
        </r>
        <r>
          <rPr>
            <sz val="9"/>
            <color indexed="81"/>
            <rFont val="Tahoma"/>
            <family val="2"/>
          </rPr>
          <t xml:space="preserve">
Note:  Non-food Retail is not a building type.  Many large big box retail now have food - think target and wallmart
</t>
        </r>
      </text>
    </comment>
    <comment ref="C38" authorId="0" shapeId="0">
      <text>
        <r>
          <rPr>
            <b/>
            <sz val="9"/>
            <color indexed="81"/>
            <rFont val="Tahoma"/>
            <family val="2"/>
          </rPr>
          <t>Sahar Abbaszadeh:</t>
        </r>
        <r>
          <rPr>
            <sz val="9"/>
            <color indexed="81"/>
            <rFont val="Tahoma"/>
            <family val="2"/>
          </rPr>
          <t xml:space="preserve">
Is there a way to break out area lighting into low/medium and high bay? Not a big deal if not.</t>
        </r>
      </text>
    </comment>
    <comment ref="D38"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38" authorId="0" shapeId="0">
      <text>
        <r>
          <rPr>
            <b/>
            <sz val="9"/>
            <color indexed="81"/>
            <rFont val="Tahoma"/>
            <family val="2"/>
          </rPr>
          <t>Sahar Abbaszadeh:</t>
        </r>
        <r>
          <rPr>
            <sz val="9"/>
            <color indexed="81"/>
            <rFont val="Tahoma"/>
            <family val="2"/>
          </rPr>
          <t xml:space="preserve">
will this be the wattage controlled?</t>
        </r>
      </text>
    </comment>
    <comment ref="G46" authorId="0" shapeId="0">
      <text>
        <r>
          <rPr>
            <b/>
            <sz val="9"/>
            <color indexed="81"/>
            <rFont val="Tahoma"/>
            <family val="2"/>
          </rPr>
          <t>Sahar Abbaszadeh:</t>
        </r>
        <r>
          <rPr>
            <sz val="9"/>
            <color indexed="81"/>
            <rFont val="Tahoma"/>
            <family val="2"/>
          </rPr>
          <t xml:space="preserve">
will this be the wattage controlled?</t>
        </r>
      </text>
    </comment>
    <comment ref="C51" authorId="0" shapeId="0">
      <text>
        <r>
          <rPr>
            <b/>
            <sz val="9"/>
            <color indexed="81"/>
            <rFont val="Tahoma"/>
            <family val="2"/>
          </rPr>
          <t>Sahar Abbaszadeh:</t>
        </r>
        <r>
          <rPr>
            <sz val="9"/>
            <color indexed="81"/>
            <rFont val="Tahoma"/>
            <family val="2"/>
          </rPr>
          <t xml:space="preserve">
Is there a way to break out area lighting into low/medium and high bay? Not a big deal if not.</t>
        </r>
      </text>
    </comment>
    <comment ref="D51"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51" authorId="0" shapeId="0">
      <text>
        <r>
          <rPr>
            <b/>
            <sz val="9"/>
            <color indexed="81"/>
            <rFont val="Tahoma"/>
            <family val="2"/>
          </rPr>
          <t>Sahar Abbaszadeh:</t>
        </r>
        <r>
          <rPr>
            <sz val="9"/>
            <color indexed="81"/>
            <rFont val="Tahoma"/>
            <family val="2"/>
          </rPr>
          <t xml:space="preserve">
will this be the wattage controlled?</t>
        </r>
      </text>
    </comment>
    <comment ref="C52" authorId="0" shapeId="0">
      <text>
        <r>
          <rPr>
            <b/>
            <sz val="9"/>
            <color indexed="81"/>
            <rFont val="Tahoma"/>
            <family val="2"/>
          </rPr>
          <t>Sahar Abbaszadeh:</t>
        </r>
        <r>
          <rPr>
            <sz val="9"/>
            <color indexed="81"/>
            <rFont val="Tahoma"/>
            <family val="2"/>
          </rPr>
          <t xml:space="preserve">
Trying to include the primary lighting applications in this building type, my guess: area lighting, display, and refrigerated cases?</t>
        </r>
      </text>
    </comment>
    <comment ref="C59" authorId="0" shapeId="0">
      <text>
        <r>
          <rPr>
            <b/>
            <sz val="9"/>
            <color indexed="81"/>
            <rFont val="Tahoma"/>
            <family val="2"/>
          </rPr>
          <t>Sahar Abbaszadeh:</t>
        </r>
        <r>
          <rPr>
            <sz val="9"/>
            <color indexed="81"/>
            <rFont val="Tahoma"/>
            <family val="2"/>
          </rPr>
          <t xml:space="preserve">
Is there a way to break out area lighting into low/medium and high bay? Not a big deal if not.</t>
        </r>
      </text>
    </comment>
    <comment ref="D59"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59" authorId="0" shapeId="0">
      <text>
        <r>
          <rPr>
            <b/>
            <sz val="9"/>
            <color indexed="81"/>
            <rFont val="Tahoma"/>
            <family val="2"/>
          </rPr>
          <t>Sahar Abbaszadeh:</t>
        </r>
        <r>
          <rPr>
            <sz val="9"/>
            <color indexed="81"/>
            <rFont val="Tahoma"/>
            <family val="2"/>
          </rPr>
          <t xml:space="preserve">
will this be the wattage controlled?</t>
        </r>
      </text>
    </comment>
    <comment ref="C67" authorId="0" shapeId="0">
      <text>
        <r>
          <rPr>
            <b/>
            <sz val="9"/>
            <color indexed="81"/>
            <rFont val="Tahoma"/>
            <family val="2"/>
          </rPr>
          <t>Sahar Abbaszadeh:</t>
        </r>
        <r>
          <rPr>
            <sz val="9"/>
            <color indexed="81"/>
            <rFont val="Tahoma"/>
            <family val="2"/>
          </rPr>
          <t xml:space="preserve">
Assuming you can combine two lighting applications...</t>
        </r>
      </text>
    </comment>
    <comment ref="D67"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67" authorId="0" shapeId="0">
      <text>
        <r>
          <rPr>
            <b/>
            <sz val="9"/>
            <color indexed="81"/>
            <rFont val="Tahoma"/>
            <family val="2"/>
          </rPr>
          <t>Sahar Abbaszadeh:</t>
        </r>
        <r>
          <rPr>
            <sz val="9"/>
            <color indexed="81"/>
            <rFont val="Tahoma"/>
            <family val="2"/>
          </rPr>
          <t xml:space="preserve">
will this be the wattage controlled?</t>
        </r>
      </text>
    </comment>
    <comment ref="G73" authorId="0" shapeId="0">
      <text>
        <r>
          <rPr>
            <b/>
            <sz val="9"/>
            <color indexed="81"/>
            <rFont val="Tahoma"/>
            <family val="2"/>
          </rPr>
          <t>Sahar Abbaszadeh:</t>
        </r>
        <r>
          <rPr>
            <sz val="9"/>
            <color indexed="81"/>
            <rFont val="Tahoma"/>
            <family val="2"/>
          </rPr>
          <t xml:space="preserve">
will this be the wattage controlled?</t>
        </r>
      </text>
    </comment>
    <comment ref="C78" authorId="0" shapeId="0">
      <text>
        <r>
          <rPr>
            <b/>
            <sz val="9"/>
            <color indexed="81"/>
            <rFont val="Tahoma"/>
            <family val="2"/>
          </rPr>
          <t>Sahar Abbaszadeh:</t>
        </r>
        <r>
          <rPr>
            <sz val="9"/>
            <color indexed="81"/>
            <rFont val="Tahoma"/>
            <family val="2"/>
          </rPr>
          <t xml:space="preserve">
Trying to include the primary lighting applications in this building type, my guess: area lighting? We are not interested in medical equipment lighting.</t>
        </r>
      </text>
    </comment>
    <comment ref="G78" authorId="0" shapeId="0">
      <text>
        <r>
          <rPr>
            <b/>
            <sz val="9"/>
            <color indexed="81"/>
            <rFont val="Tahoma"/>
            <family val="2"/>
          </rPr>
          <t>Sahar Abbaszadeh:</t>
        </r>
        <r>
          <rPr>
            <sz val="9"/>
            <color indexed="81"/>
            <rFont val="Tahoma"/>
            <family val="2"/>
          </rPr>
          <t xml:space="preserve">
will this be the wattage controlled?</t>
        </r>
      </text>
    </comment>
    <comment ref="G86" authorId="0" shapeId="0">
      <text>
        <r>
          <rPr>
            <b/>
            <sz val="9"/>
            <color indexed="81"/>
            <rFont val="Tahoma"/>
            <family val="2"/>
          </rPr>
          <t>Sahar Abbaszadeh:</t>
        </r>
        <r>
          <rPr>
            <sz val="9"/>
            <color indexed="81"/>
            <rFont val="Tahoma"/>
            <family val="2"/>
          </rPr>
          <t xml:space="preserve">
will this be the wattage controlled?</t>
        </r>
      </text>
    </comment>
    <comment ref="G91" authorId="0" shapeId="0">
      <text>
        <r>
          <rPr>
            <b/>
            <sz val="9"/>
            <color indexed="81"/>
            <rFont val="Tahoma"/>
            <family val="2"/>
          </rPr>
          <t>Sahar Abbaszadeh:</t>
        </r>
        <r>
          <rPr>
            <sz val="9"/>
            <color indexed="81"/>
            <rFont val="Tahoma"/>
            <family val="2"/>
          </rPr>
          <t xml:space="preserve">
will this be the wattage controlled?</t>
        </r>
      </text>
    </comment>
    <comment ref="C99" authorId="0" shapeId="0">
      <text>
        <r>
          <rPr>
            <b/>
            <sz val="9"/>
            <color indexed="81"/>
            <rFont val="Tahoma"/>
            <family val="2"/>
          </rPr>
          <t>Sahar Abbaszadeh:</t>
        </r>
        <r>
          <rPr>
            <sz val="9"/>
            <color indexed="81"/>
            <rFont val="Tahoma"/>
            <family val="2"/>
          </rPr>
          <t xml:space="preserve">
Is there a way to break out area lighting into low/medium and high bay? Not a big deal if not.</t>
        </r>
      </text>
    </comment>
    <comment ref="G99" authorId="0" shapeId="0">
      <text>
        <r>
          <rPr>
            <b/>
            <sz val="9"/>
            <color indexed="81"/>
            <rFont val="Tahoma"/>
            <family val="2"/>
          </rPr>
          <t>Sahar Abbaszadeh:</t>
        </r>
        <r>
          <rPr>
            <sz val="9"/>
            <color indexed="81"/>
            <rFont val="Tahoma"/>
            <family val="2"/>
          </rPr>
          <t xml:space="preserve">
will this be the wattage controlled?</t>
        </r>
      </text>
    </comment>
    <comment ref="G107" authorId="0" shapeId="0">
      <text>
        <r>
          <rPr>
            <b/>
            <sz val="9"/>
            <color indexed="81"/>
            <rFont val="Tahoma"/>
            <family val="2"/>
          </rPr>
          <t>Sahar Abbaszadeh:</t>
        </r>
        <r>
          <rPr>
            <sz val="9"/>
            <color indexed="81"/>
            <rFont val="Tahoma"/>
            <family val="2"/>
          </rPr>
          <t xml:space="preserve">
will this be the wattage controlled?</t>
        </r>
      </text>
    </comment>
    <comment ref="C112" authorId="0" shapeId="0">
      <text>
        <r>
          <rPr>
            <b/>
            <sz val="9"/>
            <color indexed="81"/>
            <rFont val="Tahoma"/>
            <family val="2"/>
          </rPr>
          <t>Sahar Abbaszadeh:</t>
        </r>
        <r>
          <rPr>
            <sz val="9"/>
            <color indexed="81"/>
            <rFont val="Tahoma"/>
            <family val="2"/>
          </rPr>
          <t xml:space="preserve">
Is there a way to break out area lighting into low/medium and high bay? Not a big deal if not.</t>
        </r>
      </text>
    </comment>
    <comment ref="D112"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112" authorId="0" shapeId="0">
      <text>
        <r>
          <rPr>
            <b/>
            <sz val="9"/>
            <color indexed="81"/>
            <rFont val="Tahoma"/>
            <family val="2"/>
          </rPr>
          <t>Sahar Abbaszadeh:</t>
        </r>
        <r>
          <rPr>
            <sz val="9"/>
            <color indexed="81"/>
            <rFont val="Tahoma"/>
            <family val="2"/>
          </rPr>
          <t xml:space="preserve">
will this be the wattage controlled?</t>
        </r>
      </text>
    </comment>
    <comment ref="C113" authorId="0" shapeId="0">
      <text>
        <r>
          <rPr>
            <b/>
            <sz val="9"/>
            <color indexed="81"/>
            <rFont val="Tahoma"/>
            <family val="2"/>
          </rPr>
          <t>Sahar Abbaszadeh:</t>
        </r>
        <r>
          <rPr>
            <sz val="9"/>
            <color indexed="81"/>
            <rFont val="Tahoma"/>
            <family val="2"/>
          </rPr>
          <t xml:space="preserve">
Trying to include the primary lighting applications in this building type, my guess: area lighting, display, and refrigerated cases?</t>
        </r>
      </text>
    </comment>
    <comment ref="C120" authorId="0" shapeId="0">
      <text>
        <r>
          <rPr>
            <b/>
            <sz val="9"/>
            <color indexed="81"/>
            <rFont val="Tahoma"/>
            <family val="2"/>
          </rPr>
          <t>Sahar Abbaszadeh:</t>
        </r>
        <r>
          <rPr>
            <sz val="9"/>
            <color indexed="81"/>
            <rFont val="Tahoma"/>
            <family val="2"/>
          </rPr>
          <t xml:space="preserve">
Is there a way to break out area lighting into low/medium and high bay? Not a big deal if not.</t>
        </r>
      </text>
    </comment>
    <comment ref="D120"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120" authorId="0" shapeId="0">
      <text>
        <r>
          <rPr>
            <b/>
            <sz val="9"/>
            <color indexed="81"/>
            <rFont val="Tahoma"/>
            <family val="2"/>
          </rPr>
          <t>Sahar Abbaszadeh:</t>
        </r>
        <r>
          <rPr>
            <sz val="9"/>
            <color indexed="81"/>
            <rFont val="Tahoma"/>
            <family val="2"/>
          </rPr>
          <t xml:space="preserve">
will this be the wattage controlled?</t>
        </r>
      </text>
    </comment>
    <comment ref="C128" authorId="0" shapeId="0">
      <text>
        <r>
          <rPr>
            <b/>
            <sz val="9"/>
            <color indexed="81"/>
            <rFont val="Tahoma"/>
            <family val="2"/>
          </rPr>
          <t>Sahar Abbaszadeh:</t>
        </r>
        <r>
          <rPr>
            <sz val="9"/>
            <color indexed="81"/>
            <rFont val="Tahoma"/>
            <family val="2"/>
          </rPr>
          <t xml:space="preserve">
Assuming you can combine lighting applications...</t>
        </r>
      </text>
    </comment>
    <comment ref="D128"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128" authorId="0" shapeId="0">
      <text>
        <r>
          <rPr>
            <b/>
            <sz val="9"/>
            <color indexed="81"/>
            <rFont val="Tahoma"/>
            <family val="2"/>
          </rPr>
          <t>Sahar Abbaszadeh:</t>
        </r>
        <r>
          <rPr>
            <sz val="9"/>
            <color indexed="81"/>
            <rFont val="Tahoma"/>
            <family val="2"/>
          </rPr>
          <t xml:space="preserve">
will this be the wattage controlled?</t>
        </r>
      </text>
    </comment>
    <comment ref="G135" authorId="0" shapeId="0">
      <text>
        <r>
          <rPr>
            <b/>
            <sz val="9"/>
            <color indexed="81"/>
            <rFont val="Tahoma"/>
            <family val="2"/>
          </rPr>
          <t>Sahar Abbaszadeh:</t>
        </r>
        <r>
          <rPr>
            <sz val="9"/>
            <color indexed="81"/>
            <rFont val="Tahoma"/>
            <family val="2"/>
          </rPr>
          <t xml:space="preserve">
will this be the wattage controlled?</t>
        </r>
      </text>
    </comment>
    <comment ref="C140" authorId="0" shapeId="0">
      <text>
        <r>
          <rPr>
            <b/>
            <sz val="9"/>
            <color indexed="81"/>
            <rFont val="Tahoma"/>
            <family val="2"/>
          </rPr>
          <t>Sahar Abbaszadeh:</t>
        </r>
        <r>
          <rPr>
            <sz val="9"/>
            <color indexed="81"/>
            <rFont val="Tahoma"/>
            <family val="2"/>
          </rPr>
          <t xml:space="preserve">
Is there a way to distinquish kitchen from dining room lighting? Maybe area lighting is mostly kitchen and dining room is mostly track, ornamental, accent and wall wash?</t>
        </r>
      </text>
    </comment>
    <comment ref="D140"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C141" authorId="0" shapeId="0">
      <text>
        <r>
          <rPr>
            <b/>
            <sz val="9"/>
            <color indexed="81"/>
            <rFont val="Tahoma"/>
            <family val="2"/>
          </rPr>
          <t>Sahar Abbaszadeh:</t>
        </r>
        <r>
          <rPr>
            <sz val="9"/>
            <color indexed="81"/>
            <rFont val="Tahoma"/>
            <family val="2"/>
          </rPr>
          <t xml:space="preserve">
Trying to include the primary lighting applications in this building type, my guess: area lighting, display, and refrigerated cases?</t>
        </r>
      </text>
    </comment>
    <comment ref="C147" authorId="0" shapeId="0">
      <text>
        <r>
          <rPr>
            <b/>
            <sz val="9"/>
            <color indexed="81"/>
            <rFont val="Tahoma"/>
            <family val="2"/>
          </rPr>
          <t>Sahar Abbaszadeh:</t>
        </r>
        <r>
          <rPr>
            <sz val="9"/>
            <color indexed="81"/>
            <rFont val="Tahoma"/>
            <family val="2"/>
          </rPr>
          <t xml:space="preserve">
Is there a way to distinquish kitchen from dining room lighting? Maybe area lighting is mostly kitchen and dining room is mostly track, ornamental, accent and wall wash?</t>
        </r>
      </text>
    </comment>
    <comment ref="D147"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147" authorId="0" shapeId="0">
      <text>
        <r>
          <rPr>
            <b/>
            <sz val="9"/>
            <color indexed="81"/>
            <rFont val="Tahoma"/>
            <family val="2"/>
          </rPr>
          <t>Sahar Abbaszadeh:</t>
        </r>
        <r>
          <rPr>
            <sz val="9"/>
            <color indexed="81"/>
            <rFont val="Tahoma"/>
            <family val="2"/>
          </rPr>
          <t xml:space="preserve">
will this be the wattage controlled?</t>
        </r>
      </text>
    </comment>
    <comment ref="C148" authorId="0" shapeId="0">
      <text>
        <r>
          <rPr>
            <b/>
            <sz val="9"/>
            <color indexed="81"/>
            <rFont val="Tahoma"/>
            <family val="2"/>
          </rPr>
          <t>Sahar Abbaszadeh:</t>
        </r>
        <r>
          <rPr>
            <sz val="9"/>
            <color indexed="81"/>
            <rFont val="Tahoma"/>
            <family val="2"/>
          </rPr>
          <t xml:space="preserve">
Trying to include the primary lighting applications in this building type, my guess: area lighting, display, and refrigerated cases?</t>
        </r>
      </text>
    </comment>
    <comment ref="C154" authorId="0" shapeId="0">
      <text>
        <r>
          <rPr>
            <b/>
            <sz val="9"/>
            <color indexed="81"/>
            <rFont val="Tahoma"/>
            <family val="2"/>
          </rPr>
          <t>Sahar Abbaszadeh:</t>
        </r>
        <r>
          <rPr>
            <sz val="9"/>
            <color indexed="81"/>
            <rFont val="Tahoma"/>
            <family val="2"/>
          </rPr>
          <t xml:space="preserve">
Trying to capture menu board lighting here...</t>
        </r>
      </text>
    </comment>
    <comment ref="D154" authorId="0" shapeId="0">
      <text>
        <r>
          <rPr>
            <b/>
            <sz val="9"/>
            <color indexed="81"/>
            <rFont val="Tahoma"/>
            <family val="2"/>
          </rPr>
          <t>Sahar Abbaszadeh:</t>
        </r>
        <r>
          <rPr>
            <sz val="9"/>
            <color indexed="81"/>
            <rFont val="Tahoma"/>
            <family val="2"/>
          </rPr>
          <t xml:space="preserve">
Please include all lamp types here. The ones with very low saturation will not be included in the workbook, but without pulling the data, I don’t want to take guesses on which ones have low saturation.</t>
        </r>
      </text>
    </comment>
    <comment ref="G160" authorId="0" shapeId="0">
      <text>
        <r>
          <rPr>
            <b/>
            <sz val="9"/>
            <color indexed="81"/>
            <rFont val="Tahoma"/>
            <family val="2"/>
          </rPr>
          <t>Sahar Abbaszadeh:</t>
        </r>
        <r>
          <rPr>
            <sz val="9"/>
            <color indexed="81"/>
            <rFont val="Tahoma"/>
            <family val="2"/>
          </rPr>
          <t xml:space="preserve">
will this be the wattage controlled?</t>
        </r>
      </text>
    </comment>
    <comment ref="G165" authorId="0" shapeId="0">
      <text>
        <r>
          <rPr>
            <b/>
            <sz val="9"/>
            <color indexed="81"/>
            <rFont val="Tahoma"/>
            <family val="2"/>
          </rPr>
          <t>Sahar Abbaszadeh:</t>
        </r>
        <r>
          <rPr>
            <sz val="9"/>
            <color indexed="81"/>
            <rFont val="Tahoma"/>
            <family val="2"/>
          </rPr>
          <t xml:space="preserve">
will this be the wattage controlled?</t>
        </r>
      </text>
    </comment>
    <comment ref="G173" authorId="0" shapeId="0">
      <text>
        <r>
          <rPr>
            <b/>
            <sz val="9"/>
            <color indexed="81"/>
            <rFont val="Tahoma"/>
            <family val="2"/>
          </rPr>
          <t>Sahar Abbaszadeh:</t>
        </r>
        <r>
          <rPr>
            <sz val="9"/>
            <color indexed="81"/>
            <rFont val="Tahoma"/>
            <family val="2"/>
          </rPr>
          <t xml:space="preserve">
will this be the wattage controlled?</t>
        </r>
      </text>
    </comment>
  </commentList>
</comments>
</file>

<file path=xl/comments4.xml><?xml version="1.0" encoding="utf-8"?>
<comments xmlns="http://schemas.openxmlformats.org/spreadsheetml/2006/main">
  <authors>
    <author>Sahar Abbaszadeh</author>
  </authors>
  <commentList>
    <comment ref="B3" authorId="0" shapeId="0">
      <text>
        <r>
          <rPr>
            <b/>
            <sz val="9"/>
            <color indexed="81"/>
            <rFont val="Tahoma"/>
            <family val="2"/>
          </rPr>
          <t>Sahar Abbaszadeh:</t>
        </r>
        <r>
          <rPr>
            <sz val="9"/>
            <color indexed="81"/>
            <rFont val="Tahoma"/>
            <family val="2"/>
          </rPr>
          <t xml:space="preserve">
We will use CSS building types.</t>
        </r>
      </text>
    </comment>
    <comment ref="C3" authorId="0" shapeId="0">
      <text>
        <r>
          <rPr>
            <b/>
            <sz val="9"/>
            <color indexed="81"/>
            <rFont val="Tahoma"/>
            <family val="2"/>
          </rPr>
          <t>Sahar Abbaszadeh:</t>
        </r>
        <r>
          <rPr>
            <sz val="9"/>
            <color indexed="81"/>
            <rFont val="Tahoma"/>
            <family val="2"/>
          </rPr>
          <t xml:space="preserve">
Trying to include primary lighting use applications; my guess is area and task lighting. Need to understand the definition for trck vs. arch/wall wash, ornamental, and accent.</t>
        </r>
      </text>
    </comment>
    <comment ref="D3" authorId="0" shapeId="0">
      <text>
        <r>
          <rPr>
            <b/>
            <sz val="9"/>
            <color indexed="81"/>
            <rFont val="Tahoma"/>
            <family val="2"/>
          </rPr>
          <t>Sahar Abbaszadeh:</t>
        </r>
        <r>
          <rPr>
            <sz val="9"/>
            <color indexed="81"/>
            <rFont val="Tahoma"/>
            <family val="2"/>
          </rPr>
          <t xml:space="preserve">
Please include all lamp types here; and use your categories. The ones with very low saturation will not be included in the workbook, but without pulling the data, I don’t want to take guesses on which ones have low saturation.</t>
        </r>
      </text>
    </comment>
    <comment ref="G3" authorId="0" shapeId="0">
      <text>
        <r>
          <rPr>
            <b/>
            <sz val="9"/>
            <color indexed="81"/>
            <rFont val="Tahoma"/>
            <family val="2"/>
          </rPr>
          <t>Sahar Abbaszadeh:</t>
        </r>
        <r>
          <rPr>
            <sz val="9"/>
            <color indexed="81"/>
            <rFont val="Tahoma"/>
            <family val="2"/>
          </rPr>
          <t xml:space="preserve">
will this be the wattage controlled?</t>
        </r>
      </text>
    </comment>
    <comment ref="B11" authorId="0" shapeId="0">
      <text>
        <r>
          <rPr>
            <b/>
            <sz val="9"/>
            <color indexed="81"/>
            <rFont val="Tahoma"/>
            <family val="2"/>
          </rPr>
          <t>Sahar Abbaszadeh:</t>
        </r>
        <r>
          <rPr>
            <sz val="9"/>
            <color indexed="81"/>
            <rFont val="Tahoma"/>
            <family val="2"/>
          </rPr>
          <t xml:space="preserve">
We will use CSS building types.</t>
        </r>
      </text>
    </comment>
    <comment ref="D11" authorId="0" shapeId="0">
      <text>
        <r>
          <rPr>
            <b/>
            <sz val="9"/>
            <color indexed="81"/>
            <rFont val="Tahoma"/>
            <family val="2"/>
          </rPr>
          <t>Sahar Abbaszadeh:</t>
        </r>
        <r>
          <rPr>
            <sz val="9"/>
            <color indexed="81"/>
            <rFont val="Tahoma"/>
            <family val="2"/>
          </rPr>
          <t xml:space="preserve">
Please include all lamp types here; and use your categories. The ones with very low saturation will not be included in the workbook, but without pulling the data, I don’t want to take guesses on which ones have low saturation.</t>
        </r>
      </text>
    </comment>
    <comment ref="G11" authorId="0" shapeId="0">
      <text>
        <r>
          <rPr>
            <b/>
            <sz val="9"/>
            <color indexed="81"/>
            <rFont val="Tahoma"/>
            <family val="2"/>
          </rPr>
          <t>Sahar Abbaszadeh:</t>
        </r>
        <r>
          <rPr>
            <sz val="9"/>
            <color indexed="81"/>
            <rFont val="Tahoma"/>
            <family val="2"/>
          </rPr>
          <t xml:space="preserve">
will this be the wattage controlled?</t>
        </r>
      </text>
    </comment>
    <comment ref="C20" authorId="0" shapeId="0">
      <text>
        <r>
          <rPr>
            <b/>
            <sz val="9"/>
            <color indexed="81"/>
            <rFont val="Tahoma"/>
            <family val="2"/>
          </rPr>
          <t>Sahar Abbaszadeh:</t>
        </r>
        <r>
          <rPr>
            <sz val="9"/>
            <color indexed="81"/>
            <rFont val="Tahoma"/>
            <family val="2"/>
          </rPr>
          <t xml:space="preserve">
I am assuming that one of these categoriesincludes pathways ..</t>
        </r>
      </text>
    </comment>
    <comment ref="D20" authorId="0" shapeId="0">
      <text>
        <r>
          <rPr>
            <b/>
            <sz val="9"/>
            <color indexed="81"/>
            <rFont val="Tahoma"/>
            <family val="2"/>
          </rPr>
          <t>Sahar Abbaszadeh:</t>
        </r>
        <r>
          <rPr>
            <sz val="9"/>
            <color indexed="81"/>
            <rFont val="Tahoma"/>
            <family val="2"/>
          </rPr>
          <t xml:space="preserve">
Please include all lamp types here; and use your categories. The ones with very low saturation will not be included in the workbook, but without pulling the data, I don’t want to take guesses on which ones have low saturation.</t>
        </r>
      </text>
    </comment>
    <comment ref="G20" authorId="0" shapeId="0">
      <text>
        <r>
          <rPr>
            <b/>
            <sz val="9"/>
            <color indexed="81"/>
            <rFont val="Tahoma"/>
            <family val="2"/>
          </rPr>
          <t>Sahar Abbaszadeh:</t>
        </r>
        <r>
          <rPr>
            <sz val="9"/>
            <color indexed="81"/>
            <rFont val="Tahoma"/>
            <family val="2"/>
          </rPr>
          <t xml:space="preserve">
will this be the wattage controlled?</t>
        </r>
      </text>
    </comment>
  </commentList>
</comments>
</file>

<file path=xl/sharedStrings.xml><?xml version="1.0" encoding="utf-8"?>
<sst xmlns="http://schemas.openxmlformats.org/spreadsheetml/2006/main" count="30585" uniqueCount="1405">
  <si>
    <t>Program Name: Lighting Market Transformation (LMT)</t>
  </si>
  <si>
    <t>Prepared by</t>
  </si>
  <si>
    <t>Prepared For</t>
  </si>
  <si>
    <t>Table of Contents</t>
  </si>
  <si>
    <t>Notes</t>
  </si>
  <si>
    <t>Market Solutions</t>
  </si>
  <si>
    <t>Exterior</t>
  </si>
  <si>
    <t>DOE</t>
  </si>
  <si>
    <t>By  Efficient Technology</t>
  </si>
  <si>
    <t>Building Sector</t>
  </si>
  <si>
    <t>Residential</t>
  </si>
  <si>
    <t>Building Sub-Sector</t>
  </si>
  <si>
    <t>Row Labels</t>
  </si>
  <si>
    <t>CFL MSB</t>
  </si>
  <si>
    <t>LED MSB</t>
  </si>
  <si>
    <t>LED Panel Lighting</t>
  </si>
  <si>
    <t>LED Pin Base</t>
  </si>
  <si>
    <t>LED SSB</t>
  </si>
  <si>
    <t>Grand Total</t>
  </si>
  <si>
    <t>By Application</t>
  </si>
  <si>
    <t xml:space="preserve">Exterior </t>
  </si>
  <si>
    <t>Interior Living 
(Kitchen, Bedroom, Living, Dining, etc)</t>
  </si>
  <si>
    <t>Interior Support (Bathroom, Utility room, laundry room, garage)</t>
  </si>
  <si>
    <t>Non-Residential Interior</t>
  </si>
  <si>
    <t>CFL</t>
  </si>
  <si>
    <t>Halogen</t>
  </si>
  <si>
    <t>Incandescent</t>
  </si>
  <si>
    <t>Linear Fluorescent</t>
  </si>
  <si>
    <t>Linear Fluorescent Case Lights</t>
  </si>
  <si>
    <t>Metal Halide</t>
  </si>
  <si>
    <t>Non-Residential Exterior</t>
  </si>
  <si>
    <t>Fluorescent Signs</t>
  </si>
  <si>
    <t>HPS</t>
  </si>
  <si>
    <t>Incandescent Signals</t>
  </si>
  <si>
    <t>Mercury Vapor</t>
  </si>
  <si>
    <t>Neon Signs</t>
  </si>
  <si>
    <t>Lighting Application</t>
  </si>
  <si>
    <t>NOTE - THIS IS A PLANNING SPREADSHEET - ALL NUMBERS ARE ORDER OF MAGNITUDE IN ACCURACY</t>
  </si>
  <si>
    <t>Re-lamp, Re-ballast</t>
  </si>
  <si>
    <t>Controls Only</t>
  </si>
  <si>
    <t>for LMT use only</t>
  </si>
  <si>
    <t>Application</t>
  </si>
  <si>
    <t>Existing Installed / Baseline Technology</t>
  </si>
  <si>
    <t>Efficient Replacement Technology</t>
  </si>
  <si>
    <t>First cost</t>
  </si>
  <si>
    <t>Introduction</t>
  </si>
  <si>
    <t>[Gwh/year]</t>
  </si>
  <si>
    <t>[%]</t>
  </si>
  <si>
    <t>[hours / day]</t>
  </si>
  <si>
    <t>Baseline Lighting</t>
  </si>
  <si>
    <t>Baseline Control</t>
  </si>
  <si>
    <t>Efficient Lighting</t>
  </si>
  <si>
    <t>Efficient Control</t>
  </si>
  <si>
    <t>Lighting Primary</t>
  </si>
  <si>
    <t>Lighting Secondary</t>
  </si>
  <si>
    <t>Controls Primary</t>
  </si>
  <si>
    <t>Controls Secondary</t>
  </si>
  <si>
    <t>Comments</t>
  </si>
  <si>
    <t>Program Action</t>
  </si>
  <si>
    <t>LMT Ranking</t>
  </si>
  <si>
    <t>Average Daily Hours of Operation</t>
  </si>
  <si>
    <t>Active During Peak Period</t>
  </si>
  <si>
    <t>Efficient Lighting Product Life Cycle Stage</t>
  </si>
  <si>
    <t>Performance</t>
  </si>
  <si>
    <t>Growth</t>
  </si>
  <si>
    <t>Incandescent MSB</t>
  </si>
  <si>
    <t>Manual Switch</t>
  </si>
  <si>
    <t>Vacancy Sensor</t>
  </si>
  <si>
    <t>Reliability</t>
  </si>
  <si>
    <t>No barrier identified</t>
  </si>
  <si>
    <t>Lighting reliability - non dimming CFL on dimmer</t>
  </si>
  <si>
    <t>Trial in Progress</t>
  </si>
  <si>
    <t>Yes</t>
  </si>
  <si>
    <t>Maturity</t>
  </si>
  <si>
    <t>Awareness</t>
  </si>
  <si>
    <t>Availability</t>
  </si>
  <si>
    <t>None</t>
  </si>
  <si>
    <t>ETP Assessment</t>
  </si>
  <si>
    <t>TBD</t>
  </si>
  <si>
    <t>Incandescent SSB</t>
  </si>
  <si>
    <t>Technical feasibility</t>
  </si>
  <si>
    <t>Halogen Pin Base</t>
  </si>
  <si>
    <t>Halogen MSB</t>
  </si>
  <si>
    <t>Vacancy Sensor or Dimmer</t>
  </si>
  <si>
    <t>No</t>
  </si>
  <si>
    <t>All</t>
  </si>
  <si>
    <t>Exit Signs</t>
  </si>
  <si>
    <t>No retrofit opportunity</t>
  </si>
  <si>
    <t>Occupancy</t>
  </si>
  <si>
    <t>EPACT 2005</t>
  </si>
  <si>
    <t>Daylighting</t>
  </si>
  <si>
    <t>Personal Tuning</t>
  </si>
  <si>
    <t>Institutional Tuning</t>
  </si>
  <si>
    <t>Multiple Measures</t>
  </si>
  <si>
    <t>LED Track Lighting</t>
  </si>
  <si>
    <t>LED</t>
  </si>
  <si>
    <t>General Lighting</t>
  </si>
  <si>
    <t>Task Lighting</t>
  </si>
  <si>
    <t>N/A</t>
  </si>
  <si>
    <t>LED Task Lights</t>
  </si>
  <si>
    <t>Agricultural</t>
  </si>
  <si>
    <t>Induction</t>
  </si>
  <si>
    <t>LED Case Lights</t>
  </si>
  <si>
    <t>There may be specific codes and standards to prevent lighting technology changes</t>
  </si>
  <si>
    <t>There may be hospital specific codes and standards to prevent lighting technology changes</t>
  </si>
  <si>
    <t>University/College</t>
  </si>
  <si>
    <t>K-12</t>
  </si>
  <si>
    <t>Other</t>
  </si>
  <si>
    <t>Area Lighting</t>
  </si>
  <si>
    <t>Outdoor Parking Lighting (Pole Mounted)</t>
  </si>
  <si>
    <t>Photocell</t>
  </si>
  <si>
    <t>Photocontrol/Astronomical Time-switch, and Bi-level for pole mounted luminaires less than 24 feet high</t>
  </si>
  <si>
    <t>no control retro</t>
  </si>
  <si>
    <t>Public Area (Pathway and Landscape)</t>
  </si>
  <si>
    <t xml:space="preserve">Photocontrol/Astronomical Time-switch AND Bi-level </t>
  </si>
  <si>
    <t>Roadway</t>
  </si>
  <si>
    <t>Street Lights</t>
  </si>
  <si>
    <t>Traffic Signals</t>
  </si>
  <si>
    <t>Signs and Billboards</t>
  </si>
  <si>
    <t>LED Signs</t>
  </si>
  <si>
    <t>Applicability</t>
  </si>
  <si>
    <t>Lamp Replacement Savings Values</t>
  </si>
  <si>
    <t>*Lamp savings includes energy efficient ballasts were applicable</t>
  </si>
  <si>
    <t>Lamp Savings Description</t>
  </si>
  <si>
    <t>Existing Lamp</t>
  </si>
  <si>
    <t>Replacement Lamp</t>
  </si>
  <si>
    <t>Savings [%]</t>
  </si>
  <si>
    <t>Code and/or Standard</t>
  </si>
  <si>
    <t>Source Link 1</t>
  </si>
  <si>
    <t>Source Link 2</t>
  </si>
  <si>
    <t>CFL to LED</t>
  </si>
  <si>
    <t>Halogen to CFL</t>
  </si>
  <si>
    <t>Halogen to LED</t>
  </si>
  <si>
    <t>HID</t>
  </si>
  <si>
    <t>Average savings based on page 1 comparison</t>
  </si>
  <si>
    <t>http://assets.sylvania.com/assets/Documents/fl_pib13.efe83fca-6fea-4556-b7b2-9ccfe7107a3d.pdf</t>
  </si>
  <si>
    <t>Ceramic Metal Halide or Pulse Start Metal Halide</t>
  </si>
  <si>
    <t>LED Parking</t>
  </si>
  <si>
    <t>http://www.rabweb.com/upload/LED%20Quad%20Fold%20Brochure/flyer.pdf</t>
  </si>
  <si>
    <t>LED Outdoor</t>
  </si>
  <si>
    <t>LED High Bay</t>
  </si>
  <si>
    <t>http://synergylightingusa.com/wp-content/uploads/2011/07/Optec-LED-Lighting-Area-Light-C0820-Cut-Sheet-11-0705.pdf</t>
  </si>
  <si>
    <t>HID to CFL Wallpack</t>
  </si>
  <si>
    <t>CFL Wallpack</t>
  </si>
  <si>
    <t>http://www.nstar.com/docs3/application_forms/retro-codes.pdf</t>
  </si>
  <si>
    <t>High Pressure Sodium</t>
  </si>
  <si>
    <t>Incandescent to CFL</t>
  </si>
  <si>
    <t>CA Title 20</t>
  </si>
  <si>
    <t>http://www.energy.ca.gov/lightbulbs/lightbulb_faqs.html</t>
  </si>
  <si>
    <t>Incandescent to LED</t>
  </si>
  <si>
    <t>Demonstration Assessment of LED Freezer Case Lighting, PNNL for DOE 2009</t>
  </si>
  <si>
    <t>http://apps1.eere.energy.gov/buildings/publications/pdfs/ssl/gateway_freezer-case.pdf</t>
  </si>
  <si>
    <t>Linear Fluorescent T8</t>
  </si>
  <si>
    <t>High Efficiency T8 (Residential)</t>
  </si>
  <si>
    <t>http://www.nema.org/gov/energy/efficiency/upload/2012_Standards_for_General_Service_Flr_Lps.pdf#xml=http://search.nema.org/texis/search/pdfhi.txt?query=t12&amp;pr=nema.org&amp;prox=page&amp;rorder=500&amp;rprox=500&amp;rdfreq=500&amp;rwfreq=500&amp;rlead=500&amp;rdepth=0&amp;sufs=0&amp;order=r&amp;cq=&amp;id=4b4d833c61</t>
  </si>
  <si>
    <t>High Efficiency T8 / T5</t>
  </si>
  <si>
    <t>Based on average retrofit (page 12)</t>
  </si>
  <si>
    <t>Traffic Signals (Incandescent to LED)</t>
  </si>
  <si>
    <t>Incandescent Traffic Signal</t>
  </si>
  <si>
    <t>Led Traffic Signal</t>
  </si>
  <si>
    <t>Notes 2</t>
  </si>
  <si>
    <t>http://www1.eere.energy.gov/femp/pdfs/light_controls.pdf</t>
  </si>
  <si>
    <t>http://www.lrc.rpi.edu/resources/pdf/dorene1.pdf</t>
  </si>
  <si>
    <t>Control Replacement Savings Value</t>
  </si>
  <si>
    <t>Control Savings Classification</t>
  </si>
  <si>
    <t>Total Savings, %</t>
  </si>
  <si>
    <t>Sector Type</t>
  </si>
  <si>
    <t>Building Type</t>
  </si>
  <si>
    <t>Space Type</t>
  </si>
  <si>
    <t>Measure Types</t>
  </si>
  <si>
    <t>With Luminaire Retrofit?</t>
  </si>
  <si>
    <t>Source</t>
  </si>
  <si>
    <t>Measure Definition</t>
  </si>
  <si>
    <t>Pre &amp; Post Metering?</t>
  </si>
  <si>
    <t>Sample (n) Size</t>
  </si>
  <si>
    <t>Source: Leukos Vol 8 No 3, January 2012, p. 161-180, "Lighting Controls in Commercial Buildings,"
 Alison Williams, Barbara Atkinson PE, Karina Garbesi PhD, Erik Page PE, and Francis Rubinstein FIES</t>
  </si>
  <si>
    <t>All Observed / Not Specified</t>
  </si>
  <si>
    <t>Occupancy sensors, time clocks, energy management system</t>
  </si>
  <si>
    <t>Williams, et al, 2012</t>
  </si>
  <si>
    <t>Adjustment of light levels  according to the presence of occupants</t>
  </si>
  <si>
    <t>Non-Residential</t>
  </si>
  <si>
    <t>Office</t>
  </si>
  <si>
    <t>Not specified</t>
  </si>
  <si>
    <t>Both Pre &amp; Post</t>
  </si>
  <si>
    <t>Warehouse</t>
  </si>
  <si>
    <t>small sample size</t>
  </si>
  <si>
    <t>Lodging</t>
  </si>
  <si>
    <t>Education</t>
  </si>
  <si>
    <t>-</t>
  </si>
  <si>
    <t>Retail (other than mall)</t>
  </si>
  <si>
    <t>Healthcare inpatient</t>
  </si>
  <si>
    <t>Public assembly</t>
  </si>
  <si>
    <t>Healthcare outpatient</t>
  </si>
  <si>
    <t>Open interior office</t>
  </si>
  <si>
    <t>ONLY: Occupancy sensors</t>
  </si>
  <si>
    <t>Lighting Controls For Offices and Public Buildings, December 2000</t>
  </si>
  <si>
    <t>ONLY: Timeclock / Schedule</t>
  </si>
  <si>
    <t>Federal GSA office building, San Francisco, CA. Basline of wall switches.</t>
  </si>
  <si>
    <t>Varied</t>
  </si>
  <si>
    <t>Break Room</t>
  </si>
  <si>
    <t>Averaged four different shut-off settings (5, 10, 15, 20 minutes)</t>
  </si>
  <si>
    <t>Classroom</t>
  </si>
  <si>
    <t>Conference Room</t>
  </si>
  <si>
    <t>Private Office</t>
  </si>
  <si>
    <t>Restroom</t>
  </si>
  <si>
    <t>Photosensors, time clocks</t>
  </si>
  <si>
    <t>Adjustment of light levels automatically in response to the presence of natural light</t>
  </si>
  <si>
    <t>Open perimeter office</t>
  </si>
  <si>
    <t>ONLY: Automatic Daylighting</t>
  </si>
  <si>
    <t>Personal or Task Tuning</t>
  </si>
  <si>
    <t>Dimmers, wireless on-off switches, bi-level switches, computer- based controls, pre-set scene selection</t>
  </si>
  <si>
    <t>Adjustment of individual light levels by occupants according to their personal preferences; applies, for example, to private offices, workstation-specific lighting in open-plan offices, and classrooms</t>
  </si>
  <si>
    <t>Dimmable ballasts, on-off or dimmer switches for non- personal lighting</t>
  </si>
  <si>
    <t>(1) Adjustment of light levels through commissioning and technology to meet location- specific needs or building policies; or (2) provision of switches or controls for areas or groups of occupants; examples of the former include high-end trim dimming (also known as ballast tuning or reduction of ballast factor), task tuning, and lumen maintenance</t>
  </si>
  <si>
    <t>ONLY: Bi-level</t>
  </si>
  <si>
    <t>Parking</t>
  </si>
  <si>
    <t>Source from CLTC unavailable</t>
  </si>
  <si>
    <t>Open office</t>
  </si>
  <si>
    <t>ONLY: Occupancy sensors &amp; Daylight dimming</t>
  </si>
  <si>
    <t>Federal GSA office building, San Francisco, CA</t>
  </si>
  <si>
    <t>ONLY: Occupancy sensors &amp; Timeclock / Schedule</t>
  </si>
  <si>
    <t>Open &amp; closed office, conference rooms, corridors, transition spaces</t>
  </si>
  <si>
    <t>Rubinstein et al, September 2012</t>
  </si>
  <si>
    <t>Controls Source Details</t>
  </si>
  <si>
    <t>Abbreviated Citation</t>
  </si>
  <si>
    <t>Fulll Citation</t>
  </si>
  <si>
    <t>Link</t>
  </si>
  <si>
    <t>Population Description</t>
  </si>
  <si>
    <t>Circa Date</t>
  </si>
  <si>
    <t>http://www.ies.org/leukos/samples/1_Jan12.pdf</t>
  </si>
  <si>
    <t>Meta-study</t>
  </si>
  <si>
    <t>http://www.gsa.gov/graphics/pbs/GPG_RLS_Final_Report_508.pdf</t>
  </si>
  <si>
    <t>HID to LED</t>
  </si>
  <si>
    <t>HID Rated Watts</t>
  </si>
  <si>
    <t>HID Actual Watts</t>
  </si>
  <si>
    <t>LED Retro Rated</t>
  </si>
  <si>
    <t>LED Actual Watts</t>
  </si>
  <si>
    <t>Savings %</t>
  </si>
  <si>
    <t>AVG Saving %</t>
  </si>
  <si>
    <t>Linear Fluorescent to LED</t>
  </si>
  <si>
    <t>Lin. FL. Rated Watts</t>
  </si>
  <si>
    <t>Lin. FL. Actual Watts</t>
  </si>
  <si>
    <t xml:space="preserve">http://www.appliance-standards.org/national </t>
  </si>
  <si>
    <t>National Lighting Codes and Standards</t>
  </si>
  <si>
    <t>Product Covered</t>
  </si>
  <si>
    <t>Initial Legislation</t>
  </si>
  <si>
    <t>Last Standard Issued</t>
  </si>
  <si>
    <t>Effective Date</t>
  </si>
  <si>
    <t>Issued By</t>
  </si>
  <si>
    <t>Updated DOE Standard Due</t>
  </si>
  <si>
    <t>Potential Effective Date</t>
  </si>
  <si>
    <t>States With Standard</t>
  </si>
  <si>
    <t>Cadmus Comments</t>
  </si>
  <si>
    <t>Links</t>
  </si>
  <si>
    <t>Ceiling Fans and Ceiling Fan Light Kits</t>
  </si>
  <si>
    <t>Congress</t>
  </si>
  <si>
    <t xml:space="preserve">requires ceiling fan light kits contain compact fluorescent lamps (CFLs) in the package to fill all medium-base screw-in sockets. </t>
  </si>
  <si>
    <t>Compact Fluorescent Lamps</t>
  </si>
  <si>
    <t>Quality standards</t>
  </si>
  <si>
    <t>http://buildingsdatabook.eere.energy.gov/TableView.aspx?table=7.7.5</t>
  </si>
  <si>
    <t>Fluorescent Lamp Ballasts</t>
  </si>
  <si>
    <t>NAECA 1988</t>
  </si>
  <si>
    <t>The 2000 rule effectively requires electronic ballasts for new T12 fluorescent fixtures manufactured after July 1, 2005 and effectively requires electronic ballasts for both new T12 fixtures and replacement T12 ballasts after July 1, 2010.</t>
  </si>
  <si>
    <t>General Service Lamps: Incandescents plus CFLs, GSLED, GSOLED</t>
  </si>
  <si>
    <t>EISA 2007</t>
  </si>
  <si>
    <t>NV, CA</t>
  </si>
  <si>
    <t xml:space="preserve">CA is adopting EISA early. </t>
  </si>
  <si>
    <t>HID Lamps</t>
  </si>
  <si>
    <t>EPACT 1992</t>
  </si>
  <si>
    <t>No federal standards</t>
  </si>
  <si>
    <t>Illuminated Exit Signs</t>
  </si>
  <si>
    <t>5W or less per face; effectively requires LEDs</t>
  </si>
  <si>
    <t>Incandescent Reflector Lamps</t>
  </si>
  <si>
    <t>VT, DC, WA, MA, OR, MD, NY, CT</t>
  </si>
  <si>
    <t>Incandescent Reflector Lamps (includes certain BR and Other Exempted IRLs)</t>
  </si>
  <si>
    <t>Requires efficiency which can be met by halogen infrared lamps, average wattage drops from 75W to 55W</t>
  </si>
  <si>
    <t>Linear Tube Fluorescent Lamps</t>
  </si>
  <si>
    <t>requires the use of high performance T8 lamps</t>
  </si>
  <si>
    <t>Mercury Vapor Lamp Ballasts</t>
  </si>
  <si>
    <t>mercury vapor lamps shall not be manufacturered or imported</t>
  </si>
  <si>
    <t>Metal Halide Lamp Fixtures</t>
  </si>
  <si>
    <t>CA</t>
  </si>
  <si>
    <t>CEC adopted 2 tiered standard, Tier 1 effective 2010, Tier 2 effective 2015</t>
  </si>
  <si>
    <t>Portable Light Fixtures</t>
  </si>
  <si>
    <t>CA Congress</t>
  </si>
  <si>
    <t>Any portable light fixtures sold must be fluorescent, equpped with GU base, be an LED, or if a MSB the must be sold with CFLs or LED lamps prepackaged.</t>
  </si>
  <si>
    <t>Torchiere Lighting Fixtures</t>
  </si>
  <si>
    <t>Light is to automatically shutoff if more than 190W is used.</t>
  </si>
  <si>
    <t xml:space="preserve">Only LEDs currently meet CA's efficiency standards for traffic signals </t>
  </si>
  <si>
    <t>http://www.energy.ca.gov/2005publications/CEC-400-2005-035/CD_to-legislature_content/section06.pdf</t>
  </si>
  <si>
    <t>Interior/Exterior</t>
  </si>
  <si>
    <t>Building Sub-sector</t>
  </si>
  <si>
    <t>Space</t>
  </si>
  <si>
    <t>Requirement</t>
  </si>
  <si>
    <t>Required Controls</t>
  </si>
  <si>
    <t>Exceptions</t>
  </si>
  <si>
    <t>Section</t>
  </si>
  <si>
    <t>Note</t>
  </si>
  <si>
    <t>Interior</t>
  </si>
  <si>
    <t>Low-rise, High-rise</t>
  </si>
  <si>
    <t>single-family and multi-family</t>
  </si>
  <si>
    <t>Interior Support Spaces</t>
  </si>
  <si>
    <t>Bathroom</t>
  </si>
  <si>
    <t>A minimum of one high-efficacy luminaire. 
All other either high efficacy or controlled by vacancy sensors.</t>
  </si>
  <si>
    <t>Vacancy sensor for all low-efficacy luminaires.</t>
  </si>
  <si>
    <t>150.0(K)</t>
  </si>
  <si>
    <t xml:space="preserve">Residential </t>
  </si>
  <si>
    <t xml:space="preserve">Laundry rooms, Utility rooms. </t>
  </si>
  <si>
    <t>All have to be either high efficacy or controlled by vacancy sensors.</t>
  </si>
  <si>
    <t>Vacancy sensor for all low- efficacy luminaires.</t>
  </si>
  <si>
    <t>Interior Living Spaces</t>
  </si>
  <si>
    <t>Kitchen</t>
  </si>
  <si>
    <t>50% of total rated wattage has to be high-efficacy.
If all lighting in the kitchen is controlled by vacancy sensors or dimmers: 
In d.u.s smaller than 2500 s.f. exclude 50 watts from the req above.
In d.u. larger than 2500 s.f. exclude 100 watts  from the req above.</t>
  </si>
  <si>
    <t>Vacancy sensor or dimmers for all low-efficacy</t>
  </si>
  <si>
    <t>Bedroom, Living room, Dining Room, etc</t>
  </si>
  <si>
    <t>All have to be either high efficacy or controlled by either vacancy sensors or dimmers.</t>
  </si>
  <si>
    <t>Vacancy sensor or dimmers for low-efficacy lighting.</t>
  </si>
  <si>
    <t>Low-rise</t>
  </si>
  <si>
    <t>multi-family</t>
  </si>
  <si>
    <t>General Lighting for Lobbies, Corridors, and stairwells</t>
  </si>
  <si>
    <t>common areas, If less than 20% of the total buildging floor area:</t>
  </si>
  <si>
    <t xml:space="preserve"> All has to be high-efficacy or controlled by occ sensor.</t>
  </si>
  <si>
    <t>Occupancy sensor for all low- efficacy luminaires.</t>
  </si>
  <si>
    <t>150.0(K)12</t>
  </si>
  <si>
    <t xml:space="preserve">common areas , If more than 20% of the floor area: </t>
  </si>
  <si>
    <t>Corridors and stairwells, have to have occ sensors to reduce power down to 50%. Follow non-res lighting requirements for the rest.</t>
  </si>
  <si>
    <t>Bi-level for corridor and stairwells.</t>
  </si>
  <si>
    <t>High-rise</t>
  </si>
  <si>
    <t>Common Areas</t>
  </si>
  <si>
    <t>Common areas -  except lobbies, corridors, and stairwells</t>
  </si>
  <si>
    <t>Meet applicable non-res interior reqs.</t>
  </si>
  <si>
    <t>General Lighting for Lobbies, Corridors, and Stairwells</t>
  </si>
  <si>
    <t>Stairwells and common area corridors</t>
  </si>
  <si>
    <t>Occupant Sensing controls to reduce lighting power by at least 50% when unoccupied, no shut-off req</t>
  </si>
  <si>
    <t>Bi-level only, no shut-off</t>
  </si>
  <si>
    <t>In corridors and stairwells in which the installed lighting power is 80
percent or less of the value allowed under the Area Category Method, occupant sensing controls shall reduce power by at least 40 percent.</t>
  </si>
  <si>
    <t>130.1(c)7A</t>
  </si>
  <si>
    <t>Garage</t>
  </si>
  <si>
    <t>Garage with less than 8 cars</t>
  </si>
  <si>
    <t>Garages with more than 8 cars</t>
  </si>
  <si>
    <t>Meet applicable non-res outdoor lighting requirements.</t>
  </si>
  <si>
    <t>Garages</t>
  </si>
  <si>
    <t>General lighting shall have one control step between 20% and 50% of design lighting power; no shut-off
AND
parking garage with combined total of 36 s.f. or more glazing or opening, luminaires in primary and secondary sidelit zones shall be controls by automatic daylighting controls</t>
  </si>
  <si>
    <t>Bi-level and Daylighting (for primary and secondary sidelit zones)</t>
  </si>
  <si>
    <t>Same as Non-res Interior Garage requirements</t>
  </si>
  <si>
    <t>Single-family</t>
  </si>
  <si>
    <t>Exterior lighting</t>
  </si>
  <si>
    <t>All permanently mounted luminaires have to be high efficacy or can be low-efficacy if controlled by on/off and motion sensor, and time-clock.</t>
  </si>
  <si>
    <t>On-off, and Motion sensor, and time-clock for low efficacy lighting.</t>
  </si>
  <si>
    <t>private patios, entrances, balconies, and porches</t>
  </si>
  <si>
    <r>
      <t xml:space="preserve">Meet outdoor lighting for single family requirements, </t>
    </r>
    <r>
      <rPr>
        <sz val="11"/>
        <color rgb="FFFF0000"/>
        <rFont val="Calibri"/>
        <family val="2"/>
      </rPr>
      <t>or non-res outdoor lighting requirements.</t>
    </r>
  </si>
  <si>
    <r>
      <t xml:space="preserve">On-off, and Motion sensor, and time-clock for low efficacy lighting OR
</t>
    </r>
    <r>
      <rPr>
        <sz val="11"/>
        <color rgb="FFFF0000"/>
        <rFont val="Calibri"/>
        <family val="2"/>
      </rPr>
      <t>Photocontrol or Astronomical time-switch and Bi-level</t>
    </r>
  </si>
  <si>
    <t>Parking lots and Carports</t>
  </si>
  <si>
    <t>residential parking lots and carports with less than eight vehicles per site</t>
  </si>
  <si>
    <r>
      <t>Meet outdoor lighting for single family requirements</t>
    </r>
    <r>
      <rPr>
        <sz val="11"/>
        <color rgb="FFFF0000"/>
        <rFont val="Calibri"/>
        <family val="2"/>
      </rPr>
      <t>, or non-res outdoor lighting requirements.</t>
    </r>
  </si>
  <si>
    <t>residential parking lots and carports with more than eight vehicles per site</t>
  </si>
  <si>
    <t>Photocontrol or Astronomical time-switch and Bi-level</t>
  </si>
  <si>
    <t>parking lots, carports</t>
  </si>
  <si>
    <t>Meet applicable non-res exterior reqs.</t>
  </si>
  <si>
    <t>Hotel/motel</t>
  </si>
  <si>
    <t>Guestroom</t>
  </si>
  <si>
    <t>Guestrooms</t>
  </si>
  <si>
    <t>captive card key controls, occupancy sensing controls, or automatic controls such that, no longer than 30 minutes after the guest room has been vacated, lighting power is switched off.</t>
  </si>
  <si>
    <t>Occupant sensing controls</t>
  </si>
  <si>
    <t>One high efficacy luminaire</t>
  </si>
  <si>
    <t>130.1( C)</t>
  </si>
  <si>
    <t>Does not apply to portable fixtures since T-24 only regulates permanently installed equipment</t>
  </si>
  <si>
    <t>All except classrooms</t>
  </si>
  <si>
    <t>Enclosed Area 100 s.f. or larger with connected lighting load exceeding 0.5 watts per s.f.,</t>
  </si>
  <si>
    <t xml:space="preserve">Required control steps and dimming in accordance with TABLE 130.1-A; and one of the following:
A. manual dimming
B. lumen maintenance
C. tuning
D. daylighting controls (if in daylit zones)
E. demand responsive lighting controls
</t>
  </si>
  <si>
    <t>Multi-level lighting controls such as: 
A. manual dimming
B. lumen maintenance
C. tuning
D. daylighting controls
E. demand responsive lighting controls</t>
  </si>
  <si>
    <t>1) An area enclosed by ceiling height partitions that has only one luminaire with no more than two lamps
2)class rooms with a connected lighting load of 0.7 watts per s.f. or less</t>
  </si>
  <si>
    <t>130.1(b)</t>
  </si>
  <si>
    <t>No multi-level lighting controls requirement for classrooms, except when they have a connected general lighting load of 0.7 watts per s.f. and less</t>
  </si>
  <si>
    <t>Classrooms</t>
  </si>
  <si>
    <t>Classrooms with a connected general lighting load of 0.7 watts per s.f. and less</t>
  </si>
  <si>
    <t>shall have at least one controls step between 30-70% of full rated power</t>
  </si>
  <si>
    <t>Bi-level</t>
  </si>
  <si>
    <t>Exception to section 130.1(b)</t>
  </si>
  <si>
    <t>University/college</t>
  </si>
  <si>
    <t>Medium Bay for Classroom</t>
  </si>
  <si>
    <t>All, except Offices 250 square feet or smaller, multipurpose rooms of less than 1,000 square feet, classrooms of any size, and conference rooms of any size and except stairwells and common area corridors in high-rise residential buildings and parking garages, parking areas, and loading/unloading areas.</t>
  </si>
  <si>
    <t>Shut-off controls</t>
  </si>
  <si>
    <t>Space in use 24-hour a day, or exit lighting in office buildings (up tp 0.05 watts per s.f. that is designated as emergency egress area on the plans)</t>
  </si>
  <si>
    <t>Note that shut-off controls include but are not limited to occupant sensing controls. Shut-off controls are occupant sensing control, automatic time-switch control, signal from anotherbuilding system, or other control capable of automatically shutting OFF all of the lighting when the space is typically unoccupied</t>
  </si>
  <si>
    <t>Small commercial, large/medium office, healthcare, university/college, K-12</t>
  </si>
  <si>
    <t>General lighting</t>
  </si>
  <si>
    <t>Offices 250 square feet or smaller, multipurpose rooms of less than 1,000 square feet, classrooms of any size, and conference rooms of any size</t>
  </si>
  <si>
    <t>Occupant Sensing controls to shut-off ALL lighting</t>
  </si>
  <si>
    <t>Occupant Sensing controls</t>
  </si>
  <si>
    <t>Warehouses</t>
  </si>
  <si>
    <t>low/medium/high bay lighting</t>
  </si>
  <si>
    <t>Warehouses (aisle ways and open areas)</t>
  </si>
  <si>
    <t>Shut-off and Occupant Sensing controls to reduce lighting power by at least 50% when unoccupied</t>
  </si>
  <si>
    <t>Shut-off and Bi-level</t>
  </si>
  <si>
    <t>where installed lighting power is 80% ore less the value allows, in which case control shall reduce by at least 40%.</t>
  </si>
  <si>
    <t>Libraries</t>
  </si>
  <si>
    <t>Library book stack aisles ≥ 10 ft in length and accessible from only one end and those ≥ 20 ft in length and accessible from both ends</t>
  </si>
  <si>
    <t>All, except residential and hotel/motel</t>
  </si>
  <si>
    <t>General lighting for corridors and stairwells</t>
  </si>
  <si>
    <t>corridors and stairwells</t>
  </si>
  <si>
    <t>ceiling/perimeter mounted general lighting</t>
  </si>
  <si>
    <t>General lighting shall have one control step between 20% and 50% of design lighting power; no shut-off</t>
  </si>
  <si>
    <t>Metal halide luminaires with a lamp plus ballast mean system efficacy of greater than 75 lumens per watt, one control step between 20% and 60%</t>
  </si>
  <si>
    <t>130.1( C)7B</t>
  </si>
  <si>
    <t>Interior areas of parking garages are classified as indoor lighting for compliance with Section 130.1(c)7B.
Parking areas on the roof of a parking structure are classified as outdoor hardscape and shall comply with the
applicable provisions in Section 130.2.</t>
  </si>
  <si>
    <t>parking garage with combined total of 36 s.f. or more glazing or opening, luminaires in primary and secondary sidelit zones shall be controls by automatic daylighting controls</t>
  </si>
  <si>
    <t>Luminaires located in the daylight transition zone and luminaires for only dedicated ramps. Daylight transition zone and dedicated ramps are defined in Section 100.1. The total combined general lighting power in the primary sidelit daylight
zones is less than 60 watts.</t>
  </si>
  <si>
    <t>130.1(d)</t>
  </si>
  <si>
    <t>Parking Areas, Loading and unloading</t>
  </si>
  <si>
    <t>Buildings larger than 10,000 s.f.</t>
  </si>
  <si>
    <t>Respond to demand responsive signal to reduce total lighting power by a minimum of 15% below total installed lighting power
Lighting is reduced in a manner consistent with requirements for uniform illumination levels (listed
in Table 130.1-A</t>
  </si>
  <si>
    <t>Demand responsive controls</t>
  </si>
  <si>
    <t>130.1( e)</t>
  </si>
  <si>
    <t>Warehouses, Manufacturing,  non-food retail, agricultural, large/medium grocery</t>
  </si>
  <si>
    <t>Buildings larger than 5,000 s.f. in climate zones 2 through 15</t>
  </si>
  <si>
    <t>Conditioned and unconditioned enclosed spaces directly under the roof with ceiling heights greater than 15 ft, 75% of the floor plans shall be in daylight zones</t>
  </si>
  <si>
    <t>1) Auditoriums, churches, movie theaters, museums, and refrigerated warehouses.
2) In buildings with unfinished interiors, future enclosed spaces for which there are plans to have: A. A floor area of less than or equal to 5,000 square feet; or
B. Ceiling heights of less than or equal to 15 feet.
3) Enclosed spaces having a designed general lighting system with a lighting power density less than 0.5 watts per square foot.</t>
  </si>
  <si>
    <t>140.3( c)</t>
  </si>
  <si>
    <t>All (Outdoor parking, covered parking, perimeter lighitng, public area)</t>
  </si>
  <si>
    <t>All installed lighting shall be controlled by a photocontrol or astronomical time-switch to turn lights OFF when daylight is available.</t>
  </si>
  <si>
    <t>Photocontrol or Astronomical time-switch</t>
  </si>
  <si>
    <t>1) outdoor lighting not permitted to be turned off by a health or life safety statute.
2) lighting in tunnels req'd to be illuminated 24 hrs/day</t>
  </si>
  <si>
    <t>130.2(C )</t>
  </si>
  <si>
    <t>Interior areas of parking garages are classified as indoor lighting for compliance with Section 130.1(c)7B. Parking areas on the roof of a parking structure are classified as outdoor hardscape and shall comply with the
applicable provisions in Section 130.2.</t>
  </si>
  <si>
    <t>Perimeter (Wall Packs) and Outdoor Parking Lighting (Pole Mounted) and Public Area (Pathway and Landscape)</t>
  </si>
  <si>
    <t>Perimeter (wall packs), parking lots with single-row pole arrangements  (with an approximate row-to-row spacing of 60 feet), public area lighting Except Outdoor Sales Frontage, Outdoor Sales Lots, and Outdoor Sales Canopies, Building Facade, Ornamental Hardscape and Outdoor Dining lighting,</t>
  </si>
  <si>
    <r>
      <t xml:space="preserve">All installed lighting where the bottom of luminaire is mounted 24 feet or less above ground, shall be controlled with motion sensor or other control system that automatically reduces lighting power by at least 40% but not exceeding 80%,  or provide </t>
    </r>
    <r>
      <rPr>
        <sz val="11"/>
        <color rgb="FFFF0000"/>
        <rFont val="Calibri"/>
        <family val="2"/>
      </rPr>
      <t>continuous dimming from 40% through 80%</t>
    </r>
    <r>
      <rPr>
        <sz val="11"/>
        <color theme="1"/>
        <rFont val="Calibri"/>
        <family val="2"/>
      </rPr>
      <t>.</t>
    </r>
  </si>
  <si>
    <r>
      <t xml:space="preserve">Outdoor lighting, where luminaire rated wattage is determined in accordance with Section 130.0(c), and which meet one of the following conditions:
</t>
    </r>
    <r>
      <rPr>
        <sz val="11"/>
        <color rgb="FFFF0000"/>
        <rFont val="Calibri"/>
        <family val="2"/>
      </rPr>
      <t>A. Pole-mounted luminaires each with a maximum rated wattage of 75 watts; or
B. Non-pole mounted luminaires with a maximum rated wattage of 30 watts each; or
C. Linear lighting with a maximum wattage of 4 watts per linear foot of luminaire</t>
    </r>
    <r>
      <rPr>
        <sz val="11"/>
        <color theme="1"/>
        <rFont val="Calibri"/>
        <family val="2"/>
      </rPr>
      <t xml:space="preserve">
4) Applications listed as Exceptions to Section 140.7(a): when more than 50 percent of the light from a luminaire falls within one or more of the following applications:
1. Temporary outdoor lighting.
2. Lighting required and regulated by the Federal Aviation Administration, and the Coast Guard.
3. Lighting for public streets, roadways, highways, and traffic signage lighting, including lighting for driveway entrances occurring in the public right-of-way.
4. Lighting for sports and athletic fields, and children’s playgrounds.
5. Lighting for industrial sites, including but not limited to, rail yards, maritime shipyards and docks, piers and marinas, chemical and petroleum processing plants, and aviation facilities.
6. Lighting specifically for Automated Teller Machines
7. Lighting of public monuments.
8. Lighting of signs
9. Lighting of tunnels, bridges, stairs, wheelchair elevator lifts for American with Disabilities Act (ADA)
compliance, and ramps that are other than parking garage ramps.
10. Landscape lighting.
11. In theme parks: outdoor lighting only for themes and special effects.
12. Lighting for outdoor theatrical and other outdoor live performances
13. Outdoor lighting systems for qualified historic buildings</t>
    </r>
  </si>
  <si>
    <t xml:space="preserve">Based onCODES AND STANDARDS ENHANCEMENT INITIATIVE (CASE) Outdoor Lighting and Controls 2013 California Building Energy Efficiency Standards California Utilities Statewide Codes and Standards Team October 2011: bi-level controls with sensors is only technologically possible for single-row pole arrangements  (with an approximate row-to-row spacing of 60 feet). The majority of parking lot poles that meet the criteria will utilize 20 foot poles, and may have a 3 or 4 foot concrete exposed foundation. This results in the maximum viable pole height for lighting controls set at 24 feet. It is not possible for typical 120 by100 (Every other row arrangement) and 60 by 100 (every row arrangement). </t>
  </si>
  <si>
    <t>Outdoor Sales Frontage, Outdoor Sales Lots, and Outdoor Sales Canopies</t>
  </si>
  <si>
    <t>A. A part-night outdoor lighting control or
B. Motion sensors capable of automatically reducing lighting power by at least 40 percent but not exceeding 80
percent, and which have auto-ON functionality.</t>
  </si>
  <si>
    <t>part-night controls or motion sensor bi-level</t>
  </si>
  <si>
    <t>Mostly addresses suto-dealerships, Part-Night Outdoor Lighting Control is a time or occupancy-based lighting control device or system that is programmed to reduce or turn off the lighting power to an outdoor luminaire for a portion of the night.</t>
  </si>
  <si>
    <t>Building Facade, Ornamental Hardscape and Outdoor Dining lighting,</t>
  </si>
  <si>
    <t>A. A part-night outdoor lighting control 
B. Motion sensors capable of automatically reducing lighting power by at least 40 percent but not exceeding 80
percent, and which have auto-ON functionality; or
C. A centralized time-based zone lighting control capable of automatically reducing lighting power by at least
50 percent.
"wall packs" where the bottom of the luminaire is mounted 24 feet or less above the ground shall comply with the applicable (bi-level) requirements in Section 130.2(c)3.</t>
  </si>
  <si>
    <t>part-night controls, motion sensor bi-level, or time-based bi-level.</t>
  </si>
  <si>
    <t>Part-Night Outdoor Lighting Control is a time or occupancy-based lighting control device or system that is programmed to reduce or turn off the lighting power to an outdoor luminaire for a portion of the night.</t>
  </si>
  <si>
    <t xml:space="preserve">Miscellaneous </t>
  </si>
  <si>
    <t>Average Hours of Lighting Use by Room Type</t>
  </si>
  <si>
    <t>Room Type</t>
  </si>
  <si>
    <t>Hrs of Operation</t>
  </si>
  <si>
    <t>Annual Use/Room (kWh/yr)</t>
  </si>
  <si>
    <t>Rank</t>
  </si>
  <si>
    <t>Bedroom</t>
  </si>
  <si>
    <t>Closet</t>
  </si>
  <si>
    <t>Dining Room</t>
  </si>
  <si>
    <t>Family</t>
  </si>
  <si>
    <t>Hall</t>
  </si>
  <si>
    <t>Living Room</t>
  </si>
  <si>
    <t>Outdoor</t>
  </si>
  <si>
    <t>Utility Room</t>
  </si>
  <si>
    <t>Total</t>
  </si>
  <si>
    <t>weighted ave hours of use</t>
  </si>
  <si>
    <t>Source: Table 5-9, p 40. U.S. Lighting Market CharacterizationVolume I: National Lighting Inventory and Energy Consumption Estimate Final ReportPrepared by Navigant Consulting, Inc.for U.S. Department of Energy Office of Energy Efficiency and Renewable En</t>
  </si>
  <si>
    <t>interior</t>
  </si>
  <si>
    <t>2008 DEER Update - Summary of Revisions December 2008</t>
  </si>
  <si>
    <t>Residential Lighting HOU</t>
  </si>
  <si>
    <t>page 15</t>
  </si>
  <si>
    <t>KEMA socket inventory 08-09</t>
  </si>
  <si>
    <t>sum of total wattage consumed by various lamps in different socket types; interior only</t>
  </si>
  <si>
    <t>Medium Screw-based</t>
  </si>
  <si>
    <t>Pin-based</t>
  </si>
  <si>
    <t>Small Screw-based</t>
  </si>
  <si>
    <t>Unknown</t>
  </si>
  <si>
    <t>Fluorescent</t>
  </si>
  <si>
    <t>High-intensity Discharge</t>
  </si>
  <si>
    <t>Socket Empty</t>
  </si>
  <si>
    <t>% breakdown by wattage</t>
  </si>
  <si>
    <t>interior vs exterior split by wattage</t>
  </si>
  <si>
    <t>%</t>
  </si>
  <si>
    <t>exterior wattage</t>
  </si>
  <si>
    <t>% exterior by wattage</t>
  </si>
  <si>
    <t>interior lighting by wattage</t>
  </si>
  <si>
    <t>Values</t>
  </si>
  <si>
    <t>Sum of Total wattage</t>
  </si>
  <si>
    <t>Sum of Socket Count</t>
  </si>
  <si>
    <t>Average Wattage/Socket</t>
  </si>
  <si>
    <t>Residential Lighting: Shedding Light on the Remaining Savings Potential in CA</t>
  </si>
  <si>
    <t>KEMA report</t>
  </si>
  <si>
    <t>Residential Space</t>
  </si>
  <si>
    <t>Luminaire</t>
  </si>
  <si>
    <t>Controls</t>
  </si>
  <si>
    <t>50% of total rated wattage has to be high-efficacy. 50 watts (in d.u.s smaller than 2500 s.f.) and 100 watts in d.u.s larger than 2500 s.f.) can be excluded if all lighting in the kitchen is controlled by vacancy sensors or dimmers.</t>
  </si>
  <si>
    <t>No requirement, unless you want to take exception to the high-efficacy requirement, in which case all lighting has to be controlled by either vacancy sensor or dimmers.</t>
  </si>
  <si>
    <t>A minimum of one high-efficacy luminaire. All other have to be either high efficacy or controlled by vacancy sensors.</t>
  </si>
  <si>
    <t>Vacancy sensor for all non-high efficacy luminaires.</t>
  </si>
  <si>
    <t>Garage, Laundry rooms, Utility rooms</t>
  </si>
  <si>
    <t>All other indoor</t>
  </si>
  <si>
    <t>Vacancy sensor or dimmers for non-high efficacy lighting.</t>
  </si>
  <si>
    <t>Outdoor lighting – single family</t>
  </si>
  <si>
    <t>All permanently mounted luminaires have to be either high efficacy or controlled by motion sensor or time-clock.</t>
  </si>
  <si>
    <t>Motion sensor or time-clock for non-high efficacy lighting.</t>
  </si>
  <si>
    <t>Outdoor lighting – multi-family low-rise (including carports and parking lots with less than 8 cars)</t>
  </si>
  <si>
    <t>Meet outdoor lighting for single family requirements, or non-res outdoor lighting requirements.</t>
  </si>
  <si>
    <t>Outdoor lighting – multi-family low-rise carports, parking lots, and garages with more than 8 cars</t>
  </si>
  <si>
    <t>Interior common areas of multi-family low-rise</t>
  </si>
  <si>
    <t>If less than 20% of the total buildging floor area, all has to be high-efficacy or controlled by occ sensor.</t>
  </si>
  <si>
    <t>If more than 20% of the floor area, follow non-res lighting requirements. And for corridors and stairwells, have to have occ sensors to reduce power down to 50%.</t>
  </si>
  <si>
    <t>Retail</t>
  </si>
  <si>
    <t>School</t>
  </si>
  <si>
    <t>Grocery</t>
  </si>
  <si>
    <t>Restaurant</t>
  </si>
  <si>
    <t>Health</t>
  </si>
  <si>
    <t>Assembly</t>
  </si>
  <si>
    <t>Variable</t>
  </si>
  <si>
    <t>Measure LPD Delta</t>
  </si>
  <si>
    <t>Large Off</t>
  </si>
  <si>
    <t>Medium Off</t>
  </si>
  <si>
    <t>Small Off</t>
  </si>
  <si>
    <t>Big Box</t>
  </si>
  <si>
    <t>Small Box</t>
  </si>
  <si>
    <t>High End</t>
  </si>
  <si>
    <t>Anchor</t>
  </si>
  <si>
    <t>University</t>
  </si>
  <si>
    <t>Supermarket</t>
  </si>
  <si>
    <t>MIniMart</t>
  </si>
  <si>
    <t>Hospital</t>
  </si>
  <si>
    <t>OtherHealth</t>
  </si>
  <si>
    <t>Hours</t>
  </si>
  <si>
    <t>Hours/Day</t>
  </si>
  <si>
    <t>Mean LPD for Existing Stock</t>
  </si>
  <si>
    <t>Target LPD</t>
  </si>
  <si>
    <t>Weighted ILPD above Target</t>
  </si>
  <si>
    <t>Baseline Fraction Below Target</t>
  </si>
  <si>
    <t>CBSA 2009 Table C-IL2</t>
  </si>
  <si>
    <t>Indoor Lighting: Watts Per Square Foot By Building Floor Area</t>
  </si>
  <si>
    <t>Floor Area</t>
  </si>
  <si>
    <t>Dry Good Retail</t>
  </si>
  <si>
    <t>Hotel</t>
  </si>
  <si>
    <t>Other Health</t>
  </si>
  <si>
    <t>&lt;5,000 SF</t>
  </si>
  <si>
    <t>5,000-19,999SF</t>
  </si>
  <si>
    <t>20,000-49,999SF</t>
  </si>
  <si>
    <t>50,000-99,999 SF</t>
  </si>
  <si>
    <t>100,000-499,999SF</t>
  </si>
  <si>
    <t>&gt;=500,000 SF</t>
  </si>
  <si>
    <t>From Northwest Commercial Building Stock Assessment from December 21, 2009</t>
  </si>
  <si>
    <t>Percent of Regional Indoor Lighting Wattage</t>
  </si>
  <si>
    <t>Table C-IL12</t>
  </si>
  <si>
    <t>Existing LPD</t>
  </si>
  <si>
    <t>Miscellaneous</t>
  </si>
  <si>
    <t>Dry Goods Retail</t>
  </si>
  <si>
    <t>Hotel/Motel</t>
  </si>
  <si>
    <t>Vacant</t>
  </si>
  <si>
    <t>Electronic Ballast?</t>
  </si>
  <si>
    <t>Table C-IL22</t>
  </si>
  <si>
    <t>Neon</t>
  </si>
  <si>
    <t>Percent of regional indoor HID wattage</t>
  </si>
  <si>
    <t>CBSA 2009 Table C-IL23 to IL29</t>
  </si>
  <si>
    <t>Control/Timeclock</t>
  </si>
  <si>
    <t>Control/EMCS</t>
  </si>
  <si>
    <t>CBSA 2009 Table C-OL2</t>
  </si>
  <si>
    <t>Percent of Regional Outdoor Lighting Wattage</t>
  </si>
  <si>
    <t>Outdoor Lighting by Lamp Type</t>
  </si>
  <si>
    <t>6th power plan (6pp) data source - sign of times trade magazine</t>
  </si>
  <si>
    <t>From PNL SSL Niche Report</t>
  </si>
  <si>
    <t>Energy Savings Estimates of Light Emitting Diodes</t>
  </si>
  <si>
    <t>in Niche Lighting Applications</t>
  </si>
  <si>
    <t>installed</t>
  </si>
  <si>
    <t>Prepared for:</t>
  </si>
  <si>
    <t>neon</t>
  </si>
  <si>
    <t>Building Technologies Program</t>
  </si>
  <si>
    <t>fluorescent</t>
  </si>
  <si>
    <t>Office of Energy Efficiency and Renewable Energy</t>
  </si>
  <si>
    <t>U.S. Department of Energy</t>
  </si>
  <si>
    <t>Prepared by:</t>
  </si>
  <si>
    <t>Navigant Consulting Inc.</t>
  </si>
  <si>
    <t>1801 K Street, NW Suite 500</t>
  </si>
  <si>
    <t>Washington DC, 20006</t>
  </si>
  <si>
    <t>Released: September 2008</t>
  </si>
  <si>
    <t>6ppl roadway</t>
  </si>
  <si>
    <t>Revised: October 2008</t>
  </si>
  <si>
    <t>MH</t>
  </si>
  <si>
    <t>MV</t>
  </si>
  <si>
    <t>Street light HOU</t>
  </si>
  <si>
    <t>6th power plan data sourced from a product demo</t>
  </si>
  <si>
    <t>6pp parking spreadsheet</t>
  </si>
  <si>
    <t xml:space="preserve">CBSA New Building Baseline </t>
  </si>
  <si>
    <t>Table 5.13: Exterior Light Technology (% of Exterior Watts)</t>
  </si>
  <si>
    <t>Exterior Lamp Type</t>
  </si>
  <si>
    <t>ID</t>
  </si>
  <si>
    <t>MT</t>
  </si>
  <si>
    <t>OR</t>
  </si>
  <si>
    <t>WA</t>
  </si>
  <si>
    <t xml:space="preserve">CFL  </t>
  </si>
  <si>
    <t xml:space="preserve">LF </t>
  </si>
  <si>
    <t>exterior parking</t>
  </si>
  <si>
    <t xml:space="preserve">HID-CMH  </t>
  </si>
  <si>
    <t xml:space="preserve">HID-HPS  </t>
  </si>
  <si>
    <t>others</t>
  </si>
  <si>
    <t xml:space="preserve">HID-MH  </t>
  </si>
  <si>
    <t xml:space="preserve">INCANDESCENT  </t>
  </si>
  <si>
    <t xml:space="preserve">LED,INDUCTION,UNK </t>
  </si>
  <si>
    <t xml:space="preserve">Total  </t>
  </si>
  <si>
    <t>from 6pp parking workbook</t>
  </si>
  <si>
    <t>Annual Savings per 1000 SF in kWh</t>
  </si>
  <si>
    <t>Life</t>
  </si>
  <si>
    <t>Cost per 1000 SF</t>
  </si>
  <si>
    <t>w/sf Saved</t>
  </si>
  <si>
    <t>Life Hours</t>
  </si>
  <si>
    <t>Covered Parking Regional Average - NR</t>
  </si>
  <si>
    <t>Surface Parking Regional Average - NR</t>
  </si>
  <si>
    <t>Covered Parking Regional Average - New</t>
  </si>
  <si>
    <t>Surface Parking Regional Average - New</t>
  </si>
  <si>
    <t>Annual Savings in kWh per fixture</t>
  </si>
  <si>
    <t>Cost</t>
  </si>
  <si>
    <t>Watts Saved</t>
  </si>
  <si>
    <t>POM Life</t>
  </si>
  <si>
    <t>Cost 1 ($)</t>
  </si>
  <si>
    <t xml:space="preserve">Period 1 </t>
  </si>
  <si>
    <t>Cost 2 ($)</t>
  </si>
  <si>
    <t>Period 2</t>
  </si>
  <si>
    <t>$/Normalized Delta Watt</t>
  </si>
  <si>
    <t>$/ First-Year kWh</t>
  </si>
  <si>
    <t>Bi-Level Dimming Watt Factor</t>
  </si>
  <si>
    <t>Bi-LEvel Dimming Hour Factor</t>
  </si>
  <si>
    <t>Percent Savings</t>
  </si>
  <si>
    <t>LED Garage Proxy</t>
  </si>
  <si>
    <t>Induction Garage Proxy</t>
  </si>
  <si>
    <t>LED Garage Proxy Bi-Level</t>
  </si>
  <si>
    <t>Source: 6th power plan parking lighting</t>
  </si>
  <si>
    <t>Induction Garage Proxy Bi-Level</t>
  </si>
  <si>
    <t>Garage Light Source Inputs New and Existing</t>
  </si>
  <si>
    <t>Source:  CBSA, NLI, CA study</t>
  </si>
  <si>
    <t>LSG Low Bay</t>
  </si>
  <si>
    <t>Light Source</t>
  </si>
  <si>
    <t>Existing</t>
  </si>
  <si>
    <t>New</t>
  </si>
  <si>
    <t>Fixture type</t>
  </si>
  <si>
    <t xml:space="preserve"> Percentage</t>
  </si>
  <si>
    <t>Cut-off</t>
  </si>
  <si>
    <t>Post top mount</t>
  </si>
  <si>
    <t>Wall or landscape</t>
  </si>
  <si>
    <t>Wall mount</t>
  </si>
  <si>
    <t>Pole mount</t>
  </si>
  <si>
    <t>Canopy</t>
  </si>
  <si>
    <t>Undefined</t>
  </si>
  <si>
    <t>Landscape</t>
  </si>
  <si>
    <t>6th power plan exterior lighting sheet</t>
  </si>
  <si>
    <t>Distribution of Hours</t>
  </si>
  <si>
    <t>watt fraction</t>
  </si>
  <si>
    <t>hours/year</t>
  </si>
  <si>
    <t>Façade and Perimeter</t>
  </si>
  <si>
    <t>Entrance &amp; Canopy</t>
  </si>
  <si>
    <t>Walkways and Area</t>
  </si>
  <si>
    <t>Outdoor Sales</t>
  </si>
  <si>
    <t>Signage</t>
  </si>
  <si>
    <t>LED Traffic Signal Survey Results, January 2005</t>
  </si>
  <si>
    <t>Traffic Signal Saturation</t>
  </si>
  <si>
    <t>CEC-400-2005-003</t>
  </si>
  <si>
    <t>http://www.energy.ca.gov/2005publications/CEC-400-2005-003/CEC-400-2005-003.PDF</t>
  </si>
  <si>
    <t>Electric Usage (GWh) by Building Type and End Use</t>
  </si>
  <si>
    <t xml:space="preserve">Building Type </t>
  </si>
  <si>
    <t xml:space="preserve">Heat </t>
  </si>
  <si>
    <t xml:space="preserve">Cool </t>
  </si>
  <si>
    <t xml:space="preserve">Vent. </t>
  </si>
  <si>
    <t xml:space="preserve">Refrig. </t>
  </si>
  <si>
    <t xml:space="preserve">WH </t>
  </si>
  <si>
    <t xml:space="preserve">Cook </t>
  </si>
  <si>
    <t xml:space="preserve">Int. Ltg. </t>
  </si>
  <si>
    <t xml:space="preserve">Ext. Ltg. </t>
  </si>
  <si>
    <t xml:space="preserve">Office Equip. </t>
  </si>
  <si>
    <t xml:space="preserve">Misc. </t>
  </si>
  <si>
    <t xml:space="preserve">Air Comp. </t>
  </si>
  <si>
    <t xml:space="preserve">Motors </t>
  </si>
  <si>
    <t xml:space="preserve">Proc. </t>
  </si>
  <si>
    <t>Total Electricity</t>
  </si>
  <si>
    <t xml:space="preserve">All Commercial </t>
  </si>
  <si>
    <t xml:space="preserve">Small Office </t>
  </si>
  <si>
    <t xml:space="preserve">Large Office </t>
  </si>
  <si>
    <t xml:space="preserve">Restaurant </t>
  </si>
  <si>
    <t xml:space="preserve">Retail </t>
  </si>
  <si>
    <t xml:space="preserve">Food Store </t>
  </si>
  <si>
    <t xml:space="preserve">Refrigerated Warehouse </t>
  </si>
  <si>
    <t xml:space="preserve">Unrefrigerated Warehouse </t>
  </si>
  <si>
    <t xml:space="preserve">School </t>
  </si>
  <si>
    <t xml:space="preserve">College </t>
  </si>
  <si>
    <t xml:space="preserve">Health </t>
  </si>
  <si>
    <t xml:space="preserve">Lodging </t>
  </si>
  <si>
    <t>Lighting</t>
  </si>
  <si>
    <t>Nonres Lighting Energy Consumption</t>
  </si>
  <si>
    <t>TWh/yr</t>
  </si>
  <si>
    <t>Signal</t>
  </si>
  <si>
    <t>classroom</t>
  </si>
  <si>
    <t>medium bay</t>
  </si>
  <si>
    <t>gym/cafeteria</t>
  </si>
  <si>
    <t>high bay</t>
  </si>
  <si>
    <t>Square Footage by Space Type for Education</t>
  </si>
  <si>
    <t>90.1R Space Type</t>
  </si>
  <si>
    <t>School-College/University</t>
  </si>
  <si>
    <t>School-Elementary</t>
  </si>
  <si>
    <t>School-High</t>
  </si>
  <si>
    <t>School-Middle</t>
  </si>
  <si>
    <t>Active storage</t>
  </si>
  <si>
    <t>Atrium - first three floors</t>
  </si>
  <si>
    <t>Audience/Seating Area</t>
  </si>
  <si>
    <t>Classroom/Lecture/Training</t>
  </si>
  <si>
    <t>Conference Meeting/Multipurpose</t>
  </si>
  <si>
    <t>Dining Area</t>
  </si>
  <si>
    <t>Dressing/Fitting Room</t>
  </si>
  <si>
    <t>Education Laboratory</t>
  </si>
  <si>
    <t>Exam/Treatment</t>
  </si>
  <si>
    <t>Fitness Area</t>
  </si>
  <si>
    <t>Food Preparation</t>
  </si>
  <si>
    <t>General exhibition</t>
  </si>
  <si>
    <t>Laundry-Washing</t>
  </si>
  <si>
    <t>Locker Room</t>
  </si>
  <si>
    <t>Lounge/Recreation</t>
  </si>
  <si>
    <t>Merchandising Sales Area</t>
  </si>
  <si>
    <t>Nurse station</t>
  </si>
  <si>
    <t>Office - enclosed</t>
  </si>
  <si>
    <t>Office - open plan</t>
  </si>
  <si>
    <t>Operating Room</t>
  </si>
  <si>
    <t>Patient Room</t>
  </si>
  <si>
    <t>Pharmacy</t>
  </si>
  <si>
    <t>Playing Area</t>
  </si>
  <si>
    <t>Reading Area</t>
  </si>
  <si>
    <t>Restrooms</t>
  </si>
  <si>
    <t>Stacks</t>
  </si>
  <si>
    <t>Workshop</t>
  </si>
  <si>
    <t>Square Footage by Space Type for Restaurant</t>
  </si>
  <si>
    <t>Dining-Bar Lounge/Leisure</t>
  </si>
  <si>
    <t>Dining-Cafe/Fast Food</t>
  </si>
  <si>
    <t>Dining-Family</t>
  </si>
  <si>
    <t>Electrical/Mechanical</t>
  </si>
  <si>
    <t>Lobby</t>
  </si>
  <si>
    <t>Stairway</t>
  </si>
  <si>
    <t>Square Footage by Space Type for Lodging</t>
  </si>
  <si>
    <t>Assisted Living</t>
  </si>
  <si>
    <t>Dormitory</t>
  </si>
  <si>
    <t>Motel</t>
  </si>
  <si>
    <t>Multi-Family</t>
  </si>
  <si>
    <t>Barber &amp; Beauty Parlor</t>
  </si>
  <si>
    <t>Hospital - Nursery</t>
  </si>
  <si>
    <t>Living quarters</t>
  </si>
  <si>
    <t>Medical/Industrial Research Laboratory</t>
  </si>
  <si>
    <t>Public &amp; Staff Lounge</t>
  </si>
  <si>
    <t>Worship - pulpit, choir</t>
  </si>
  <si>
    <t>Rooms</t>
  </si>
  <si>
    <t>Commons</t>
  </si>
  <si>
    <t>Across all Space Types</t>
  </si>
  <si>
    <t>Sum of Square Footage</t>
  </si>
  <si>
    <t>Corridor/Transition</t>
  </si>
  <si>
    <t>Corridors w/patient waiting, exam</t>
  </si>
  <si>
    <t>Total Study SQFT</t>
  </si>
  <si>
    <t>Relative proportion of lighting fixture type</t>
  </si>
  <si>
    <t>Space Use</t>
  </si>
  <si>
    <t>Primary General Lighting (T-12/T-8/T-5 or HID)</t>
  </si>
  <si>
    <t>Secondary General Lighting (Incandescent or CFL)</t>
  </si>
  <si>
    <t>Specialty Lighting</t>
  </si>
  <si>
    <t xml:space="preserve">Assembly </t>
  </si>
  <si>
    <t xml:space="preserve">all </t>
  </si>
  <si>
    <t xml:space="preserve"> </t>
  </si>
  <si>
    <t>Exit Sign</t>
  </si>
  <si>
    <t xml:space="preserve">Education - Primary School </t>
  </si>
  <si>
    <t xml:space="preserve">Education - Secondary School </t>
  </si>
  <si>
    <t xml:space="preserve">Exercising Centers and Gymnasium </t>
  </si>
  <si>
    <t xml:space="preserve">all others </t>
  </si>
  <si>
    <t xml:space="preserve">Education - Community College </t>
  </si>
  <si>
    <t xml:space="preserve">Education - University </t>
  </si>
  <si>
    <t xml:space="preserve">Hotel/Motel Guest Room (incl. toilets) </t>
  </si>
  <si>
    <t xml:space="preserve">Education - Relocatable Classroom </t>
  </si>
  <si>
    <t xml:space="preserve">Health/Medical - Hospital </t>
  </si>
  <si>
    <t xml:space="preserve">Health/Medical - Nursing Home </t>
  </si>
  <si>
    <t xml:space="preserve">Lodging - Hotel </t>
  </si>
  <si>
    <t xml:space="preserve">Bar, Cocktail Lounge </t>
  </si>
  <si>
    <t xml:space="preserve">Dining Area </t>
  </si>
  <si>
    <t xml:space="preserve">Lodging - Motel </t>
  </si>
  <si>
    <t xml:space="preserve">Manufacturing - Bio/Tech </t>
  </si>
  <si>
    <t xml:space="preserve">Manufacturing - Light Industrial </t>
  </si>
  <si>
    <t xml:space="preserve">Office - Large </t>
  </si>
  <si>
    <t xml:space="preserve">Office - Small </t>
  </si>
  <si>
    <t xml:space="preserve">Restaurant - Sit-Down </t>
  </si>
  <si>
    <t xml:space="preserve">Lobby (Main Entry and Assembly) </t>
  </si>
  <si>
    <t xml:space="preserve">Kitchen and Food Preparation </t>
  </si>
  <si>
    <t xml:space="preserve">Restaurant - Fast-Food </t>
  </si>
  <si>
    <t xml:space="preserve">Retail - Multistory Large </t>
  </si>
  <si>
    <t xml:space="preserve">Office (General) </t>
  </si>
  <si>
    <t xml:space="preserve">Storage (Conditioned) </t>
  </si>
  <si>
    <t xml:space="preserve">Retail - Single-Story Large </t>
  </si>
  <si>
    <t xml:space="preserve">Retail - Small </t>
  </si>
  <si>
    <t xml:space="preserve">Storage - Conditioned </t>
  </si>
  <si>
    <t xml:space="preserve">Storage - Unconditioned </t>
  </si>
  <si>
    <t xml:space="preserve">Space Use </t>
  </si>
  <si>
    <t xml:space="preserve">Other Lighting Equivalent Full Load Hours </t>
  </si>
  <si>
    <t xml:space="preserve">CFL Equivalent Full Load Hours </t>
  </si>
  <si>
    <t>HOU other</t>
  </si>
  <si>
    <t>2005</t>
  </si>
  <si>
    <t>2008</t>
  </si>
  <si>
    <t xml:space="preserve">Auditorium </t>
  </si>
  <si>
    <t xml:space="preserve">not incl. </t>
  </si>
  <si>
    <t xml:space="preserve">Classroom/Lecture </t>
  </si>
  <si>
    <t xml:space="preserve">Computer Room (Instructional/PC Lab) </t>
  </si>
  <si>
    <t xml:space="preserve">Comm/Ind Work (General, Low Bay) </t>
  </si>
  <si>
    <t xml:space="preserve">Corridor </t>
  </si>
  <si>
    <t xml:space="preserve">Medical and Clinical Care </t>
  </si>
  <si>
    <t xml:space="preserve">Laboratory, Medical </t>
  </si>
  <si>
    <t xml:space="preserve">Lobby (Hotel) </t>
  </si>
  <si>
    <t xml:space="preserve">Laundry </t>
  </si>
  <si>
    <t xml:space="preserve">Computer Room (Mainframe/Server) </t>
  </si>
  <si>
    <t xml:space="preserve">Conference Room </t>
  </si>
  <si>
    <t xml:space="preserve">Comm/Ind Work (General, High Bay) </t>
  </si>
  <si>
    <t xml:space="preserve">Storage (Unconditioned) </t>
  </si>
  <si>
    <t xml:space="preserve">Office (Open Plan) </t>
  </si>
  <si>
    <t xml:space="preserve">Office (Executive/Private) </t>
  </si>
  <si>
    <t xml:space="preserve">Lobby (Office Reception/Waiting) </t>
  </si>
  <si>
    <t xml:space="preserve">Copy Room (photocopying equipment) </t>
  </si>
  <si>
    <t xml:space="preserve">Restrooms </t>
  </si>
  <si>
    <t xml:space="preserve">Mechanical/Electrical Room </t>
  </si>
  <si>
    <t xml:space="preserve">Retail - 3-Story Large </t>
  </si>
  <si>
    <t xml:space="preserve">Retail Sales and Wholesale Showroom </t>
  </si>
  <si>
    <t xml:space="preserve">Auto Repair Workshop </t>
  </si>
  <si>
    <t xml:space="preserve">Grocery </t>
  </si>
  <si>
    <t xml:space="preserve">Retail Sales, Grocery </t>
  </si>
  <si>
    <t xml:space="preserve">Comm/Ind Work (Loading Dock) </t>
  </si>
  <si>
    <t xml:space="preserve">Refrigerated (Food Preparation) </t>
  </si>
  <si>
    <t xml:space="preserve">Refrigerated (Walk-in Freezer) </t>
  </si>
  <si>
    <t xml:space="preserve">Refrigerated (Walk-in Cooler) </t>
  </si>
  <si>
    <t xml:space="preserve">Warehouse – Refrigerated </t>
  </si>
  <si>
    <t xml:space="preserve">Refrigerated (Frozen Storage) </t>
  </si>
  <si>
    <t xml:space="preserve">Refrigerated (Cooled Storage) </t>
  </si>
  <si>
    <t>GWh</t>
  </si>
  <si>
    <t>PG&amp;E</t>
  </si>
  <si>
    <t>SCE</t>
  </si>
  <si>
    <t>Street Lighting</t>
  </si>
  <si>
    <t>SDG&amp;E</t>
  </si>
  <si>
    <t>Commercial</t>
  </si>
  <si>
    <t>Industrial</t>
  </si>
  <si>
    <t>Long Day Lighting</t>
  </si>
  <si>
    <t>University of Wisconsin Madison</t>
  </si>
  <si>
    <t>http://www.wisconsinpublicservice.com/business/pdf/efficient_equipment_longdaylighting.pdf</t>
  </si>
  <si>
    <t>Irrigation</t>
  </si>
  <si>
    <t>Process Heat</t>
  </si>
  <si>
    <t>CADMUS Estimate</t>
  </si>
  <si>
    <t>Refrigeration</t>
  </si>
  <si>
    <t>US Lighting Market Characterization</t>
  </si>
  <si>
    <t>Traffic Signal</t>
  </si>
  <si>
    <t>watts</t>
  </si>
  <si>
    <t>US DOE EERE</t>
  </si>
  <si>
    <t xml:space="preserve">Product Type </t>
  </si>
  <si>
    <t xml:space="preserve">Luminous Efficacy </t>
  </si>
  <si>
    <t>A</t>
  </si>
  <si>
    <t>E</t>
  </si>
  <si>
    <t>C</t>
  </si>
  <si>
    <t>D</t>
  </si>
  <si>
    <t xml:space="preserve">Halogen </t>
  </si>
  <si>
    <t>B</t>
  </si>
  <si>
    <t>High Efficiency Linear Fluorescent T-8</t>
  </si>
  <si>
    <t>Source: DEER 2008 Table 13</t>
  </si>
  <si>
    <t>Pacific Northwest Sources</t>
  </si>
  <si>
    <t>Source: NC3 Database by floor area</t>
  </si>
  <si>
    <t>Source: CEUS 2006 Table E-2</t>
  </si>
  <si>
    <t>Room</t>
  </si>
  <si>
    <t>Hall/Entry</t>
  </si>
  <si>
    <t>Lighting Application Group</t>
  </si>
  <si>
    <t>Interior Living Total</t>
  </si>
  <si>
    <t>Interior Support Total</t>
  </si>
  <si>
    <t>http://aceee.org/files/proceedings/2010/data/papers/2225.pdf</t>
  </si>
  <si>
    <t>California Residential Lighting Metering Study - Table 6, HOU by Room type</t>
  </si>
  <si>
    <t>Dining</t>
  </si>
  <si>
    <t>Living</t>
  </si>
  <si>
    <t>All Exterior</t>
  </si>
  <si>
    <t>Yr Use/room (kWh)</t>
  </si>
  <si>
    <t>% of total</t>
  </si>
  <si>
    <t>http://www.energyalmanac.ca.gov/electricity/electricity_stats/index.html</t>
  </si>
  <si>
    <t>Control Market Share</t>
  </si>
  <si>
    <t>Manual Switch / Schedule</t>
  </si>
  <si>
    <t>Covered Parking 
(Ceiling Mounted)</t>
  </si>
  <si>
    <t>Outdoor Parking Lighting 
(Pole Mounted)</t>
  </si>
  <si>
    <t>Not Applicable</t>
  </si>
  <si>
    <t>No change</t>
  </si>
  <si>
    <t>Public Area 
(Pathway and Landscape)</t>
  </si>
  <si>
    <t>Not Controlled</t>
  </si>
  <si>
    <t>PG &amp; E</t>
  </si>
  <si>
    <t>Streetlight</t>
  </si>
  <si>
    <t>Application Energy Consumption Across California (IOU Territory)</t>
  </si>
  <si>
    <t>````</t>
  </si>
  <si>
    <t>Exterior Lighting</t>
  </si>
  <si>
    <t>Comm and Industrial Ext Lighting</t>
  </si>
  <si>
    <t>Total Industrial</t>
  </si>
  <si>
    <t>http://apps1.eere.energy.gov/buildings/publications/pdfs/ssl/2010-lmc-final-jan-2012.pdf</t>
  </si>
  <si>
    <t>Landscape (Building Exterior)</t>
  </si>
  <si>
    <t>CA IOU GWh/yr</t>
  </si>
  <si>
    <t>LPS</t>
  </si>
  <si>
    <t>Billboard</t>
  </si>
  <si>
    <t>Building Exterior</t>
  </si>
  <si>
    <t>Estimated Inventory (1,000's)</t>
  </si>
  <si>
    <t>Average Wattage per Lamp</t>
  </si>
  <si>
    <t>Average Daily Hours</t>
  </si>
  <si>
    <t>% TWh/yr of Row Total</t>
  </si>
  <si>
    <t>% without Streetlighting</t>
  </si>
  <si>
    <t>% of Streetlighting</t>
  </si>
  <si>
    <t>Lighting Control Market Share and Sources</t>
  </si>
  <si>
    <t>Control</t>
  </si>
  <si>
    <t>Cadmus Judgement</t>
  </si>
  <si>
    <t>% Manual Control</t>
  </si>
  <si>
    <t>Laundry</t>
  </si>
  <si>
    <t>2010 US Lighting Market Characterization</t>
  </si>
  <si>
    <t>Table 4.37</t>
  </si>
  <si>
    <t>Business Type</t>
  </si>
  <si>
    <t>Food Service</t>
  </si>
  <si>
    <t>Food Store</t>
  </si>
  <si>
    <t>Heath Care - Inpatient</t>
  </si>
  <si>
    <t>Heath Care - Outpatient</t>
  </si>
  <si>
    <t>Offices (non-medical)</t>
  </si>
  <si>
    <t>Public Assembly</t>
  </si>
  <si>
    <t>Public Order and Safety</t>
  </si>
  <si>
    <t>Religious Worship</t>
  </si>
  <si>
    <t>Retail - Mall and Non-Mall</t>
  </si>
  <si>
    <t>Services</t>
  </si>
  <si>
    <t>Wharehouse and Storage</t>
  </si>
  <si>
    <t>Minimum C&amp;S Compliant</t>
  </si>
  <si>
    <t>Potential
(existing to efficient)</t>
  </si>
  <si>
    <t>Potential
(C&amp;S compliant to efficient)</t>
  </si>
  <si>
    <t>Lighting Savings 
(lamp and/or ballast)</t>
  </si>
  <si>
    <t>Control Savings</t>
  </si>
  <si>
    <t>Lighting Savings
(lamp and/or ballast)</t>
  </si>
  <si>
    <t>Compliant Lighting</t>
  </si>
  <si>
    <t>Compliant Control</t>
  </si>
  <si>
    <t>Summary Residential</t>
  </si>
  <si>
    <t>Summary Non-Residential Interior</t>
  </si>
  <si>
    <t>Summary Non-Residential Exterior</t>
  </si>
  <si>
    <t>General Service Flourescent Lamps</t>
  </si>
  <si>
    <t xml:space="preserve">Federal Standard 7, General Service Fluorescent Lamps (Fed7). A subcomponent of EISA 2007, took effect on July 14, 2012 and regulates general service fluorescent lamps (GSFLs).
According to our research through a literature review and conversations with industry representatives, the primary energy saving impact of Fed7 is the retrofit of 4’ and 2’ U-shaped T12 lamps to T8 lamps. Sales of these two types of GSFLs (4’ linear and U shaped) account for nearly 80% of the California market based on our calculations (refer to Table 6). We determined through research that the most common retrofit of these two lamps that is warranted by Fed7 is from T12 (40 watts) to T8 (32 watts), thereby resulting in a per unit savings of 8 watts per GSFL for both 4’ linear and U-shaped GSFLs .  Reliable data on the energy savings potential of the other GSFLs are unavailable, so we did not include them in our analysis. 
</t>
  </si>
  <si>
    <t>From Cadmus Memo to CEC</t>
  </si>
  <si>
    <t>Codes and Standards</t>
  </si>
  <si>
    <t>Residential Sources</t>
  </si>
  <si>
    <t>Commercial Sources</t>
  </si>
  <si>
    <t>Agricultural Sources</t>
  </si>
  <si>
    <t>Exterior Sources</t>
  </si>
  <si>
    <t>DEER 2008 Table 14</t>
  </si>
  <si>
    <t>Basline Controls Sources</t>
  </si>
  <si>
    <t>DOE Sources</t>
  </si>
  <si>
    <t>GWh/yr for exterior lighting</t>
  </si>
  <si>
    <t>Insufficient Data Found</t>
  </si>
  <si>
    <t>Photocell / timeswitch</t>
  </si>
  <si>
    <t>http://www.energystar.gov/ia/business/small_business/led_exitsigns_techsheet.pdf</t>
  </si>
  <si>
    <t>Hotel/Motel, Dorms, Assisted Living</t>
  </si>
  <si>
    <t>No controls req'd</t>
  </si>
  <si>
    <t>formula refers to Ref-DOE tab</t>
  </si>
  <si>
    <t>NOTE:</t>
  </si>
  <si>
    <t>Engineering judgment is used to apply many of these sources, and mapping assumptions are observable from links to source data.</t>
  </si>
  <si>
    <t>Baseline conditions for many control studies are not as well documented as preferred. The designation "Manual Switch / Schedule" is used for applications where a more rigorous schedule of manual light control is considered typical (i.e. an industrial building where large banks of lights are manually controlled on a shift-basis).</t>
  </si>
  <si>
    <t>Max of Lighting Savings</t>
  </si>
  <si>
    <t>Max of Control Savings</t>
  </si>
  <si>
    <t>T5</t>
  </si>
  <si>
    <t>T8 less than 4ft</t>
  </si>
  <si>
    <t>T8 4ft</t>
  </si>
  <si>
    <t>T8 Greater than 4ft</t>
  </si>
  <si>
    <t>T12 less than 4 ft</t>
  </si>
  <si>
    <t>T12</t>
  </si>
  <si>
    <t>T12 Greater than 3ft</t>
  </si>
  <si>
    <t>T8 U-shaped</t>
  </si>
  <si>
    <t>T12 U-shaped</t>
  </si>
  <si>
    <t>T12 Greater than 4ft</t>
  </si>
  <si>
    <t>T8</t>
  </si>
  <si>
    <t>http://www1.eere.energy.gov/buildings/appliance_standards/product.aspx/productid/70</t>
  </si>
  <si>
    <t>http://www1.eere.energy.gov/buildings/appliance_standards/product.aspx/productid/71</t>
  </si>
  <si>
    <t>Linear Fluorescent T8 /T12</t>
  </si>
  <si>
    <t>High Efficiency Linear Fluorescent T-8/T-5</t>
  </si>
  <si>
    <t>Linear fluorescent to H.E. T-8 (RESIDENTIAL)</t>
  </si>
  <si>
    <t>Linear fluorescent to H.E. T-8/T-5 (COMMERCIAL)</t>
  </si>
  <si>
    <t>Linear Fluorescent to H.E. T-8/T-5 (INDUSTRIAL)</t>
  </si>
  <si>
    <t>Lighting Calculations in the LED Era, by James Benya, Developed for Cree LED Lighting, Final version June 30, 2011</t>
  </si>
  <si>
    <t>Lighting Calculations in the LED Era, by James Benya, Developed for Cree LED Lighting, Final version June 30, 2012</t>
  </si>
  <si>
    <t>Linear T8/ code compliant T12  to H.E. T-8 (RESIDENTIAL)</t>
  </si>
  <si>
    <t>Linear T8 / code Compliant T12 to H.E. T-8/T-5 (COMMERCIAL)</t>
  </si>
  <si>
    <t>Linear T8 / code Compliant T12 to H.E. T-8/T-5 (INDUSTRIAL)</t>
  </si>
  <si>
    <t>Notes 1</t>
  </si>
  <si>
    <t>Incandescent Reflector Lamp</t>
  </si>
  <si>
    <t>Halogen Reflector Lamp</t>
  </si>
  <si>
    <t>Also refered to Cadmus memo to CPUC Codes &amp; Standards Management Team re:Potential Energy Savings and Compliance: General Service Fluorescent Lamps dated Oct 15, 2013.</t>
  </si>
  <si>
    <t>Also refered to Cadmus memo to CPUC Codes &amp; Standards Management Team re:Potential Energy Savings and Compliance for Incandescent Reflector Lamps dated Oct 1, 2013.</t>
  </si>
  <si>
    <t>Based on Cadmus memo, baseline IRL wattage is 72, Fed 6 compliant IRL wattage is 63.</t>
  </si>
  <si>
    <t>http://www.gelighting.com/LightingWeb/na/images/79452_ConstantColor_CMH_Family_Brochure_tcm201-20764.pdf</t>
  </si>
  <si>
    <t>72W to 22W CMH</t>
  </si>
  <si>
    <t>63W  to 22W CMH</t>
  </si>
  <si>
    <t>http://www.gelighting.com/LightingWeb/na/images/81176_ConstantColor_CMH_Lamps_SellSheet_tcm201-20765.pdf</t>
  </si>
  <si>
    <t xml:space="preserve"> Probe Start Metal Halide w Magnetic Ballast</t>
  </si>
  <si>
    <t>Pulse Start Metal Halide w electronic Ballast</t>
  </si>
  <si>
    <t>Ceramic Metal Halide</t>
  </si>
  <si>
    <t>did not find a good reference here.</t>
  </si>
  <si>
    <t>could not find the original document referenced here. Changed reference to a current GE document.</t>
  </si>
  <si>
    <t>HID code compliant Watts</t>
  </si>
  <si>
    <t>Incandescent to PS MH/CMH</t>
  </si>
  <si>
    <t>Halogen to PS MH/CMH</t>
  </si>
  <si>
    <t>http://www.energy.ca.gov/appliances/2008rulemaking/documents/2008-04-01_workshop/2008-04-04_Pacific_Gas_+_Electric_HID_Fixtures_CASE_study.pdf</t>
  </si>
  <si>
    <t>Probe start Metal halide w magnetic ballast /High-Pressure Sodium</t>
  </si>
  <si>
    <t>Pulse Start Metal Halide w electronic Ballast / High-pressure sodium</t>
  </si>
  <si>
    <t>http://www.daybrite.com/brochures/247.pdf</t>
  </si>
  <si>
    <t>http://www.optimumlighting.com/services/faq/</t>
  </si>
  <si>
    <t>Linear Fluorescent (T5 HO or T8)</t>
  </si>
  <si>
    <t>From CASE report, 460 W is the system wattage for a  probe start 400 W MH w magnatic ballast vs 435 W as the system wattage for a pulse start 400 W MH w electronic ballast. Also corroborated in Massachusetts Device Codes and Rated Lighting System Wattage able.</t>
  </si>
  <si>
    <t>PS MH</t>
  </si>
  <si>
    <t>CMH</t>
  </si>
  <si>
    <t>Linear Fluorescent to LED Parking</t>
  </si>
  <si>
    <t>Linear Fluorescent T8 to LED Parking</t>
  </si>
  <si>
    <t>Overall</t>
  </si>
  <si>
    <t>T8 2F32SSE to CO820-40W</t>
  </si>
  <si>
    <t>T8 2F32SSE  to CO820-40W</t>
  </si>
  <si>
    <t>T12 2F40SSE  to CO820-40W</t>
  </si>
  <si>
    <t>see calcs below</t>
  </si>
  <si>
    <t xml:space="preserve">Shut-off and occupancy/vacancy (bi-level) </t>
  </si>
  <si>
    <t>LED Exit Sign</t>
  </si>
  <si>
    <t>Exit signs (Incandescent to LEC)</t>
  </si>
  <si>
    <t>Exit Signs (LED to LEC)</t>
  </si>
  <si>
    <t>LEC</t>
  </si>
  <si>
    <t>4 W LED replaced by 0.5 W LEC</t>
  </si>
  <si>
    <t>LED is required by code.</t>
  </si>
  <si>
    <t>http://limelite.com/exit-lites</t>
  </si>
  <si>
    <t>40 W incandescent replaced by 0.5 W LEC</t>
  </si>
  <si>
    <t>Shut-off AND multi-level controls</t>
  </si>
  <si>
    <t>LED Traffic Signals</t>
  </si>
  <si>
    <t>Demonstration study in two buildings in Southern California.</t>
  </si>
  <si>
    <t xml:space="preserve">Savings were calculated as 45-55% for corridors and 65% for stairwells. </t>
  </si>
  <si>
    <t>Stairwells</t>
  </si>
  <si>
    <t>Corridor</t>
  </si>
  <si>
    <t>http://cltc.ucdavis.edu/publication/sce-smart-corridors-bi-level-lighting-office-applications</t>
  </si>
  <si>
    <t>SCE, March 2011</t>
  </si>
  <si>
    <t>Shut-off and Daylighting and  Bi-level (in warehouse aisleways and open areas)</t>
  </si>
  <si>
    <t>http://www.energy.ca.gov/title24/2013standards/prerulemaking/documents/current/Reports/Nonresidential/Lighting_Controls_Bldg_Power/2013_CASE_NR_Controllable_Lighting.pdf</t>
  </si>
  <si>
    <t>http://www.energy.ca.gov/title24/2013standards/prerulemaking/documents/current/Reports/Nonresidential/Lighting_Controls_Bldg_Power/2013_CASE_NR_Lighting_in_Warehouses_and_Libraries_Oct_2011.pdf</t>
  </si>
  <si>
    <t>Williams, et al, 2013</t>
  </si>
  <si>
    <t>Cadmus judgement (13% bi-level +28% daylighting) based on Williams, et al, 2012 and the California Utilities Codes and Standards Team, 2011.</t>
  </si>
  <si>
    <t>Shut-off and Multi-level controls and Daylighting</t>
  </si>
  <si>
    <t>Medium/large groceries</t>
  </si>
  <si>
    <t>Refrigerated Case Displays</t>
  </si>
  <si>
    <t>Retail food stores with 8,000 square feet or more of conditioned area, and that utilize either: refrigerated display cases, or walk-in coolers or freezers connected to remote compressor units or condensing units, shall</t>
  </si>
  <si>
    <t>EXCEPTION to Section 120.6(b)3: Stores which are normally open for business 140 hours or more per week.</t>
  </si>
  <si>
    <t>120.6(b)3</t>
  </si>
  <si>
    <t>Shut-off (timeswitch) and bi-level</t>
  </si>
  <si>
    <t>Lighting in refrigerated display cases, and lights on glass doors installed on walk-in coolers and freezers shall be controlled by one of the following:
A. Automatic time switch controls to turn off lights during non-business hours. Timed overrides for any line-up or walk-in case may only be used to turn the lights on for up to one hour. Manual overrides shall time-out automatically to turn the lights off after one hour.
B. Motion sensor controls on each case that reduce display case lighting power by at least 50 percent within 30 minutes after the area near the case is vacated.</t>
  </si>
  <si>
    <t>occupancy/vacancy in hote/motel and on low-efficacy fixtures in all others</t>
  </si>
  <si>
    <t>Other (Dormitory, Assisted Living, Multi-family)</t>
  </si>
  <si>
    <t>Time-switch controls</t>
  </si>
  <si>
    <t>Menu board</t>
  </si>
  <si>
    <t>All indoor sign lighting shall be controlled with an automatic time-switch control or astronomical
time-switch control</t>
  </si>
  <si>
    <t>time-switch</t>
  </si>
  <si>
    <t>130.3(a)</t>
  </si>
  <si>
    <t>Shut-off and bi-level(for classroom) / multi-level(for office)</t>
  </si>
  <si>
    <t>Shut-off and occupancy (bi-level)</t>
  </si>
  <si>
    <t>Occupancy (Bi-level) AND daylighting</t>
  </si>
  <si>
    <t>Parking Garage</t>
  </si>
  <si>
    <t>California Utilities Statewide Codes and Standards Team, Oct 2011</t>
  </si>
  <si>
    <t>Simulation</t>
  </si>
  <si>
    <t>CASE initiative report</t>
  </si>
  <si>
    <t>http://www.energy.ca.gov/title24/2013standards/prerulemaking/documents/current/Reports/Nonresidential/Lighting_Controls_Bldg_Power/2013_CASE_NR_Parking_Garage_Lighting_and_Controls_Oct_2011.pdf</t>
  </si>
  <si>
    <t>Bi-level and Daylighting</t>
  </si>
  <si>
    <t>No Change</t>
  </si>
  <si>
    <t>In corridors and stairwells in which the installed lighting power is 80 percent or less of the value allowed under the Area Category Method, occupant sensing controls shall reduce power by at least 40 percent.</t>
  </si>
  <si>
    <t xml:space="preserve">Shut-off and occupancy/vacancy (bi-level) for corridors </t>
  </si>
  <si>
    <t>Shut-off</t>
  </si>
  <si>
    <t>LEC Exit Sign</t>
  </si>
  <si>
    <t>Lobbies/Corridors</t>
  </si>
  <si>
    <t>Insufficient Data to Estimate</t>
  </si>
  <si>
    <t>Estimate of the percentage of all pole-mounted exterior lighting applications affected by the 2013 Titel 24 requirement for bi-level lighting, which applies to luminaires installed less than 24 feet high.</t>
  </si>
  <si>
    <t>Estimate</t>
  </si>
  <si>
    <t>ONLY: Shut-off</t>
  </si>
  <si>
    <t>occupant sensing control, automatic time-switch control, signal from anotherbuilding system, or other control capable of automatically shutting OFF all of the lighting when the space is typically unoccupied</t>
  </si>
  <si>
    <t>15% saving is the default saving assumption for multi-level controls. 5% is saving estimate by Cadmus for shut-off controls.</t>
  </si>
  <si>
    <t>Shut-off and Multi-level (Tuning)</t>
  </si>
  <si>
    <t>SCE, March 2011 and Cadmus professional judgement</t>
  </si>
  <si>
    <t>Presumed no</t>
  </si>
  <si>
    <t>Energy Efficiency and Renewable Energy (EERE) Federal Energy Management Program (FEMP), LT-8: How to Select Lighting Controls For Offices and Public Buildings, December 2000</t>
  </si>
  <si>
    <t>SCE, October 2011</t>
  </si>
  <si>
    <t>Southern California Edison, Smart Corridors: Bi-level Lighting for Office Applications, Prepared for Design &amp; Engineering Services Customer Service Business Unit, October 2011.</t>
  </si>
  <si>
    <t>California Utilities Statewide Codes and Standards Team, September 2011</t>
  </si>
  <si>
    <t>California Utilities Statewide Codes and Standards Team, Automated Lighting Controls and Switching Requirements in Warehouses and Libraries, for 2013 California Building Energy Efficiency Standards, Codes and Standards Enhancement Initiative, September 2011.</t>
  </si>
  <si>
    <t>California Utilities Statewide Codes and Standards Team, October 2011</t>
  </si>
  <si>
    <t>California Utilities Statewide Codes and Standards Team, Parking Garage Lighting and Control, for 2013 California Building Energy Efficiency Standards, Codes and Standards Enhancement Initiative, October 2011.</t>
  </si>
  <si>
    <t>Use in the Workbook?</t>
  </si>
  <si>
    <t>Title 24 Part 6 2013 Standards, Lighting Controls</t>
  </si>
  <si>
    <t>OLED Luminaire</t>
  </si>
  <si>
    <t>http://apps1.eere.energy.gov/buildings/publications/pdfs/ssl/ssl_mypp2014_web.pdf</t>
  </si>
  <si>
    <t>CCT</t>
  </si>
  <si>
    <t>Lifetime</t>
  </si>
  <si>
    <t>Luminous Output (Calculated Based on Wattage)</t>
  </si>
  <si>
    <t>Wattage (W)*</t>
  </si>
  <si>
    <t>Equivalent bulbs</t>
  </si>
  <si>
    <t>Specific lamp referenced</t>
  </si>
  <si>
    <t>Philips L prize winning A19 lamp</t>
  </si>
  <si>
    <t>Based on Lighting Facts database for Cree LRP38-10L-30K lamp.</t>
  </si>
  <si>
    <t>Based on Lighting Facts database for Hubbell Lighting Prescolite LB6LEDA10L35K WH.</t>
  </si>
  <si>
    <t>Based on Lighting Facts database for Cree CS24-40LHE-30K luminaire.</t>
  </si>
  <si>
    <t>Based on Lighting Facts database for Cree CS18-80LHE-35K luminaire.</t>
  </si>
  <si>
    <t>LED A19 (warm white)</t>
  </si>
  <si>
    <t>LED PAR38 (warm white)</t>
  </si>
  <si>
    <r>
      <t>LED 6" Downlight</t>
    </r>
    <r>
      <rPr>
        <b/>
        <sz val="11"/>
        <color theme="1"/>
        <rFont val="Calibri"/>
        <family val="2"/>
        <scheme val="minor"/>
      </rPr>
      <t>(warm white)</t>
    </r>
  </si>
  <si>
    <t>LED Troffer 2'x4'(warm white)</t>
  </si>
  <si>
    <t>LED High/low bay(warm white)</t>
  </si>
  <si>
    <t>Based on Acuity Brands luminaires.</t>
  </si>
  <si>
    <t>Includes ballast losses.</t>
  </si>
  <si>
    <t>HID (High Watt) system</t>
  </si>
  <si>
    <t>Linear Fluorescent System</t>
  </si>
  <si>
    <t>HID (Low Watt) System</t>
  </si>
  <si>
    <t>Cadmus value based on GE brochure (http://www.gelighting.com/LightingWeb/la/south/images/Guide_to_changing_to_energy_efficient_lamps_Brochure_EN_tcm403-12666.pdf) GE Lighting the Future brochure, your guide to changing to energy efficient bulbs.</t>
  </si>
  <si>
    <t>Linear Fluorescent T-8 / Code Compliant T-12</t>
  </si>
  <si>
    <t>DOE rule 10 CFR Part 430</t>
  </si>
  <si>
    <t>DOE rule 10 CFR Part 431</t>
  </si>
  <si>
    <t>DOE rule 10 CFR Part 432</t>
  </si>
  <si>
    <t>DOE rule 10 CFR Part 433</t>
  </si>
  <si>
    <t>DOE rule 10 CFR Part 434</t>
  </si>
  <si>
    <t>DOE rule 10 CFR Part 435</t>
  </si>
  <si>
    <t>DOE rule 10 CFR Part 436</t>
  </si>
  <si>
    <t>DOE rule 10 CFR Part 437</t>
  </si>
  <si>
    <t>DOE rule 10 CFR Part 438</t>
  </si>
  <si>
    <t>DOE rule 10 CFR Part 439</t>
  </si>
  <si>
    <t>Assuming 100% T8s to High-eff T8s. 2F32SSE to 2F28EEE</t>
  </si>
  <si>
    <t>Savings are minimal if not negative</t>
  </si>
  <si>
    <t>Low-efficacy fixtures as a percentage of total based on 08-09 KEMA socket inventory</t>
  </si>
  <si>
    <t>Not Specified</t>
  </si>
  <si>
    <t>Williams et al., 2012</t>
  </si>
  <si>
    <t>Nonresidential</t>
  </si>
  <si>
    <t>Williams et al, 2012</t>
  </si>
  <si>
    <t>Small sample size</t>
  </si>
  <si>
    <t>Baseline of wall switches.</t>
  </si>
  <si>
    <t>One building.</t>
  </si>
  <si>
    <t>VonNeida et al., August 2000</t>
  </si>
  <si>
    <t> Yes</t>
  </si>
  <si>
    <t>Calculated based on SCE, October 2011 and NC3 database</t>
  </si>
  <si>
    <t>Calculated</t>
  </si>
  <si>
    <t>Simulated</t>
  </si>
  <si>
    <t>Cadmus Professional Estimate</t>
  </si>
  <si>
    <r>
      <t xml:space="preserve">Williams, A., Atkinson, B., Garbesi, K., Page, E., and Rubinstein, F., “Lighting Controls in Commercial Buildings,” </t>
    </r>
    <r>
      <rPr>
        <i/>
        <sz val="10"/>
        <color theme="1"/>
        <rFont val="Calibri"/>
        <family val="2"/>
        <scheme val="minor"/>
      </rPr>
      <t>Leukos</t>
    </r>
    <r>
      <rPr>
        <sz val="10"/>
        <color theme="1"/>
        <rFont val="Calibri"/>
        <family val="2"/>
        <scheme val="minor"/>
      </rPr>
      <t xml:space="preserve"> Vol 8, No 3, January 2012, p. 161-180</t>
    </r>
  </si>
  <si>
    <t>All control strategies</t>
  </si>
  <si>
    <t>Case Study: Federal GSA office building, San Francisco, California.</t>
  </si>
  <si>
    <t>VonNeida, B., Maniccia, D., and Tweed, A, An analysis of the energy and cost savings potential of occupancy sensors for commercial lighting systems, IES Paper #43, August 2000</t>
  </si>
  <si>
    <t>Wei, J., Enscoe, A., and Rubinstein, F., Responsive Lighting Solutions, Prepared for the General Services Administration, Lawrence Berkeley National Laboratory, September 2012.</t>
  </si>
  <si>
    <t>5 federal buildings in California</t>
  </si>
  <si>
    <t>Occupancy, Personal Tuning, Institutional Tuning</t>
  </si>
  <si>
    <t>Two advanced lighting control technologies were installed in a class A office building in Long Beach and an educational building in Irvine, California.</t>
  </si>
  <si>
    <t>Occupancy (bi-level)</t>
  </si>
  <si>
    <t>Southern California Edison, Requirements for controllable lighting, 2013 California Building Energy Efficiency Standards, Codes and Standards Enhancement Initiative, Prepared by Avery, D., Benya, J., Neils, M., Rubinstein, F., Neils, D., March 2011.</t>
  </si>
  <si>
    <t>Multi-level controls as defined in California Title 24, 2013</t>
  </si>
  <si>
    <t>Multiple (i.e., combination of) – occupancy and daylighting</t>
  </si>
  <si>
    <t>Occupancy and Daylighting</t>
  </si>
  <si>
    <t>M&amp;V study of sixty organizations chosen from active participants in the US. Environmental Protection Agency’s Green Lights Program.</t>
  </si>
  <si>
    <t>Reviewed For</t>
  </si>
  <si>
    <t>Control Savings2</t>
  </si>
  <si>
    <t>Health/ Medical Hospital</t>
  </si>
  <si>
    <t>College</t>
  </si>
  <si>
    <t>Food and Liquor Stores</t>
  </si>
  <si>
    <t>Health and Medical Clinics</t>
  </si>
  <si>
    <t>HE HID</t>
  </si>
  <si>
    <t>LE HID</t>
  </si>
  <si>
    <t>Continue with other lamp types</t>
  </si>
  <si>
    <t>Track Lighting</t>
  </si>
  <si>
    <t>Exit Lighting</t>
  </si>
  <si>
    <t xml:space="preserve">Warehouse </t>
  </si>
  <si>
    <t>Area (Low/Medium Bay Lighting)</t>
  </si>
  <si>
    <t>Area(High-bay Lighting)</t>
  </si>
  <si>
    <t>Display and Refrigerated Cases</t>
  </si>
  <si>
    <t>Health and medical clinics</t>
  </si>
  <si>
    <t>Schools</t>
  </si>
  <si>
    <t>Display, track , advertising and spot light?</t>
  </si>
  <si>
    <t>Area Lighting (Assuming this is mostly kitchen)</t>
  </si>
  <si>
    <t>Track, Ornamental, Arch/wall wash, accent lighting (Assuming this is mostly dining room)</t>
  </si>
  <si>
    <t>Display and advertising</t>
  </si>
  <si>
    <t>Activity Area 22 (Lobby, corridor, stairwell)</t>
  </si>
  <si>
    <t>Lamp Type</t>
  </si>
  <si>
    <t>No data</t>
  </si>
  <si>
    <t>Area</t>
  </si>
  <si>
    <t>Task</t>
  </si>
  <si>
    <t>Track</t>
  </si>
  <si>
    <t>Installed Lighting (Watts)</t>
  </si>
  <si>
    <t>Installed Lighting Saturation (% of watts)</t>
  </si>
  <si>
    <t>Installed controlled (Watts)</t>
  </si>
  <si>
    <t>Installed Controlled Saturation (% of watts)</t>
  </si>
  <si>
    <t>X%</t>
  </si>
  <si>
    <t>Misc.</t>
  </si>
  <si>
    <t>FOR ALL BUILDING TYPES</t>
  </si>
  <si>
    <t>Parking Lot</t>
  </si>
  <si>
    <t>Bldg Façade, Landscape, Service Canopies, and Stadium/athletic field lighting</t>
  </si>
  <si>
    <t>Posted March 2014</t>
  </si>
  <si>
    <t>CALIFORNIA ENERGY DEMAND 2014‐2024 FINAL FORECAST Volume 2: Electricity Demand by Utility Planning Area JANUARY 2014 CEC‐200‐2013‐004‐V2‐CMF</t>
  </si>
  <si>
    <t>Residential Lighting</t>
  </si>
  <si>
    <t/>
  </si>
  <si>
    <t>Commercial Building</t>
  </si>
  <si>
    <t>Commercial Miscellaneous</t>
  </si>
  <si>
    <t>Cooking</t>
  </si>
  <si>
    <t>Cooling</t>
  </si>
  <si>
    <t>Heating</t>
  </si>
  <si>
    <t>Indoor Lighting</t>
  </si>
  <si>
    <t>Office Equipment</t>
  </si>
  <si>
    <t>Outdoor Lighting</t>
  </si>
  <si>
    <t>Ventilation</t>
  </si>
  <si>
    <t>Water Heating</t>
  </si>
  <si>
    <t>Interior Lighting (% of total)</t>
  </si>
  <si>
    <t>Exterior Lighting (% of total)</t>
  </si>
  <si>
    <t>Commercial Interior Lighting (Calculated, see below))</t>
  </si>
  <si>
    <t>Commercial Exterior Lighting (Calculated, see below)</t>
  </si>
  <si>
    <t>Commercial Interior Lighting (calculated)</t>
  </si>
  <si>
    <t>Commercial Exterior Lighting (Calculated)</t>
  </si>
  <si>
    <t>Total Commercial Electricity Usage</t>
  </si>
  <si>
    <t>Source: 6th Power Plan LPD Package</t>
  </si>
  <si>
    <t>Estimated from top table, 6th Power Plan LPD package: LPD is generally the same, but hospitals have about twice more hours of operation per day than clinics.</t>
  </si>
  <si>
    <t>All Industrial</t>
  </si>
  <si>
    <t>CALIFORNIA INDUSTRIAL ENERGY EFFICIENCY MARKET CHARACTERIZATION STUDY, Final Report Prepared for Pacific Gas and Electric Company,  Prepared by XENERGY Inc.,  December 2001</t>
  </si>
  <si>
    <t>10% of total electricity usage in industrial sector is lighting (Page E-5 of report).</t>
  </si>
  <si>
    <t>Std Fluorescent / Std Ballast</t>
  </si>
  <si>
    <t>Std Fluorescent / EE Magnetic Ballast</t>
  </si>
  <si>
    <t>T8 / Electronic Ballast</t>
  </si>
  <si>
    <t>Low Pressure Sodium</t>
  </si>
  <si>
    <t>Skylights</t>
  </si>
  <si>
    <t>% lighting Energy Usage by Lamp Type</t>
  </si>
  <si>
    <t>% of exterior or streetlighting</t>
  </si>
  <si>
    <t>Assumed this is exterior lighting.</t>
  </si>
  <si>
    <t>Int. Ltg.  (GWh)</t>
  </si>
  <si>
    <t>Int. Ltg. (GWh)</t>
  </si>
  <si>
    <t>Ext. Ltg. (GWh)</t>
  </si>
  <si>
    <t>Total Lighting (GWh)</t>
  </si>
  <si>
    <t>% of Total Study Area</t>
  </si>
  <si>
    <t>Int. Ltg. Exit (Gwh)</t>
  </si>
  <si>
    <t>Int. Ltg. Stairwell (GWh)</t>
  </si>
  <si>
    <t>Int. Ltg. (Gwh) w/o exit/corr/lobb/stair</t>
  </si>
  <si>
    <t>Int. Ltg. Lobby/Corridor (GWh)</t>
  </si>
  <si>
    <t>Exit Sign Consumption % of total building type lighting consumption</t>
  </si>
  <si>
    <t>Lighting Saturation</t>
  </si>
  <si>
    <t>Control Saturation</t>
  </si>
  <si>
    <t>Area Lighting (Low/Medium Bay)</t>
  </si>
  <si>
    <t>Agricultural (crops, pumping, livestock)</t>
  </si>
  <si>
    <t>Agriculture Electric End Uses</t>
  </si>
  <si>
    <t>Health and Medical Hospital</t>
  </si>
  <si>
    <t>Display and Advertising</t>
  </si>
  <si>
    <t>Display/Advertising</t>
  </si>
  <si>
    <t>Area Lighting (High Bay)</t>
  </si>
  <si>
    <t>High Bay LED</t>
  </si>
  <si>
    <t>High Bay Linear Fluorescent 
T-8/T-5 HO</t>
  </si>
  <si>
    <t>All Agricultural</t>
  </si>
  <si>
    <t>Exterior Lighting Application</t>
  </si>
  <si>
    <t>Bldg Façade, Landscape, Service Canopies, and Stadium/Athletic Field Lighting</t>
  </si>
  <si>
    <t>Column1</t>
  </si>
  <si>
    <t>Column2</t>
  </si>
  <si>
    <t>Column3</t>
  </si>
  <si>
    <t>Base Efficiency T8 /T12</t>
  </si>
  <si>
    <t>Base Efficiency T8</t>
  </si>
  <si>
    <t>Base Efficiency T8 / T12</t>
  </si>
  <si>
    <t>2F32SSE (60 W T8)  and 2F40SSE (72 W T12) to 2F27EEE ( 48 W High-eff T8) from MA retrofit program guide. 20% of fixtures already house high efficiency lamps.</t>
  </si>
  <si>
    <t>Assuming 100% T8s to High-eff T8s. 2F32SSE to 2F28EEE. 20% of fixtures already house high efficiency lamps.</t>
  </si>
  <si>
    <t>Assumed 70% base efficiency T8/T12 and 30% high efficiency.</t>
  </si>
  <si>
    <t>Assumed 70% base efficiency T8/T12 and 30% high efficiency. Assumed 70% T8 and 30% T12 in the base efficiency group.</t>
  </si>
  <si>
    <t>Based on results of 2013 CSS, 80% base efficiency T8/T12 and 20% high efficiency T8/T5 except in retail and warehouse which have 70% - 30%. Based on 2013 CSS, assumed an average 80% T8 and 20% T12 in base efficiency group.</t>
  </si>
  <si>
    <t xml:space="preserve">Based on results of 2013 CSS, 80% base efficiency T8/T12 and 20% high efficiency T8/T5 except in retail and warehouse which have 70% - 30%. </t>
  </si>
  <si>
    <t>Based on average retrofit office scenario (page 12) assuming LED luminaire is 50 watts. The T8 fixture is 2x32 watts, the equivalent T12 fixture is 2x40 watts.</t>
  </si>
  <si>
    <t>MH (Std, PS, CMH)</t>
  </si>
  <si>
    <t>MH to Linear Fluorescent</t>
  </si>
  <si>
    <t>PS MH  to Linear Fluorescent</t>
  </si>
  <si>
    <t>MH  to CMH</t>
  </si>
  <si>
    <t>PS MH to CMH</t>
  </si>
  <si>
    <t>MH to Induction</t>
  </si>
  <si>
    <t>MH to LED High Bay</t>
  </si>
  <si>
    <t>PS MH to LED High Bay</t>
  </si>
  <si>
    <t>http://www.usa.lighting.philips.com/pwc_li/us_en/connect/tools_literature/downloads/p-5887.pdf</t>
  </si>
  <si>
    <t>Assumes a 80-20 split between T8 and T12 lighting.</t>
  </si>
  <si>
    <t>See calcs below, assumes a 20-80 split between T12 and T8 usage.</t>
  </si>
  <si>
    <t>HPS/MV</t>
  </si>
  <si>
    <t>http://www.p-2.com/cutsheet/technical/tables_of_wattages.pdf</t>
  </si>
  <si>
    <t>Average savings based on page 5 comparison</t>
  </si>
  <si>
    <t>150 HPS (190) to 100 W CMH (129) based on page 6</t>
  </si>
  <si>
    <t>See calcs below.</t>
  </si>
  <si>
    <t>2F32SSE (60 W T8)  and 2F40SSE (72 W T12) to 2F28EEE ( 48 W High-eff T8) from MA retrofit program guide. 40% of fixtures already house high efficiency lamps.</t>
  </si>
  <si>
    <t>Assuming 100% T8s to High-eff T8s. 2F32SSE to 2F28EEE. 40% of fixtures already house high efficiency lamps.</t>
  </si>
  <si>
    <t>Separate shut-off controls for general, display, ornamental, and display case lightingfrom the rest of lights.</t>
  </si>
  <si>
    <t>section 130.1(c)]</t>
  </si>
  <si>
    <t>Shut-off and occupancy</t>
  </si>
  <si>
    <t>All Commercial</t>
  </si>
  <si>
    <t>Area Lighting for Lobbies, Corridors</t>
  </si>
  <si>
    <t>Area Lighting for Stairwells</t>
  </si>
  <si>
    <t>Not Controlled / Manual Switch</t>
  </si>
  <si>
    <t>Outdoor LED Fixture</t>
  </si>
  <si>
    <t>LED Roadway</t>
  </si>
  <si>
    <t>PS MH to Induction</t>
  </si>
  <si>
    <t>First Cost</t>
  </si>
  <si>
    <t>HPS/MV to Induction</t>
  </si>
  <si>
    <t>HPS/MV to CMH</t>
  </si>
  <si>
    <t>MH to LED Parking</t>
  </si>
  <si>
    <t>PS MH to LED Parking</t>
  </si>
  <si>
    <t>MH to LED Outdoor</t>
  </si>
  <si>
    <t>PS MH to LED Outdoor</t>
  </si>
  <si>
    <t>Fluorescent Case Lights</t>
  </si>
  <si>
    <t>Fluorescent to LED Case Lights</t>
  </si>
  <si>
    <t>HPS/MV to LED Parking</t>
  </si>
  <si>
    <t>http://www.howard-lighting.com/Documents/ProductLiterature/HIDToLEDCrossReference.pdf</t>
  </si>
  <si>
    <t>Halogen SSB</t>
  </si>
  <si>
    <t>Market Barriers for Efficient Replacement Practice</t>
  </si>
  <si>
    <t>Total Lighting Technology Potential</t>
  </si>
  <si>
    <t>Total Control Technology Potential</t>
  </si>
  <si>
    <t>Maximum Lighting Application Potential</t>
  </si>
  <si>
    <t>Maximum Controls Application Potential</t>
  </si>
  <si>
    <t>HID-HE</t>
  </si>
  <si>
    <t>x</t>
  </si>
  <si>
    <t>Other`</t>
  </si>
  <si>
    <t>2013 CSS Saturations Interiors</t>
  </si>
  <si>
    <t>2013 CSS Saturations Exteriors</t>
  </si>
  <si>
    <t>Saving Calculations</t>
  </si>
  <si>
    <t>Installed Lighting Saturation (%)</t>
  </si>
  <si>
    <t>Baseline control (Watts)</t>
  </si>
  <si>
    <t>Baseline Control Saturation of Installed Watts (%)</t>
  </si>
  <si>
    <t>Res Interior</t>
  </si>
  <si>
    <t>All Res</t>
  </si>
  <si>
    <t>Living spaces</t>
  </si>
  <si>
    <t>CFL Standard Medium Screw-base</t>
  </si>
  <si>
    <t>Manual Switch/No Controls</t>
  </si>
  <si>
    <t>CFL Small Screw-base</t>
  </si>
  <si>
    <t>CFL Pin Based</t>
  </si>
  <si>
    <t>Fluorescent Circline</t>
  </si>
  <si>
    <t>Fluorescent T12</t>
  </si>
  <si>
    <t>Fluorescent T5 or &lt;T5</t>
  </si>
  <si>
    <t>Fluorescent T8</t>
  </si>
  <si>
    <t>Fluorescent U-bend</t>
  </si>
  <si>
    <t>Halogen Standard Medium Screw-base</t>
  </si>
  <si>
    <t>Halogen Small Screw-base</t>
  </si>
  <si>
    <t>Halogen Pin Based</t>
  </si>
  <si>
    <t>HID Standard Medium Screw-base</t>
  </si>
  <si>
    <t>HID Small Screw-base</t>
  </si>
  <si>
    <t>HID Pin Based</t>
  </si>
  <si>
    <t>Incandescent Standard Medium Screw-base</t>
  </si>
  <si>
    <t>Incandescent Small Screw-base</t>
  </si>
  <si>
    <t>Incandescent Pin Based</t>
  </si>
  <si>
    <t>LED Standard Medium Screw-base</t>
  </si>
  <si>
    <t>LED Small Screw-base</t>
  </si>
  <si>
    <t>LED Pin Based</t>
  </si>
  <si>
    <t>Support Spaces</t>
  </si>
  <si>
    <t>Res Exterior</t>
  </si>
  <si>
    <t>HID MSB</t>
  </si>
  <si>
    <t>All Residential 
(Single, Multi-family, and Mobile Homes)</t>
  </si>
  <si>
    <t>2015 Usage in GWh</t>
  </si>
  <si>
    <t>2015 Total IOU Lighting Consumption</t>
  </si>
  <si>
    <t>CLASS 2012 Data - Avg. Total Watts by Room (All Residential)</t>
  </si>
  <si>
    <t>https://websafe.kemainc.com/projects62/Default.aspx?tabid=190</t>
  </si>
  <si>
    <t>Average Lamp Wattage by Base Type - Total , Report Year: 2012 , Weighting Scheme: Census Weights, Group By: [Room] , Filters: None</t>
  </si>
  <si>
    <t>Total Watts</t>
  </si>
  <si>
    <t>Bathroom - 1</t>
  </si>
  <si>
    <t>Bathroom - 2</t>
  </si>
  <si>
    <t>Bathroom - 3</t>
  </si>
  <si>
    <t>Bathroom - 4</t>
  </si>
  <si>
    <t>Bathroom - 5</t>
  </si>
  <si>
    <t>Bathroom - 6</t>
  </si>
  <si>
    <t>Bathroom - 7</t>
  </si>
  <si>
    <t>Bathroom - Master</t>
  </si>
  <si>
    <t>Bedroom - 1</t>
  </si>
  <si>
    <t>Bedroom - 2</t>
  </si>
  <si>
    <t>Bedroom - 3</t>
  </si>
  <si>
    <t>Bedroom - 4</t>
  </si>
  <si>
    <t>Bedroom - 5</t>
  </si>
  <si>
    <t>Bedroom - 6</t>
  </si>
  <si>
    <t>Bedroom - 7</t>
  </si>
  <si>
    <t>Bedroom - 8</t>
  </si>
  <si>
    <t>Bedroom - Master</t>
  </si>
  <si>
    <t>Exterior - Entry</t>
  </si>
  <si>
    <t>Exterior - Other</t>
  </si>
  <si>
    <t>Exterior - Porch/Patio</t>
  </si>
  <si>
    <t>Hallway</t>
  </si>
  <si>
    <t>Laundry/Utility Room</t>
  </si>
  <si>
    <t>2F32SSE (60 W T8)  and 2F40SSE (72 W T12) to 2F28EEE ( 48 W High-eff T8) from MA retrofit program guide. Assuming 82% T12, and 18% T8 saturation based on the results of 2013 CLASS.</t>
  </si>
  <si>
    <t>Linear fluorescent to LED panel (COMMERCIAL)</t>
  </si>
  <si>
    <t>Linear T8 /code compliant T12 to LED panel (COMMERCIAL)</t>
  </si>
  <si>
    <t>Linear fluorescent to LED panel (RESIDENTIAL)</t>
  </si>
  <si>
    <t>Based on average retrofit office scenario (page 12) assuming LED luminaire is 50 watts. The T8 fixture is 2x32 watts, the equivalent T12 fixture is 2x40 watts. Assuming 82% T12, and 18% T8 saturation based on the results of 2013 CLASS.</t>
  </si>
  <si>
    <t>CFL SSB</t>
  </si>
  <si>
    <t>Linear T8 /code compliant T12 to LED panel (RESIDENTIAL)</t>
  </si>
  <si>
    <t>Occupancy and Timeclock</t>
  </si>
  <si>
    <t>Linear Fluorescent T-8 / Code Compliant T-13</t>
  </si>
  <si>
    <t>Exterior LEDs still not comparable to CFL in terms of cost and performance.</t>
  </si>
  <si>
    <t>Maximum Lighting Saving Potential</t>
  </si>
  <si>
    <t>Maximum Controls Saving Potential</t>
  </si>
  <si>
    <t>CFL Pin Base</t>
  </si>
  <si>
    <t>Baseline Control Saturation of Installed Watts for Lamp Type  (%)</t>
  </si>
  <si>
    <t>1 - Values in this workbook are order of magnitude in accuracy.
2-On the Market Solutions worksheet, the technical pontential savings resulting from the replacement of lighting AND controls, will be less than the sum of the savings calculated for the replacement of lighting and controls separately.
3- On the Market Solutions worksheet, technical potential savings for lighting and controls assume early replacement for existing technology.
4- On the Market Solutions worksheet, the potential savings calculated for "codes and standards-compliant to efficient" follow potential savings calculated for "existing to efficient", when existing is already code compliant or better.</t>
  </si>
  <si>
    <t>DNV/GL response to Cadmus data request re: 2013 California Lighting and Appliances Saturation Survey (CLASS)</t>
  </si>
  <si>
    <t>Linear Fluorescent Installed Lighting Saturation As a % of Linear Fluorescent</t>
  </si>
  <si>
    <t>Linear Fluorescent Installed Controls Saturation as a % of Linear Fluorescent</t>
  </si>
  <si>
    <t>Applicability accounts for the fact that not all of the technical potential is attainable due to physical constraints or other barriers. Same approach was used in the BC Hydro roadmap.</t>
  </si>
  <si>
    <t>CA Title 17</t>
  </si>
  <si>
    <t>CA Title 18</t>
  </si>
  <si>
    <t>CA Title 19</t>
  </si>
  <si>
    <t>CA Title 21</t>
  </si>
  <si>
    <t>CA Title 22</t>
  </si>
  <si>
    <t>From CASE report, 460 W is the system wattage for a  probe start 400 W MH w magnatic ballast vs 435 W as the system wattage for a pulse start 400 W MH w electronic ballast. 
460 system watts (MH400/U) – 372 system watts (T8VHO) = 86 system watts.</t>
  </si>
  <si>
    <t xml:space="preserve">Common reference in manufacturer datasheets is that a 400 MH lamp can be replaced with a 320 W CMH (345 system wattage). </t>
  </si>
  <si>
    <t>From CASE report, 460 W is the system wattage for a  probe start 400 W MH w magnatic ballast vs 435 W as the system wattage for a pulse start 400 W MH w electronic ballast. Also corroborated in Massachusetts Device Codes and Rated Lighting System Wattage able. 320 W CMH (345 system wattage) is the replacement lamp.</t>
  </si>
  <si>
    <t>50W HPS to 42W CFL (65W to 48W system wattages)</t>
  </si>
  <si>
    <t>Applicability factor applied in potential savings calculations</t>
  </si>
  <si>
    <t>CFL Track Lighting</t>
  </si>
  <si>
    <t>Cadmus Calculation: Sources CEUS (2006) + 2014 CEC Estimates (March 2014); see left</t>
  </si>
  <si>
    <t>California Sources</t>
  </si>
  <si>
    <t>Source: 2010 CEC Forecast Worksheets for IOUs - 2014 breakdown of Commercial Building Electricity Usage</t>
  </si>
  <si>
    <t>Source: California Energy Demand Forecast 2014-2024</t>
  </si>
  <si>
    <t>Itron's response to Cadmus data request re: 2011-2013 California Commercial Saturation Survey (CSS)</t>
  </si>
  <si>
    <t>NOT PROVIDED</t>
  </si>
  <si>
    <t>AVERAGE</t>
  </si>
  <si>
    <t>2013 CLASS Saturations</t>
  </si>
  <si>
    <t>Commercial Hours of Use</t>
  </si>
  <si>
    <t xml:space="preserve">Last Updated: </t>
  </si>
  <si>
    <t>Supporting Worksheets (Hidden)</t>
  </si>
  <si>
    <t>PLEASE DO NOT DISTRIBUTE, ALL REQUESTS TO OBTAIN THIS WORKBOOK SHOULD BE MADE TO: Vireak Ly (Vireak.Ly@sce.com)</t>
  </si>
  <si>
    <t>Product Name: Lighting Solutions Workbook (2014) Volume I</t>
  </si>
  <si>
    <t>Average of Application Energy Consumption Across California (IOU Territory)</t>
  </si>
  <si>
    <t>Summary Custom</t>
  </si>
  <si>
    <t>Market Solutions for Custom Reports</t>
  </si>
  <si>
    <t xml:space="preserve">The purpose of this workbook is to provide information in support of the LMT Team's strategic planning processes, including prioritization of lighting technologies to include in the LMT pipeline plan. With this workbook, the LMT team will be better positioned to identify market sectors with the greatest savings opportunity and the most appropriate technology solutions for those markets.
This workbook encompasses a high level overview of savings opportunities for lighting across all major market sectors and applicable technologies. It also contains market data relevant to program planning, such as market barriers, saturation, and emerging technology life cycle stage. 
Data in the workbook come from various sources, many specific to California (e.g., CEC energy consumption forecasts and saturation surveys). Other data sources include market saturation studies or technology evaluations performed nationally or in other states , and consensus from multiple lighting experts. </t>
  </si>
  <si>
    <t>The workbook has a main worksheet called "Market Solutions," which links to data on multiple supporting worksheets. These worksheets are named as Ref-xxxx, hidden and locked. There are four summary sheets which show high level charts based on the data in "Market Solutions". These summary sheets are: Summary-Residential, Summary-NonResidentialInterior, Summary-NonResidentialExterior, and Summary-Custom. The "Market Solutions" tab and the tables underlying the charts on all summary sheets are locked, except for the Summary-Custom sheet. This sheet is open to the user to create tables and charts based on a particular area of interest. In order to make custom charts, while keeping the data in the "Market Solutions" worksheet intact, an unlocked and unprotected "Market Solutions for Custom Reports" worksheet has been provided, which includes the same data in the "Market Solutions" tab but without the underlying links and formulas.</t>
  </si>
  <si>
    <t>In order to create custom reports and charts here, use the data in the "MarketSolutions_4CustomReports" worksheet.</t>
  </si>
  <si>
    <t xml:space="preserve">Warning - This is an unprotected copy of the data in the Market Solutions Tab.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</si>
</sst>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
    <numFmt numFmtId="165" formatCode="0.0%"/>
    <numFmt numFmtId="166" formatCode="_(* #,##0_);_(* \(#,##0\);_(* &quot;-&quot;??_);_(@_)"/>
    <numFmt numFmtId="167" formatCode="#,##0.00\ [$€-1];[Red]\-#,##0.00\ [$€-1]"/>
    <numFmt numFmtId="168" formatCode="#,##0.0"/>
    <numFmt numFmtId="169" formatCode="0.0000"/>
    <numFmt numFmtId="170" formatCode="0.000%"/>
  </numFmts>
  <fonts count="73">
    <font>
      <sz val="11"/>
      <color theme="1"/>
      <name val="Calibri"/>
      <family val="2"/>
      <scheme val="minor"/>
    </font>
    <font>
      <sz val="10"/>
      <color theme="1"/>
      <name val="Calibri"/>
      <family val="2"/>
      <scheme val="minor"/>
    </font>
    <font>
      <b/>
      <sz val="11"/>
      <color theme="1"/>
      <name val="Calibri"/>
      <family val="2"/>
      <scheme val="minor"/>
    </font>
    <font>
      <b/>
      <sz val="10"/>
      <name val="Arial"/>
      <family val="2"/>
    </font>
    <font>
      <sz val="8"/>
      <color theme="1"/>
      <name val="Calibri"/>
      <family val="2"/>
      <scheme val="minor"/>
    </font>
    <font>
      <sz val="11"/>
      <color theme="1"/>
      <name val="Calibri"/>
      <family val="2"/>
      <scheme val="minor"/>
    </font>
    <font>
      <sz val="10"/>
      <name val="Arial"/>
      <family val="2"/>
    </font>
    <font>
      <sz val="10"/>
      <name val="MS Sans Serif"/>
      <family val="2"/>
    </font>
    <font>
      <b/>
      <sz val="10"/>
      <name val="MS Sans Serif"/>
      <family val="2"/>
    </font>
    <font>
      <sz val="10"/>
      <color rgb="FFFF0000"/>
      <name val="MS Sans Serif"/>
      <family val="2"/>
    </font>
    <font>
      <i/>
      <sz val="10"/>
      <name val="Arial"/>
      <family val="2"/>
    </font>
    <font>
      <b/>
      <sz val="10"/>
      <name val="Times New Roman"/>
      <family val="1"/>
    </font>
    <font>
      <sz val="8"/>
      <name val="Calibri"/>
      <family val="2"/>
      <scheme val="minor"/>
    </font>
    <font>
      <sz val="9"/>
      <color theme="1"/>
      <name val="Calibri"/>
      <family val="2"/>
      <scheme val="minor"/>
    </font>
    <font>
      <sz val="9"/>
      <name val="Calibri"/>
      <family val="2"/>
      <scheme val="minor"/>
    </font>
    <font>
      <u/>
      <sz val="11"/>
      <color theme="10"/>
      <name val="Calibri"/>
      <family val="2"/>
    </font>
    <font>
      <b/>
      <sz val="10"/>
      <color theme="1"/>
      <name val="MS Sans Serif"/>
      <family val="2"/>
    </font>
    <font>
      <b/>
      <sz val="11"/>
      <color theme="0"/>
      <name val="Calibri"/>
      <family val="2"/>
      <scheme val="minor"/>
    </font>
    <font>
      <b/>
      <sz val="18"/>
      <color theme="1"/>
      <name val="Calibri"/>
      <family val="2"/>
      <scheme val="minor"/>
    </font>
    <font>
      <sz val="11"/>
      <color theme="0"/>
      <name val="Calibri"/>
      <family val="2"/>
      <scheme val="minor"/>
    </font>
    <font>
      <b/>
      <sz val="10"/>
      <color theme="0"/>
      <name val="MS Sans Serif"/>
      <family val="2"/>
    </font>
    <font>
      <b/>
      <sz val="10"/>
      <color theme="0"/>
      <name val="Arial"/>
      <family val="2"/>
    </font>
    <font>
      <b/>
      <sz val="10"/>
      <color theme="0"/>
      <name val="Times New Roman"/>
      <family val="1"/>
    </font>
    <font>
      <sz val="11"/>
      <color theme="1"/>
      <name val="Gill Sans MT"/>
      <family val="2"/>
    </font>
    <font>
      <b/>
      <sz val="18"/>
      <color theme="1"/>
      <name val="Gill Sans MT"/>
      <family val="2"/>
    </font>
    <font>
      <sz val="18"/>
      <color theme="1"/>
      <name val="Gill Sans MT"/>
      <family val="2"/>
    </font>
    <font>
      <sz val="14"/>
      <color rgb="FFFF0000"/>
      <name val="Calibri"/>
      <family val="2"/>
      <scheme val="minor"/>
    </font>
    <font>
      <sz val="11"/>
      <color rgb="FF9C0006"/>
      <name val="Calibri"/>
      <family val="2"/>
      <scheme val="minor"/>
    </font>
    <font>
      <sz val="11"/>
      <name val="Calibri"/>
      <family val="2"/>
      <scheme val="minor"/>
    </font>
    <font>
      <sz val="11"/>
      <color rgb="FF9C6500"/>
      <name val="Calibri"/>
      <family val="2"/>
      <scheme val="minor"/>
    </font>
    <font>
      <b/>
      <sz val="9"/>
      <color rgb="FFFF0000"/>
      <name val="Calibri"/>
      <family val="2"/>
      <scheme val="minor"/>
    </font>
    <font>
      <sz val="12"/>
      <color rgb="FFFF0000"/>
      <name val="Calibri"/>
      <family val="2"/>
      <scheme val="minor"/>
    </font>
    <font>
      <sz val="11"/>
      <color theme="1"/>
      <name val="Calibri"/>
      <family val="2"/>
    </font>
    <font>
      <sz val="11"/>
      <color rgb="FFFF0000"/>
      <name val="Calibri"/>
      <family val="2"/>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i/>
      <sz val="11"/>
      <color theme="1"/>
      <name val="Calibri"/>
      <family val="2"/>
      <scheme val="minor"/>
    </font>
    <font>
      <b/>
      <sz val="14"/>
      <color theme="1"/>
      <name val="Calibri"/>
      <family val="2"/>
      <scheme val="minor"/>
    </font>
    <font>
      <i/>
      <u/>
      <sz val="11"/>
      <color theme="1"/>
      <name val="Calibri"/>
      <family val="2"/>
      <scheme val="minor"/>
    </font>
    <font>
      <sz val="9"/>
      <color indexed="81"/>
      <name val="Tahoma"/>
      <family val="2"/>
    </font>
    <font>
      <b/>
      <sz val="9"/>
      <color indexed="81"/>
      <name val="Tahoma"/>
      <family val="2"/>
    </font>
    <font>
      <b/>
      <sz val="14"/>
      <color rgb="FFFF0000"/>
      <name val="Calibri"/>
      <family val="2"/>
      <scheme val="minor"/>
    </font>
    <font>
      <sz val="9"/>
      <color rgb="FFFF0000"/>
      <name val="Calibri"/>
      <family val="2"/>
      <scheme val="minor"/>
    </font>
    <font>
      <sz val="12"/>
      <color theme="1"/>
      <name val="Calibri"/>
      <family val="2"/>
      <scheme val="minor"/>
    </font>
    <font>
      <sz val="12"/>
      <color theme="0"/>
      <name val="Calibri"/>
      <family val="2"/>
      <scheme val="minor"/>
    </font>
    <font>
      <sz val="10"/>
      <color theme="1"/>
      <name val="Calibri"/>
      <family val="2"/>
      <scheme val="minor"/>
    </font>
    <font>
      <i/>
      <sz val="10"/>
      <color theme="1"/>
      <name val="Calibri"/>
      <family val="2"/>
      <scheme val="minor"/>
    </font>
    <font>
      <sz val="9"/>
      <color theme="1"/>
      <name val="Calibri"/>
      <family val="2"/>
      <scheme val="minor"/>
    </font>
    <font>
      <sz val="8"/>
      <name val="Calibri"/>
      <family val="2"/>
      <scheme val="minor"/>
    </font>
    <font>
      <sz val="8"/>
      <color theme="1"/>
      <name val="Calibri"/>
      <family val="2"/>
      <scheme val="minor"/>
    </font>
    <font>
      <sz val="11"/>
      <color rgb="FFFFFFFF"/>
      <name val="Calibri"/>
      <family val="2"/>
      <scheme val="minor"/>
    </font>
    <font>
      <b/>
      <sz val="10"/>
      <color indexed="8"/>
      <name val="Times Roman"/>
    </font>
    <font>
      <sz val="10"/>
      <color indexed="8"/>
      <name val="Times Roman"/>
    </font>
    <font>
      <sz val="8"/>
      <color rgb="FFFF0000"/>
      <name val="Calibri"/>
      <family val="2"/>
      <scheme val="minor"/>
    </font>
    <font>
      <u/>
      <sz val="9"/>
      <name val="Calibri"/>
      <family val="2"/>
    </font>
    <font>
      <u/>
      <sz val="11"/>
      <name val="Calibri"/>
      <family val="2"/>
    </font>
    <font>
      <sz val="9"/>
      <color rgb="FFFFFFFF"/>
      <name val="Calibri"/>
      <family val="2"/>
      <scheme val="minor"/>
    </font>
    <font>
      <sz val="9"/>
      <color rgb="FF000000"/>
      <name val="Calibri"/>
      <family val="2"/>
      <scheme val="minor"/>
    </font>
    <font>
      <b/>
      <sz val="9"/>
      <color theme="1"/>
      <name val="Calibri"/>
      <family val="2"/>
      <scheme val="minor"/>
    </font>
    <font>
      <b/>
      <sz val="14"/>
      <color theme="1"/>
      <name val="Gill Sans MT"/>
      <family val="2"/>
    </font>
    <font>
      <sz val="14"/>
      <color theme="1"/>
      <name val="Gill Sans MT"/>
      <family val="2"/>
    </font>
    <font>
      <sz val="14"/>
      <color theme="1"/>
      <name val="Calibri"/>
      <family val="2"/>
      <scheme val="minor"/>
    </font>
    <font>
      <sz val="14"/>
      <color rgb="FFFF0000"/>
      <name val="Gill Sans MT"/>
      <family val="2"/>
    </font>
    <font>
      <b/>
      <sz val="22"/>
      <color rgb="FFFF0000"/>
      <name val="Calibri"/>
      <family val="2"/>
      <scheme val="minor"/>
    </font>
  </fonts>
  <fills count="67">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3"/>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0" tint="-0.14999847407452621"/>
        <bgColor theme="0" tint="-0.14999847407452621"/>
      </patternFill>
    </fill>
    <fill>
      <patternFill patternType="solid">
        <fgColor theme="9"/>
        <bgColor theme="9"/>
      </patternFill>
    </fill>
    <fill>
      <patternFill patternType="solid">
        <fgColor theme="9" tint="0.79998168889431442"/>
        <bgColor theme="9" tint="0.79998168889431442"/>
      </patternFill>
    </fill>
    <fill>
      <patternFill patternType="solid">
        <fgColor theme="3" tint="0.79998168889431442"/>
        <bgColor indexed="64"/>
      </patternFill>
    </fill>
    <fill>
      <patternFill patternType="solid">
        <fgColor rgb="FFFFFF00"/>
        <bgColor indexed="64"/>
      </patternFill>
    </fill>
    <fill>
      <patternFill patternType="solid">
        <fgColor rgb="FFFFC7CE"/>
      </patternFill>
    </fill>
    <fill>
      <patternFill patternType="solid">
        <fgColor theme="4" tint="0.59999389629810485"/>
        <bgColor indexed="65"/>
      </patternFill>
    </fill>
    <fill>
      <patternFill patternType="solid">
        <fgColor theme="4"/>
      </patternFill>
    </fill>
    <fill>
      <patternFill patternType="solid">
        <fgColor rgb="FFFFEB9C"/>
      </patternFill>
    </fill>
    <fill>
      <patternFill patternType="solid">
        <fgColor rgb="FFA5A5A5"/>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00B0F0"/>
        <bgColor indexed="64"/>
      </patternFill>
    </fill>
    <fill>
      <patternFill patternType="solid">
        <fgColor rgb="FF4F81BD"/>
        <bgColor indexed="64"/>
      </patternFill>
    </fill>
    <fill>
      <patternFill patternType="solid">
        <fgColor theme="9" tint="0.79998168889431442"/>
        <bgColor indexed="64"/>
      </patternFill>
    </fill>
    <fill>
      <patternFill patternType="solid">
        <fgColor rgb="FFBBBBBB"/>
        <bgColor indexed="64"/>
      </patternFill>
    </fill>
    <fill>
      <patternFill patternType="solid">
        <fgColor rgb="FFFFFFFF"/>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FFCCCC"/>
        <bgColor indexed="64"/>
      </patternFill>
    </fill>
    <fill>
      <patternFill patternType="solid">
        <fgColor rgb="FFCCFFCC"/>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66FFCC"/>
        <bgColor indexed="64"/>
      </patternFill>
    </fill>
    <fill>
      <patternFill patternType="solid">
        <fgColor rgb="FFCCCCFF"/>
        <bgColor indexed="64"/>
      </patternFill>
    </fill>
    <fill>
      <patternFill patternType="solid">
        <fgColor rgb="FF99CCFF"/>
        <bgColor indexed="64"/>
      </patternFill>
    </fill>
    <fill>
      <patternFill patternType="solid">
        <fgColor rgb="FFFFFFCC"/>
        <bgColor indexed="64"/>
      </patternFill>
    </fill>
    <fill>
      <patternFill patternType="solid">
        <fgColor rgb="FFFFFF99"/>
        <bgColor indexed="64"/>
      </patternFill>
    </fill>
    <fill>
      <patternFill patternType="solid">
        <fgColor theme="0"/>
        <bgColor indexed="64"/>
      </patternFill>
    </fill>
    <fill>
      <patternFill patternType="solid">
        <fgColor rgb="FFFCE4D6"/>
        <bgColor indexed="64"/>
      </patternFill>
    </fill>
  </fills>
  <borders count="102">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ck">
        <color indexed="8"/>
      </left>
      <right style="thick">
        <color indexed="64"/>
      </right>
      <top style="thick">
        <color indexed="8"/>
      </top>
      <bottom style="thick">
        <color indexed="8"/>
      </bottom>
      <diagonal/>
    </border>
    <border>
      <left/>
      <right style="medium">
        <color indexed="8"/>
      </right>
      <top style="thick">
        <color indexed="8"/>
      </top>
      <bottom style="thick">
        <color indexed="8"/>
      </bottom>
      <diagonal/>
    </border>
    <border>
      <left/>
      <right style="double">
        <color indexed="64"/>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style="thick">
        <color indexed="64"/>
      </right>
      <top/>
      <bottom style="medium">
        <color indexed="8"/>
      </bottom>
      <diagonal/>
    </border>
    <border>
      <left/>
      <right style="medium">
        <color indexed="8"/>
      </right>
      <top/>
      <bottom style="medium">
        <color indexed="8"/>
      </bottom>
      <diagonal/>
    </border>
    <border>
      <left/>
      <right style="double">
        <color indexed="64"/>
      </right>
      <top/>
      <bottom style="medium">
        <color indexed="8"/>
      </bottom>
      <diagonal/>
    </border>
    <border>
      <left/>
      <right style="thick">
        <color indexed="8"/>
      </right>
      <top/>
      <bottom style="medium">
        <color indexed="8"/>
      </bottom>
      <diagonal/>
    </border>
    <border>
      <left style="thick">
        <color indexed="8"/>
      </left>
      <right style="thick">
        <color indexed="64"/>
      </right>
      <top/>
      <bottom style="double">
        <color indexed="64"/>
      </bottom>
      <diagonal/>
    </border>
    <border>
      <left/>
      <right style="medium">
        <color indexed="8"/>
      </right>
      <top/>
      <bottom style="double">
        <color indexed="64"/>
      </bottom>
      <diagonal/>
    </border>
    <border>
      <left/>
      <right style="double">
        <color indexed="64"/>
      </right>
      <top/>
      <bottom style="double">
        <color indexed="64"/>
      </bottom>
      <diagonal/>
    </border>
    <border>
      <left/>
      <right style="thick">
        <color indexed="8"/>
      </right>
      <top/>
      <bottom style="double">
        <color indexed="64"/>
      </bottom>
      <diagonal/>
    </border>
    <border>
      <left style="thick">
        <color indexed="8"/>
      </left>
      <right style="thick">
        <color indexed="64"/>
      </right>
      <top/>
      <bottom style="thick">
        <color indexed="8"/>
      </bottom>
      <diagonal/>
    </border>
    <border>
      <left/>
      <right style="medium">
        <color indexed="8"/>
      </right>
      <top/>
      <bottom style="thick">
        <color indexed="8"/>
      </bottom>
      <diagonal/>
    </border>
    <border>
      <left/>
      <right style="double">
        <color indexed="64"/>
      </right>
      <top/>
      <bottom style="thick">
        <color indexed="8"/>
      </bottom>
      <diagonal/>
    </border>
    <border>
      <left/>
      <right style="thick">
        <color indexed="8"/>
      </right>
      <top/>
      <bottom style="thick">
        <color indexed="8"/>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right/>
      <top style="medium">
        <color theme="1"/>
      </top>
      <bottom style="medium">
        <color theme="1"/>
      </bottom>
      <diagonal/>
    </border>
    <border>
      <left/>
      <right/>
      <top/>
      <bottom style="medium">
        <color theme="1"/>
      </bottom>
      <diagonal/>
    </border>
    <border>
      <left/>
      <right style="thin">
        <color theme="0"/>
      </right>
      <top style="thick">
        <color theme="0"/>
      </top>
      <bottom/>
      <diagonal/>
    </border>
    <border>
      <left/>
      <right/>
      <top style="thick">
        <color theme="0"/>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thin">
        <color theme="9" tint="0.39997558519241921"/>
      </right>
      <top/>
      <bottom style="thin">
        <color theme="9" tint="0.39997558519241921"/>
      </bottom>
      <diagonal/>
    </border>
    <border>
      <left style="thin">
        <color indexed="64"/>
      </left>
      <right/>
      <top/>
      <bottom/>
      <diagonal/>
    </border>
    <border>
      <left/>
      <right style="thin">
        <color indexed="64"/>
      </right>
      <top/>
      <bottom/>
      <diagonal/>
    </border>
    <border>
      <left style="medium">
        <color indexed="64"/>
      </left>
      <right style="thin">
        <color theme="0"/>
      </right>
      <top/>
      <bottom style="thick">
        <color theme="0"/>
      </bottom>
      <diagonal/>
    </border>
    <border>
      <left/>
      <right style="medium">
        <color indexed="64"/>
      </right>
      <top/>
      <bottom style="thick">
        <color theme="0"/>
      </bottom>
      <diagonal/>
    </border>
    <border>
      <left style="medium">
        <color indexed="64"/>
      </left>
      <right style="thin">
        <color theme="0"/>
      </right>
      <top/>
      <bottom style="thin">
        <color theme="0"/>
      </bottom>
      <diagonal/>
    </border>
    <border>
      <left/>
      <right style="medium">
        <color indexed="64"/>
      </right>
      <top/>
      <bottom style="thin">
        <color theme="0"/>
      </bottom>
      <diagonal/>
    </border>
    <border>
      <left style="medium">
        <color indexed="64"/>
      </left>
      <right style="thin">
        <color theme="0"/>
      </right>
      <top/>
      <bottom style="medium">
        <color indexed="64"/>
      </bottom>
      <diagonal/>
    </border>
    <border>
      <left/>
      <right style="thin">
        <color theme="0"/>
      </right>
      <top/>
      <bottom style="medium">
        <color indexed="64"/>
      </bottom>
      <diagonal/>
    </border>
    <border>
      <left style="medium">
        <color indexed="64"/>
      </left>
      <right style="thin">
        <color theme="0"/>
      </right>
      <top style="medium">
        <color indexed="64"/>
      </top>
      <bottom style="thick">
        <color theme="0"/>
      </bottom>
      <diagonal/>
    </border>
    <border>
      <left/>
      <right style="thin">
        <color theme="0"/>
      </right>
      <top style="medium">
        <color indexed="64"/>
      </top>
      <bottom style="thick">
        <color theme="0"/>
      </bottom>
      <diagonal/>
    </border>
    <border>
      <left/>
      <right style="medium">
        <color indexed="64"/>
      </right>
      <top style="medium">
        <color indexed="64"/>
      </top>
      <bottom style="thick">
        <color theme="0"/>
      </bottom>
      <diagonal/>
    </border>
    <border>
      <left style="medium">
        <color indexed="64"/>
      </left>
      <right style="thin">
        <color theme="0"/>
      </right>
      <top/>
      <bottom/>
      <diagonal/>
    </border>
    <border>
      <left/>
      <right style="thin">
        <color theme="0"/>
      </right>
      <top/>
      <bottom style="thick">
        <color rgb="FFCCCCCC"/>
      </bottom>
      <diagonal/>
    </border>
    <border>
      <left style="double">
        <color rgb="FF3F3F3F"/>
      </left>
      <right style="double">
        <color rgb="FF3F3F3F"/>
      </right>
      <top style="double">
        <color rgb="FF3F3F3F"/>
      </top>
      <bottom style="double">
        <color rgb="FF3F3F3F"/>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medium">
        <color indexed="64"/>
      </top>
      <bottom style="thick">
        <color theme="0"/>
      </bottom>
      <diagonal/>
    </border>
    <border>
      <left style="medium">
        <color indexed="64"/>
      </left>
      <right style="medium">
        <color indexed="64"/>
      </right>
      <top style="medium">
        <color indexed="64"/>
      </top>
      <bottom style="thick">
        <color theme="0"/>
      </bottom>
      <diagonal/>
    </border>
    <border>
      <left style="thin">
        <color theme="0"/>
      </left>
      <right style="medium">
        <color indexed="64"/>
      </right>
      <top style="medium">
        <color indexed="64"/>
      </top>
      <bottom style="thick">
        <color theme="0"/>
      </bottom>
      <diagonal/>
    </border>
    <border>
      <left style="thin">
        <color auto="1"/>
      </left>
      <right style="thin">
        <color auto="1"/>
      </right>
      <top style="medium">
        <color indexed="64"/>
      </top>
      <bottom style="thin">
        <color auto="1"/>
      </bottom>
      <diagonal/>
    </border>
    <border>
      <left style="medium">
        <color rgb="FF4F81BD"/>
      </left>
      <right/>
      <top style="medium">
        <color indexed="64"/>
      </top>
      <bottom style="medium">
        <color indexed="64"/>
      </bottom>
      <diagonal/>
    </border>
    <border>
      <left style="thin">
        <color auto="1"/>
      </left>
      <right style="thin">
        <color auto="1"/>
      </right>
      <top style="thin">
        <color auto="1"/>
      </top>
      <bottom style="thick">
        <color auto="1"/>
      </bottom>
      <diagonal/>
    </border>
    <border>
      <left style="medium">
        <color auto="1"/>
      </left>
      <right/>
      <top style="thick">
        <color auto="1"/>
      </top>
      <bottom style="double">
        <color auto="1"/>
      </bottom>
      <diagonal/>
    </border>
    <border>
      <left/>
      <right/>
      <top style="thick">
        <color auto="1"/>
      </top>
      <bottom style="double">
        <color auto="1"/>
      </bottom>
      <diagonal/>
    </border>
    <border>
      <left style="thin">
        <color auto="1"/>
      </left>
      <right style="thin">
        <color auto="1"/>
      </right>
      <top style="double">
        <color auto="1"/>
      </top>
      <bottom style="thin">
        <color auto="1"/>
      </bottom>
      <diagonal/>
    </border>
    <border>
      <left style="medium">
        <color rgb="FF4F81BD"/>
      </left>
      <right/>
      <top style="medium">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thin">
        <color rgb="FF000000"/>
      </left>
      <right/>
      <top/>
      <bottom/>
      <diagonal/>
    </border>
  </borders>
  <cellStyleXfs count="48">
    <xf numFmtId="0" fontId="0" fillId="0" borderId="0"/>
    <xf numFmtId="9" fontId="5" fillId="0" borderId="0" applyFont="0" applyFill="0" applyBorder="0" applyAlignment="0" applyProtection="0"/>
    <xf numFmtId="0" fontId="6" fillId="0" borderId="0"/>
    <xf numFmtId="0" fontId="7" fillId="0" borderId="0"/>
    <xf numFmtId="0" fontId="6" fillId="0" borderId="0"/>
    <xf numFmtId="0" fontId="15" fillId="0" borderId="0" applyNumberFormat="0" applyFill="0" applyBorder="0" applyAlignment="0" applyProtection="0">
      <alignment vertical="top"/>
      <protection locked="0"/>
    </xf>
    <xf numFmtId="43" fontId="5" fillId="0" borderId="0" applyFont="0" applyFill="0" applyBorder="0" applyAlignment="0" applyProtection="0"/>
    <xf numFmtId="0" fontId="27" fillId="15" borderId="0" applyNumberFormat="0" applyBorder="0" applyAlignment="0" applyProtection="0"/>
    <xf numFmtId="0" fontId="5" fillId="16" borderId="0" applyNumberFormat="0" applyBorder="0" applyAlignment="0" applyProtection="0"/>
    <xf numFmtId="0" fontId="19" fillId="17" borderId="0" applyNumberFormat="0" applyBorder="0" applyAlignment="0" applyProtection="0"/>
    <xf numFmtId="0" fontId="29" fillId="18" borderId="0" applyNumberFormat="0" applyBorder="0" applyAlignment="0" applyProtection="0"/>
    <xf numFmtId="0" fontId="17" fillId="19" borderId="70" applyNumberFormat="0" applyAlignment="0" applyProtection="0"/>
    <xf numFmtId="0" fontId="35" fillId="0" borderId="0" applyNumberFormat="0" applyFill="0" applyBorder="0" applyAlignment="0" applyProtection="0"/>
    <xf numFmtId="0" fontId="36" fillId="0" borderId="74" applyNumberFormat="0" applyFill="0" applyAlignment="0" applyProtection="0"/>
    <xf numFmtId="0" fontId="37" fillId="0" borderId="75" applyNumberFormat="0" applyFill="0" applyAlignment="0" applyProtection="0"/>
    <xf numFmtId="0" fontId="38" fillId="0" borderId="76" applyNumberFormat="0" applyFill="0" applyAlignment="0" applyProtection="0"/>
    <xf numFmtId="0" fontId="38" fillId="0" borderId="0" applyNumberFormat="0" applyFill="0" applyBorder="0" applyAlignment="0" applyProtection="0"/>
    <xf numFmtId="0" fontId="39" fillId="22" borderId="0" applyNumberFormat="0" applyBorder="0" applyAlignment="0" applyProtection="0"/>
    <xf numFmtId="0" fontId="40" fillId="23" borderId="77" applyNumberFormat="0" applyAlignment="0" applyProtection="0"/>
    <xf numFmtId="0" fontId="41" fillId="24" borderId="78" applyNumberFormat="0" applyAlignment="0" applyProtection="0"/>
    <xf numFmtId="0" fontId="42" fillId="24" borderId="77" applyNumberFormat="0" applyAlignment="0" applyProtection="0"/>
    <xf numFmtId="0" fontId="43" fillId="0" borderId="79" applyNumberFormat="0" applyFill="0" applyAlignment="0" applyProtection="0"/>
    <xf numFmtId="0" fontId="34" fillId="0" borderId="0" applyNumberFormat="0" applyFill="0" applyBorder="0" applyAlignment="0" applyProtection="0"/>
    <xf numFmtId="0" fontId="5" fillId="25" borderId="80" applyNumberFormat="0" applyFont="0" applyAlignment="0" applyProtection="0"/>
    <xf numFmtId="0" fontId="44" fillId="0" borderId="0" applyNumberFormat="0" applyFill="0" applyBorder="0" applyAlignment="0" applyProtection="0"/>
    <xf numFmtId="0" fontId="2" fillId="0" borderId="81" applyNumberFormat="0" applyFill="0" applyAlignment="0" applyProtection="0"/>
    <xf numFmtId="0" fontId="5"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19" fillId="47" borderId="0" applyNumberFormat="0" applyBorder="0" applyAlignment="0" applyProtection="0"/>
  </cellStyleXfs>
  <cellXfs count="883">
    <xf numFmtId="0" fontId="0" fillId="0" borderId="0" xfId="0"/>
    <xf numFmtId="0" fontId="2" fillId="0" borderId="0" xfId="0" applyFont="1"/>
    <xf numFmtId="0" fontId="0" fillId="3" borderId="0" xfId="0" applyFill="1"/>
    <xf numFmtId="0" fontId="6" fillId="0" borderId="0" xfId="2" applyFont="1"/>
    <xf numFmtId="0" fontId="8" fillId="0" borderId="0" xfId="3" applyFont="1"/>
    <xf numFmtId="0" fontId="7" fillId="0" borderId="0" xfId="3"/>
    <xf numFmtId="0" fontId="7" fillId="0" borderId="0" xfId="3" applyFill="1"/>
    <xf numFmtId="10" fontId="0" fillId="0" borderId="0" xfId="0" applyNumberFormat="1"/>
    <xf numFmtId="9" fontId="0" fillId="0" borderId="0" xfId="0" applyNumberFormat="1"/>
    <xf numFmtId="0" fontId="9" fillId="0" borderId="0" xfId="3" applyFont="1" applyFill="1"/>
    <xf numFmtId="10" fontId="7" fillId="0" borderId="0" xfId="3" applyNumberFormat="1" applyFill="1"/>
    <xf numFmtId="0" fontId="0" fillId="0" borderId="10" xfId="0" applyBorder="1"/>
    <xf numFmtId="0" fontId="0" fillId="0" borderId="11" xfId="0" applyBorder="1"/>
    <xf numFmtId="0" fontId="0" fillId="0" borderId="0" xfId="0" applyBorder="1"/>
    <xf numFmtId="0" fontId="0" fillId="0" borderId="14" xfId="0" applyBorder="1"/>
    <xf numFmtId="0" fontId="0" fillId="0" borderId="16" xfId="0" applyBorder="1"/>
    <xf numFmtId="0" fontId="0" fillId="0" borderId="9" xfId="0" applyBorder="1"/>
    <xf numFmtId="0" fontId="0" fillId="0" borderId="7" xfId="0" applyBorder="1"/>
    <xf numFmtId="0" fontId="0" fillId="0" borderId="12" xfId="0" applyFill="1" applyBorder="1">
      <alignment readingOrder="1"/>
    </xf>
    <xf numFmtId="0" fontId="0" fillId="0" borderId="10" xfId="0" applyFill="1" applyBorder="1">
      <alignment readingOrder="1"/>
    </xf>
    <xf numFmtId="0" fontId="0" fillId="0" borderId="10" xfId="0" applyFill="1" applyBorder="1"/>
    <xf numFmtId="0" fontId="0" fillId="0" borderId="11" xfId="0" applyFill="1" applyBorder="1"/>
    <xf numFmtId="0" fontId="0" fillId="0" borderId="15" xfId="0" applyFill="1" applyBorder="1">
      <alignment readingOrder="1"/>
    </xf>
    <xf numFmtId="0" fontId="0" fillId="0" borderId="0" xfId="0" applyFill="1" applyBorder="1">
      <alignment readingOrder="1"/>
    </xf>
    <xf numFmtId="0" fontId="0" fillId="0" borderId="0" xfId="0" applyFill="1" applyBorder="1"/>
    <xf numFmtId="0" fontId="0" fillId="0" borderId="14" xfId="0" applyFill="1" applyBorder="1"/>
    <xf numFmtId="9" fontId="0" fillId="0" borderId="0" xfId="0" applyNumberFormat="1" applyFill="1" applyBorder="1">
      <alignment readingOrder="1"/>
    </xf>
    <xf numFmtId="0" fontId="0" fillId="0" borderId="16" xfId="0" applyFill="1" applyBorder="1"/>
    <xf numFmtId="0" fontId="0" fillId="0" borderId="9" xfId="0" applyFill="1" applyBorder="1"/>
    <xf numFmtId="0" fontId="0" fillId="0" borderId="7" xfId="0" applyFill="1" applyBorder="1"/>
    <xf numFmtId="0" fontId="0" fillId="0" borderId="12" xfId="0" applyBorder="1"/>
    <xf numFmtId="0" fontId="0" fillId="0" borderId="15" xfId="0" applyBorder="1"/>
    <xf numFmtId="0" fontId="0" fillId="0" borderId="13" xfId="0" applyBorder="1"/>
    <xf numFmtId="9" fontId="0" fillId="0" borderId="0" xfId="1" applyFont="1"/>
    <xf numFmtId="0" fontId="4" fillId="0" borderId="0" xfId="0" applyFont="1"/>
    <xf numFmtId="0" fontId="13" fillId="0" borderId="0" xfId="0" applyFont="1"/>
    <xf numFmtId="0" fontId="2" fillId="0" borderId="0" xfId="0" applyFont="1" applyFill="1"/>
    <xf numFmtId="0" fontId="0" fillId="0" borderId="0" xfId="0" applyFill="1"/>
    <xf numFmtId="0" fontId="15" fillId="0" borderId="0" xfId="5" applyAlignment="1" applyProtection="1"/>
    <xf numFmtId="0" fontId="0" fillId="0" borderId="13" xfId="0" applyBorder="1" applyAlignment="1">
      <alignment horizontal="left"/>
    </xf>
    <xf numFmtId="0" fontId="0" fillId="0" borderId="13" xfId="0" applyNumberFormat="1" applyBorder="1"/>
    <xf numFmtId="0" fontId="0" fillId="0" borderId="0" xfId="0" applyFill="1" applyBorder="1" applyAlignment="1">
      <alignment horizontal="left"/>
    </xf>
    <xf numFmtId="165" fontId="0" fillId="0" borderId="13" xfId="1" applyNumberFormat="1" applyFont="1" applyBorder="1"/>
    <xf numFmtId="9" fontId="0" fillId="0" borderId="13" xfId="1" applyFont="1" applyBorder="1"/>
    <xf numFmtId="0" fontId="16" fillId="5" borderId="34" xfId="0" applyFont="1" applyFill="1" applyBorder="1"/>
    <xf numFmtId="0" fontId="16" fillId="5" borderId="35" xfId="0" applyFont="1" applyFill="1" applyBorder="1" applyAlignment="1">
      <alignment horizontal="left"/>
    </xf>
    <xf numFmtId="0" fontId="16" fillId="5" borderId="35" xfId="0" applyNumberFormat="1" applyFont="1" applyFill="1" applyBorder="1"/>
    <xf numFmtId="9" fontId="5" fillId="0" borderId="0" xfId="1" applyFont="1" applyBorder="1"/>
    <xf numFmtId="9" fontId="5" fillId="0" borderId="0" xfId="1" applyNumberFormat="1" applyFont="1" applyBorder="1"/>
    <xf numFmtId="9" fontId="0" fillId="0" borderId="0" xfId="1" applyFont="1" applyBorder="1"/>
    <xf numFmtId="0" fontId="0" fillId="0" borderId="0" xfId="0" applyBorder="1" applyAlignment="1">
      <alignment horizontal="left"/>
    </xf>
    <xf numFmtId="0" fontId="0" fillId="0" borderId="0" xfId="0" applyNumberFormat="1" applyBorder="1"/>
    <xf numFmtId="0" fontId="0" fillId="5" borderId="0" xfId="0" applyFont="1" applyFill="1" applyBorder="1"/>
    <xf numFmtId="0" fontId="17" fillId="8" borderId="0" xfId="0" applyFont="1" applyFill="1" applyBorder="1"/>
    <xf numFmtId="0" fontId="0" fillId="9" borderId="0" xfId="0" applyFont="1" applyFill="1" applyBorder="1"/>
    <xf numFmtId="3" fontId="0" fillId="5" borderId="0" xfId="0" applyNumberFormat="1" applyFont="1" applyFill="1" applyBorder="1"/>
    <xf numFmtId="166" fontId="0" fillId="0" borderId="0" xfId="0" applyNumberFormat="1"/>
    <xf numFmtId="0" fontId="2" fillId="5" borderId="34" xfId="0" applyFont="1" applyFill="1" applyBorder="1"/>
    <xf numFmtId="0" fontId="2" fillId="5" borderId="35" xfId="0" applyFont="1" applyFill="1" applyBorder="1"/>
    <xf numFmtId="1" fontId="2" fillId="5" borderId="35" xfId="0" applyNumberFormat="1" applyFont="1" applyFill="1" applyBorder="1"/>
    <xf numFmtId="166" fontId="2" fillId="5" borderId="35" xfId="0" applyNumberFormat="1" applyFont="1" applyFill="1" applyBorder="1"/>
    <xf numFmtId="166" fontId="0" fillId="0" borderId="0" xfId="0" applyNumberFormat="1" applyFill="1" applyBorder="1"/>
    <xf numFmtId="17" fontId="0" fillId="0" borderId="0" xfId="0" applyNumberFormat="1" applyBorder="1"/>
    <xf numFmtId="0" fontId="15" fillId="0" borderId="0" xfId="5" applyBorder="1" applyAlignment="1" applyProtection="1"/>
    <xf numFmtId="0" fontId="17" fillId="8" borderId="38" xfId="0" applyFont="1" applyFill="1" applyBorder="1"/>
    <xf numFmtId="0" fontId="17" fillId="8" borderId="39" xfId="0" applyFont="1" applyFill="1" applyBorder="1"/>
    <xf numFmtId="0" fontId="0" fillId="9" borderId="40" xfId="0" applyFont="1" applyFill="1" applyBorder="1"/>
    <xf numFmtId="165" fontId="0" fillId="9" borderId="41" xfId="1" applyNumberFormat="1" applyFont="1" applyFill="1" applyBorder="1"/>
    <xf numFmtId="0" fontId="0" fillId="5" borderId="40" xfId="0" applyFont="1" applyFill="1" applyBorder="1"/>
    <xf numFmtId="9" fontId="0" fillId="9" borderId="41" xfId="1" applyNumberFormat="1" applyFont="1" applyFill="1" applyBorder="1"/>
    <xf numFmtId="0" fontId="0" fillId="5" borderId="41" xfId="0" applyFont="1" applyFill="1" applyBorder="1"/>
    <xf numFmtId="0" fontId="0" fillId="9" borderId="41" xfId="0" applyFont="1" applyFill="1" applyBorder="1"/>
    <xf numFmtId="0" fontId="0" fillId="9" borderId="42" xfId="0" applyFont="1" applyFill="1" applyBorder="1"/>
    <xf numFmtId="0" fontId="17" fillId="8" borderId="43" xfId="0" applyFont="1" applyFill="1" applyBorder="1"/>
    <xf numFmtId="0" fontId="17" fillId="8" borderId="43" xfId="0" applyFont="1" applyFill="1" applyBorder="1" applyAlignment="1">
      <alignment wrapText="1"/>
    </xf>
    <xf numFmtId="0" fontId="0" fillId="10" borderId="0" xfId="0" applyFont="1" applyFill="1"/>
    <xf numFmtId="9" fontId="0" fillId="10" borderId="0" xfId="1" applyNumberFormat="1" applyFont="1" applyFill="1"/>
    <xf numFmtId="0" fontId="0" fillId="0" borderId="0" xfId="0" applyFont="1"/>
    <xf numFmtId="9" fontId="0" fillId="0" borderId="0" xfId="1" applyNumberFormat="1" applyFont="1"/>
    <xf numFmtId="0" fontId="0" fillId="0" borderId="44" xfId="0" applyFont="1" applyBorder="1"/>
    <xf numFmtId="9" fontId="0" fillId="0" borderId="44" xfId="1" applyNumberFormat="1" applyFont="1" applyBorder="1"/>
    <xf numFmtId="9" fontId="0" fillId="5" borderId="41" xfId="1" applyNumberFormat="1" applyFont="1" applyFill="1" applyBorder="1"/>
    <xf numFmtId="9" fontId="0" fillId="9" borderId="0" xfId="1" applyNumberFormat="1" applyFont="1" applyFill="1" applyBorder="1"/>
    <xf numFmtId="0" fontId="17" fillId="8" borderId="45" xfId="0" applyFont="1" applyFill="1" applyBorder="1"/>
    <xf numFmtId="9" fontId="17" fillId="8" borderId="46" xfId="0" applyNumberFormat="1" applyFont="1" applyFill="1" applyBorder="1"/>
    <xf numFmtId="3" fontId="0" fillId="9" borderId="40" xfId="0" applyNumberFormat="1" applyFont="1" applyFill="1" applyBorder="1"/>
    <xf numFmtId="3" fontId="0" fillId="9" borderId="41" xfId="0" applyNumberFormat="1" applyFont="1" applyFill="1" applyBorder="1"/>
    <xf numFmtId="3" fontId="0" fillId="5" borderId="40" xfId="0" applyNumberFormat="1" applyFont="1" applyFill="1" applyBorder="1"/>
    <xf numFmtId="3" fontId="0" fillId="5" borderId="41" xfId="0" applyNumberFormat="1" applyFont="1" applyFill="1" applyBorder="1"/>
    <xf numFmtId="0" fontId="0" fillId="5" borderId="42" xfId="0" applyFont="1" applyFill="1" applyBorder="1"/>
    <xf numFmtId="3" fontId="0" fillId="5" borderId="42" xfId="0" applyNumberFormat="1" applyFont="1" applyFill="1" applyBorder="1"/>
    <xf numFmtId="0" fontId="18" fillId="0" borderId="0" xfId="0" applyFont="1"/>
    <xf numFmtId="0" fontId="3" fillId="8" borderId="13" xfId="2" applyFont="1" applyFill="1" applyBorder="1" applyAlignment="1">
      <alignment wrapText="1"/>
    </xf>
    <xf numFmtId="0" fontId="6" fillId="9" borderId="13" xfId="2" applyFont="1" applyFill="1" applyBorder="1"/>
    <xf numFmtId="164" fontId="6" fillId="9" borderId="13" xfId="2" applyNumberFormat="1" applyFont="1" applyFill="1" applyBorder="1"/>
    <xf numFmtId="0" fontId="6" fillId="5" borderId="13" xfId="2" applyFont="1" applyFill="1" applyBorder="1"/>
    <xf numFmtId="164" fontId="6" fillId="5" borderId="13" xfId="2" applyNumberFormat="1" applyFont="1" applyFill="1" applyBorder="1"/>
    <xf numFmtId="3" fontId="6" fillId="5" borderId="13" xfId="2" applyNumberFormat="1" applyFont="1" applyFill="1" applyBorder="1"/>
    <xf numFmtId="9" fontId="16" fillId="5" borderId="35" xfId="1" applyFont="1" applyFill="1" applyBorder="1" applyAlignment="1">
      <alignment horizontal="left"/>
    </xf>
    <xf numFmtId="3" fontId="16" fillId="5" borderId="35" xfId="0" applyNumberFormat="1" applyFont="1" applyFill="1" applyBorder="1" applyAlignment="1">
      <alignment horizontal="left"/>
    </xf>
    <xf numFmtId="164" fontId="0" fillId="0" borderId="13" xfId="0" applyNumberFormat="1" applyBorder="1"/>
    <xf numFmtId="0" fontId="0" fillId="5" borderId="0" xfId="0" applyFont="1" applyFill="1"/>
    <xf numFmtId="1" fontId="0" fillId="9" borderId="41" xfId="0" applyNumberFormat="1" applyFont="1" applyFill="1" applyBorder="1"/>
    <xf numFmtId="0" fontId="17" fillId="8" borderId="42" xfId="0" applyFont="1" applyFill="1" applyBorder="1"/>
    <xf numFmtId="0" fontId="0" fillId="9" borderId="13" xfId="0" applyFont="1" applyFill="1" applyBorder="1"/>
    <xf numFmtId="0" fontId="0" fillId="5" borderId="13" xfId="0" applyFont="1" applyFill="1" applyBorder="1"/>
    <xf numFmtId="1" fontId="0" fillId="5" borderId="13" xfId="0" applyNumberFormat="1" applyFont="1" applyFill="1" applyBorder="1"/>
    <xf numFmtId="0" fontId="7" fillId="12" borderId="54" xfId="3" applyFont="1" applyFill="1" applyBorder="1"/>
    <xf numFmtId="0" fontId="7" fillId="12" borderId="55" xfId="3" applyFont="1" applyFill="1" applyBorder="1"/>
    <xf numFmtId="10" fontId="7" fillId="12" borderId="55" xfId="3" applyNumberFormat="1" applyFont="1" applyFill="1" applyBorder="1"/>
    <xf numFmtId="10" fontId="7" fillId="12" borderId="56" xfId="3" applyNumberFormat="1" applyFont="1" applyFill="1" applyBorder="1"/>
    <xf numFmtId="0" fontId="7" fillId="0" borderId="54" xfId="3" applyFont="1" applyFill="1" applyBorder="1"/>
    <xf numFmtId="0" fontId="7" fillId="0" borderId="55" xfId="3" applyFont="1" applyFill="1" applyBorder="1"/>
    <xf numFmtId="10" fontId="7" fillId="0" borderId="55" xfId="3" applyNumberFormat="1" applyFont="1" applyFill="1" applyBorder="1"/>
    <xf numFmtId="10" fontId="7" fillId="0" borderId="56" xfId="3" applyNumberFormat="1" applyFont="1" applyFill="1" applyBorder="1"/>
    <xf numFmtId="0" fontId="17" fillId="11" borderId="51" xfId="0" applyFont="1" applyFill="1" applyBorder="1"/>
    <xf numFmtId="0" fontId="17" fillId="11" borderId="52" xfId="0" applyFont="1" applyFill="1" applyBorder="1"/>
    <xf numFmtId="0" fontId="17" fillId="11" borderId="53" xfId="0" applyFont="1" applyFill="1" applyBorder="1"/>
    <xf numFmtId="0" fontId="0" fillId="12" borderId="54" xfId="0" applyFont="1" applyFill="1" applyBorder="1"/>
    <xf numFmtId="10" fontId="0" fillId="12" borderId="55" xfId="0" applyNumberFormat="1" applyFont="1" applyFill="1" applyBorder="1"/>
    <xf numFmtId="9" fontId="0" fillId="12" borderId="55" xfId="0" applyNumberFormat="1" applyFont="1" applyFill="1" applyBorder="1"/>
    <xf numFmtId="10" fontId="0" fillId="12" borderId="56" xfId="0" applyNumberFormat="1" applyFont="1" applyFill="1" applyBorder="1"/>
    <xf numFmtId="0" fontId="0" fillId="0" borderId="54" xfId="0" applyFont="1" applyBorder="1"/>
    <xf numFmtId="10" fontId="0" fillId="0" borderId="55" xfId="0" applyNumberFormat="1" applyFont="1" applyBorder="1"/>
    <xf numFmtId="9" fontId="0" fillId="0" borderId="55" xfId="0" applyNumberFormat="1" applyFont="1" applyBorder="1"/>
    <xf numFmtId="10" fontId="0" fillId="0" borderId="56" xfId="0" applyNumberFormat="1" applyFont="1" applyBorder="1"/>
    <xf numFmtId="0" fontId="7" fillId="9" borderId="40" xfId="3" applyFont="1" applyFill="1" applyBorder="1"/>
    <xf numFmtId="10" fontId="7" fillId="9" borderId="40" xfId="3" applyNumberFormat="1" applyFont="1" applyFill="1" applyBorder="1"/>
    <xf numFmtId="10" fontId="7" fillId="9" borderId="41" xfId="3" applyNumberFormat="1" applyFont="1" applyFill="1" applyBorder="1"/>
    <xf numFmtId="0" fontId="7" fillId="5" borderId="40" xfId="3" applyFont="1" applyFill="1" applyBorder="1"/>
    <xf numFmtId="10" fontId="7" fillId="5" borderId="40" xfId="3" applyNumberFormat="1" applyFont="1" applyFill="1" applyBorder="1"/>
    <xf numFmtId="10" fontId="7" fillId="5" borderId="41" xfId="3" applyNumberFormat="1" applyFont="1" applyFill="1" applyBorder="1"/>
    <xf numFmtId="9" fontId="7" fillId="5" borderId="40" xfId="3" applyNumberFormat="1" applyFont="1" applyFill="1" applyBorder="1"/>
    <xf numFmtId="0" fontId="7" fillId="9" borderId="42" xfId="3" applyFont="1" applyFill="1" applyBorder="1"/>
    <xf numFmtId="10" fontId="7" fillId="9" borderId="42" xfId="3" applyNumberFormat="1" applyFont="1" applyFill="1" applyBorder="1"/>
    <xf numFmtId="10" fontId="7" fillId="9" borderId="0" xfId="3" applyNumberFormat="1" applyFont="1" applyFill="1"/>
    <xf numFmtId="0" fontId="20" fillId="8" borderId="38" xfId="3" applyFont="1" applyFill="1" applyBorder="1"/>
    <xf numFmtId="0" fontId="20" fillId="8" borderId="39" xfId="3" applyFont="1" applyFill="1" applyBorder="1"/>
    <xf numFmtId="0" fontId="20" fillId="11" borderId="51" xfId="3" applyFont="1" applyFill="1" applyBorder="1"/>
    <xf numFmtId="0" fontId="20" fillId="11" borderId="52" xfId="3" applyFont="1" applyFill="1" applyBorder="1"/>
    <xf numFmtId="0" fontId="20" fillId="11" borderId="53" xfId="3" applyFont="1" applyFill="1" applyBorder="1"/>
    <xf numFmtId="10" fontId="0" fillId="9" borderId="40" xfId="0" applyNumberFormat="1" applyFont="1" applyFill="1" applyBorder="1"/>
    <xf numFmtId="9" fontId="0" fillId="9" borderId="40" xfId="0" applyNumberFormat="1" applyFont="1" applyFill="1" applyBorder="1"/>
    <xf numFmtId="10" fontId="0" fillId="9" borderId="41" xfId="0" applyNumberFormat="1" applyFont="1" applyFill="1" applyBorder="1"/>
    <xf numFmtId="10" fontId="0" fillId="5" borderId="40" xfId="0" applyNumberFormat="1" applyFont="1" applyFill="1" applyBorder="1"/>
    <xf numFmtId="9" fontId="0" fillId="5" borderId="40" xfId="0" applyNumberFormat="1" applyFont="1" applyFill="1" applyBorder="1"/>
    <xf numFmtId="10" fontId="0" fillId="5" borderId="41" xfId="0" applyNumberFormat="1" applyFont="1" applyFill="1" applyBorder="1"/>
    <xf numFmtId="10" fontId="0" fillId="9" borderId="42" xfId="0" applyNumberFormat="1" applyFont="1" applyFill="1" applyBorder="1"/>
    <xf numFmtId="9" fontId="0" fillId="9" borderId="42" xfId="0" applyNumberFormat="1" applyFont="1" applyFill="1" applyBorder="1"/>
    <xf numFmtId="10" fontId="0" fillId="9" borderId="0" xfId="0" applyNumberFormat="1" applyFont="1" applyFill="1"/>
    <xf numFmtId="165" fontId="0" fillId="9" borderId="40" xfId="1" applyNumberFormat="1" applyFont="1" applyFill="1" applyBorder="1"/>
    <xf numFmtId="165" fontId="0" fillId="5" borderId="40" xfId="1" applyNumberFormat="1" applyFont="1" applyFill="1" applyBorder="1"/>
    <xf numFmtId="165" fontId="0" fillId="5" borderId="41" xfId="1" applyNumberFormat="1" applyFont="1" applyFill="1" applyBorder="1"/>
    <xf numFmtId="165" fontId="0" fillId="9" borderId="42" xfId="1" applyNumberFormat="1" applyFont="1" applyFill="1" applyBorder="1"/>
    <xf numFmtId="165" fontId="0" fillId="9" borderId="0" xfId="1" applyNumberFormat="1" applyFont="1" applyFill="1"/>
    <xf numFmtId="0" fontId="0" fillId="3" borderId="13" xfId="0" applyFill="1" applyBorder="1"/>
    <xf numFmtId="3" fontId="0" fillId="3" borderId="13" xfId="0" applyNumberFormat="1" applyFill="1" applyBorder="1"/>
    <xf numFmtId="9" fontId="0" fillId="3" borderId="13" xfId="0" applyNumberFormat="1" applyFill="1" applyBorder="1"/>
    <xf numFmtId="0" fontId="19" fillId="4" borderId="50" xfId="0" applyFont="1" applyFill="1" applyBorder="1"/>
    <xf numFmtId="0" fontId="19" fillId="4" borderId="57" xfId="0" applyFont="1" applyFill="1" applyBorder="1"/>
    <xf numFmtId="0" fontId="19" fillId="4" borderId="48" xfId="0" applyFont="1" applyFill="1" applyBorder="1"/>
    <xf numFmtId="9" fontId="0" fillId="3" borderId="49" xfId="0" applyNumberFormat="1" applyFill="1" applyBorder="1"/>
    <xf numFmtId="9" fontId="0" fillId="3" borderId="58" xfId="0" applyNumberFormat="1" applyFill="1" applyBorder="1"/>
    <xf numFmtId="9" fontId="0" fillId="3" borderId="47" xfId="0" applyNumberFormat="1" applyFill="1" applyBorder="1"/>
    <xf numFmtId="9" fontId="0" fillId="5" borderId="0" xfId="1" applyNumberFormat="1" applyFont="1" applyFill="1"/>
    <xf numFmtId="0" fontId="3" fillId="3" borderId="0" xfId="4" applyFont="1" applyFill="1" applyBorder="1"/>
    <xf numFmtId="0" fontId="6" fillId="3" borderId="0" xfId="4" applyFill="1" applyBorder="1"/>
    <xf numFmtId="0" fontId="6" fillId="9" borderId="40" xfId="4" applyFont="1" applyFill="1" applyBorder="1"/>
    <xf numFmtId="9" fontId="6" fillId="9" borderId="40" xfId="4" applyNumberFormat="1" applyFont="1" applyFill="1" applyBorder="1"/>
    <xf numFmtId="0" fontId="6" fillId="9" borderId="41" xfId="4" applyFont="1" applyFill="1" applyBorder="1"/>
    <xf numFmtId="0" fontId="6" fillId="5" borderId="40" xfId="4" applyFont="1" applyFill="1" applyBorder="1"/>
    <xf numFmtId="9" fontId="6" fillId="5" borderId="40" xfId="4" applyNumberFormat="1" applyFont="1" applyFill="1" applyBorder="1"/>
    <xf numFmtId="0" fontId="6" fillId="5" borderId="41" xfId="4" applyFont="1" applyFill="1" applyBorder="1"/>
    <xf numFmtId="0" fontId="6" fillId="9" borderId="42" xfId="4" applyFont="1" applyFill="1" applyBorder="1"/>
    <xf numFmtId="9" fontId="6" fillId="9" borderId="42" xfId="4" applyNumberFormat="1" applyFont="1" applyFill="1" applyBorder="1" applyAlignment="1">
      <alignment horizontal="right"/>
    </xf>
    <xf numFmtId="3" fontId="6" fillId="9" borderId="0" xfId="4" applyNumberFormat="1" applyFont="1" applyFill="1" applyBorder="1" applyAlignment="1">
      <alignment horizontal="right"/>
    </xf>
    <xf numFmtId="0" fontId="21" fillId="8" borderId="38" xfId="4" applyFont="1" applyFill="1" applyBorder="1"/>
    <xf numFmtId="0" fontId="21" fillId="8" borderId="39" xfId="4" applyFont="1" applyFill="1" applyBorder="1"/>
    <xf numFmtId="9" fontId="0" fillId="3" borderId="0" xfId="0" applyNumberFormat="1" applyFill="1"/>
    <xf numFmtId="0" fontId="10" fillId="0" borderId="0" xfId="4" applyFont="1" applyFill="1"/>
    <xf numFmtId="0" fontId="6" fillId="0" borderId="0" xfId="4" applyFill="1"/>
    <xf numFmtId="0" fontId="11" fillId="0" borderId="0" xfId="0" applyFont="1" applyFill="1" applyAlignment="1">
      <alignment horizontal="left"/>
    </xf>
    <xf numFmtId="0" fontId="0" fillId="0" borderId="0" xfId="0" applyFill="1">
      <alignment readingOrder="1"/>
    </xf>
    <xf numFmtId="0" fontId="11" fillId="9" borderId="22" xfId="0" applyFont="1" applyFill="1" applyBorder="1" applyAlignment="1">
      <alignment vertical="top" wrapText="1"/>
    </xf>
    <xf numFmtId="0" fontId="6" fillId="9" borderId="23" xfId="0" applyFont="1" applyFill="1" applyBorder="1" applyAlignment="1">
      <alignment horizontal="right" vertical="top" wrapText="1"/>
    </xf>
    <xf numFmtId="0" fontId="6" fillId="9" borderId="24" xfId="0" applyFont="1" applyFill="1" applyBorder="1" applyAlignment="1">
      <alignment horizontal="right" vertical="top" wrapText="1"/>
    </xf>
    <xf numFmtId="0" fontId="3" fillId="9" borderId="25" xfId="0" applyFont="1" applyFill="1" applyBorder="1" applyAlignment="1">
      <alignment horizontal="right" vertical="top" wrapText="1"/>
    </xf>
    <xf numFmtId="0" fontId="11" fillId="5" borderId="22" xfId="0" applyFont="1" applyFill="1" applyBorder="1" applyAlignment="1">
      <alignment vertical="top" wrapText="1"/>
    </xf>
    <xf numFmtId="0" fontId="6" fillId="5" borderId="23" xfId="0" applyFont="1" applyFill="1" applyBorder="1" applyAlignment="1">
      <alignment horizontal="right" vertical="top" wrapText="1"/>
    </xf>
    <xf numFmtId="0" fontId="6" fillId="5" borderId="24" xfId="0" applyFont="1" applyFill="1" applyBorder="1" applyAlignment="1">
      <alignment horizontal="right" vertical="top" wrapText="1"/>
    </xf>
    <xf numFmtId="0" fontId="3" fillId="5" borderId="25" xfId="0" applyFont="1" applyFill="1" applyBorder="1" applyAlignment="1">
      <alignment horizontal="right" vertical="top" wrapText="1"/>
    </xf>
    <xf numFmtId="0" fontId="11" fillId="9" borderId="26" xfId="0" applyFont="1" applyFill="1" applyBorder="1" applyAlignment="1">
      <alignment vertical="top" wrapText="1"/>
    </xf>
    <xf numFmtId="0" fontId="6" fillId="9" borderId="27" xfId="0" applyFont="1" applyFill="1" applyBorder="1" applyAlignment="1">
      <alignment horizontal="right" vertical="top" wrapText="1"/>
    </xf>
    <xf numFmtId="0" fontId="6" fillId="9" borderId="28" xfId="0" applyFont="1" applyFill="1" applyBorder="1" applyAlignment="1">
      <alignment horizontal="right" vertical="top" wrapText="1"/>
    </xf>
    <xf numFmtId="0" fontId="3" fillId="9" borderId="29" xfId="0" applyFont="1" applyFill="1" applyBorder="1" applyAlignment="1">
      <alignment horizontal="right" vertical="top" wrapText="1"/>
    </xf>
    <xf numFmtId="0" fontId="11" fillId="5" borderId="30" xfId="0" applyFont="1" applyFill="1" applyBorder="1" applyAlignment="1">
      <alignment horizontal="right" wrapText="1"/>
    </xf>
    <xf numFmtId="0" fontId="3" fillId="5" borderId="31" xfId="0" applyFont="1" applyFill="1" applyBorder="1" applyAlignment="1">
      <alignment horizontal="right" vertical="top" wrapText="1"/>
    </xf>
    <xf numFmtId="0" fontId="3" fillId="5" borderId="32" xfId="0" applyFont="1" applyFill="1" applyBorder="1" applyAlignment="1">
      <alignment horizontal="right" vertical="top" wrapText="1"/>
    </xf>
    <xf numFmtId="0" fontId="3" fillId="5" borderId="33" xfId="0" applyFont="1" applyFill="1" applyBorder="1" applyAlignment="1">
      <alignment horizontal="right" vertical="top" wrapText="1"/>
    </xf>
    <xf numFmtId="0" fontId="22" fillId="8" borderId="18" xfId="0" applyFont="1" applyFill="1" applyBorder="1" applyAlignment="1">
      <alignment vertical="top" wrapText="1"/>
    </xf>
    <xf numFmtId="0" fontId="22" fillId="8" borderId="19" xfId="0" applyFont="1" applyFill="1" applyBorder="1" applyAlignment="1">
      <alignment horizontal="center" vertical="top" wrapText="1"/>
    </xf>
    <xf numFmtId="0" fontId="22" fillId="8" borderId="20" xfId="0" applyFont="1" applyFill="1" applyBorder="1" applyAlignment="1">
      <alignment horizontal="center" vertical="top" wrapText="1"/>
    </xf>
    <xf numFmtId="0" fontId="22" fillId="8" borderId="21" xfId="0" applyFont="1" applyFill="1" applyBorder="1" applyAlignment="1">
      <alignment horizontal="center" vertical="top" wrapText="1"/>
    </xf>
    <xf numFmtId="0" fontId="17" fillId="8" borderId="59" xfId="0" applyFont="1" applyFill="1" applyBorder="1"/>
    <xf numFmtId="0" fontId="17" fillId="8" borderId="60" xfId="0" applyFont="1" applyFill="1" applyBorder="1"/>
    <xf numFmtId="0" fontId="0" fillId="9" borderId="61" xfId="0" applyFont="1" applyFill="1" applyBorder="1"/>
    <xf numFmtId="0" fontId="0" fillId="9" borderId="62" xfId="0" applyFont="1" applyFill="1" applyBorder="1"/>
    <xf numFmtId="0" fontId="0" fillId="5" borderId="61" xfId="0" applyFont="1" applyFill="1" applyBorder="1"/>
    <xf numFmtId="0" fontId="0" fillId="5" borderId="62" xfId="0" applyFont="1" applyFill="1" applyBorder="1"/>
    <xf numFmtId="0" fontId="0" fillId="5" borderId="63" xfId="0" applyFont="1" applyFill="1" applyBorder="1"/>
    <xf numFmtId="0" fontId="0" fillId="5" borderId="64" xfId="0" applyFont="1" applyFill="1" applyBorder="1"/>
    <xf numFmtId="0" fontId="0" fillId="5" borderId="7" xfId="0" applyFont="1" applyFill="1" applyBorder="1"/>
    <xf numFmtId="0" fontId="17" fillId="8" borderId="65" xfId="0" applyFont="1" applyFill="1" applyBorder="1"/>
    <xf numFmtId="0" fontId="17" fillId="8" borderId="66" xfId="0" applyFont="1" applyFill="1" applyBorder="1"/>
    <xf numFmtId="0" fontId="17" fillId="8" borderId="67" xfId="0" applyFont="1" applyFill="1" applyBorder="1"/>
    <xf numFmtId="0" fontId="0" fillId="9" borderId="63" xfId="0" applyFont="1" applyFill="1" applyBorder="1"/>
    <xf numFmtId="0" fontId="0" fillId="9" borderId="64" xfId="0" applyFont="1" applyFill="1" applyBorder="1"/>
    <xf numFmtId="0" fontId="0" fillId="9" borderId="7" xfId="0" applyFont="1" applyFill="1" applyBorder="1"/>
    <xf numFmtId="0" fontId="3" fillId="8" borderId="17" xfId="4" applyFont="1" applyFill="1" applyBorder="1"/>
    <xf numFmtId="0" fontId="3" fillId="8" borderId="13" xfId="4" applyFont="1" applyFill="1" applyBorder="1"/>
    <xf numFmtId="0" fontId="6" fillId="9" borderId="17" xfId="4" applyFont="1" applyFill="1" applyBorder="1"/>
    <xf numFmtId="10" fontId="6" fillId="9" borderId="13" xfId="4" applyNumberFormat="1" applyFont="1" applyFill="1" applyBorder="1"/>
    <xf numFmtId="0" fontId="6" fillId="5" borderId="17" xfId="4" applyFont="1" applyFill="1" applyBorder="1"/>
    <xf numFmtId="10" fontId="6" fillId="5" borderId="13" xfId="4" applyNumberFormat="1" applyFont="1" applyFill="1" applyBorder="1"/>
    <xf numFmtId="0" fontId="17" fillId="8" borderId="59" xfId="0" applyFont="1" applyFill="1" applyBorder="1" applyAlignment="1">
      <alignment readingOrder="1"/>
    </xf>
    <xf numFmtId="0" fontId="17" fillId="8" borderId="38" xfId="0" applyFont="1" applyFill="1" applyBorder="1" applyAlignment="1">
      <alignment readingOrder="1"/>
    </xf>
    <xf numFmtId="0" fontId="17" fillId="8" borderId="39" xfId="0" applyFont="1" applyFill="1" applyBorder="1" applyAlignment="1">
      <alignment readingOrder="1"/>
    </xf>
    <xf numFmtId="0" fontId="0" fillId="9" borderId="61" xfId="0" applyFont="1" applyFill="1" applyBorder="1" applyAlignment="1">
      <alignment readingOrder="1"/>
    </xf>
    <xf numFmtId="9" fontId="0" fillId="9" borderId="40" xfId="0" applyNumberFormat="1" applyFont="1" applyFill="1" applyBorder="1" applyAlignment="1">
      <alignment readingOrder="1"/>
    </xf>
    <xf numFmtId="9" fontId="0" fillId="9" borderId="41" xfId="0" applyNumberFormat="1" applyFont="1" applyFill="1" applyBorder="1" applyAlignment="1">
      <alignment readingOrder="1"/>
    </xf>
    <xf numFmtId="0" fontId="0" fillId="5" borderId="61" xfId="0" applyFont="1" applyFill="1" applyBorder="1" applyAlignment="1">
      <alignment readingOrder="1"/>
    </xf>
    <xf numFmtId="9" fontId="0" fillId="5" borderId="40" xfId="0" applyNumberFormat="1" applyFont="1" applyFill="1" applyBorder="1" applyAlignment="1">
      <alignment readingOrder="1"/>
    </xf>
    <xf numFmtId="9" fontId="0" fillId="5" borderId="41" xfId="0" applyNumberFormat="1" applyFont="1" applyFill="1" applyBorder="1" applyAlignment="1">
      <alignment readingOrder="1"/>
    </xf>
    <xf numFmtId="0" fontId="0" fillId="5" borderId="68" xfId="0" applyFont="1" applyFill="1" applyBorder="1" applyAlignment="1">
      <alignment readingOrder="1"/>
    </xf>
    <xf numFmtId="9" fontId="0" fillId="5" borderId="42" xfId="0" applyNumberFormat="1" applyFont="1" applyFill="1" applyBorder="1" applyAlignment="1">
      <alignment readingOrder="1"/>
    </xf>
    <xf numFmtId="9" fontId="0" fillId="5" borderId="0" xfId="0" applyNumberFormat="1" applyFont="1" applyFill="1" applyBorder="1" applyAlignment="1">
      <alignment readingOrder="1"/>
    </xf>
    <xf numFmtId="1" fontId="0" fillId="5" borderId="41" xfId="0" applyNumberFormat="1" applyFont="1" applyFill="1" applyBorder="1"/>
    <xf numFmtId="1" fontId="0" fillId="9" borderId="0" xfId="0" applyNumberFormat="1" applyFont="1" applyFill="1"/>
    <xf numFmtId="0" fontId="0" fillId="0" borderId="0" xfId="0" pivotButton="1"/>
    <xf numFmtId="0" fontId="0" fillId="0" borderId="0" xfId="0" applyAlignment="1">
      <alignment horizontal="left"/>
    </xf>
    <xf numFmtId="0" fontId="15" fillId="9" borderId="40" xfId="5" applyFont="1" applyFill="1" applyBorder="1" applyAlignment="1" applyProtection="1">
      <alignment wrapText="1"/>
    </xf>
    <xf numFmtId="0" fontId="0" fillId="9" borderId="40" xfId="0" applyFont="1" applyFill="1" applyBorder="1" applyAlignment="1">
      <alignment wrapText="1"/>
    </xf>
    <xf numFmtId="0" fontId="15" fillId="5" borderId="40" xfId="5" applyFont="1" applyFill="1" applyBorder="1" applyAlignment="1" applyProtection="1">
      <alignment wrapText="1"/>
    </xf>
    <xf numFmtId="0" fontId="0" fillId="5" borderId="40" xfId="0" applyFont="1" applyFill="1" applyBorder="1" applyAlignment="1">
      <alignment wrapText="1"/>
    </xf>
    <xf numFmtId="0" fontId="15" fillId="5" borderId="42" xfId="5" applyFont="1" applyFill="1" applyBorder="1" applyAlignment="1" applyProtection="1">
      <alignment wrapText="1"/>
    </xf>
    <xf numFmtId="0" fontId="0" fillId="5" borderId="42" xfId="0" applyFont="1" applyFill="1" applyBorder="1" applyAlignment="1">
      <alignment wrapText="1"/>
    </xf>
    <xf numFmtId="0" fontId="17" fillId="8" borderId="69" xfId="0" applyFont="1" applyFill="1" applyBorder="1" applyAlignment="1">
      <alignment horizontal="left" vertical="center" wrapText="1"/>
    </xf>
    <xf numFmtId="0" fontId="20" fillId="8" borderId="34" xfId="0" applyFont="1" applyFill="1" applyBorder="1"/>
    <xf numFmtId="0" fontId="0" fillId="9" borderId="40" xfId="0" applyFont="1" applyFill="1" applyBorder="1" applyAlignment="1">
      <alignment horizontal="left"/>
    </xf>
    <xf numFmtId="0" fontId="0" fillId="9" borderId="40" xfId="0" applyNumberFormat="1" applyFont="1" applyFill="1" applyBorder="1"/>
    <xf numFmtId="164" fontId="0" fillId="9" borderId="41" xfId="0" applyNumberFormat="1" applyFont="1" applyFill="1" applyBorder="1"/>
    <xf numFmtId="0" fontId="0" fillId="5" borderId="40" xfId="0" applyFont="1" applyFill="1" applyBorder="1" applyAlignment="1">
      <alignment horizontal="left" indent="1"/>
    </xf>
    <xf numFmtId="0" fontId="0" fillId="5" borderId="40" xfId="0" applyNumberFormat="1" applyFont="1" applyFill="1" applyBorder="1"/>
    <xf numFmtId="164" fontId="0" fillId="5" borderId="41" xfId="0" applyNumberFormat="1" applyFont="1" applyFill="1" applyBorder="1"/>
    <xf numFmtId="0" fontId="0" fillId="9" borderId="40" xfId="0" applyFont="1" applyFill="1" applyBorder="1" applyAlignment="1">
      <alignment horizontal="left" indent="1"/>
    </xf>
    <xf numFmtId="0" fontId="0" fillId="5" borderId="40" xfId="0" applyFont="1" applyFill="1" applyBorder="1" applyAlignment="1">
      <alignment horizontal="left"/>
    </xf>
    <xf numFmtId="0" fontId="0" fillId="9" borderId="42" xfId="0" applyFont="1" applyFill="1" applyBorder="1" applyAlignment="1">
      <alignment horizontal="left"/>
    </xf>
    <xf numFmtId="0" fontId="0" fillId="9" borderId="42" xfId="0" applyNumberFormat="1" applyFont="1" applyFill="1" applyBorder="1"/>
    <xf numFmtId="0" fontId="16" fillId="9" borderId="35" xfId="0" applyNumberFormat="1" applyFont="1" applyFill="1" applyBorder="1"/>
    <xf numFmtId="0" fontId="8" fillId="0" borderId="0" xfId="0" applyFont="1" applyBorder="1"/>
    <xf numFmtId="0" fontId="16" fillId="0" borderId="0" xfId="0" applyFont="1" applyFill="1" applyBorder="1"/>
    <xf numFmtId="164" fontId="0" fillId="5" borderId="0" xfId="0" applyNumberFormat="1" applyFont="1" applyFill="1" applyBorder="1"/>
    <xf numFmtId="1" fontId="4" fillId="0" borderId="0" xfId="0" applyNumberFormat="1" applyFont="1"/>
    <xf numFmtId="9" fontId="17" fillId="8" borderId="0" xfId="0" applyNumberFormat="1" applyFont="1" applyFill="1" applyBorder="1"/>
    <xf numFmtId="0" fontId="0" fillId="0" borderId="4" xfId="0" applyBorder="1" applyAlignment="1">
      <alignment horizontal="center"/>
    </xf>
    <xf numFmtId="9" fontId="0" fillId="0" borderId="6" xfId="0" applyNumberFormat="1" applyBorder="1" applyAlignment="1">
      <alignment horizontal="center"/>
    </xf>
    <xf numFmtId="0" fontId="0" fillId="0" borderId="0" xfId="0" applyAlignment="1">
      <alignment vertical="center"/>
    </xf>
    <xf numFmtId="0" fontId="24" fillId="0" borderId="0" xfId="0" applyFont="1"/>
    <xf numFmtId="0" fontId="25" fillId="0" borderId="0" xfId="0" applyFont="1"/>
    <xf numFmtId="0" fontId="0" fillId="0" borderId="0" xfId="0" applyAlignment="1">
      <alignment wrapText="1"/>
    </xf>
    <xf numFmtId="0" fontId="0" fillId="5" borderId="40" xfId="0" applyFill="1" applyBorder="1" applyAlignment="1">
      <alignment wrapText="1"/>
    </xf>
    <xf numFmtId="9" fontId="2" fillId="0" borderId="0" xfId="1" applyFont="1" applyAlignment="1">
      <alignment vertical="center"/>
    </xf>
    <xf numFmtId="0" fontId="17" fillId="8" borderId="12" xfId="0" applyFont="1" applyFill="1" applyBorder="1" applyAlignment="1">
      <alignment vertical="center" wrapText="1"/>
    </xf>
    <xf numFmtId="9" fontId="17" fillId="8" borderId="10" xfId="0" applyNumberFormat="1" applyFont="1" applyFill="1" applyBorder="1" applyAlignment="1">
      <alignment vertical="center" wrapText="1"/>
    </xf>
    <xf numFmtId="9" fontId="17" fillId="8" borderId="11" xfId="0" applyNumberFormat="1" applyFont="1" applyFill="1" applyBorder="1" applyAlignment="1">
      <alignment vertical="center" wrapText="1"/>
    </xf>
    <xf numFmtId="0" fontId="5" fillId="16" borderId="15" xfId="8" applyBorder="1" applyAlignment="1">
      <alignment vertical="center" wrapText="1"/>
    </xf>
    <xf numFmtId="9" fontId="5" fillId="16" borderId="0" xfId="8" applyNumberFormat="1" applyBorder="1" applyAlignment="1">
      <alignment vertical="center" wrapText="1"/>
    </xf>
    <xf numFmtId="0" fontId="5" fillId="16" borderId="0" xfId="8" applyBorder="1" applyAlignment="1">
      <alignment vertical="center" wrapText="1"/>
    </xf>
    <xf numFmtId="0" fontId="0" fillId="16" borderId="0" xfId="8" applyFont="1" applyBorder="1" applyAlignment="1">
      <alignment vertical="center" wrapText="1"/>
    </xf>
    <xf numFmtId="0" fontId="0" fillId="0" borderId="15" xfId="0" applyBorder="1" applyAlignment="1">
      <alignment vertical="center" wrapText="1"/>
    </xf>
    <xf numFmtId="9" fontId="0" fillId="0" borderId="0" xfId="1" applyFont="1" applyBorder="1" applyAlignment="1">
      <alignment vertical="center" wrapText="1"/>
    </xf>
    <xf numFmtId="0" fontId="0" fillId="0" borderId="0" xfId="0" applyBorder="1" applyAlignment="1">
      <alignment vertical="center"/>
    </xf>
    <xf numFmtId="0" fontId="0" fillId="0" borderId="0" xfId="0" applyBorder="1" applyAlignment="1">
      <alignment vertical="center" wrapText="1"/>
    </xf>
    <xf numFmtId="0" fontId="0" fillId="0" borderId="14" xfId="0" applyBorder="1" applyAlignment="1">
      <alignment vertical="center" wrapText="1"/>
    </xf>
    <xf numFmtId="0" fontId="28" fillId="0" borderId="15" xfId="7" applyFont="1" applyFill="1" applyBorder="1" applyAlignment="1">
      <alignment vertical="center" wrapText="1"/>
    </xf>
    <xf numFmtId="9" fontId="28" fillId="0" borderId="0" xfId="7" applyNumberFormat="1" applyFont="1" applyFill="1" applyBorder="1" applyAlignment="1">
      <alignment vertical="center" wrapText="1"/>
    </xf>
    <xf numFmtId="0" fontId="28" fillId="0" borderId="0" xfId="7" applyFont="1" applyFill="1" applyBorder="1" applyAlignment="1">
      <alignment vertical="center"/>
    </xf>
    <xf numFmtId="0" fontId="28" fillId="0" borderId="0" xfId="7" applyFont="1" applyFill="1" applyBorder="1" applyAlignment="1">
      <alignment vertical="center" wrapText="1"/>
    </xf>
    <xf numFmtId="0" fontId="28" fillId="0" borderId="14" xfId="7" applyFont="1" applyFill="1" applyBorder="1" applyAlignment="1">
      <alignment vertical="center" wrapText="1"/>
    </xf>
    <xf numFmtId="9" fontId="0" fillId="0" borderId="0" xfId="1" applyFont="1" applyBorder="1" applyAlignment="1">
      <alignment vertical="center"/>
    </xf>
    <xf numFmtId="0" fontId="0" fillId="0" borderId="0" xfId="0" applyBorder="1" applyAlignment="1">
      <alignment wrapText="1"/>
    </xf>
    <xf numFmtId="9" fontId="17" fillId="8" borderId="0" xfId="0" applyNumberFormat="1" applyFont="1" applyFill="1" applyBorder="1" applyAlignment="1">
      <alignment horizontal="center" vertical="center" wrapText="1"/>
    </xf>
    <xf numFmtId="0" fontId="0" fillId="0" borderId="0" xfId="0" applyFill="1" applyBorder="1" applyAlignment="1">
      <alignment vertical="center" wrapText="1"/>
    </xf>
    <xf numFmtId="0" fontId="4" fillId="0" borderId="0" xfId="0" applyFont="1" applyAlignment="1">
      <alignment horizontal="center"/>
    </xf>
    <xf numFmtId="0" fontId="0" fillId="0" borderId="1" xfId="0" applyBorder="1" applyAlignment="1">
      <alignment vertical="center" wrapText="1"/>
    </xf>
    <xf numFmtId="0" fontId="0" fillId="0" borderId="3" xfId="0" applyBorder="1" applyAlignment="1">
      <alignment vertical="center" wrapText="1"/>
    </xf>
    <xf numFmtId="0" fontId="0" fillId="0" borderId="7" xfId="0" applyBorder="1" applyAlignment="1">
      <alignment vertical="center" wrapText="1"/>
    </xf>
    <xf numFmtId="0" fontId="31" fillId="0" borderId="0" xfId="0" applyFont="1" applyAlignment="1">
      <alignment horizontal="left"/>
    </xf>
    <xf numFmtId="0" fontId="4" fillId="0" borderId="0" xfId="0" applyFont="1" applyBorder="1"/>
    <xf numFmtId="0" fontId="12" fillId="2" borderId="71" xfId="0" applyFont="1" applyFill="1" applyBorder="1" applyAlignment="1">
      <alignment horizontal="center" vertical="center" wrapText="1"/>
    </xf>
    <xf numFmtId="1" fontId="12" fillId="2" borderId="71" xfId="0" applyNumberFormat="1"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4" fillId="2" borderId="72" xfId="0" applyFont="1" applyFill="1" applyBorder="1" applyAlignment="1">
      <alignment horizontal="center" vertical="center"/>
    </xf>
    <xf numFmtId="0" fontId="4" fillId="0" borderId="71" xfId="0" applyFont="1" applyBorder="1" applyAlignment="1">
      <alignment horizontal="center" vertical="center"/>
    </xf>
    <xf numFmtId="0" fontId="14" fillId="2" borderId="71" xfId="0" applyFont="1" applyFill="1" applyBorder="1" applyAlignment="1">
      <alignment horizontal="center" vertical="center"/>
    </xf>
    <xf numFmtId="3" fontId="12" fillId="2" borderId="72" xfId="11" applyNumberFormat="1" applyFont="1" applyFill="1" applyBorder="1" applyAlignment="1">
      <alignment horizontal="center" vertical="center" wrapText="1"/>
    </xf>
    <xf numFmtId="3" fontId="12" fillId="2" borderId="71" xfId="11" applyNumberFormat="1" applyFont="1" applyFill="1" applyBorder="1" applyAlignment="1">
      <alignment horizontal="center" vertical="center" wrapText="1"/>
    </xf>
    <xf numFmtId="0" fontId="12" fillId="2" borderId="71" xfId="11" applyFont="1" applyFill="1" applyBorder="1" applyAlignment="1">
      <alignment horizontal="center" vertical="center" wrapText="1"/>
    </xf>
    <xf numFmtId="1" fontId="12" fillId="2" borderId="72" xfId="11" applyNumberFormat="1" applyFont="1" applyFill="1" applyBorder="1" applyAlignment="1">
      <alignment horizontal="center" vertical="center" wrapText="1"/>
    </xf>
    <xf numFmtId="1" fontId="12" fillId="2" borderId="71" xfId="11" applyNumberFormat="1" applyFont="1" applyFill="1" applyBorder="1" applyAlignment="1">
      <alignment horizontal="center" vertical="center" wrapText="1"/>
    </xf>
    <xf numFmtId="0" fontId="12" fillId="20" borderId="71" xfId="0" applyFont="1" applyFill="1" applyBorder="1" applyAlignment="1">
      <alignment horizontal="center" vertical="center" wrapText="1"/>
    </xf>
    <xf numFmtId="1" fontId="12" fillId="20" borderId="71" xfId="0" applyNumberFormat="1" applyFont="1" applyFill="1" applyBorder="1" applyAlignment="1">
      <alignment horizontal="center" vertical="center" wrapText="1"/>
    </xf>
    <xf numFmtId="3" fontId="12" fillId="20" borderId="71" xfId="11" applyNumberFormat="1" applyFont="1" applyFill="1" applyBorder="1" applyAlignment="1">
      <alignment horizontal="center" vertical="center" wrapText="1"/>
    </xf>
    <xf numFmtId="0" fontId="12" fillId="20" borderId="71" xfId="11" applyFont="1" applyFill="1" applyBorder="1" applyAlignment="1">
      <alignment horizontal="center" vertical="center" wrapText="1"/>
    </xf>
    <xf numFmtId="1" fontId="12" fillId="20" borderId="71" xfId="11" applyNumberFormat="1" applyFont="1" applyFill="1" applyBorder="1" applyAlignment="1">
      <alignment horizontal="center" vertical="center" wrapText="1"/>
    </xf>
    <xf numFmtId="0" fontId="14" fillId="20" borderId="71" xfId="0" applyFont="1" applyFill="1" applyBorder="1" applyAlignment="1">
      <alignment horizontal="center" vertical="center"/>
    </xf>
    <xf numFmtId="0" fontId="4" fillId="20" borderId="71" xfId="0" applyFont="1" applyFill="1" applyBorder="1" applyAlignment="1">
      <alignment horizontal="center" vertical="center"/>
    </xf>
    <xf numFmtId="0" fontId="4" fillId="0" borderId="73" xfId="0" applyFont="1" applyBorder="1" applyAlignment="1">
      <alignment horizontal="center" vertical="center"/>
    </xf>
    <xf numFmtId="0" fontId="14" fillId="6" borderId="71" xfId="0" applyFont="1" applyFill="1" applyBorder="1" applyAlignment="1">
      <alignment horizontal="center" vertical="center" wrapText="1"/>
    </xf>
    <xf numFmtId="9" fontId="12" fillId="7" borderId="71" xfId="0" applyNumberFormat="1" applyFont="1" applyFill="1" applyBorder="1" applyAlignment="1">
      <alignment horizontal="center" vertical="center" wrapText="1"/>
    </xf>
    <xf numFmtId="0" fontId="12" fillId="7" borderId="71" xfId="0" applyFont="1" applyFill="1" applyBorder="1" applyAlignment="1">
      <alignment horizontal="center" vertical="center" wrapText="1"/>
    </xf>
    <xf numFmtId="1" fontId="4" fillId="7" borderId="71" xfId="0" applyNumberFormat="1" applyFont="1" applyFill="1" applyBorder="1" applyAlignment="1">
      <alignment horizontal="center" vertical="center" wrapText="1"/>
    </xf>
    <xf numFmtId="0" fontId="4" fillId="7" borderId="71" xfId="0" applyFont="1" applyFill="1" applyBorder="1" applyAlignment="1">
      <alignment horizontal="center" vertical="center" wrapText="1"/>
    </xf>
    <xf numFmtId="3" fontId="12" fillId="7" borderId="71" xfId="0" applyNumberFormat="1" applyFont="1" applyFill="1" applyBorder="1" applyAlignment="1">
      <alignment horizontal="center" vertical="center" wrapText="1"/>
    </xf>
    <xf numFmtId="1" fontId="12" fillId="7" borderId="71" xfId="0" applyNumberFormat="1" applyFont="1" applyFill="1" applyBorder="1" applyAlignment="1">
      <alignment horizontal="center" vertical="center" wrapText="1"/>
    </xf>
    <xf numFmtId="0" fontId="14" fillId="7" borderId="71" xfId="0" applyFont="1" applyFill="1" applyBorder="1" applyAlignment="1">
      <alignment horizontal="center" vertical="center" wrapText="1"/>
    </xf>
    <xf numFmtId="9" fontId="12" fillId="6" borderId="71" xfId="0" applyNumberFormat="1" applyFont="1" applyFill="1" applyBorder="1" applyAlignment="1">
      <alignment horizontal="center" vertical="center" wrapText="1"/>
    </xf>
    <xf numFmtId="1" fontId="4" fillId="6" borderId="71" xfId="0" applyNumberFormat="1" applyFont="1" applyFill="1" applyBorder="1" applyAlignment="1">
      <alignment horizontal="center" vertical="center" wrapText="1"/>
    </xf>
    <xf numFmtId="0" fontId="4" fillId="6" borderId="71" xfId="0" applyFont="1" applyFill="1" applyBorder="1" applyAlignment="1">
      <alignment horizontal="center" vertical="center" wrapText="1"/>
    </xf>
    <xf numFmtId="0" fontId="12" fillId="6" borderId="71" xfId="0" applyFont="1" applyFill="1" applyBorder="1" applyAlignment="1">
      <alignment horizontal="center" vertical="center" wrapText="1"/>
    </xf>
    <xf numFmtId="3" fontId="12" fillId="6" borderId="71" xfId="0" applyNumberFormat="1" applyFont="1" applyFill="1" applyBorder="1" applyAlignment="1">
      <alignment horizontal="center" vertical="center" wrapText="1"/>
    </xf>
    <xf numFmtId="1" fontId="12" fillId="6" borderId="71" xfId="0" applyNumberFormat="1" applyFont="1" applyFill="1" applyBorder="1" applyAlignment="1">
      <alignment horizontal="center" vertical="center" wrapText="1"/>
    </xf>
    <xf numFmtId="0" fontId="14" fillId="7" borderId="73" xfId="0" applyFont="1" applyFill="1" applyBorder="1" applyAlignment="1">
      <alignment horizontal="center" vertical="center" wrapText="1"/>
    </xf>
    <xf numFmtId="0" fontId="12" fillId="7" borderId="73" xfId="0" applyFont="1" applyFill="1" applyBorder="1" applyAlignment="1">
      <alignment horizontal="center" vertical="center" wrapText="1"/>
    </xf>
    <xf numFmtId="1" fontId="12" fillId="7" borderId="73" xfId="0" applyNumberFormat="1" applyFont="1" applyFill="1" applyBorder="1" applyAlignment="1">
      <alignment horizontal="center" vertical="center" wrapText="1"/>
    </xf>
    <xf numFmtId="1" fontId="4" fillId="7" borderId="73" xfId="0" applyNumberFormat="1" applyFont="1" applyFill="1" applyBorder="1" applyAlignment="1">
      <alignment horizontal="center" vertical="center" wrapText="1"/>
    </xf>
    <xf numFmtId="0" fontId="4" fillId="7" borderId="73" xfId="0" applyFont="1" applyFill="1" applyBorder="1" applyAlignment="1">
      <alignment horizontal="center" vertical="center" wrapText="1"/>
    </xf>
    <xf numFmtId="0" fontId="4" fillId="0" borderId="73" xfId="0" applyFont="1" applyBorder="1" applyAlignment="1">
      <alignment horizontal="center" vertical="center" wrapText="1"/>
    </xf>
    <xf numFmtId="0" fontId="14" fillId="6" borderId="73" xfId="0" applyFont="1" applyFill="1" applyBorder="1" applyAlignment="1">
      <alignment horizontal="center" vertical="center" wrapText="1"/>
    </xf>
    <xf numFmtId="0" fontId="12" fillId="6" borderId="73" xfId="0" applyFont="1" applyFill="1" applyBorder="1" applyAlignment="1">
      <alignment horizontal="center" vertical="center" wrapText="1"/>
    </xf>
    <xf numFmtId="9" fontId="12" fillId="6" borderId="73" xfId="0" applyNumberFormat="1" applyFont="1" applyFill="1" applyBorder="1" applyAlignment="1">
      <alignment horizontal="center" vertical="center" wrapText="1"/>
    </xf>
    <xf numFmtId="1" fontId="4" fillId="6" borderId="73" xfId="0" applyNumberFormat="1" applyFont="1" applyFill="1" applyBorder="1" applyAlignment="1">
      <alignment horizontal="center" vertical="center" wrapText="1"/>
    </xf>
    <xf numFmtId="0" fontId="4" fillId="6" borderId="73" xfId="0" applyFont="1" applyFill="1" applyBorder="1" applyAlignment="1">
      <alignment horizontal="center" vertical="center" wrapText="1"/>
    </xf>
    <xf numFmtId="1" fontId="12" fillId="6" borderId="73" xfId="0" applyNumberFormat="1" applyFont="1" applyFill="1" applyBorder="1" applyAlignment="1">
      <alignment horizontal="center" vertical="center" wrapText="1"/>
    </xf>
    <xf numFmtId="0" fontId="12" fillId="3" borderId="71" xfId="0" applyFont="1" applyFill="1" applyBorder="1" applyAlignment="1">
      <alignment horizontal="center" vertical="center" wrapText="1"/>
    </xf>
    <xf numFmtId="3" fontId="12" fillId="3" borderId="71" xfId="0" applyNumberFormat="1" applyFont="1" applyFill="1" applyBorder="1" applyAlignment="1">
      <alignment horizontal="center" vertical="center" wrapText="1"/>
    </xf>
    <xf numFmtId="9" fontId="12" fillId="3" borderId="71" xfId="0" applyNumberFormat="1" applyFont="1" applyFill="1" applyBorder="1" applyAlignment="1">
      <alignment horizontal="center" vertical="center" wrapText="1"/>
    </xf>
    <xf numFmtId="1" fontId="4" fillId="3" borderId="71" xfId="0" applyNumberFormat="1" applyFont="1" applyFill="1" applyBorder="1" applyAlignment="1">
      <alignment horizontal="center" vertical="center" wrapText="1"/>
    </xf>
    <xf numFmtId="0" fontId="4" fillId="3" borderId="71" xfId="0" applyFont="1" applyFill="1" applyBorder="1" applyAlignment="1">
      <alignment horizontal="center" vertical="center" wrapText="1"/>
    </xf>
    <xf numFmtId="1" fontId="12" fillId="3" borderId="71" xfId="0" applyNumberFormat="1" applyFont="1" applyFill="1" applyBorder="1" applyAlignment="1">
      <alignment horizontal="center" vertical="center" wrapText="1"/>
    </xf>
    <xf numFmtId="0" fontId="4" fillId="0" borderId="73" xfId="0" applyFont="1" applyFill="1" applyBorder="1" applyAlignment="1">
      <alignment horizontal="center" vertical="center"/>
    </xf>
    <xf numFmtId="0" fontId="30" fillId="0" borderId="0" xfId="0" applyFont="1"/>
    <xf numFmtId="0" fontId="13" fillId="3" borderId="71" xfId="0" applyFont="1" applyFill="1" applyBorder="1" applyAlignment="1">
      <alignment horizontal="center" vertical="center" wrapText="1"/>
    </xf>
    <xf numFmtId="3" fontId="0" fillId="0" borderId="0" xfId="0" applyNumberFormat="1"/>
    <xf numFmtId="0" fontId="32" fillId="0" borderId="0" xfId="0" applyFont="1" applyFill="1" applyBorder="1"/>
    <xf numFmtId="0" fontId="32" fillId="0" borderId="0" xfId="0" applyFont="1" applyFill="1" applyBorder="1" applyAlignment="1">
      <alignment wrapText="1"/>
    </xf>
    <xf numFmtId="0" fontId="32" fillId="0" borderId="13" xfId="0" applyFont="1" applyFill="1" applyBorder="1" applyAlignment="1">
      <alignment vertical="top" wrapText="1"/>
    </xf>
    <xf numFmtId="0" fontId="32" fillId="7" borderId="13" xfId="0" applyFont="1" applyFill="1" applyBorder="1" applyAlignment="1">
      <alignment vertical="top" wrapText="1"/>
    </xf>
    <xf numFmtId="0" fontId="32" fillId="21" borderId="13" xfId="0" applyFont="1" applyFill="1" applyBorder="1" applyAlignment="1">
      <alignment vertical="top" wrapText="1"/>
    </xf>
    <xf numFmtId="0" fontId="32" fillId="6" borderId="13" xfId="0" applyFont="1" applyFill="1" applyBorder="1" applyAlignment="1">
      <alignment vertical="top" wrapText="1"/>
    </xf>
    <xf numFmtId="167" fontId="32" fillId="21" borderId="13" xfId="0" applyNumberFormat="1" applyFont="1" applyFill="1" applyBorder="1" applyAlignment="1">
      <alignment vertical="top" wrapText="1"/>
    </xf>
    <xf numFmtId="0" fontId="32" fillId="3" borderId="13" xfId="0" applyFont="1" applyFill="1" applyBorder="1" applyAlignment="1">
      <alignment vertical="top" wrapText="1"/>
    </xf>
    <xf numFmtId="167" fontId="32" fillId="3" borderId="13" xfId="0" applyNumberFormat="1" applyFont="1" applyFill="1" applyBorder="1" applyAlignment="1">
      <alignment vertical="top" wrapText="1"/>
    </xf>
    <xf numFmtId="0" fontId="0" fillId="0" borderId="6" xfId="0" applyBorder="1" applyAlignment="1">
      <alignment vertical="center" wrapText="1"/>
    </xf>
    <xf numFmtId="10" fontId="0" fillId="0" borderId="0" xfId="0" applyNumberFormat="1" applyAlignment="1">
      <alignment horizontal="center" vertical="center"/>
    </xf>
    <xf numFmtId="0" fontId="3" fillId="0" borderId="0" xfId="2" applyFont="1"/>
    <xf numFmtId="0" fontId="15" fillId="0" borderId="9" xfId="5" applyBorder="1" applyAlignment="1" applyProtection="1"/>
    <xf numFmtId="1" fontId="0" fillId="0" borderId="0" xfId="1" applyNumberFormat="1" applyFont="1" applyBorder="1"/>
    <xf numFmtId="0" fontId="15" fillId="0" borderId="10" xfId="5" applyBorder="1" applyAlignment="1" applyProtection="1"/>
    <xf numFmtId="0" fontId="45" fillId="0" borderId="0" xfId="0" applyFont="1" applyBorder="1"/>
    <xf numFmtId="0" fontId="2" fillId="0" borderId="0" xfId="0" applyFont="1" applyBorder="1"/>
    <xf numFmtId="9" fontId="2" fillId="0" borderId="0" xfId="1" applyFont="1" applyBorder="1"/>
    <xf numFmtId="0" fontId="0" fillId="49" borderId="0" xfId="0" applyFill="1" applyBorder="1"/>
    <xf numFmtId="0" fontId="0" fillId="48" borderId="0" xfId="0" applyFill="1" applyBorder="1"/>
    <xf numFmtId="3" fontId="0" fillId="0" borderId="0" xfId="0" applyNumberFormat="1" applyBorder="1"/>
    <xf numFmtId="0" fontId="0" fillId="14" borderId="0" xfId="0" applyFill="1" applyBorder="1"/>
    <xf numFmtId="0" fontId="15" fillId="0" borderId="15" xfId="5" applyBorder="1" applyAlignment="1" applyProtection="1"/>
    <xf numFmtId="9" fontId="0" fillId="3" borderId="0" xfId="1" applyFont="1" applyFill="1"/>
    <xf numFmtId="9" fontId="12" fillId="7" borderId="71" xfId="1" applyFont="1" applyFill="1" applyBorder="1" applyAlignment="1">
      <alignment horizontal="center" vertical="center" wrapText="1"/>
    </xf>
    <xf numFmtId="0" fontId="47" fillId="0" borderId="0" xfId="0" applyFont="1"/>
    <xf numFmtId="2" fontId="0" fillId="0" borderId="0" xfId="0" applyNumberFormat="1"/>
    <xf numFmtId="9" fontId="12" fillId="2" borderId="71" xfId="1" applyFont="1" applyFill="1" applyBorder="1" applyAlignment="1">
      <alignment horizontal="center" vertical="center" wrapText="1"/>
    </xf>
    <xf numFmtId="9" fontId="12" fillId="20" borderId="71" xfId="1" applyFont="1" applyFill="1" applyBorder="1" applyAlignment="1">
      <alignment horizontal="center" vertical="center" wrapText="1"/>
    </xf>
    <xf numFmtId="9" fontId="12" fillId="2" borderId="72" xfId="1" applyFont="1" applyFill="1" applyBorder="1" applyAlignment="1">
      <alignment horizontal="center" vertical="center" wrapText="1"/>
    </xf>
    <xf numFmtId="0" fontId="0" fillId="0" borderId="0" xfId="0"/>
    <xf numFmtId="9" fontId="12" fillId="6" borderId="71" xfId="1" applyFont="1" applyFill="1" applyBorder="1" applyAlignment="1">
      <alignment horizontal="center" vertical="center" wrapText="1"/>
    </xf>
    <xf numFmtId="9" fontId="12" fillId="3" borderId="71" xfId="1" applyFont="1" applyFill="1" applyBorder="1" applyAlignment="1">
      <alignment horizontal="center" vertical="center" wrapText="1"/>
    </xf>
    <xf numFmtId="0" fontId="34" fillId="0" borderId="0" xfId="0" applyFont="1"/>
    <xf numFmtId="0" fontId="15" fillId="9" borderId="40" xfId="5" applyFill="1" applyBorder="1" applyAlignment="1" applyProtection="1">
      <alignment wrapText="1"/>
    </xf>
    <xf numFmtId="0" fontId="50" fillId="0" borderId="0" xfId="0" applyFont="1"/>
    <xf numFmtId="0" fontId="4" fillId="0" borderId="0" xfId="0" applyFont="1" applyBorder="1" applyAlignment="1">
      <alignment horizontal="center" vertical="center"/>
    </xf>
    <xf numFmtId="0" fontId="4" fillId="20" borderId="0" xfId="0" applyFont="1" applyFill="1" applyBorder="1" applyAlignment="1">
      <alignment horizontal="center" vertical="center"/>
    </xf>
    <xf numFmtId="0" fontId="4" fillId="0" borderId="0" xfId="0" applyFont="1" applyBorder="1" applyAlignment="1">
      <alignment horizontal="center" vertical="center" wrapText="1"/>
    </xf>
    <xf numFmtId="0" fontId="4" fillId="0" borderId="0" xfId="0" applyFont="1" applyFill="1" applyBorder="1" applyAlignment="1">
      <alignment horizontal="center" vertical="center"/>
    </xf>
    <xf numFmtId="0" fontId="2" fillId="3" borderId="13" xfId="0" applyFont="1" applyFill="1" applyBorder="1"/>
    <xf numFmtId="9" fontId="2" fillId="3" borderId="13" xfId="0" applyNumberFormat="1" applyFont="1" applyFill="1" applyBorder="1"/>
    <xf numFmtId="3" fontId="2" fillId="3" borderId="13" xfId="0" applyNumberFormat="1" applyFont="1" applyFill="1" applyBorder="1"/>
    <xf numFmtId="0" fontId="46" fillId="0" borderId="0" xfId="0" applyFont="1" applyBorder="1"/>
    <xf numFmtId="0" fontId="0" fillId="0" borderId="0" xfId="0" applyAlignment="1"/>
    <xf numFmtId="164" fontId="0" fillId="0" borderId="0" xfId="0" applyNumberFormat="1"/>
    <xf numFmtId="10" fontId="34" fillId="0" borderId="0" xfId="0" applyNumberFormat="1" applyFont="1"/>
    <xf numFmtId="10" fontId="0" fillId="0" borderId="0" xfId="0" applyNumberFormat="1" applyFill="1"/>
    <xf numFmtId="0" fontId="0" fillId="0" borderId="0" xfId="0" applyAlignment="1">
      <alignment horizontal="right" vertical="center"/>
    </xf>
    <xf numFmtId="10" fontId="0" fillId="0" borderId="0" xfId="0" applyNumberFormat="1" applyAlignment="1">
      <alignment horizontal="center" vertical="center"/>
    </xf>
    <xf numFmtId="165" fontId="0" fillId="0" borderId="0" xfId="0" applyNumberFormat="1"/>
    <xf numFmtId="10" fontId="0" fillId="0" borderId="0" xfId="0" applyNumberFormat="1" applyAlignment="1">
      <alignment horizontal="center" vertical="center"/>
    </xf>
    <xf numFmtId="0" fontId="0" fillId="0" borderId="0" xfId="0" applyAlignment="1">
      <alignment horizontal="center" vertical="center"/>
    </xf>
    <xf numFmtId="0" fontId="32" fillId="3" borderId="8" xfId="0" applyFont="1" applyFill="1" applyBorder="1" applyAlignment="1">
      <alignment vertical="top" wrapText="1"/>
    </xf>
    <xf numFmtId="10" fontId="0" fillId="0" borderId="0" xfId="0" applyNumberFormat="1" applyAlignment="1"/>
    <xf numFmtId="0" fontId="0" fillId="0" borderId="0" xfId="0" pivotButton="1" applyAlignment="1"/>
    <xf numFmtId="0" fontId="0" fillId="21" borderId="13" xfId="0" applyFill="1" applyBorder="1" applyAlignment="1">
      <alignment vertical="top"/>
    </xf>
    <xf numFmtId="0" fontId="0" fillId="21" borderId="13" xfId="0" applyFill="1" applyBorder="1" applyAlignment="1">
      <alignment vertical="top" wrapText="1"/>
    </xf>
    <xf numFmtId="0" fontId="0" fillId="0" borderId="0" xfId="0" applyAlignment="1">
      <alignment vertical="top"/>
    </xf>
    <xf numFmtId="0" fontId="32" fillId="3" borderId="0" xfId="0" applyFont="1" applyFill="1" applyBorder="1" applyAlignment="1">
      <alignment vertical="top" wrapText="1"/>
    </xf>
    <xf numFmtId="167" fontId="32" fillId="3" borderId="0" xfId="0" applyNumberFormat="1" applyFont="1" applyFill="1" applyBorder="1" applyAlignment="1">
      <alignment vertical="top" wrapText="1"/>
    </xf>
    <xf numFmtId="0" fontId="0" fillId="0" borderId="0" xfId="0" applyAlignment="1">
      <alignment horizontal="right"/>
    </xf>
    <xf numFmtId="9" fontId="0" fillId="0" borderId="9" xfId="0" applyNumberFormat="1" applyBorder="1"/>
    <xf numFmtId="0" fontId="27" fillId="0" borderId="15" xfId="7" applyFill="1" applyBorder="1" applyAlignment="1">
      <alignment vertical="center" wrapText="1"/>
    </xf>
    <xf numFmtId="0" fontId="0" fillId="0" borderId="5" xfId="0" applyBorder="1"/>
    <xf numFmtId="0" fontId="0" fillId="0" borderId="6" xfId="0" applyBorder="1"/>
    <xf numFmtId="0" fontId="17" fillId="8" borderId="65" xfId="0" applyFont="1" applyFill="1" applyBorder="1" applyAlignment="1">
      <alignment wrapText="1"/>
    </xf>
    <xf numFmtId="0" fontId="17" fillId="8" borderId="84" xfId="0" applyFont="1" applyFill="1" applyBorder="1" applyAlignment="1">
      <alignment wrapText="1"/>
    </xf>
    <xf numFmtId="0" fontId="17" fillId="8" borderId="83" xfId="0" applyFont="1" applyFill="1" applyBorder="1" applyAlignment="1">
      <alignment wrapText="1"/>
    </xf>
    <xf numFmtId="0" fontId="17" fillId="8" borderId="82" xfId="0" applyFont="1" applyFill="1" applyBorder="1" applyAlignment="1">
      <alignment wrapText="1"/>
    </xf>
    <xf numFmtId="0" fontId="17" fillId="8" borderId="10" xfId="0" applyFont="1" applyFill="1" applyBorder="1" applyAlignment="1">
      <alignment wrapText="1"/>
    </xf>
    <xf numFmtId="0" fontId="17" fillId="8" borderId="11" xfId="0" applyFont="1" applyFill="1" applyBorder="1" applyAlignment="1">
      <alignment wrapText="1"/>
    </xf>
    <xf numFmtId="0" fontId="28" fillId="0" borderId="0" xfId="0" applyFont="1" applyFill="1" applyAlignment="1">
      <alignment horizontal="center" vertical="center"/>
    </xf>
    <xf numFmtId="0" fontId="53" fillId="17" borderId="0" xfId="9" applyFont="1" applyBorder="1" applyAlignment="1">
      <alignment horizontal="center" vertical="center" wrapText="1"/>
    </xf>
    <xf numFmtId="0" fontId="52" fillId="0" borderId="0" xfId="0" applyFont="1" applyBorder="1" applyAlignment="1">
      <alignment horizontal="center" vertical="center"/>
    </xf>
    <xf numFmtId="0" fontId="53" fillId="17" borderId="15" xfId="9" applyFont="1" applyBorder="1" applyAlignment="1">
      <alignment horizontal="center" vertical="center" wrapText="1"/>
    </xf>
    <xf numFmtId="0" fontId="52" fillId="0" borderId="0" xfId="0" applyFont="1" applyBorder="1"/>
    <xf numFmtId="0" fontId="53" fillId="17" borderId="16" xfId="9" applyFont="1" applyBorder="1" applyAlignment="1">
      <alignment horizontal="center" vertical="top" wrapText="1"/>
    </xf>
    <xf numFmtId="0" fontId="53" fillId="17" borderId="9" xfId="9" applyFont="1" applyBorder="1" applyAlignment="1">
      <alignment horizontal="center" vertical="top" wrapText="1"/>
    </xf>
    <xf numFmtId="0" fontId="53" fillId="17" borderId="7" xfId="9" applyFont="1" applyBorder="1" applyAlignment="1">
      <alignment horizontal="center" vertical="top" wrapText="1"/>
    </xf>
    <xf numFmtId="1" fontId="53" fillId="17" borderId="9" xfId="9" applyNumberFormat="1" applyFont="1" applyBorder="1" applyAlignment="1">
      <alignment horizontal="center" vertical="top" wrapText="1"/>
    </xf>
    <xf numFmtId="1" fontId="53" fillId="17" borderId="7" xfId="9" applyNumberFormat="1" applyFont="1" applyBorder="1" applyAlignment="1">
      <alignment horizontal="center" vertical="top" wrapText="1"/>
    </xf>
    <xf numFmtId="0" fontId="53" fillId="17" borderId="0" xfId="9" applyFont="1" applyBorder="1" applyAlignment="1">
      <alignment horizontal="center" vertical="top" wrapText="1"/>
    </xf>
    <xf numFmtId="0" fontId="52" fillId="0" borderId="0" xfId="0" applyFont="1" applyBorder="1" applyAlignment="1">
      <alignment horizontal="center" vertical="top"/>
    </xf>
    <xf numFmtId="0" fontId="0" fillId="16" borderId="14" xfId="8" applyFont="1" applyBorder="1" applyAlignment="1">
      <alignment vertical="center" wrapText="1"/>
    </xf>
    <xf numFmtId="0" fontId="51" fillId="0" borderId="0" xfId="0" applyFont="1" applyBorder="1" applyAlignment="1">
      <alignment vertical="center" wrapText="1"/>
    </xf>
    <xf numFmtId="9" fontId="51" fillId="0" borderId="0" xfId="0" applyNumberFormat="1" applyFont="1" applyBorder="1" applyAlignment="1">
      <alignment vertical="center" wrapText="1"/>
    </xf>
    <xf numFmtId="0" fontId="51" fillId="0" borderId="0" xfId="0" applyFont="1" applyBorder="1" applyAlignment="1">
      <alignment vertical="center"/>
    </xf>
    <xf numFmtId="0" fontId="13" fillId="0" borderId="0" xfId="0" applyFont="1" applyBorder="1" applyAlignment="1">
      <alignment vertical="center" wrapText="1"/>
    </xf>
    <xf numFmtId="9" fontId="13" fillId="0" borderId="0" xfId="0" applyNumberFormat="1" applyFont="1" applyBorder="1" applyAlignment="1">
      <alignment vertical="center" wrapText="1"/>
    </xf>
    <xf numFmtId="0" fontId="13" fillId="0" borderId="0" xfId="0" applyFont="1" applyBorder="1" applyAlignment="1">
      <alignment vertical="center"/>
    </xf>
    <xf numFmtId="10" fontId="0" fillId="0" borderId="0" xfId="0" applyNumberFormat="1" applyBorder="1"/>
    <xf numFmtId="9" fontId="13" fillId="0" borderId="0" xfId="0" applyNumberFormat="1" applyFont="1" applyBorder="1" applyAlignment="1">
      <alignment vertical="center"/>
    </xf>
    <xf numFmtId="0" fontId="54" fillId="0" borderId="0" xfId="0" applyFont="1" applyBorder="1" applyAlignment="1">
      <alignment vertical="center"/>
    </xf>
    <xf numFmtId="0" fontId="54" fillId="0" borderId="0" xfId="0" applyFont="1" applyBorder="1" applyAlignment="1">
      <alignment vertical="center" wrapText="1"/>
    </xf>
    <xf numFmtId="17" fontId="54" fillId="0" borderId="0" xfId="0" applyNumberFormat="1" applyFont="1" applyBorder="1" applyAlignment="1">
      <alignment vertical="center"/>
    </xf>
    <xf numFmtId="0" fontId="19" fillId="17" borderId="12" xfId="9" applyBorder="1"/>
    <xf numFmtId="0" fontId="19" fillId="17" borderId="10" xfId="9" applyBorder="1"/>
    <xf numFmtId="0" fontId="19" fillId="17" borderId="11" xfId="9" applyBorder="1"/>
    <xf numFmtId="0" fontId="54" fillId="0" borderId="15" xfId="0" applyFont="1" applyBorder="1" applyAlignment="1">
      <alignment vertical="center" wrapText="1"/>
    </xf>
    <xf numFmtId="0" fontId="54" fillId="0" borderId="14" xfId="0" applyFont="1" applyBorder="1" applyAlignment="1">
      <alignment vertical="center" wrapText="1"/>
    </xf>
    <xf numFmtId="0" fontId="54" fillId="0" borderId="15" xfId="0" applyFont="1" applyBorder="1" applyAlignment="1">
      <alignment vertical="center"/>
    </xf>
    <xf numFmtId="0" fontId="13" fillId="0" borderId="0" xfId="0" applyFont="1" applyFill="1"/>
    <xf numFmtId="0" fontId="42" fillId="24" borderId="77" xfId="20"/>
    <xf numFmtId="0" fontId="43" fillId="0" borderId="79" xfId="21" applyFill="1" applyAlignment="1">
      <alignment wrapText="1"/>
    </xf>
    <xf numFmtId="0" fontId="0" fillId="0" borderId="0" xfId="0" pivotButton="1" applyAlignment="1">
      <alignment vertical="center"/>
    </xf>
    <xf numFmtId="0" fontId="0" fillId="0" borderId="0" xfId="0" applyAlignment="1">
      <alignment vertical="center" wrapText="1"/>
    </xf>
    <xf numFmtId="3" fontId="43" fillId="0" borderId="79" xfId="21" applyNumberFormat="1"/>
    <xf numFmtId="0" fontId="0" fillId="0" borderId="0" xfId="0" pivotButton="1" applyAlignment="1">
      <alignment vertical="center" wrapText="1"/>
    </xf>
    <xf numFmtId="0" fontId="0" fillId="0" borderId="0" xfId="0" pivotButton="1" applyAlignment="1">
      <alignment horizontal="center" vertical="center" wrapText="1"/>
    </xf>
    <xf numFmtId="0" fontId="56" fillId="3" borderId="71" xfId="0" applyFont="1" applyFill="1" applyBorder="1" applyAlignment="1">
      <alignment horizontal="center" vertical="center" wrapText="1"/>
    </xf>
    <xf numFmtId="0" fontId="57" fillId="3" borderId="71" xfId="0" applyFont="1" applyFill="1" applyBorder="1" applyAlignment="1">
      <alignment horizontal="center" vertical="center" wrapText="1"/>
    </xf>
    <xf numFmtId="0" fontId="58" fillId="3" borderId="71" xfId="0" applyFont="1" applyFill="1" applyBorder="1" applyAlignment="1">
      <alignment horizontal="center" vertical="center" wrapText="1"/>
    </xf>
    <xf numFmtId="3" fontId="57" fillId="3" borderId="71" xfId="0" applyNumberFormat="1" applyFont="1" applyFill="1" applyBorder="1" applyAlignment="1">
      <alignment horizontal="center" vertical="center" wrapText="1"/>
    </xf>
    <xf numFmtId="9" fontId="57" fillId="3" borderId="71" xfId="0" applyNumberFormat="1" applyFont="1" applyFill="1" applyBorder="1" applyAlignment="1">
      <alignment horizontal="center" vertical="center" wrapText="1"/>
    </xf>
    <xf numFmtId="9" fontId="57" fillId="3" borderId="71" xfId="1" applyFont="1" applyFill="1" applyBorder="1" applyAlignment="1">
      <alignment horizontal="center" vertical="center" wrapText="1"/>
    </xf>
    <xf numFmtId="1" fontId="57" fillId="3" borderId="71" xfId="0" applyNumberFormat="1" applyFont="1" applyFill="1" applyBorder="1" applyAlignment="1">
      <alignment horizontal="center" vertical="center" wrapText="1"/>
    </xf>
    <xf numFmtId="0" fontId="4" fillId="0" borderId="85" xfId="0" applyFont="1" applyFill="1" applyBorder="1" applyAlignment="1">
      <alignment horizontal="center" vertical="center" wrapText="1"/>
    </xf>
    <xf numFmtId="0" fontId="12" fillId="3" borderId="73" xfId="0" applyFont="1" applyFill="1" applyBorder="1" applyAlignment="1">
      <alignment horizontal="center" vertical="center" wrapText="1"/>
    </xf>
    <xf numFmtId="1" fontId="4" fillId="3" borderId="73" xfId="0" applyNumberFormat="1" applyFont="1" applyFill="1" applyBorder="1" applyAlignment="1">
      <alignment horizontal="center" vertical="center" wrapText="1"/>
    </xf>
    <xf numFmtId="1" fontId="58" fillId="3" borderId="71" xfId="0" applyNumberFormat="1" applyFont="1" applyFill="1" applyBorder="1" applyAlignment="1">
      <alignment horizontal="center" vertical="center" wrapText="1"/>
    </xf>
    <xf numFmtId="1" fontId="56" fillId="3" borderId="71" xfId="6" applyNumberFormat="1" applyFont="1" applyFill="1" applyBorder="1" applyAlignment="1">
      <alignment horizontal="center" vertical="center" wrapText="1"/>
    </xf>
    <xf numFmtId="0" fontId="59" fillId="50" borderId="86" xfId="0" applyFont="1" applyFill="1" applyBorder="1" applyAlignment="1">
      <alignment horizontal="center" vertical="center" wrapText="1"/>
    </xf>
    <xf numFmtId="0" fontId="59" fillId="50" borderId="2" xfId="0" applyFont="1" applyFill="1" applyBorder="1" applyAlignment="1">
      <alignment horizontal="center" vertical="center" wrapText="1"/>
    </xf>
    <xf numFmtId="0" fontId="13" fillId="0" borderId="85" xfId="0" applyFont="1" applyFill="1" applyBorder="1" applyAlignment="1">
      <alignment horizontal="center" vertical="center" wrapText="1"/>
    </xf>
    <xf numFmtId="166" fontId="4" fillId="0" borderId="85" xfId="6" applyNumberFormat="1" applyFont="1" applyFill="1" applyBorder="1" applyAlignment="1">
      <alignment horizontal="center" vertical="center" wrapText="1"/>
    </xf>
    <xf numFmtId="10" fontId="4" fillId="0" borderId="85" xfId="1" applyNumberFormat="1" applyFont="1" applyFill="1" applyBorder="1" applyAlignment="1">
      <alignment horizontal="center" vertical="center" wrapText="1"/>
    </xf>
    <xf numFmtId="170" fontId="4" fillId="0" borderId="85" xfId="1" applyNumberFormat="1" applyFont="1" applyFill="1" applyBorder="1" applyAlignment="1">
      <alignment horizontal="center" vertical="center" wrapText="1"/>
    </xf>
    <xf numFmtId="0" fontId="13" fillId="0" borderId="1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13" fillId="0" borderId="87" xfId="0" applyFont="1" applyFill="1" applyBorder="1" applyAlignment="1">
      <alignment horizontal="center" vertical="center" wrapText="1"/>
    </xf>
    <xf numFmtId="0" fontId="4" fillId="0" borderId="87" xfId="0" applyFont="1" applyFill="1" applyBorder="1" applyAlignment="1">
      <alignment horizontal="center" vertical="center" wrapText="1"/>
    </xf>
    <xf numFmtId="0" fontId="13" fillId="0" borderId="88" xfId="0" applyFont="1" applyFill="1" applyBorder="1" applyAlignment="1">
      <alignment horizontal="center" vertical="center" wrapText="1"/>
    </xf>
    <xf numFmtId="0" fontId="4" fillId="0" borderId="89" xfId="0" applyFont="1" applyFill="1" applyBorder="1" applyAlignment="1">
      <alignment horizontal="center" vertical="center" wrapText="1"/>
    </xf>
    <xf numFmtId="0" fontId="0" fillId="0" borderId="89" xfId="0" applyBorder="1"/>
    <xf numFmtId="166" fontId="0" fillId="0" borderId="89" xfId="0" applyNumberFormat="1" applyBorder="1"/>
    <xf numFmtId="9" fontId="0" fillId="0" borderId="89" xfId="0" applyNumberFormat="1" applyBorder="1"/>
    <xf numFmtId="166" fontId="0" fillId="0" borderId="89" xfId="6" applyNumberFormat="1" applyFont="1" applyBorder="1"/>
    <xf numFmtId="166" fontId="4" fillId="0" borderId="87" xfId="6" applyNumberFormat="1" applyFont="1" applyFill="1" applyBorder="1" applyAlignment="1">
      <alignment horizontal="center" vertical="center" wrapText="1"/>
    </xf>
    <xf numFmtId="170" fontId="4" fillId="0" borderId="13" xfId="1" applyNumberFormat="1" applyFont="1" applyFill="1" applyBorder="1" applyAlignment="1">
      <alignment horizontal="center" vertical="center" wrapText="1"/>
    </xf>
    <xf numFmtId="0" fontId="13" fillId="0" borderId="87" xfId="0" applyFont="1" applyFill="1" applyBorder="1" applyAlignment="1">
      <alignment horizontal="center" vertical="center"/>
    </xf>
    <xf numFmtId="0" fontId="4" fillId="0" borderId="87" xfId="0" applyFont="1" applyFill="1" applyBorder="1" applyAlignment="1">
      <alignment horizontal="center" vertical="center"/>
    </xf>
    <xf numFmtId="0" fontId="4" fillId="0" borderId="85" xfId="0" applyFont="1" applyFill="1" applyBorder="1" applyAlignment="1">
      <alignment horizontal="center" vertical="center"/>
    </xf>
    <xf numFmtId="166" fontId="4" fillId="0" borderId="85" xfId="6" applyNumberFormat="1" applyFont="1" applyFill="1" applyBorder="1" applyAlignment="1">
      <alignment horizontal="center" vertical="center"/>
    </xf>
    <xf numFmtId="43" fontId="4" fillId="0" borderId="85" xfId="6" applyFont="1" applyFill="1" applyBorder="1" applyAlignment="1">
      <alignment horizontal="center" vertical="center"/>
    </xf>
    <xf numFmtId="0" fontId="13"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0" fillId="0" borderId="89" xfId="0" applyBorder="1" applyAlignment="1"/>
    <xf numFmtId="166" fontId="0" fillId="0" borderId="89" xfId="6" applyNumberFormat="1" applyFont="1" applyBorder="1" applyAlignment="1"/>
    <xf numFmtId="9" fontId="0" fillId="0" borderId="89" xfId="0" applyNumberFormat="1" applyBorder="1" applyAlignment="1"/>
    <xf numFmtId="43" fontId="0" fillId="0" borderId="89" xfId="6" applyFont="1" applyBorder="1" applyAlignment="1"/>
    <xf numFmtId="9" fontId="4" fillId="0" borderId="85" xfId="1" applyFont="1" applyFill="1" applyBorder="1" applyAlignment="1">
      <alignment horizontal="center" vertical="center" wrapText="1"/>
    </xf>
    <xf numFmtId="9" fontId="4" fillId="0" borderId="13" xfId="1" applyFont="1" applyFill="1" applyBorder="1" applyAlignment="1">
      <alignment horizontal="center" vertical="center" wrapText="1"/>
    </xf>
    <xf numFmtId="166" fontId="4" fillId="0" borderId="13" xfId="6" applyNumberFormat="1" applyFont="1" applyFill="1" applyBorder="1" applyAlignment="1">
      <alignment horizontal="center" vertical="center" wrapText="1"/>
    </xf>
    <xf numFmtId="0" fontId="13" fillId="0" borderId="90" xfId="0" applyFont="1" applyFill="1" applyBorder="1" applyAlignment="1">
      <alignment horizontal="center" vertical="center" wrapText="1"/>
    </xf>
    <xf numFmtId="0" fontId="4" fillId="0" borderId="90" xfId="0" applyFont="1" applyFill="1" applyBorder="1" applyAlignment="1">
      <alignment horizontal="center" vertical="center" wrapText="1"/>
    </xf>
    <xf numFmtId="170" fontId="4" fillId="0" borderId="90" xfId="1" applyNumberFormat="1" applyFont="1" applyFill="1" applyBorder="1" applyAlignment="1">
      <alignment horizontal="center" vertical="center" wrapText="1"/>
    </xf>
    <xf numFmtId="0" fontId="4" fillId="14" borderId="90" xfId="0" applyFont="1" applyFill="1" applyBorder="1" applyAlignment="1">
      <alignment horizontal="center" vertical="center" wrapText="1"/>
    </xf>
    <xf numFmtId="0" fontId="4" fillId="0" borderId="37" xfId="0" applyFont="1" applyFill="1" applyBorder="1" applyAlignment="1">
      <alignment horizontal="center" vertical="center" wrapText="1"/>
    </xf>
    <xf numFmtId="166" fontId="4" fillId="0" borderId="90" xfId="6" applyNumberFormat="1" applyFont="1" applyFill="1" applyBorder="1" applyAlignment="1">
      <alignment horizontal="center" vertical="center" wrapText="1"/>
    </xf>
    <xf numFmtId="170" fontId="0" fillId="0" borderId="89" xfId="0" applyNumberFormat="1" applyBorder="1"/>
    <xf numFmtId="170" fontId="0" fillId="0" borderId="89" xfId="1" applyNumberFormat="1" applyFont="1" applyBorder="1"/>
    <xf numFmtId="0" fontId="13" fillId="3" borderId="85" xfId="0" applyFont="1" applyFill="1" applyBorder="1" applyAlignment="1">
      <alignment horizontal="center" vertical="center" wrapText="1"/>
    </xf>
    <xf numFmtId="0" fontId="4" fillId="3" borderId="85" xfId="0" applyFont="1" applyFill="1" applyBorder="1" applyAlignment="1">
      <alignment horizontal="center" vertical="center" wrapText="1"/>
    </xf>
    <xf numFmtId="166" fontId="4" fillId="3" borderId="85" xfId="6" applyNumberFormat="1" applyFont="1" applyFill="1" applyBorder="1" applyAlignment="1">
      <alignment horizontal="center" vertical="center" wrapText="1"/>
    </xf>
    <xf numFmtId="170" fontId="4" fillId="3" borderId="85" xfId="1" applyNumberFormat="1" applyFont="1" applyFill="1" applyBorder="1" applyAlignment="1">
      <alignment horizontal="center" vertical="center" wrapText="1"/>
    </xf>
    <xf numFmtId="9" fontId="4" fillId="3" borderId="85" xfId="1" applyFont="1" applyFill="1" applyBorder="1" applyAlignment="1">
      <alignment horizontal="center" vertical="center" wrapText="1"/>
    </xf>
    <xf numFmtId="0" fontId="13" fillId="3" borderId="13" xfId="0" applyFont="1" applyFill="1" applyBorder="1" applyAlignment="1">
      <alignment horizontal="center" vertical="center" wrapText="1"/>
    </xf>
    <xf numFmtId="0" fontId="4" fillId="3" borderId="13" xfId="0" applyFont="1" applyFill="1" applyBorder="1" applyAlignment="1">
      <alignment horizontal="center" vertical="center" wrapText="1"/>
    </xf>
    <xf numFmtId="166" fontId="4" fillId="3" borderId="13" xfId="6" applyNumberFormat="1" applyFont="1" applyFill="1" applyBorder="1" applyAlignment="1">
      <alignment horizontal="center" vertical="center" wrapText="1"/>
    </xf>
    <xf numFmtId="170" fontId="4" fillId="3" borderId="13" xfId="1" applyNumberFormat="1" applyFont="1" applyFill="1" applyBorder="1" applyAlignment="1">
      <alignment horizontal="center" vertical="center" wrapText="1"/>
    </xf>
    <xf numFmtId="9" fontId="4" fillId="3" borderId="13" xfId="1" applyFont="1" applyFill="1" applyBorder="1" applyAlignment="1">
      <alignment horizontal="center" vertical="center" wrapText="1"/>
    </xf>
    <xf numFmtId="0" fontId="13" fillId="3" borderId="88" xfId="0" applyFont="1" applyFill="1" applyBorder="1" applyAlignment="1">
      <alignment horizontal="center" vertical="center" wrapText="1"/>
    </xf>
    <xf numFmtId="0" fontId="4" fillId="3" borderId="89" xfId="0" applyFont="1" applyFill="1" applyBorder="1" applyAlignment="1">
      <alignment horizontal="center" vertical="center" wrapText="1"/>
    </xf>
    <xf numFmtId="0" fontId="0" fillId="3" borderId="89" xfId="0" applyFill="1" applyBorder="1"/>
    <xf numFmtId="166" fontId="0" fillId="3" borderId="89" xfId="6" applyNumberFormat="1" applyFont="1" applyFill="1" applyBorder="1"/>
    <xf numFmtId="9" fontId="0" fillId="3" borderId="89" xfId="1" applyNumberFormat="1" applyFont="1" applyFill="1" applyBorder="1"/>
    <xf numFmtId="0" fontId="13" fillId="3" borderId="90" xfId="0" applyFont="1" applyFill="1" applyBorder="1" applyAlignment="1">
      <alignment horizontal="center" vertical="center" wrapText="1"/>
    </xf>
    <xf numFmtId="0" fontId="4" fillId="3" borderId="90" xfId="0" applyFont="1" applyFill="1" applyBorder="1" applyAlignment="1">
      <alignment horizontal="center" vertical="center" wrapText="1"/>
    </xf>
    <xf numFmtId="166" fontId="4" fillId="3" borderId="90" xfId="6" applyNumberFormat="1" applyFont="1" applyFill="1" applyBorder="1" applyAlignment="1">
      <alignment horizontal="center" vertical="center" wrapText="1"/>
    </xf>
    <xf numFmtId="170" fontId="4" fillId="3" borderId="90" xfId="1" applyNumberFormat="1" applyFont="1" applyFill="1" applyBorder="1" applyAlignment="1">
      <alignment horizontal="center" vertical="center" wrapText="1"/>
    </xf>
    <xf numFmtId="0" fontId="13" fillId="3" borderId="87" xfId="0" applyFont="1" applyFill="1" applyBorder="1" applyAlignment="1">
      <alignment horizontal="center" vertical="center" wrapText="1"/>
    </xf>
    <xf numFmtId="0" fontId="4" fillId="3" borderId="87" xfId="0" applyFont="1" applyFill="1" applyBorder="1" applyAlignment="1">
      <alignment horizontal="center" vertical="center" wrapText="1"/>
    </xf>
    <xf numFmtId="9" fontId="0" fillId="3" borderId="89" xfId="0" applyNumberFormat="1" applyFill="1" applyBorder="1"/>
    <xf numFmtId="0" fontId="59" fillId="50" borderId="91"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57" fillId="51" borderId="71" xfId="0" applyFont="1" applyFill="1" applyBorder="1" applyAlignment="1">
      <alignment horizontal="center" vertical="center" wrapText="1"/>
    </xf>
    <xf numFmtId="9" fontId="57" fillId="51" borderId="71" xfId="0" applyNumberFormat="1" applyFont="1" applyFill="1" applyBorder="1" applyAlignment="1">
      <alignment horizontal="center" vertical="center" wrapText="1"/>
    </xf>
    <xf numFmtId="0" fontId="12" fillId="51" borderId="71" xfId="0" applyFont="1" applyFill="1" applyBorder="1" applyAlignment="1">
      <alignment horizontal="center" vertical="center" wrapText="1"/>
    </xf>
    <xf numFmtId="0" fontId="58" fillId="51" borderId="71" xfId="0" applyFont="1" applyFill="1" applyBorder="1" applyAlignment="1">
      <alignment horizontal="center" vertical="center" wrapText="1"/>
    </xf>
    <xf numFmtId="0" fontId="60" fillId="52" borderId="98" xfId="0" applyNumberFormat="1" applyFont="1" applyFill="1" applyBorder="1" applyAlignment="1" applyProtection="1">
      <alignment horizontal="center" wrapText="1"/>
    </xf>
    <xf numFmtId="0" fontId="61" fillId="53" borderId="98" xfId="0" applyNumberFormat="1" applyFont="1" applyFill="1" applyBorder="1" applyAlignment="1" applyProtection="1">
      <alignment horizontal="right" wrapText="1"/>
    </xf>
    <xf numFmtId="0" fontId="60" fillId="52" borderId="98" xfId="0" applyNumberFormat="1" applyFont="1" applyFill="1" applyBorder="1" applyAlignment="1" applyProtection="1">
      <alignment horizontal="left" wrapText="1"/>
    </xf>
    <xf numFmtId="2" fontId="0" fillId="0" borderId="0" xfId="0" applyNumberFormat="1" applyBorder="1"/>
    <xf numFmtId="2" fontId="0" fillId="0" borderId="0" xfId="0" applyNumberFormat="1" applyFill="1" applyBorder="1"/>
    <xf numFmtId="2" fontId="0" fillId="0" borderId="14" xfId="0" applyNumberFormat="1" applyBorder="1"/>
    <xf numFmtId="0" fontId="0" fillId="0" borderId="0" xfId="0" applyBorder="1" applyAlignment="1"/>
    <xf numFmtId="9" fontId="0" fillId="9" borderId="40" xfId="1" applyFont="1" applyFill="1" applyBorder="1"/>
    <xf numFmtId="9" fontId="0" fillId="5" borderId="40" xfId="1" applyFont="1" applyFill="1" applyBorder="1"/>
    <xf numFmtId="1" fontId="0" fillId="9" borderId="40" xfId="1" applyNumberFormat="1" applyFont="1" applyFill="1" applyBorder="1"/>
    <xf numFmtId="9" fontId="2" fillId="5" borderId="35" xfId="1" applyFont="1" applyFill="1" applyBorder="1"/>
    <xf numFmtId="10" fontId="0" fillId="9" borderId="0" xfId="1" applyNumberFormat="1" applyFont="1" applyFill="1" applyBorder="1"/>
    <xf numFmtId="10" fontId="0" fillId="5" borderId="0" xfId="1" applyNumberFormat="1" applyFont="1" applyFill="1" applyBorder="1"/>
    <xf numFmtId="0" fontId="28" fillId="10" borderId="0" xfId="0" applyFont="1" applyFill="1"/>
    <xf numFmtId="170" fontId="62" fillId="0" borderId="90" xfId="1" applyNumberFormat="1" applyFont="1" applyFill="1" applyBorder="1" applyAlignment="1">
      <alignment horizontal="center" vertical="center" wrapText="1"/>
    </xf>
    <xf numFmtId="0" fontId="0" fillId="3" borderId="8" xfId="0" applyFill="1" applyBorder="1"/>
    <xf numFmtId="0" fontId="56" fillId="51" borderId="71" xfId="0" applyFont="1" applyFill="1" applyBorder="1" applyAlignment="1">
      <alignment horizontal="center" vertical="center" wrapText="1"/>
    </xf>
    <xf numFmtId="3" fontId="57" fillId="51" borderId="71" xfId="0" applyNumberFormat="1" applyFont="1" applyFill="1" applyBorder="1" applyAlignment="1">
      <alignment horizontal="center" vertical="center" wrapText="1"/>
    </xf>
    <xf numFmtId="9" fontId="57" fillId="51" borderId="71" xfId="1" applyFont="1" applyFill="1" applyBorder="1" applyAlignment="1">
      <alignment horizontal="center" vertical="center" wrapText="1"/>
    </xf>
    <xf numFmtId="1" fontId="57" fillId="51" borderId="71" xfId="0" applyNumberFormat="1" applyFont="1" applyFill="1" applyBorder="1" applyAlignment="1">
      <alignment horizontal="center" vertical="center" wrapText="1"/>
    </xf>
    <xf numFmtId="0" fontId="58" fillId="7" borderId="71" xfId="0" applyFont="1" applyFill="1" applyBorder="1" applyAlignment="1">
      <alignment horizontal="center" vertical="center" wrapText="1"/>
    </xf>
    <xf numFmtId="0" fontId="57" fillId="7" borderId="71" xfId="0" applyFont="1" applyFill="1" applyBorder="1" applyAlignment="1">
      <alignment horizontal="center" vertical="center" wrapText="1"/>
    </xf>
    <xf numFmtId="9" fontId="57" fillId="7" borderId="71" xfId="0" applyNumberFormat="1" applyFont="1" applyFill="1" applyBorder="1" applyAlignment="1">
      <alignment horizontal="center" vertical="center" wrapText="1"/>
    </xf>
    <xf numFmtId="0" fontId="12" fillId="54" borderId="71" xfId="0" applyFont="1" applyFill="1" applyBorder="1" applyAlignment="1">
      <alignment horizontal="center" vertical="center" wrapText="1"/>
    </xf>
    <xf numFmtId="0" fontId="58" fillId="54" borderId="71" xfId="0" applyFont="1" applyFill="1" applyBorder="1" applyAlignment="1">
      <alignment horizontal="center" vertical="center" wrapText="1"/>
    </xf>
    <xf numFmtId="0" fontId="57" fillId="54" borderId="71" xfId="0" applyFont="1" applyFill="1" applyBorder="1" applyAlignment="1">
      <alignment horizontal="center" vertical="center" wrapText="1"/>
    </xf>
    <xf numFmtId="9" fontId="57" fillId="54" borderId="71" xfId="0" applyNumberFormat="1" applyFont="1" applyFill="1" applyBorder="1" applyAlignment="1">
      <alignment horizontal="center" vertical="center" wrapText="1"/>
    </xf>
    <xf numFmtId="3" fontId="12" fillId="54" borderId="71" xfId="0" applyNumberFormat="1" applyFont="1" applyFill="1" applyBorder="1" applyAlignment="1">
      <alignment horizontal="center" vertical="center" wrapText="1"/>
    </xf>
    <xf numFmtId="1" fontId="12" fillId="54" borderId="71" xfId="0" applyNumberFormat="1" applyFont="1" applyFill="1" applyBorder="1" applyAlignment="1">
      <alignment horizontal="center" vertical="center" wrapText="1"/>
    </xf>
    <xf numFmtId="0" fontId="56" fillId="55" borderId="71" xfId="0" applyFont="1" applyFill="1" applyBorder="1" applyAlignment="1">
      <alignment horizontal="center" vertical="center" wrapText="1"/>
    </xf>
    <xf numFmtId="0" fontId="12" fillId="55" borderId="71" xfId="0" applyFont="1" applyFill="1" applyBorder="1" applyAlignment="1">
      <alignment horizontal="center" vertical="center" wrapText="1"/>
    </xf>
    <xf numFmtId="0" fontId="58" fillId="55" borderId="71" xfId="0" applyFont="1" applyFill="1" applyBorder="1" applyAlignment="1">
      <alignment horizontal="center" vertical="center" wrapText="1"/>
    </xf>
    <xf numFmtId="3" fontId="57" fillId="55" borderId="71" xfId="0" applyNumberFormat="1" applyFont="1" applyFill="1" applyBorder="1" applyAlignment="1">
      <alignment horizontal="center" vertical="center" wrapText="1"/>
    </xf>
    <xf numFmtId="0" fontId="57" fillId="55" borderId="71" xfId="0" applyFont="1" applyFill="1" applyBorder="1" applyAlignment="1">
      <alignment horizontal="center" vertical="center" wrapText="1"/>
    </xf>
    <xf numFmtId="9" fontId="57" fillId="55" borderId="71" xfId="0" applyNumberFormat="1" applyFont="1" applyFill="1" applyBorder="1" applyAlignment="1">
      <alignment horizontal="center" vertical="center" wrapText="1"/>
    </xf>
    <xf numFmtId="9" fontId="57" fillId="55" borderId="71" xfId="1" applyFont="1" applyFill="1" applyBorder="1" applyAlignment="1">
      <alignment horizontal="center" vertical="center" wrapText="1"/>
    </xf>
    <xf numFmtId="1" fontId="57" fillId="55" borderId="71" xfId="0" applyNumberFormat="1" applyFont="1" applyFill="1" applyBorder="1" applyAlignment="1">
      <alignment horizontal="center" vertical="center" wrapText="1"/>
    </xf>
    <xf numFmtId="0" fontId="56" fillId="56" borderId="71" xfId="0" applyFont="1" applyFill="1" applyBorder="1" applyAlignment="1">
      <alignment horizontal="center" vertical="center" wrapText="1"/>
    </xf>
    <xf numFmtId="0" fontId="12" fillId="56" borderId="71" xfId="0" applyFont="1" applyFill="1" applyBorder="1" applyAlignment="1">
      <alignment horizontal="center" vertical="center" wrapText="1"/>
    </xf>
    <xf numFmtId="0" fontId="58" fillId="56" borderId="71" xfId="0" applyFont="1" applyFill="1" applyBorder="1" applyAlignment="1">
      <alignment horizontal="center" vertical="center" wrapText="1"/>
    </xf>
    <xf numFmtId="3" fontId="12" fillId="56" borderId="71" xfId="0" applyNumberFormat="1" applyFont="1" applyFill="1" applyBorder="1" applyAlignment="1">
      <alignment horizontal="center" vertical="center" wrapText="1"/>
    </xf>
    <xf numFmtId="0" fontId="57" fillId="56" borderId="71" xfId="0" applyFont="1" applyFill="1" applyBorder="1" applyAlignment="1">
      <alignment horizontal="center" vertical="center" wrapText="1"/>
    </xf>
    <xf numFmtId="9" fontId="57" fillId="56" borderId="71" xfId="0" applyNumberFormat="1" applyFont="1" applyFill="1" applyBorder="1" applyAlignment="1">
      <alignment horizontal="center" vertical="center" wrapText="1"/>
    </xf>
    <xf numFmtId="9" fontId="57" fillId="56" borderId="71" xfId="1" applyFont="1" applyFill="1" applyBorder="1" applyAlignment="1">
      <alignment horizontal="center" vertical="center" wrapText="1"/>
    </xf>
    <xf numFmtId="1" fontId="12" fillId="56" borderId="71" xfId="0" applyNumberFormat="1" applyFont="1" applyFill="1" applyBorder="1" applyAlignment="1">
      <alignment horizontal="center" vertical="center" wrapText="1"/>
    </xf>
    <xf numFmtId="0" fontId="4" fillId="56" borderId="71" xfId="0" applyFont="1" applyFill="1" applyBorder="1" applyAlignment="1">
      <alignment horizontal="center" vertical="center" wrapText="1"/>
    </xf>
    <xf numFmtId="9" fontId="12" fillId="56" borderId="71" xfId="0" applyNumberFormat="1" applyFont="1" applyFill="1" applyBorder="1" applyAlignment="1">
      <alignment horizontal="center" vertical="center" wrapText="1"/>
    </xf>
    <xf numFmtId="0" fontId="56" fillId="57" borderId="71" xfId="0" applyFont="1" applyFill="1" applyBorder="1" applyAlignment="1">
      <alignment horizontal="center" vertical="center" wrapText="1"/>
    </xf>
    <xf numFmtId="0" fontId="57" fillId="57" borderId="71" xfId="0" applyFont="1" applyFill="1" applyBorder="1" applyAlignment="1">
      <alignment horizontal="center" vertical="center" wrapText="1"/>
    </xf>
    <xf numFmtId="0" fontId="4" fillId="57" borderId="71" xfId="0" applyFont="1" applyFill="1" applyBorder="1" applyAlignment="1">
      <alignment horizontal="center" vertical="center" wrapText="1"/>
    </xf>
    <xf numFmtId="3" fontId="57" fillId="57" borderId="71" xfId="0" applyNumberFormat="1" applyFont="1" applyFill="1" applyBorder="1" applyAlignment="1">
      <alignment horizontal="center" vertical="center" wrapText="1"/>
    </xf>
    <xf numFmtId="9" fontId="57" fillId="57" borderId="71" xfId="0" applyNumberFormat="1" applyFont="1" applyFill="1" applyBorder="1" applyAlignment="1">
      <alignment horizontal="center" vertical="center" wrapText="1"/>
    </xf>
    <xf numFmtId="9" fontId="57" fillId="57" borderId="71" xfId="1" applyFont="1" applyFill="1" applyBorder="1" applyAlignment="1">
      <alignment horizontal="center" vertical="center" wrapText="1"/>
    </xf>
    <xf numFmtId="1" fontId="57" fillId="57" borderId="71" xfId="6" applyNumberFormat="1" applyFont="1" applyFill="1" applyBorder="1" applyAlignment="1">
      <alignment horizontal="center" vertical="center" wrapText="1"/>
    </xf>
    <xf numFmtId="0" fontId="12" fillId="57" borderId="71" xfId="0" applyFont="1" applyFill="1" applyBorder="1" applyAlignment="1">
      <alignment horizontal="center" vertical="center" wrapText="1"/>
    </xf>
    <xf numFmtId="0" fontId="12" fillId="58" borderId="71" xfId="0" applyFont="1" applyFill="1" applyBorder="1" applyAlignment="1">
      <alignment horizontal="center" vertical="center" wrapText="1"/>
    </xf>
    <xf numFmtId="0" fontId="4" fillId="58" borderId="71" xfId="0" applyFont="1" applyFill="1" applyBorder="1" applyAlignment="1">
      <alignment horizontal="center" vertical="center" wrapText="1"/>
    </xf>
    <xf numFmtId="3" fontId="12" fillId="58" borderId="71" xfId="0" applyNumberFormat="1" applyFont="1" applyFill="1" applyBorder="1" applyAlignment="1">
      <alignment horizontal="center" vertical="center" wrapText="1"/>
    </xf>
    <xf numFmtId="9" fontId="12" fillId="58" borderId="71" xfId="0" applyNumberFormat="1" applyFont="1" applyFill="1" applyBorder="1" applyAlignment="1">
      <alignment horizontal="center" vertical="center" wrapText="1"/>
    </xf>
    <xf numFmtId="1" fontId="12" fillId="58" borderId="71" xfId="0" applyNumberFormat="1" applyFont="1" applyFill="1" applyBorder="1" applyAlignment="1">
      <alignment horizontal="center" vertical="center" wrapText="1"/>
    </xf>
    <xf numFmtId="0" fontId="56" fillId="59" borderId="71" xfId="0" applyFont="1" applyFill="1" applyBorder="1" applyAlignment="1">
      <alignment horizontal="center" vertical="center" wrapText="1"/>
    </xf>
    <xf numFmtId="0" fontId="57" fillId="59" borderId="71" xfId="0" applyFont="1" applyFill="1" applyBorder="1" applyAlignment="1">
      <alignment horizontal="center" vertical="center" wrapText="1"/>
    </xf>
    <xf numFmtId="0" fontId="58" fillId="59" borderId="71" xfId="0" applyFont="1" applyFill="1" applyBorder="1" applyAlignment="1">
      <alignment horizontal="center" vertical="center" wrapText="1"/>
    </xf>
    <xf numFmtId="3" fontId="57" fillId="59" borderId="71" xfId="0" applyNumberFormat="1" applyFont="1" applyFill="1" applyBorder="1" applyAlignment="1">
      <alignment horizontal="center" vertical="center" wrapText="1"/>
    </xf>
    <xf numFmtId="9" fontId="57" fillId="59" borderId="71" xfId="0" applyNumberFormat="1" applyFont="1" applyFill="1" applyBorder="1" applyAlignment="1">
      <alignment horizontal="center" vertical="center" wrapText="1"/>
    </xf>
    <xf numFmtId="9" fontId="57" fillId="59" borderId="71" xfId="1" applyFont="1" applyFill="1" applyBorder="1" applyAlignment="1">
      <alignment horizontal="center" vertical="center" wrapText="1"/>
    </xf>
    <xf numFmtId="0" fontId="12" fillId="59" borderId="71" xfId="0" applyFont="1" applyFill="1" applyBorder="1" applyAlignment="1">
      <alignment horizontal="center" vertical="center" wrapText="1"/>
    </xf>
    <xf numFmtId="1" fontId="4" fillId="59" borderId="71" xfId="0" applyNumberFormat="1" applyFont="1" applyFill="1" applyBorder="1" applyAlignment="1">
      <alignment horizontal="center" vertical="center" wrapText="1"/>
    </xf>
    <xf numFmtId="0" fontId="12" fillId="59" borderId="73" xfId="0" applyFont="1" applyFill="1" applyBorder="1" applyAlignment="1">
      <alignment horizontal="center" vertical="center" wrapText="1"/>
    </xf>
    <xf numFmtId="1" fontId="4" fillId="59" borderId="73" xfId="0" applyNumberFormat="1" applyFont="1" applyFill="1" applyBorder="1" applyAlignment="1">
      <alignment horizontal="center" vertical="center" wrapText="1"/>
    </xf>
    <xf numFmtId="1" fontId="57" fillId="59" borderId="71" xfId="0" applyNumberFormat="1" applyFont="1" applyFill="1" applyBorder="1" applyAlignment="1">
      <alignment horizontal="center" vertical="center" wrapText="1"/>
    </xf>
    <xf numFmtId="0" fontId="4" fillId="59" borderId="71" xfId="0" applyFont="1" applyFill="1" applyBorder="1" applyAlignment="1">
      <alignment horizontal="center" vertical="center" wrapText="1"/>
    </xf>
    <xf numFmtId="0" fontId="56" fillId="60" borderId="71" xfId="0" applyFont="1" applyFill="1" applyBorder="1" applyAlignment="1">
      <alignment horizontal="center" vertical="center" wrapText="1"/>
    </xf>
    <xf numFmtId="0" fontId="57" fillId="60" borderId="71" xfId="0" applyFont="1" applyFill="1" applyBorder="1" applyAlignment="1">
      <alignment horizontal="center" vertical="center" wrapText="1"/>
    </xf>
    <xf numFmtId="0" fontId="58" fillId="60" borderId="71" xfId="0" applyFont="1" applyFill="1" applyBorder="1" applyAlignment="1">
      <alignment horizontal="center" vertical="center" wrapText="1"/>
    </xf>
    <xf numFmtId="3" fontId="57" fillId="60" borderId="71" xfId="0" applyNumberFormat="1" applyFont="1" applyFill="1" applyBorder="1" applyAlignment="1">
      <alignment horizontal="center" vertical="center" wrapText="1"/>
    </xf>
    <xf numFmtId="9" fontId="57" fillId="60" borderId="71" xfId="0" applyNumberFormat="1" applyFont="1" applyFill="1" applyBorder="1" applyAlignment="1">
      <alignment horizontal="center" vertical="center" wrapText="1"/>
    </xf>
    <xf numFmtId="9" fontId="57" fillId="60" borderId="71" xfId="1" applyFont="1" applyFill="1" applyBorder="1" applyAlignment="1">
      <alignment horizontal="center" vertical="center" wrapText="1"/>
    </xf>
    <xf numFmtId="0" fontId="12" fillId="60" borderId="71" xfId="0" applyFont="1" applyFill="1" applyBorder="1" applyAlignment="1">
      <alignment horizontal="center" vertical="center" wrapText="1"/>
    </xf>
    <xf numFmtId="0" fontId="12" fillId="60" borderId="73" xfId="0" applyFont="1" applyFill="1" applyBorder="1" applyAlignment="1">
      <alignment horizontal="center" vertical="center" wrapText="1"/>
    </xf>
    <xf numFmtId="1" fontId="4" fillId="60" borderId="71" xfId="0" applyNumberFormat="1" applyFont="1" applyFill="1" applyBorder="1" applyAlignment="1">
      <alignment horizontal="center" vertical="center" wrapText="1"/>
    </xf>
    <xf numFmtId="1" fontId="4" fillId="60" borderId="73" xfId="0" applyNumberFormat="1" applyFont="1" applyFill="1" applyBorder="1" applyAlignment="1">
      <alignment horizontal="center" vertical="center" wrapText="1"/>
    </xf>
    <xf numFmtId="0" fontId="56" fillId="61" borderId="71" xfId="0" applyFont="1" applyFill="1" applyBorder="1" applyAlignment="1">
      <alignment horizontal="center" vertical="center" wrapText="1"/>
    </xf>
    <xf numFmtId="0" fontId="57" fillId="61" borderId="71" xfId="0" applyFont="1" applyFill="1" applyBorder="1" applyAlignment="1">
      <alignment horizontal="center" vertical="center" wrapText="1"/>
    </xf>
    <xf numFmtId="0" fontId="4" fillId="61" borderId="71" xfId="0" applyFont="1" applyFill="1" applyBorder="1" applyAlignment="1">
      <alignment horizontal="center" vertical="center" wrapText="1"/>
    </xf>
    <xf numFmtId="3" fontId="57" fillId="61" borderId="71" xfId="0" applyNumberFormat="1" applyFont="1" applyFill="1" applyBorder="1" applyAlignment="1">
      <alignment horizontal="center" vertical="center" wrapText="1"/>
    </xf>
    <xf numFmtId="9" fontId="57" fillId="61" borderId="71" xfId="0" applyNumberFormat="1" applyFont="1" applyFill="1" applyBorder="1" applyAlignment="1">
      <alignment horizontal="center" vertical="center" wrapText="1"/>
    </xf>
    <xf numFmtId="9" fontId="57" fillId="61" borderId="71" xfId="1" applyFont="1" applyFill="1" applyBorder="1" applyAlignment="1">
      <alignment horizontal="center" vertical="center" wrapText="1"/>
    </xf>
    <xf numFmtId="0" fontId="12" fillId="61" borderId="71" xfId="0" applyFont="1" applyFill="1" applyBorder="1" applyAlignment="1">
      <alignment horizontal="center" vertical="center" wrapText="1"/>
    </xf>
    <xf numFmtId="0" fontId="12" fillId="61" borderId="73" xfId="0" applyFont="1" applyFill="1" applyBorder="1" applyAlignment="1">
      <alignment horizontal="center" vertical="center" wrapText="1"/>
    </xf>
    <xf numFmtId="1" fontId="4" fillId="61" borderId="71" xfId="0" applyNumberFormat="1" applyFont="1" applyFill="1" applyBorder="1" applyAlignment="1">
      <alignment horizontal="center" vertical="center" wrapText="1"/>
    </xf>
    <xf numFmtId="1" fontId="4" fillId="61" borderId="73" xfId="0" applyNumberFormat="1" applyFont="1" applyFill="1" applyBorder="1" applyAlignment="1">
      <alignment horizontal="center" vertical="center" wrapText="1"/>
    </xf>
    <xf numFmtId="3" fontId="12" fillId="61" borderId="71" xfId="0" applyNumberFormat="1" applyFont="1" applyFill="1" applyBorder="1" applyAlignment="1">
      <alignment horizontal="center" vertical="center" wrapText="1"/>
    </xf>
    <xf numFmtId="9" fontId="12" fillId="61" borderId="71" xfId="0" applyNumberFormat="1" applyFont="1" applyFill="1" applyBorder="1" applyAlignment="1">
      <alignment horizontal="center" vertical="center" wrapText="1"/>
    </xf>
    <xf numFmtId="0" fontId="56" fillId="62" borderId="71" xfId="0" applyFont="1" applyFill="1" applyBorder="1" applyAlignment="1">
      <alignment horizontal="center" vertical="center" wrapText="1"/>
    </xf>
    <xf numFmtId="0" fontId="57" fillId="62" borderId="71" xfId="0" applyFont="1" applyFill="1" applyBorder="1" applyAlignment="1">
      <alignment horizontal="center" vertical="center" wrapText="1"/>
    </xf>
    <xf numFmtId="0" fontId="4" fillId="62" borderId="71" xfId="0" applyFont="1" applyFill="1" applyBorder="1" applyAlignment="1">
      <alignment horizontal="center" vertical="center" wrapText="1"/>
    </xf>
    <xf numFmtId="3" fontId="57" fillId="62" borderId="71" xfId="0" applyNumberFormat="1" applyFont="1" applyFill="1" applyBorder="1" applyAlignment="1">
      <alignment horizontal="center" vertical="center" wrapText="1"/>
    </xf>
    <xf numFmtId="9" fontId="57" fillId="62" borderId="71" xfId="0" applyNumberFormat="1" applyFont="1" applyFill="1" applyBorder="1" applyAlignment="1">
      <alignment horizontal="center" vertical="center" wrapText="1"/>
    </xf>
    <xf numFmtId="9" fontId="57" fillId="62" borderId="71" xfId="1" applyFont="1" applyFill="1" applyBorder="1" applyAlignment="1">
      <alignment horizontal="center" vertical="center" wrapText="1"/>
    </xf>
    <xf numFmtId="0" fontId="12" fillId="62" borderId="71" xfId="0" applyFont="1" applyFill="1" applyBorder="1" applyAlignment="1">
      <alignment horizontal="center" vertical="center" wrapText="1"/>
    </xf>
    <xf numFmtId="0" fontId="12" fillId="62" borderId="73" xfId="0" applyFont="1" applyFill="1" applyBorder="1" applyAlignment="1">
      <alignment horizontal="center" vertical="center" wrapText="1"/>
    </xf>
    <xf numFmtId="1" fontId="4" fillId="62" borderId="71" xfId="0" applyNumberFormat="1" applyFont="1" applyFill="1" applyBorder="1" applyAlignment="1">
      <alignment horizontal="center" vertical="center" wrapText="1"/>
    </xf>
    <xf numFmtId="1" fontId="4" fillId="62" borderId="73" xfId="0" applyNumberFormat="1" applyFont="1" applyFill="1" applyBorder="1" applyAlignment="1">
      <alignment horizontal="center" vertical="center" wrapText="1"/>
    </xf>
    <xf numFmtId="0" fontId="56" fillId="63" borderId="71" xfId="0" applyFont="1" applyFill="1" applyBorder="1" applyAlignment="1">
      <alignment horizontal="center" vertical="center" wrapText="1"/>
    </xf>
    <xf numFmtId="0" fontId="57" fillId="63" borderId="71" xfId="0" applyFont="1" applyFill="1" applyBorder="1" applyAlignment="1">
      <alignment horizontal="center" vertical="center" wrapText="1"/>
    </xf>
    <xf numFmtId="0" fontId="4" fillId="63" borderId="71" xfId="0" applyFont="1" applyFill="1" applyBorder="1" applyAlignment="1">
      <alignment horizontal="center" vertical="center" wrapText="1"/>
    </xf>
    <xf numFmtId="3" fontId="57" fillId="63" borderId="71" xfId="0" applyNumberFormat="1" applyFont="1" applyFill="1" applyBorder="1" applyAlignment="1">
      <alignment horizontal="center" vertical="center" wrapText="1"/>
    </xf>
    <xf numFmtId="9" fontId="57" fillId="63" borderId="71" xfId="0" applyNumberFormat="1" applyFont="1" applyFill="1" applyBorder="1" applyAlignment="1">
      <alignment horizontal="center" vertical="center" wrapText="1"/>
    </xf>
    <xf numFmtId="9" fontId="57" fillId="63" borderId="71" xfId="1" applyFont="1" applyFill="1" applyBorder="1" applyAlignment="1">
      <alignment horizontal="center" vertical="center" wrapText="1"/>
    </xf>
    <xf numFmtId="1" fontId="56" fillId="63" borderId="71" xfId="6" applyNumberFormat="1" applyFont="1" applyFill="1" applyBorder="1" applyAlignment="1">
      <alignment horizontal="center" vertical="center" wrapText="1"/>
    </xf>
    <xf numFmtId="0" fontId="12" fillId="63" borderId="71" xfId="0" applyFont="1" applyFill="1" applyBorder="1" applyAlignment="1">
      <alignment horizontal="center" vertical="center" wrapText="1"/>
    </xf>
    <xf numFmtId="1" fontId="58" fillId="63" borderId="71" xfId="0" applyNumberFormat="1" applyFont="1" applyFill="1" applyBorder="1" applyAlignment="1">
      <alignment horizontal="center" vertical="center" wrapText="1"/>
    </xf>
    <xf numFmtId="1" fontId="57" fillId="63" borderId="71" xfId="0" applyNumberFormat="1" applyFont="1" applyFill="1" applyBorder="1" applyAlignment="1">
      <alignment horizontal="center" vertical="center" wrapText="1"/>
    </xf>
    <xf numFmtId="0" fontId="56" fillId="64" borderId="71" xfId="0" applyFont="1" applyFill="1" applyBorder="1" applyAlignment="1">
      <alignment horizontal="center" vertical="center" wrapText="1"/>
    </xf>
    <xf numFmtId="0" fontId="57" fillId="64" borderId="71" xfId="0" applyFont="1" applyFill="1" applyBorder="1" applyAlignment="1">
      <alignment horizontal="center" vertical="center" wrapText="1"/>
    </xf>
    <xf numFmtId="0" fontId="4" fillId="64" borderId="71" xfId="0" applyFont="1" applyFill="1" applyBorder="1" applyAlignment="1">
      <alignment horizontal="center" vertical="center" wrapText="1"/>
    </xf>
    <xf numFmtId="3" fontId="57" fillId="64" borderId="71" xfId="0" applyNumberFormat="1" applyFont="1" applyFill="1" applyBorder="1" applyAlignment="1">
      <alignment horizontal="center" vertical="center" wrapText="1"/>
    </xf>
    <xf numFmtId="9" fontId="57" fillId="64" borderId="71" xfId="0" applyNumberFormat="1" applyFont="1" applyFill="1" applyBorder="1" applyAlignment="1">
      <alignment horizontal="center" vertical="center" wrapText="1"/>
    </xf>
    <xf numFmtId="9" fontId="57" fillId="64" borderId="71" xfId="1" applyFont="1" applyFill="1" applyBorder="1" applyAlignment="1">
      <alignment horizontal="center" vertical="center" wrapText="1"/>
    </xf>
    <xf numFmtId="1" fontId="57" fillId="64" borderId="71" xfId="0" applyNumberFormat="1" applyFont="1" applyFill="1" applyBorder="1" applyAlignment="1">
      <alignment horizontal="center" vertical="center" wrapText="1"/>
    </xf>
    <xf numFmtId="0" fontId="12" fillId="64" borderId="71" xfId="0" applyFont="1" applyFill="1" applyBorder="1" applyAlignment="1">
      <alignment horizontal="center" vertical="center" wrapText="1"/>
    </xf>
    <xf numFmtId="1" fontId="58" fillId="64" borderId="71" xfId="0" applyNumberFormat="1" applyFont="1" applyFill="1" applyBorder="1" applyAlignment="1">
      <alignment horizontal="center" vertical="center" wrapText="1"/>
    </xf>
    <xf numFmtId="0" fontId="56" fillId="53" borderId="71" xfId="0" applyFont="1" applyFill="1" applyBorder="1" applyAlignment="1">
      <alignment horizontal="center" vertical="center" wrapText="1"/>
    </xf>
    <xf numFmtId="0" fontId="57" fillId="53" borderId="71" xfId="0" applyFont="1" applyFill="1" applyBorder="1" applyAlignment="1">
      <alignment horizontal="center" vertical="center" wrapText="1"/>
    </xf>
    <xf numFmtId="0" fontId="4" fillId="53" borderId="71" xfId="0" applyFont="1" applyFill="1" applyBorder="1" applyAlignment="1">
      <alignment horizontal="center" vertical="center" wrapText="1"/>
    </xf>
    <xf numFmtId="3" fontId="57" fillId="53" borderId="71" xfId="0" applyNumberFormat="1" applyFont="1" applyFill="1" applyBorder="1" applyAlignment="1">
      <alignment horizontal="center" vertical="center" wrapText="1"/>
    </xf>
    <xf numFmtId="9" fontId="57" fillId="53" borderId="71" xfId="0" applyNumberFormat="1" applyFont="1" applyFill="1" applyBorder="1" applyAlignment="1">
      <alignment horizontal="center" vertical="center" wrapText="1"/>
    </xf>
    <xf numFmtId="9" fontId="57" fillId="53" borderId="71" xfId="1" applyFont="1" applyFill="1" applyBorder="1" applyAlignment="1">
      <alignment horizontal="center" vertical="center" wrapText="1"/>
    </xf>
    <xf numFmtId="0" fontId="12" fillId="53" borderId="71" xfId="0" applyFont="1" applyFill="1" applyBorder="1" applyAlignment="1">
      <alignment horizontal="center" vertical="center" wrapText="1"/>
    </xf>
    <xf numFmtId="1" fontId="57" fillId="53" borderId="71" xfId="0" applyNumberFormat="1" applyFont="1" applyFill="1" applyBorder="1" applyAlignment="1">
      <alignment horizontal="center" vertical="center" wrapText="1"/>
    </xf>
    <xf numFmtId="1" fontId="12" fillId="53" borderId="71" xfId="0" applyNumberFormat="1" applyFont="1" applyFill="1" applyBorder="1" applyAlignment="1">
      <alignment horizontal="center" vertical="center" wrapText="1"/>
    </xf>
    <xf numFmtId="1" fontId="58" fillId="53" borderId="71" xfId="0" applyNumberFormat="1" applyFont="1" applyFill="1" applyBorder="1" applyAlignment="1">
      <alignment horizontal="center" vertical="center" wrapText="1"/>
    </xf>
    <xf numFmtId="1" fontId="4" fillId="53" borderId="71" xfId="0" applyNumberFormat="1" applyFont="1" applyFill="1" applyBorder="1" applyAlignment="1">
      <alignment horizontal="center" vertical="center" wrapText="1"/>
    </xf>
    <xf numFmtId="1" fontId="57" fillId="57" borderId="71" xfId="0" applyNumberFormat="1" applyFont="1" applyFill="1" applyBorder="1" applyAlignment="1">
      <alignment horizontal="center" vertical="center" wrapText="1"/>
    </xf>
    <xf numFmtId="1" fontId="58" fillId="57" borderId="71" xfId="0" applyNumberFormat="1" applyFont="1" applyFill="1" applyBorder="1" applyAlignment="1">
      <alignment horizontal="center" vertical="center" wrapText="1"/>
    </xf>
    <xf numFmtId="1" fontId="12" fillId="61" borderId="71" xfId="0" applyNumberFormat="1" applyFont="1" applyFill="1" applyBorder="1" applyAlignment="1">
      <alignment horizontal="center" vertical="center" wrapText="1"/>
    </xf>
    <xf numFmtId="1" fontId="58" fillId="59" borderId="71" xfId="0" applyNumberFormat="1" applyFont="1" applyFill="1" applyBorder="1" applyAlignment="1">
      <alignment horizontal="center" vertical="center" wrapText="1"/>
    </xf>
    <xf numFmtId="9" fontId="12" fillId="61" borderId="71" xfId="1" applyFont="1" applyFill="1" applyBorder="1" applyAlignment="1">
      <alignment horizontal="center" vertical="center" wrapText="1"/>
    </xf>
    <xf numFmtId="0" fontId="14" fillId="56" borderId="71" xfId="0" applyFont="1" applyFill="1" applyBorder="1" applyAlignment="1">
      <alignment horizontal="center" vertical="center" wrapText="1"/>
    </xf>
    <xf numFmtId="9" fontId="12" fillId="56" borderId="71" xfId="1" applyFont="1" applyFill="1" applyBorder="1" applyAlignment="1">
      <alignment horizontal="center" vertical="center" wrapText="1"/>
    </xf>
    <xf numFmtId="1" fontId="4" fillId="56" borderId="71" xfId="0" applyNumberFormat="1" applyFont="1" applyFill="1" applyBorder="1" applyAlignment="1">
      <alignment horizontal="center" vertical="center" wrapText="1"/>
    </xf>
    <xf numFmtId="1" fontId="4" fillId="56" borderId="73" xfId="0" applyNumberFormat="1" applyFont="1" applyFill="1" applyBorder="1" applyAlignment="1">
      <alignment horizontal="center" vertical="center" wrapText="1"/>
    </xf>
    <xf numFmtId="0" fontId="14" fillId="56" borderId="73" xfId="0" applyFont="1" applyFill="1" applyBorder="1" applyAlignment="1">
      <alignment horizontal="center" vertical="center" wrapText="1"/>
    </xf>
    <xf numFmtId="0" fontId="12" fillId="56" borderId="73" xfId="0" applyFont="1" applyFill="1" applyBorder="1" applyAlignment="1">
      <alignment horizontal="center" vertical="center" wrapText="1"/>
    </xf>
    <xf numFmtId="0" fontId="4" fillId="56" borderId="73" xfId="0" applyFont="1" applyFill="1" applyBorder="1" applyAlignment="1">
      <alignment horizontal="center" vertical="center" wrapText="1"/>
    </xf>
    <xf numFmtId="1" fontId="12" fillId="56" borderId="73" xfId="0" applyNumberFormat="1" applyFont="1" applyFill="1" applyBorder="1" applyAlignment="1">
      <alignment horizontal="center" vertical="center" wrapText="1"/>
    </xf>
    <xf numFmtId="0" fontId="58" fillId="64" borderId="71" xfId="0" applyFont="1" applyFill="1" applyBorder="1" applyAlignment="1">
      <alignment horizontal="center" vertical="center" wrapText="1"/>
    </xf>
    <xf numFmtId="0" fontId="13" fillId="54" borderId="71" xfId="0" applyFont="1" applyFill="1" applyBorder="1" applyAlignment="1">
      <alignment horizontal="center" vertical="center" wrapText="1"/>
    </xf>
    <xf numFmtId="9" fontId="12" fillId="54" borderId="71" xfId="1" applyFont="1" applyFill="1" applyBorder="1" applyAlignment="1">
      <alignment horizontal="center" vertical="center" wrapText="1"/>
    </xf>
    <xf numFmtId="0" fontId="13" fillId="7" borderId="71" xfId="0" applyFont="1" applyFill="1" applyBorder="1" applyAlignment="1">
      <alignment horizontal="center" vertical="center" wrapText="1"/>
    </xf>
    <xf numFmtId="0" fontId="13" fillId="58" borderId="71" xfId="0" applyFont="1" applyFill="1" applyBorder="1" applyAlignment="1">
      <alignment horizontal="center" vertical="center" wrapText="1"/>
    </xf>
    <xf numFmtId="9" fontId="12" fillId="58" borderId="71" xfId="1" applyFont="1" applyFill="1" applyBorder="1" applyAlignment="1">
      <alignment horizontal="center" vertical="center" wrapText="1"/>
    </xf>
    <xf numFmtId="1" fontId="58" fillId="54" borderId="71" xfId="0" applyNumberFormat="1" applyFont="1" applyFill="1" applyBorder="1" applyAlignment="1">
      <alignment horizontal="center" vertical="center" wrapText="1"/>
    </xf>
    <xf numFmtId="0" fontId="28" fillId="0" borderId="0" xfId="0" applyFont="1" applyFill="1" applyBorder="1" applyAlignment="1">
      <alignment horizontal="center" vertical="center"/>
    </xf>
    <xf numFmtId="0" fontId="28" fillId="0" borderId="0" xfId="0" applyFont="1" applyAlignment="1">
      <alignment horizontal="center" vertical="center"/>
    </xf>
    <xf numFmtId="9" fontId="28" fillId="0" borderId="0" xfId="1" applyNumberFormat="1" applyFont="1" applyFill="1" applyBorder="1" applyAlignment="1">
      <alignment horizontal="center" vertical="center"/>
    </xf>
    <xf numFmtId="0" fontId="14" fillId="0" borderId="0" xfId="0" applyFont="1" applyAlignment="1">
      <alignment horizontal="center" vertical="center" wrapText="1"/>
    </xf>
    <xf numFmtId="0" fontId="14" fillId="0" borderId="0" xfId="0" applyFont="1" applyAlignment="1">
      <alignment wrapText="1"/>
    </xf>
    <xf numFmtId="0" fontId="28" fillId="0" borderId="0" xfId="0" applyFont="1"/>
    <xf numFmtId="0" fontId="14" fillId="0" borderId="0" xfId="0" applyFont="1" applyFill="1" applyAlignment="1">
      <alignment horizontal="center" vertical="center" wrapText="1"/>
    </xf>
    <xf numFmtId="0" fontId="14" fillId="0" borderId="0" xfId="0" applyFont="1" applyFill="1" applyAlignment="1">
      <alignment wrapText="1"/>
    </xf>
    <xf numFmtId="0" fontId="28" fillId="0" borderId="0" xfId="0" applyFont="1" applyFill="1"/>
    <xf numFmtId="0" fontId="63" fillId="0" borderId="0" xfId="5" applyFont="1" applyFill="1" applyAlignment="1" applyProtection="1">
      <alignment wrapText="1"/>
    </xf>
    <xf numFmtId="9" fontId="28" fillId="0" borderId="0" xfId="0" applyNumberFormat="1" applyFont="1" applyFill="1" applyBorder="1" applyAlignment="1">
      <alignment horizontal="center" vertical="center"/>
    </xf>
    <xf numFmtId="0" fontId="64" fillId="0" borderId="0" xfId="5" applyFont="1" applyAlignment="1" applyProtection="1">
      <alignment wrapText="1"/>
    </xf>
    <xf numFmtId="0" fontId="63" fillId="0" borderId="0" xfId="5" applyFont="1" applyAlignment="1" applyProtection="1">
      <alignment wrapText="1"/>
    </xf>
    <xf numFmtId="0" fontId="64" fillId="0" borderId="0" xfId="5" applyFont="1" applyAlignment="1" applyProtection="1">
      <alignment horizontal="center" vertical="center"/>
    </xf>
    <xf numFmtId="9" fontId="28" fillId="0" borderId="0" xfId="0" applyNumberFormat="1" applyFont="1" applyAlignment="1">
      <alignment horizontal="center" vertical="center"/>
    </xf>
    <xf numFmtId="0" fontId="64" fillId="0" borderId="0" xfId="5" applyFont="1" applyAlignment="1" applyProtection="1"/>
    <xf numFmtId="0" fontId="15" fillId="0" borderId="0" xfId="5" applyAlignment="1" applyProtection="1">
      <alignment wrapText="1"/>
    </xf>
    <xf numFmtId="0" fontId="15" fillId="0" borderId="0" xfId="5" applyFill="1" applyAlignment="1" applyProtection="1">
      <alignment horizontal="center" vertical="center"/>
    </xf>
    <xf numFmtId="0" fontId="28" fillId="0" borderId="0" xfId="0" applyFont="1" applyBorder="1" applyAlignment="1">
      <alignment vertical="center" wrapText="1"/>
    </xf>
    <xf numFmtId="10" fontId="28" fillId="0" borderId="0" xfId="0" applyNumberFormat="1" applyFont="1" applyFill="1"/>
    <xf numFmtId="0" fontId="28" fillId="0" borderId="15" xfId="7" applyFont="1" applyFill="1" applyBorder="1" applyAlignment="1">
      <alignment vertical="center"/>
    </xf>
    <xf numFmtId="0" fontId="28" fillId="0" borderId="0" xfId="7" applyFont="1" applyFill="1" applyBorder="1" applyAlignment="1">
      <alignment wrapText="1"/>
    </xf>
    <xf numFmtId="17" fontId="28" fillId="0" borderId="0" xfId="7" applyNumberFormat="1" applyFont="1" applyFill="1" applyBorder="1" applyAlignment="1">
      <alignment vertical="center"/>
    </xf>
    <xf numFmtId="0" fontId="28" fillId="0" borderId="0" xfId="0" applyFont="1" applyBorder="1"/>
    <xf numFmtId="10" fontId="28" fillId="0" borderId="0" xfId="0" applyNumberFormat="1" applyFont="1"/>
    <xf numFmtId="0" fontId="28" fillId="0" borderId="0" xfId="7" applyFont="1" applyFill="1" applyBorder="1" applyAlignment="1" applyProtection="1">
      <alignment wrapText="1"/>
    </xf>
    <xf numFmtId="0" fontId="28" fillId="0" borderId="16" xfId="7" applyFont="1" applyFill="1" applyBorder="1" applyAlignment="1">
      <alignment vertical="center" wrapText="1"/>
    </xf>
    <xf numFmtId="0" fontId="28" fillId="0" borderId="9" xfId="7" applyFont="1" applyFill="1" applyBorder="1" applyAlignment="1">
      <alignment vertical="center" wrapText="1"/>
    </xf>
    <xf numFmtId="0" fontId="28" fillId="0" borderId="9" xfId="7" applyFont="1" applyFill="1" applyBorder="1" applyAlignment="1" applyProtection="1"/>
    <xf numFmtId="17" fontId="28" fillId="0" borderId="9" xfId="7" applyNumberFormat="1" applyFont="1" applyFill="1" applyBorder="1" applyAlignment="1">
      <alignment vertical="center"/>
    </xf>
    <xf numFmtId="0" fontId="28" fillId="0" borderId="7" xfId="7" applyFont="1" applyFill="1" applyBorder="1" applyAlignment="1">
      <alignment vertical="center" wrapText="1"/>
    </xf>
    <xf numFmtId="9" fontId="0" fillId="0" borderId="0" xfId="1" applyFont="1" applyAlignment="1"/>
    <xf numFmtId="9" fontId="4" fillId="0" borderId="0" xfId="1" applyFont="1"/>
    <xf numFmtId="0" fontId="4" fillId="0" borderId="36" xfId="0" applyFont="1" applyFill="1" applyBorder="1" applyAlignment="1">
      <alignment horizontal="center" vertical="center" wrapText="1"/>
    </xf>
    <xf numFmtId="0" fontId="15" fillId="65" borderId="0" xfId="5" applyFill="1" applyAlignment="1" applyProtection="1"/>
    <xf numFmtId="0" fontId="0" fillId="65" borderId="0" xfId="0" applyFill="1"/>
    <xf numFmtId="0" fontId="15" fillId="65" borderId="0" xfId="5" quotePrefix="1" applyFill="1" applyAlignment="1" applyProtection="1"/>
    <xf numFmtId="0" fontId="34" fillId="65" borderId="0" xfId="0" applyFont="1" applyFill="1"/>
    <xf numFmtId="0" fontId="26" fillId="0" borderId="0" xfId="0" applyFont="1" applyBorder="1" applyAlignment="1">
      <alignment wrapText="1"/>
    </xf>
    <xf numFmtId="0" fontId="65" fillId="50" borderId="0" xfId="0" applyFont="1" applyFill="1" applyBorder="1" applyAlignment="1">
      <alignment horizontal="center" vertical="center" wrapText="1"/>
    </xf>
    <xf numFmtId="0" fontId="66" fillId="66" borderId="13" xfId="0" applyFont="1" applyFill="1" applyBorder="1" applyAlignment="1">
      <alignment horizontal="center" vertical="center" wrapText="1"/>
    </xf>
    <xf numFmtId="0" fontId="13" fillId="51" borderId="13" xfId="0" applyFont="1" applyFill="1" applyBorder="1" applyAlignment="1">
      <alignment wrapText="1"/>
    </xf>
    <xf numFmtId="0" fontId="13" fillId="51" borderId="13" xfId="0" applyFont="1" applyFill="1" applyBorder="1" applyAlignment="1">
      <alignment horizontal="left" wrapText="1"/>
    </xf>
    <xf numFmtId="166" fontId="13" fillId="51" borderId="13" xfId="0" applyNumberFormat="1" applyFont="1" applyFill="1" applyBorder="1"/>
    <xf numFmtId="10" fontId="13" fillId="51" borderId="13" xfId="1" applyNumberFormat="1" applyFont="1" applyFill="1" applyBorder="1"/>
    <xf numFmtId="166" fontId="13" fillId="51" borderId="13" xfId="6" applyNumberFormat="1" applyFont="1" applyFill="1" applyBorder="1"/>
    <xf numFmtId="0" fontId="66" fillId="66" borderId="0" xfId="0" applyFont="1" applyFill="1" applyBorder="1" applyAlignment="1">
      <alignment horizontal="center" vertical="center" wrapText="1"/>
    </xf>
    <xf numFmtId="0" fontId="13" fillId="51" borderId="0" xfId="0" applyFont="1" applyFill="1" applyBorder="1" applyAlignment="1">
      <alignment wrapText="1"/>
    </xf>
    <xf numFmtId="0" fontId="67" fillId="51" borderId="0" xfId="0" applyFont="1" applyFill="1" applyBorder="1" applyAlignment="1">
      <alignment horizontal="left" wrapText="1"/>
    </xf>
    <xf numFmtId="166" fontId="67" fillId="51" borderId="0" xfId="0" applyNumberFormat="1" applyFont="1" applyFill="1" applyBorder="1"/>
    <xf numFmtId="10" fontId="67" fillId="51" borderId="0" xfId="1" applyNumberFormat="1" applyFont="1" applyFill="1" applyBorder="1"/>
    <xf numFmtId="0" fontId="67" fillId="51" borderId="0" xfId="0" applyFont="1" applyFill="1" applyBorder="1"/>
    <xf numFmtId="166" fontId="67" fillId="51" borderId="0" xfId="6" applyNumberFormat="1" applyFont="1" applyFill="1" applyBorder="1"/>
    <xf numFmtId="10" fontId="67" fillId="51" borderId="0" xfId="0" applyNumberFormat="1" applyFont="1" applyFill="1" applyBorder="1"/>
    <xf numFmtId="0" fontId="66" fillId="13" borderId="13" xfId="0" applyFont="1" applyFill="1" applyBorder="1" applyAlignment="1">
      <alignment horizontal="center" vertical="center" wrapText="1"/>
    </xf>
    <xf numFmtId="0" fontId="13" fillId="13" borderId="13" xfId="0" applyFont="1" applyFill="1" applyBorder="1" applyAlignment="1">
      <alignment wrapText="1"/>
    </xf>
    <xf numFmtId="0" fontId="13" fillId="13" borderId="13" xfId="0" applyFont="1" applyFill="1" applyBorder="1" applyAlignment="1">
      <alignment horizontal="left" wrapText="1"/>
    </xf>
    <xf numFmtId="166" fontId="13" fillId="13" borderId="13" xfId="0" applyNumberFormat="1" applyFont="1" applyFill="1" applyBorder="1"/>
    <xf numFmtId="10" fontId="13" fillId="13" borderId="13" xfId="1" applyNumberFormat="1" applyFont="1" applyFill="1" applyBorder="1"/>
    <xf numFmtId="166" fontId="13" fillId="13" borderId="13" xfId="6" applyNumberFormat="1" applyFont="1" applyFill="1" applyBorder="1"/>
    <xf numFmtId="0" fontId="66" fillId="13" borderId="0" xfId="0" applyFont="1" applyFill="1" applyBorder="1" applyAlignment="1">
      <alignment horizontal="center" vertical="center" wrapText="1"/>
    </xf>
    <xf numFmtId="0" fontId="13" fillId="13" borderId="0" xfId="0" applyFont="1" applyFill="1" applyBorder="1" applyAlignment="1">
      <alignment wrapText="1"/>
    </xf>
    <xf numFmtId="0" fontId="67" fillId="13" borderId="0" xfId="0" applyFont="1" applyFill="1" applyBorder="1" applyAlignment="1">
      <alignment horizontal="left" wrapText="1"/>
    </xf>
    <xf numFmtId="166" fontId="67" fillId="13" borderId="0" xfId="0" applyNumberFormat="1" applyFont="1" applyFill="1" applyBorder="1"/>
    <xf numFmtId="10" fontId="67" fillId="13" borderId="0" xfId="1" applyNumberFormat="1" applyFont="1" applyFill="1" applyBorder="1"/>
    <xf numFmtId="0" fontId="67" fillId="13" borderId="0" xfId="0" applyFont="1" applyFill="1" applyBorder="1"/>
    <xf numFmtId="166" fontId="67" fillId="13" borderId="0" xfId="6" applyNumberFormat="1" applyFont="1" applyFill="1" applyBorder="1"/>
    <xf numFmtId="10" fontId="67" fillId="13" borderId="0" xfId="0" applyNumberFormat="1" applyFont="1" applyFill="1" applyBorder="1"/>
    <xf numFmtId="0" fontId="66" fillId="2" borderId="13" xfId="0" applyFont="1" applyFill="1" applyBorder="1" applyAlignment="1">
      <alignment horizontal="center" vertical="center" wrapText="1"/>
    </xf>
    <xf numFmtId="0" fontId="13" fillId="2" borderId="13" xfId="0" applyFont="1" applyFill="1" applyBorder="1" applyAlignment="1">
      <alignment wrapText="1"/>
    </xf>
    <xf numFmtId="0" fontId="13" fillId="2" borderId="13" xfId="0" applyFont="1" applyFill="1" applyBorder="1" applyAlignment="1">
      <alignment horizontal="left" wrapText="1"/>
    </xf>
    <xf numFmtId="166" fontId="13" fillId="2" borderId="13" xfId="0" applyNumberFormat="1" applyFont="1" applyFill="1" applyBorder="1"/>
    <xf numFmtId="10" fontId="13" fillId="2" borderId="13" xfId="1" applyNumberFormat="1" applyFont="1" applyFill="1" applyBorder="1"/>
    <xf numFmtId="166" fontId="13" fillId="2" borderId="13" xfId="6" applyNumberFormat="1" applyFont="1" applyFill="1" applyBorder="1"/>
    <xf numFmtId="0" fontId="66" fillId="2" borderId="0" xfId="0" applyFont="1" applyFill="1" applyBorder="1" applyAlignment="1">
      <alignment horizontal="center" vertical="center" wrapText="1"/>
    </xf>
    <xf numFmtId="0" fontId="13" fillId="2" borderId="0" xfId="0" applyFont="1" applyFill="1" applyBorder="1" applyAlignment="1">
      <alignment wrapText="1"/>
    </xf>
    <xf numFmtId="0" fontId="67" fillId="2" borderId="0" xfId="0" applyFont="1" applyFill="1" applyBorder="1" applyAlignment="1">
      <alignment horizontal="left" wrapText="1"/>
    </xf>
    <xf numFmtId="166" fontId="67" fillId="2" borderId="0" xfId="0" applyNumberFormat="1" applyFont="1" applyFill="1" applyBorder="1"/>
    <xf numFmtId="10" fontId="67" fillId="2" borderId="0" xfId="1" applyNumberFormat="1" applyFont="1" applyFill="1" applyBorder="1"/>
    <xf numFmtId="0" fontId="67" fillId="2" borderId="0" xfId="0" applyFont="1" applyFill="1" applyBorder="1"/>
    <xf numFmtId="166" fontId="67" fillId="2" borderId="0" xfId="6" applyNumberFormat="1" applyFont="1" applyFill="1" applyBorder="1"/>
    <xf numFmtId="10" fontId="67" fillId="2" borderId="0" xfId="0" applyNumberFormat="1" applyFont="1" applyFill="1" applyBorder="1"/>
    <xf numFmtId="0" fontId="66" fillId="14" borderId="13" xfId="0" applyFont="1" applyFill="1" applyBorder="1" applyAlignment="1">
      <alignment horizontal="center" vertical="center" wrapText="1"/>
    </xf>
    <xf numFmtId="0" fontId="13" fillId="14" borderId="13" xfId="0" applyFont="1" applyFill="1" applyBorder="1" applyAlignment="1">
      <alignment wrapText="1"/>
    </xf>
    <xf numFmtId="0" fontId="13" fillId="14" borderId="13" xfId="0" applyFont="1" applyFill="1" applyBorder="1" applyAlignment="1">
      <alignment horizontal="left" wrapText="1"/>
    </xf>
    <xf numFmtId="166" fontId="13" fillId="14" borderId="13" xfId="0" applyNumberFormat="1" applyFont="1" applyFill="1" applyBorder="1"/>
    <xf numFmtId="10" fontId="13" fillId="14" borderId="13" xfId="1" applyNumberFormat="1" applyFont="1" applyFill="1" applyBorder="1"/>
    <xf numFmtId="166" fontId="13" fillId="14" borderId="13" xfId="6" applyNumberFormat="1" applyFont="1" applyFill="1" applyBorder="1"/>
    <xf numFmtId="0" fontId="2" fillId="0" borderId="16" xfId="0" applyFont="1" applyBorder="1"/>
    <xf numFmtId="0" fontId="2" fillId="0" borderId="9" xfId="0" applyFont="1" applyBorder="1"/>
    <xf numFmtId="3" fontId="2" fillId="0" borderId="9" xfId="0" applyNumberFormat="1" applyFont="1" applyBorder="1"/>
    <xf numFmtId="0" fontId="2" fillId="0" borderId="7" xfId="0" applyFont="1" applyBorder="1"/>
    <xf numFmtId="1" fontId="0" fillId="0" borderId="9" xfId="0" applyNumberFormat="1" applyBorder="1"/>
    <xf numFmtId="0" fontId="12" fillId="2" borderId="72" xfId="11" applyFont="1" applyFill="1" applyBorder="1" applyAlignment="1">
      <alignment horizontal="center" vertical="center" wrapText="1"/>
    </xf>
    <xf numFmtId="9" fontId="12" fillId="2" borderId="72" xfId="11" applyNumberFormat="1" applyFont="1" applyFill="1" applyBorder="1" applyAlignment="1">
      <alignment horizontal="center" vertical="center" wrapText="1"/>
    </xf>
    <xf numFmtId="9" fontId="12" fillId="2" borderId="71" xfId="11" applyNumberFormat="1" applyFont="1" applyFill="1" applyBorder="1" applyAlignment="1">
      <alignment horizontal="center" vertical="center" wrapText="1"/>
    </xf>
    <xf numFmtId="9" fontId="12" fillId="20" borderId="71" xfId="11" applyNumberFormat="1" applyFont="1" applyFill="1" applyBorder="1" applyAlignment="1">
      <alignment horizontal="center" vertical="center" wrapText="1"/>
    </xf>
    <xf numFmtId="9" fontId="28" fillId="0" borderId="0" xfId="0" applyNumberFormat="1" applyFont="1" applyFill="1" applyAlignment="1">
      <alignment horizontal="center" vertical="center"/>
    </xf>
    <xf numFmtId="0" fontId="0" fillId="0" borderId="0" xfId="0" applyAlignment="1">
      <alignment horizontal="center" vertical="center" wrapText="1"/>
    </xf>
    <xf numFmtId="0" fontId="53" fillId="17" borderId="14" xfId="9" applyFont="1" applyBorder="1" applyAlignment="1">
      <alignment horizontal="center" vertical="center" wrapText="1"/>
    </xf>
    <xf numFmtId="0" fontId="53" fillId="17" borderId="15" xfId="9" applyFont="1" applyBorder="1" applyAlignment="1">
      <alignment horizontal="center" vertical="center" wrapText="1"/>
    </xf>
    <xf numFmtId="0" fontId="53" fillId="17" borderId="0" xfId="9" applyFont="1" applyBorder="1" applyAlignment="1">
      <alignment horizontal="center" vertical="center" wrapText="1"/>
    </xf>
    <xf numFmtId="0" fontId="53" fillId="17" borderId="0" xfId="9" applyFont="1" applyBorder="1" applyAlignment="1">
      <alignment vertical="center" wrapText="1"/>
    </xf>
    <xf numFmtId="0" fontId="13" fillId="56" borderId="71" xfId="0" applyFont="1" applyFill="1" applyBorder="1" applyAlignment="1">
      <alignment horizontal="center" vertical="center" wrapText="1"/>
    </xf>
    <xf numFmtId="0" fontId="4" fillId="56" borderId="0" xfId="0" applyFont="1" applyFill="1" applyBorder="1" applyAlignment="1">
      <alignment horizontal="center" vertical="center"/>
    </xf>
    <xf numFmtId="0" fontId="4" fillId="56" borderId="71" xfId="0" applyFont="1" applyFill="1" applyBorder="1" applyAlignment="1">
      <alignment horizontal="center" vertical="center"/>
    </xf>
    <xf numFmtId="1" fontId="4" fillId="0" borderId="0" xfId="0" applyNumberFormat="1" applyFont="1" applyFill="1"/>
    <xf numFmtId="0" fontId="52" fillId="0" borderId="0" xfId="0" applyFont="1" applyFill="1"/>
    <xf numFmtId="9" fontId="4" fillId="0" borderId="0" xfId="1" applyFont="1" applyFill="1"/>
    <xf numFmtId="0" fontId="4" fillId="0" borderId="0" xfId="0" applyFont="1" applyFill="1"/>
    <xf numFmtId="0" fontId="2" fillId="0" borderId="3" xfId="0" applyFont="1" applyBorder="1"/>
    <xf numFmtId="9" fontId="2" fillId="0" borderId="100" xfId="0" applyNumberFormat="1" applyFont="1" applyBorder="1" applyAlignment="1">
      <alignment horizontal="center"/>
    </xf>
    <xf numFmtId="1" fontId="58" fillId="55" borderId="71" xfId="0" applyNumberFormat="1" applyFont="1" applyFill="1" applyBorder="1" applyAlignment="1">
      <alignment horizontal="center" vertical="center" wrapText="1"/>
    </xf>
    <xf numFmtId="1" fontId="58" fillId="51" borderId="71" xfId="0" applyNumberFormat="1" applyFont="1" applyFill="1" applyBorder="1" applyAlignment="1">
      <alignment horizontal="center" vertical="center" wrapText="1"/>
    </xf>
    <xf numFmtId="1" fontId="58" fillId="60" borderId="71" xfId="0" applyNumberFormat="1" applyFont="1" applyFill="1" applyBorder="1" applyAlignment="1">
      <alignment horizontal="center" vertical="center" wrapText="1"/>
    </xf>
    <xf numFmtId="1" fontId="58" fillId="61" borderId="71" xfId="0" applyNumberFormat="1" applyFont="1" applyFill="1" applyBorder="1" applyAlignment="1">
      <alignment horizontal="center" vertical="center" wrapText="1"/>
    </xf>
    <xf numFmtId="1" fontId="58" fillId="62" borderId="71" xfId="0" applyNumberFormat="1" applyFont="1" applyFill="1" applyBorder="1" applyAlignment="1">
      <alignment horizontal="center" vertical="center" wrapText="1"/>
    </xf>
    <xf numFmtId="1" fontId="58" fillId="56" borderId="71" xfId="0" applyNumberFormat="1" applyFont="1" applyFill="1" applyBorder="1" applyAlignment="1">
      <alignment horizontal="center" vertical="center" wrapText="1"/>
    </xf>
    <xf numFmtId="1" fontId="58" fillId="7" borderId="71" xfId="0" applyNumberFormat="1" applyFont="1" applyFill="1" applyBorder="1" applyAlignment="1">
      <alignment horizontal="center" vertical="center" wrapText="1"/>
    </xf>
    <xf numFmtId="1" fontId="4" fillId="58" borderId="71" xfId="0" applyNumberFormat="1" applyFont="1" applyFill="1" applyBorder="1" applyAlignment="1">
      <alignment horizontal="center" vertical="center" wrapText="1"/>
    </xf>
    <xf numFmtId="0" fontId="4" fillId="0" borderId="0" xfId="0" applyFont="1" applyFill="1" applyBorder="1"/>
    <xf numFmtId="0" fontId="52" fillId="0" borderId="0" xfId="0" applyFont="1" applyFill="1" applyBorder="1" applyAlignment="1">
      <alignment horizontal="center" vertical="center"/>
    </xf>
    <xf numFmtId="0" fontId="52" fillId="0" borderId="0" xfId="0" applyFont="1" applyFill="1" applyBorder="1"/>
    <xf numFmtId="0" fontId="52" fillId="0" borderId="0" xfId="0" applyFont="1" applyFill="1" applyBorder="1" applyAlignment="1">
      <alignment horizontal="center" vertical="top"/>
    </xf>
    <xf numFmtId="0" fontId="4" fillId="0" borderId="0" xfId="0" applyFont="1" applyFill="1" applyBorder="1" applyAlignment="1">
      <alignment horizontal="center" vertical="center" wrapText="1"/>
    </xf>
    <xf numFmtId="0" fontId="0" fillId="0" borderId="15" xfId="0" applyFont="1" applyBorder="1"/>
    <xf numFmtId="0" fontId="45" fillId="0" borderId="15" xfId="0" applyFont="1" applyBorder="1"/>
    <xf numFmtId="168" fontId="0" fillId="0" borderId="0" xfId="0" applyNumberFormat="1" applyBorder="1"/>
    <xf numFmtId="168" fontId="2" fillId="0" borderId="0" xfId="0" applyNumberFormat="1" applyFont="1" applyBorder="1"/>
    <xf numFmtId="0" fontId="2" fillId="0" borderId="14" xfId="0" applyFont="1" applyBorder="1"/>
    <xf numFmtId="164" fontId="0" fillId="0" borderId="0" xfId="0" applyNumberFormat="1" applyFont="1" applyBorder="1"/>
    <xf numFmtId="9" fontId="0" fillId="0" borderId="14" xfId="1" applyFont="1" applyBorder="1"/>
    <xf numFmtId="0" fontId="2" fillId="0" borderId="15" xfId="0" applyFont="1" applyBorder="1"/>
    <xf numFmtId="169" fontId="0" fillId="0" borderId="0" xfId="0" applyNumberFormat="1" applyBorder="1"/>
    <xf numFmtId="169" fontId="0" fillId="0" borderId="0" xfId="0" applyNumberFormat="1" applyFont="1" applyBorder="1"/>
    <xf numFmtId="0" fontId="0" fillId="0" borderId="0" xfId="0" applyFont="1" applyBorder="1"/>
    <xf numFmtId="169" fontId="2" fillId="0" borderId="0" xfId="0" applyNumberFormat="1" applyFont="1" applyBorder="1"/>
    <xf numFmtId="165" fontId="0" fillId="0" borderId="0" xfId="0" applyNumberFormat="1" applyBorder="1"/>
    <xf numFmtId="168" fontId="2" fillId="0" borderId="0" xfId="0" applyNumberFormat="1" applyFont="1" applyFill="1" applyBorder="1"/>
    <xf numFmtId="0" fontId="68" fillId="0" borderId="0" xfId="0" applyFont="1"/>
    <xf numFmtId="0" fontId="69" fillId="0" borderId="0" xfId="0" applyFont="1"/>
    <xf numFmtId="14" fontId="69" fillId="0" borderId="0" xfId="0" applyNumberFormat="1" applyFont="1"/>
    <xf numFmtId="0" fontId="70" fillId="0" borderId="0" xfId="0" applyFont="1"/>
    <xf numFmtId="0" fontId="71" fillId="0" borderId="0" xfId="0" applyFont="1"/>
    <xf numFmtId="0" fontId="53" fillId="17" borderId="14" xfId="9" applyFont="1" applyBorder="1" applyAlignment="1">
      <alignment horizontal="center" vertical="center" wrapText="1"/>
    </xf>
    <xf numFmtId="0" fontId="53" fillId="17" borderId="15" xfId="9" applyFont="1" applyBorder="1" applyAlignment="1">
      <alignment horizontal="center" vertical="center" wrapText="1"/>
    </xf>
    <xf numFmtId="0" fontId="53" fillId="17" borderId="0" xfId="9" applyFont="1" applyBorder="1" applyAlignment="1">
      <alignment horizontal="center" vertical="center" wrapText="1"/>
    </xf>
    <xf numFmtId="1" fontId="0" fillId="0" borderId="0" xfId="0" applyNumberFormat="1"/>
    <xf numFmtId="0" fontId="72" fillId="0" borderId="0" xfId="0" applyFont="1"/>
    <xf numFmtId="0" fontId="15" fillId="65" borderId="0" xfId="5" applyFill="1" applyAlignment="1" applyProtection="1">
      <alignment horizontal="left"/>
    </xf>
    <xf numFmtId="0" fontId="0" fillId="0" borderId="0" xfId="0" applyAlignment="1">
      <alignment horizontal="left" vertical="center" wrapText="1"/>
    </xf>
    <xf numFmtId="0" fontId="0" fillId="0" borderId="0" xfId="0" applyFill="1" applyAlignment="1">
      <alignment horizontal="left" vertical="top" wrapText="1"/>
    </xf>
    <xf numFmtId="0" fontId="23" fillId="65" borderId="0" xfId="0" applyFont="1" applyFill="1" applyAlignment="1">
      <alignment horizontal="left"/>
    </xf>
    <xf numFmtId="0" fontId="53" fillId="17" borderId="12" xfId="9" applyFont="1" applyBorder="1" applyAlignment="1">
      <alignment horizontal="center" vertical="center" wrapText="1"/>
    </xf>
    <xf numFmtId="0" fontId="53" fillId="17" borderId="10" xfId="9" applyFont="1" applyBorder="1" applyAlignment="1">
      <alignment horizontal="center" vertical="center" wrapText="1"/>
    </xf>
    <xf numFmtId="0" fontId="53" fillId="17" borderId="11" xfId="9" applyFont="1" applyBorder="1" applyAlignment="1">
      <alignment horizontal="center" vertical="center" wrapText="1"/>
    </xf>
    <xf numFmtId="1" fontId="53" fillId="17" borderId="12" xfId="9" applyNumberFormat="1" applyFont="1" applyBorder="1" applyAlignment="1">
      <alignment horizontal="center" vertical="center" wrapText="1"/>
    </xf>
    <xf numFmtId="1" fontId="53" fillId="17" borderId="11" xfId="9" applyNumberFormat="1" applyFont="1" applyBorder="1" applyAlignment="1">
      <alignment horizontal="center" vertical="center" wrapText="1"/>
    </xf>
    <xf numFmtId="0" fontId="53" fillId="17" borderId="14" xfId="9" applyFont="1" applyBorder="1" applyAlignment="1">
      <alignment horizontal="center" vertical="center" wrapText="1"/>
    </xf>
    <xf numFmtId="0" fontId="53" fillId="17" borderId="15" xfId="9" applyFont="1" applyBorder="1" applyAlignment="1">
      <alignment horizontal="center" vertical="center" wrapText="1"/>
    </xf>
    <xf numFmtId="0" fontId="53" fillId="17" borderId="0" xfId="9" applyFont="1" applyBorder="1" applyAlignment="1">
      <alignment horizontal="center" vertical="center" wrapText="1"/>
    </xf>
    <xf numFmtId="0" fontId="53" fillId="17" borderId="58" xfId="9" applyFont="1" applyBorder="1" applyAlignment="1">
      <alignment horizontal="center" vertical="center" wrapText="1"/>
    </xf>
    <xf numFmtId="0" fontId="53" fillId="17" borderId="99" xfId="9" applyFont="1" applyBorder="1" applyAlignment="1">
      <alignment horizontal="center" vertical="center" wrapText="1"/>
    </xf>
    <xf numFmtId="0" fontId="2" fillId="0" borderId="0" xfId="0" applyFont="1" applyAlignment="1">
      <alignment horizontal="left" wrapText="1"/>
    </xf>
    <xf numFmtId="9" fontId="17" fillId="8" borderId="0" xfId="0" applyNumberFormat="1" applyFont="1" applyFill="1" applyBorder="1" applyAlignment="1">
      <alignment horizontal="center"/>
    </xf>
    <xf numFmtId="10" fontId="0" fillId="0" borderId="0" xfId="0" applyNumberFormat="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9" fontId="0" fillId="0" borderId="0" xfId="1"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6" fillId="0" borderId="13" xfId="2" applyFont="1" applyBorder="1" applyAlignment="1">
      <alignment horizontal="left" wrapText="1"/>
    </xf>
    <xf numFmtId="0" fontId="0" fillId="0" borderId="4" xfId="0" applyBorder="1" applyAlignment="1">
      <alignment vertical="center" wrapText="1"/>
    </xf>
    <xf numFmtId="0" fontId="0" fillId="0" borderId="6" xfId="0" applyBorder="1" applyAlignment="1">
      <alignment vertical="center" wrapText="1"/>
    </xf>
    <xf numFmtId="0" fontId="7" fillId="0" borderId="0" xfId="3" applyFont="1" applyFill="1" applyAlignment="1">
      <alignment horizontal="center" wrapText="1"/>
    </xf>
    <xf numFmtId="0" fontId="2" fillId="0" borderId="0" xfId="0" applyFont="1" applyAlignment="1">
      <alignment horizontal="center"/>
    </xf>
    <xf numFmtId="0" fontId="60" fillId="52" borderId="92" xfId="0" applyNumberFormat="1" applyFont="1" applyFill="1" applyBorder="1" applyAlignment="1" applyProtection="1">
      <alignment horizontal="center" wrapText="1"/>
    </xf>
    <xf numFmtId="0" fontId="60" fillId="52" borderId="96" xfId="0" applyNumberFormat="1" applyFont="1" applyFill="1" applyBorder="1" applyAlignment="1" applyProtection="1">
      <alignment horizontal="center" wrapText="1"/>
    </xf>
    <xf numFmtId="0" fontId="60" fillId="52" borderId="97" xfId="0" applyNumberFormat="1" applyFont="1" applyFill="1" applyBorder="1" applyAlignment="1" applyProtection="1">
      <alignment horizontal="center" wrapText="1"/>
    </xf>
    <xf numFmtId="0" fontId="60" fillId="52" borderId="93" xfId="0" applyNumberFormat="1" applyFont="1" applyFill="1" applyBorder="1" applyAlignment="1" applyProtection="1">
      <alignment horizontal="center" wrapText="1"/>
    </xf>
    <xf numFmtId="0" fontId="60" fillId="52" borderId="94" xfId="0" applyNumberFormat="1" applyFont="1" applyFill="1" applyBorder="1" applyAlignment="1" applyProtection="1">
      <alignment horizontal="center" wrapText="1"/>
    </xf>
    <xf numFmtId="0" fontId="60" fillId="52" borderId="95" xfId="0" applyNumberFormat="1" applyFont="1" applyFill="1" applyBorder="1" applyAlignment="1" applyProtection="1">
      <alignment horizontal="center" wrapText="1"/>
    </xf>
    <xf numFmtId="0" fontId="60" fillId="52" borderId="101" xfId="0" applyNumberFormat="1" applyFont="1" applyFill="1" applyBorder="1" applyAlignment="1" applyProtection="1">
      <alignment horizontal="center" wrapText="1"/>
    </xf>
    <xf numFmtId="0" fontId="60" fillId="52" borderId="0" xfId="0" applyNumberFormat="1" applyFont="1" applyFill="1" applyBorder="1" applyAlignment="1" applyProtection="1">
      <alignment horizontal="center" wrapText="1"/>
    </xf>
    <xf numFmtId="0" fontId="0" fillId="0" borderId="0" xfId="0" applyAlignment="1">
      <alignment horizontal="center" wrapText="1"/>
    </xf>
  </cellXfs>
  <cellStyles count="48">
    <cellStyle name="20% - Accent1" xfId="26"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8"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9"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7" builtinId="27" customBuiltin="1"/>
    <cellStyle name="Calculation" xfId="20" builtinId="22" customBuiltin="1"/>
    <cellStyle name="Check Cell" xfId="11" builtinId="23" customBuiltin="1"/>
    <cellStyle name="Comma" xfId="6" builtinId="3"/>
    <cellStyle name="Explanatory Text" xfId="24"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Hyperlink" xfId="5" builtinId="8"/>
    <cellStyle name="Input" xfId="18" builtinId="20" customBuiltin="1"/>
    <cellStyle name="Linked Cell" xfId="21" builtinId="24" customBuiltin="1"/>
    <cellStyle name="Neutral" xfId="10" builtinId="28" customBuiltin="1"/>
    <cellStyle name="Normal" xfId="0" builtinId="0"/>
    <cellStyle name="Normal_EStarCFLBulbs&amp;FixturesFY07v1_4" xfId="2"/>
    <cellStyle name="Normal_Expanded_Com_Measure_List_012408_AV" xfId="3"/>
    <cellStyle name="Normal_PC-LPDPackageNew-5P" xfId="4"/>
    <cellStyle name="Note" xfId="23" builtinId="10" customBuiltin="1"/>
    <cellStyle name="Output" xfId="19" builtinId="21" customBuiltin="1"/>
    <cellStyle name="Percent" xfId="1" builtinId="5"/>
    <cellStyle name="Title" xfId="12" builtinId="15" customBuiltin="1"/>
    <cellStyle name="Total" xfId="25" builtinId="25" customBuiltin="1"/>
    <cellStyle name="Warning Text" xfId="22" builtinId="11" customBuiltin="1"/>
  </cellStyles>
  <dxfs count="118">
    <dxf>
      <font>
        <color theme="5"/>
      </font>
    </dxf>
    <dxf>
      <font>
        <b/>
        <i/>
      </font>
    </dxf>
    <dxf>
      <font>
        <b/>
        <i/>
      </font>
    </dxf>
    <dxf>
      <font>
        <b/>
        <i/>
      </font>
    </dxf>
    <dxf>
      <font>
        <b/>
        <i/>
      </font>
    </dxf>
    <dxf>
      <font>
        <b/>
        <i/>
      </font>
    </dxf>
    <dxf>
      <font>
        <b/>
        <i/>
      </font>
    </dxf>
    <dxf>
      <fill>
        <patternFill>
          <bgColor theme="7" tint="0.59996337778862885"/>
        </patternFill>
      </fill>
    </dxf>
    <dxf>
      <fill>
        <patternFill>
          <bgColor theme="7" tint="0.59996337778862885"/>
        </patternFill>
      </fill>
    </dxf>
    <dxf>
      <numFmt numFmtId="1" formatCode="0"/>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alignment horizontal="general" vertical="bottom" textRotation="0" wrapText="1" indent="0" justifyLastLine="0" shrinkToFit="0" readingOrder="0"/>
    </dxf>
    <dxf>
      <border outline="0">
        <bottom style="double">
          <color rgb="FFFF8001"/>
        </bottom>
      </border>
    </dxf>
    <dxf>
      <fill>
        <patternFill patternType="none">
          <fgColor indexed="64"/>
          <bgColor indexed="65"/>
        </patternFill>
      </fill>
      <alignment horizontal="general" vertical="bottom" textRotation="0" wrapText="1" indent="0" justifyLastLine="0" shrinkToFit="0" readingOrder="0"/>
    </dxf>
    <dxf>
      <numFmt numFmtId="3" formatCode="#,##0"/>
    </dxf>
    <dxf>
      <numFmt numFmtId="3" formatCode="#,##0"/>
    </dxf>
    <dxf>
      <numFmt numFmtId="0" formatCode="General"/>
    </dxf>
    <dxf>
      <border outline="0">
        <bottom style="double">
          <color rgb="FFFF8001"/>
        </bottom>
      </border>
    </dxf>
    <dxf>
      <fill>
        <patternFill patternType="none">
          <fgColor indexed="64"/>
          <bgColor indexed="65"/>
        </patternFill>
      </fill>
      <alignment horizontal="general" vertical="bottom" textRotation="0" wrapText="1" indent="0" justifyLastLine="0" shrinkToFit="0"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numFmt numFmtId="3" formatCode="#,##0"/>
    </dxf>
    <dxf>
      <numFmt numFmtId="3" formatCode="#,##0"/>
    </dxf>
    <dxf>
      <numFmt numFmtId="3" formatCode="#,##0"/>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alignment horizontal="general" vertical="bottom" textRotation="0" wrapText="1" indent="0" justifyLastLine="0" shrinkToFit="0" readingOrder="0"/>
    </dxf>
    <dxf>
      <border outline="0">
        <bottom style="double">
          <color rgb="FFFF8001"/>
        </bottom>
      </border>
    </dxf>
    <dxf>
      <fill>
        <patternFill patternType="none">
          <fgColor indexed="64"/>
          <bgColor indexed="65"/>
        </patternFill>
      </fill>
      <alignment horizontal="general" vertical="bottom" textRotation="0" wrapText="1" indent="0" justifyLastLine="0" shrinkToFit="0" readingOrder="0"/>
    </dxf>
    <dxf>
      <numFmt numFmtId="3" formatCode="#,##0"/>
    </dxf>
    <dxf>
      <numFmt numFmtId="3" formatCode="#,##0"/>
    </dxf>
    <dxf>
      <border outline="0">
        <bottom style="double">
          <color rgb="FFFF8001"/>
        </bottom>
      </border>
    </dxf>
    <dxf>
      <fill>
        <patternFill patternType="none">
          <fgColor indexed="64"/>
          <bgColor indexed="65"/>
        </patternFill>
      </fill>
      <alignment horizontal="general" vertical="bottom" textRotation="0" wrapText="1" indent="0" justifyLastLine="0" shrinkToFit="0" readingOrder="0"/>
    </dxf>
    <dxf>
      <alignment wrapText="1" readingOrder="0"/>
    </dxf>
    <dxf>
      <alignment wrapText="0" readingOrder="0"/>
    </dxf>
    <dxf>
      <alignment wrapText="1" readingOrder="0"/>
    </dxf>
    <dxf>
      <numFmt numFmtId="3" formatCode="#,##0"/>
    </dxf>
    <dxf>
      <numFmt numFmtId="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3" formatCode="#,##0"/>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alignment horizontal="general" vertical="bottom" textRotation="0" wrapText="1" indent="0" justifyLastLine="0" shrinkToFit="0" readingOrder="0"/>
    </dxf>
    <dxf>
      <border outline="0">
        <bottom style="double">
          <color rgb="FFFF8001"/>
        </bottom>
      </border>
    </dxf>
    <dxf>
      <fill>
        <patternFill patternType="none">
          <fgColor indexed="64"/>
          <bgColor indexed="65"/>
        </patternFill>
      </fill>
      <alignment horizontal="general" vertical="bottom" textRotation="0" wrapText="1" indent="0" justifyLastLine="0" shrinkToFit="0" readingOrder="0"/>
    </dxf>
    <dxf>
      <numFmt numFmtId="3" formatCode="#,##0"/>
    </dxf>
    <dxf>
      <numFmt numFmtId="3" formatCode="#,##0"/>
    </dxf>
    <dxf>
      <border outline="0">
        <bottom style="double">
          <color rgb="FFFF8001"/>
        </bottom>
      </border>
    </dxf>
    <dxf>
      <fill>
        <patternFill patternType="none">
          <fgColor indexed="64"/>
          <bgColor indexed="65"/>
        </patternFill>
      </fill>
      <alignment horizontal="general" vertical="bottom" textRotation="0" wrapText="1" indent="0" justifyLastLine="0" shrinkToFit="0" readingOrder="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0" readingOrder="0"/>
    </dxf>
    <dxf>
      <alignment wrapText="1" readingOrder="0"/>
    </dxf>
    <dxf>
      <numFmt numFmtId="3" formatCode="#,##0"/>
    </dxf>
    <dxf>
      <numFmt numFmtId="3" formatCode="#,##0"/>
    </dxf>
    <dxf>
      <alignment wrapText="1" readingOrder="0"/>
    </dxf>
    <dxf>
      <alignment wrapText="1" readingOrder="0"/>
    </dxf>
    <dxf>
      <alignment vertical="center" readingOrder="0"/>
    </dxf>
    <dxf>
      <alignment vertical="center" readingOrder="0"/>
    </dxf>
    <dxf>
      <numFmt numFmtId="3" formatCode="#,##0"/>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8"/>
        <color auto="1"/>
        <name val="Calibri"/>
        <scheme val="minor"/>
      </font>
      <numFmt numFmtId="1" formatCode="0"/>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Calibri"/>
        <scheme val="minor"/>
      </font>
      <numFmt numFmtId="1" formatCode="0"/>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numFmt numFmtId="1" formatCode="0"/>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numFmt numFmtId="1" formatCode="0"/>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numFmt numFmtId="13" formatCode="0%"/>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numFmt numFmtId="3" formatCode="#,##0"/>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right/>
        <top style="thin">
          <color auto="1"/>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2"/>
        <color theme="0"/>
        <name val="Calibri"/>
        <scheme val="minor"/>
      </font>
      <alignment horizontal="center" vertical="top" textRotation="0" wrapText="1" indent="0" justifyLastLine="0" shrinkToFit="0" readingOrder="0"/>
    </dxf>
    <dxf>
      <border>
        <left style="medium">
          <color theme="4"/>
        </left>
        <right style="medium">
          <color theme="4"/>
        </right>
        <top style="medium">
          <color theme="4"/>
        </top>
        <bottom style="medium">
          <color theme="4"/>
        </bottom>
      </border>
    </dxf>
  </dxfs>
  <tableStyles count="1" defaultTableStyle="TableStyleMedium9" defaultPivotStyle="PivotStyleLight16">
    <tableStyle name="Table Style 1 - Blank" pivot="0" count="1">
      <tableStyleElement type="wholeTable" dxfId="117"/>
    </tableStyle>
  </tableStyles>
  <colors>
    <mruColors>
      <color rgb="FFFFCCCC"/>
      <color rgb="FFCCCCFF"/>
      <color rgb="FFFFFF99"/>
      <color rgb="FFCCFFFF"/>
      <color rgb="FFCCFFCC"/>
      <color rgb="FFFFFFFF"/>
      <color rgb="FF99CCFF"/>
      <color rgb="FFFFFFCC"/>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hiddenlocked.xlsx]Summary-Residential!PivotTable4</c:name>
    <c:fmtId val="3"/>
  </c:pivotSource>
  <c:chart>
    <c:title>
      <c:tx>
        <c:rich>
          <a:bodyPr/>
          <a:lstStyle/>
          <a:p>
            <a:pPr>
              <a:defRPr/>
            </a:pPr>
            <a:r>
              <a:rPr lang="en-US" sz="1800" b="1" i="0" baseline="0">
                <a:effectLst/>
              </a:rPr>
              <a:t>Savings Potential [GWh / year]</a:t>
            </a:r>
            <a:endParaRPr lang="en-US">
              <a:effectLst/>
            </a:endParaRPr>
          </a:p>
        </c:rich>
      </c:tx>
      <c:layout/>
      <c:overlay val="0"/>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'Summary-Residential'!$T$6</c:f>
              <c:strCache>
                <c:ptCount val="1"/>
                <c:pt idx="0">
                  <c:v>Total Lighting Technology Potential</c:v>
                </c:pt>
              </c:strCache>
            </c:strRef>
          </c:tx>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'Summary-Residential'!$S$7:$S$15</c:f>
              <c:strCache>
                <c:ptCount val="8"/>
                <c:pt idx="0">
                  <c:v>LED Panel Lighting</c:v>
                </c:pt>
                <c:pt idx="1">
                  <c:v>CFL MSB</c:v>
                </c:pt>
                <c:pt idx="2">
                  <c:v>High Efficiency Linear Fluorescent T-8</c:v>
                </c:pt>
                <c:pt idx="3">
                  <c:v>LED MSB</c:v>
                </c:pt>
                <c:pt idx="4">
                  <c:v>LED Pin Base</c:v>
                </c:pt>
                <c:pt idx="5">
                  <c:v>LED SSB</c:v>
                </c:pt>
                <c:pt idx="6">
                  <c:v>CFL SSB</c:v>
                </c:pt>
                <c:pt idx="7">
                  <c:v>CFL Pin Base</c:v>
                </c:pt>
              </c:strCache>
            </c:strRef>
          </c:cat>
          <c:val>
            <c:numRef>
              <c:f>'Summary-Residential'!$T$7:$T$15</c:f>
              <c:numCache>
                <c:formatCode>#,##0</c:formatCode>
                <c:ptCount val="8"/>
                <c:pt idx="0">
                  <c:v>242.42729449855327</c:v>
                </c:pt>
                <c:pt idx="1">
                  <c:v>3738.6036128522778</c:v>
                </c:pt>
                <c:pt idx="2">
                  <c:v>215.57939748594598</c:v>
                </c:pt>
                <c:pt idx="3">
                  <c:v>4196.7235863083442</c:v>
                </c:pt>
                <c:pt idx="4">
                  <c:v>526.27960178526291</c:v>
                </c:pt>
                <c:pt idx="5">
                  <c:v>568.40829944378504</c:v>
                </c:pt>
                <c:pt idx="6">
                  <c:v>534.30380147715789</c:v>
                </c:pt>
                <c:pt idx="7">
                  <c:v>484.73121217063692</c:v>
                </c:pt>
              </c:numCache>
            </c:numRef>
          </c:val>
        </c:ser>
        <c:ser>
          <c:idx val="1"/>
          <c:order val="1"/>
          <c:tx>
            <c:strRef>
              <c:f>'Summary-Residential'!$U$6</c:f>
              <c:strCache>
                <c:ptCount val="1"/>
                <c:pt idx="0">
                  <c:v>Total Control Technology Potential</c:v>
                </c:pt>
              </c:strCache>
            </c:strRef>
          </c:tx>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'Summary-Residential'!$S$7:$S$15</c:f>
              <c:strCache>
                <c:ptCount val="8"/>
                <c:pt idx="0">
                  <c:v>LED Panel Lighting</c:v>
                </c:pt>
                <c:pt idx="1">
                  <c:v>CFL MSB</c:v>
                </c:pt>
                <c:pt idx="2">
                  <c:v>High Efficiency Linear Fluorescent T-8</c:v>
                </c:pt>
                <c:pt idx="3">
                  <c:v>LED MSB</c:v>
                </c:pt>
                <c:pt idx="4">
                  <c:v>LED Pin Base</c:v>
                </c:pt>
                <c:pt idx="5">
                  <c:v>LED SSB</c:v>
                </c:pt>
                <c:pt idx="6">
                  <c:v>CFL SSB</c:v>
                </c:pt>
                <c:pt idx="7">
                  <c:v>CFL Pin Base</c:v>
                </c:pt>
              </c:strCache>
            </c:strRef>
          </c:cat>
          <c:val>
            <c:numRef>
              <c:f>'Summary-Residential'!$U$7:$U$15</c:f>
              <c:numCache>
                <c:formatCode>#,##0</c:formatCode>
                <c:ptCount val="8"/>
                <c:pt idx="0">
                  <c:v>163.79316116879821</c:v>
                </c:pt>
                <c:pt idx="1">
                  <c:v>985.54131372827123</c:v>
                </c:pt>
                <c:pt idx="2">
                  <c:v>163.79316116879821</c:v>
                </c:pt>
                <c:pt idx="3">
                  <c:v>1183.2335416673723</c:v>
                </c:pt>
                <c:pt idx="4">
                  <c:v>99.497082593202421</c:v>
                </c:pt>
                <c:pt idx="5">
                  <c:v>135.72486458889139</c:v>
                </c:pt>
                <c:pt idx="6">
                  <c:v>135.72486458889139</c:v>
                </c:pt>
                <c:pt idx="7">
                  <c:v>99.497082593202421</c:v>
                </c:pt>
              </c:numCache>
            </c:numRef>
          </c:val>
        </c:ser>
        <c:dLbls>
          <c:showLegendKey val="0"/>
          <c:showVal val="0"/>
          <c:showCatName val="0"/>
          <c:showSerName val="0"/>
          <c:showPercent val="0"/>
          <c:showBubbleSize val="0"/>
        </c:dLbls>
        <c:gapWidth val="150"/>
        <c:axId val="645706344"/>
        <c:axId val="645706736"/>
      </c:barChart>
      <c:catAx>
        <c:axId val="645706344"/>
        <c:scaling>
          <c:orientation val="minMax"/>
        </c:scaling>
        <c:delete val="0"/>
        <c:axPos val="b"/>
        <c:numFmt formatCode="General" sourceLinked="0"/>
        <c:majorTickMark val="out"/>
        <c:minorTickMark val="none"/>
        <c:tickLblPos val="nextTo"/>
        <c:crossAx val="645706736"/>
        <c:crosses val="autoZero"/>
        <c:auto val="1"/>
        <c:lblAlgn val="ctr"/>
        <c:lblOffset val="100"/>
        <c:noMultiLvlLbl val="0"/>
      </c:catAx>
      <c:valAx>
        <c:axId val="645706736"/>
        <c:scaling>
          <c:orientation val="minMax"/>
        </c:scaling>
        <c:delete val="0"/>
        <c:axPos val="l"/>
        <c:majorGridlines/>
        <c:numFmt formatCode="#,##0" sourceLinked="1"/>
        <c:majorTickMark val="out"/>
        <c:minorTickMark val="none"/>
        <c:tickLblPos val="nextTo"/>
        <c:crossAx val="64570634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hiddenlocked.xlsx]Summary-Custom!PivotTable2</c:name>
    <c:fmtId val="0"/>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'Summary-Custom'!$D$6</c:f>
              <c:strCache>
                <c:ptCount val="1"/>
                <c:pt idx="0">
                  <c:v>Total</c:v>
                </c:pt>
              </c:strCache>
            </c:strRef>
          </c:tx>
          <c:spPr>
            <a:solidFill>
              <a:schemeClr val="accent1"/>
            </a:solidFill>
            <a:ln>
              <a:noFill/>
            </a:ln>
            <a:effectLst/>
          </c:spPr>
          <c:invertIfNegative val="0"/>
          <c:cat>
            <c:strRef>
              <c:f>'Summary-Custom'!$C$7:$C$19</c:f>
              <c:strCache>
                <c:ptCount val="12"/>
                <c:pt idx="0">
                  <c:v>Agricultural</c:v>
                </c:pt>
                <c:pt idx="1">
                  <c:v>Food and Liquor Stores</c:v>
                </c:pt>
                <c:pt idx="2">
                  <c:v>Health and Medical Clinics</c:v>
                </c:pt>
                <c:pt idx="3">
                  <c:v>Health and Medical Hospital</c:v>
                </c:pt>
                <c:pt idx="4">
                  <c:v>Hotel/Motel, Dorms, Assisted Living</c:v>
                </c:pt>
                <c:pt idx="5">
                  <c:v>Miscellaneous</c:v>
                </c:pt>
                <c:pt idx="6">
                  <c:v>Office</c:v>
                </c:pt>
                <c:pt idx="7">
                  <c:v>Restaurant</c:v>
                </c:pt>
                <c:pt idx="8">
                  <c:v>Retail</c:v>
                </c:pt>
                <c:pt idx="9">
                  <c:v>Schools</c:v>
                </c:pt>
                <c:pt idx="10">
                  <c:v>University/College</c:v>
                </c:pt>
                <c:pt idx="11">
                  <c:v>Warehouse </c:v>
                </c:pt>
              </c:strCache>
            </c:strRef>
          </c:cat>
          <c:val>
            <c:numRef>
              <c:f>'Summary-Custom'!$D$7:$D$19</c:f>
              <c:numCache>
                <c:formatCode>0</c:formatCode>
                <c:ptCount val="12"/>
                <c:pt idx="0">
                  <c:v>536.81628000000001</c:v>
                </c:pt>
                <c:pt idx="1">
                  <c:v>328.32750217054399</c:v>
                </c:pt>
                <c:pt idx="2">
                  <c:v>446.00405151407563</c:v>
                </c:pt>
                <c:pt idx="3">
                  <c:v>847.73737352200249</c:v>
                </c:pt>
                <c:pt idx="4">
                  <c:v>158.9804897203272</c:v>
                </c:pt>
                <c:pt idx="5">
                  <c:v>3383.5093556389616</c:v>
                </c:pt>
                <c:pt idx="6">
                  <c:v>4282.1979731819283</c:v>
                </c:pt>
                <c:pt idx="7">
                  <c:v>476.27033903997801</c:v>
                </c:pt>
                <c:pt idx="8">
                  <c:v>758.7847696012816</c:v>
                </c:pt>
                <c:pt idx="9">
                  <c:v>1092.1285966387297</c:v>
                </c:pt>
                <c:pt idx="10">
                  <c:v>812.73640840912788</c:v>
                </c:pt>
                <c:pt idx="11">
                  <c:v>358.49365031662188</c:v>
                </c:pt>
              </c:numCache>
            </c:numRef>
          </c:val>
        </c:ser>
        <c:dLbls>
          <c:showLegendKey val="0"/>
          <c:showVal val="0"/>
          <c:showCatName val="0"/>
          <c:showSerName val="0"/>
          <c:showPercent val="0"/>
          <c:showBubbleSize val="0"/>
        </c:dLbls>
        <c:gapWidth val="219"/>
        <c:overlap val="-27"/>
        <c:axId val="207507904"/>
        <c:axId val="207508296"/>
      </c:barChart>
      <c:catAx>
        <c:axId val="20750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508296"/>
        <c:crosses val="autoZero"/>
        <c:auto val="1"/>
        <c:lblAlgn val="ctr"/>
        <c:lblOffset val="100"/>
        <c:noMultiLvlLbl val="0"/>
      </c:catAx>
      <c:valAx>
        <c:axId val="207508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50790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hiddenlocked.xlsx]Summary-Residential!PivotTable4</c:name>
    <c:fmtId val="4"/>
  </c:pivotSource>
  <c:chart>
    <c:title>
      <c:tx>
        <c:rich>
          <a:bodyPr/>
          <a:lstStyle/>
          <a:p>
            <a:pPr>
              <a:defRPr/>
            </a:pPr>
            <a:r>
              <a:rPr lang="en-US" sz="1800" b="1" i="0" baseline="0">
                <a:effectLst/>
              </a:rPr>
              <a:t>Savings Potential [GWh / year]</a:t>
            </a:r>
            <a:endParaRPr lang="en-US">
              <a:effectLst/>
            </a:endParaRPr>
          </a:p>
        </c:rich>
      </c:tx>
      <c:layout/>
      <c:overlay val="0"/>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7"/>
        <c:marker>
          <c:symbol val="none"/>
        </c:marker>
        <c:dLbl>
          <c:idx val="0"/>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8"/>
        <c:marker>
          <c:symbol val="none"/>
        </c:marker>
        <c:dLbl>
          <c:idx val="0"/>
          <c:layout/>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ext>
          </c:extLst>
        </c:dLbl>
      </c:pivotFmt>
      <c:pivotFmt>
        <c:idx val="9"/>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'Summary-Residential'!$T$6</c:f>
              <c:strCache>
                <c:ptCount val="1"/>
                <c:pt idx="0">
                  <c:v>Total Lighting Technology Potential</c:v>
                </c:pt>
              </c:strCache>
            </c:strRef>
          </c:tx>
          <c:dLbls>
            <c:spPr/>
            <c:txPr>
              <a:bodyPr/>
              <a:lstStyle/>
              <a:p>
                <a:pPr>
                  <a:defRPr/>
                </a:pPr>
                <a:endParaRPr lang="en-US"/>
              </a:p>
            </c:tx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'Summary-Residential'!$S$7:$S$15</c:f>
              <c:strCache>
                <c:ptCount val="8"/>
                <c:pt idx="0">
                  <c:v>LED Panel Lighting</c:v>
                </c:pt>
                <c:pt idx="1">
                  <c:v>CFL MSB</c:v>
                </c:pt>
                <c:pt idx="2">
                  <c:v>High Efficiency Linear Fluorescent T-8</c:v>
                </c:pt>
                <c:pt idx="3">
                  <c:v>LED MSB</c:v>
                </c:pt>
                <c:pt idx="4">
                  <c:v>LED Pin Base</c:v>
                </c:pt>
                <c:pt idx="5">
                  <c:v>LED SSB</c:v>
                </c:pt>
                <c:pt idx="6">
                  <c:v>CFL SSB</c:v>
                </c:pt>
                <c:pt idx="7">
                  <c:v>CFL Pin Base</c:v>
                </c:pt>
              </c:strCache>
            </c:strRef>
          </c:cat>
          <c:val>
            <c:numRef>
              <c:f>'Summary-Residential'!$T$7:$T$15</c:f>
              <c:numCache>
                <c:formatCode>#,##0</c:formatCode>
                <c:ptCount val="8"/>
                <c:pt idx="0">
                  <c:v>242.42729449855327</c:v>
                </c:pt>
                <c:pt idx="1">
                  <c:v>3738.6036128522778</c:v>
                </c:pt>
                <c:pt idx="2">
                  <c:v>215.57939748594598</c:v>
                </c:pt>
                <c:pt idx="3">
                  <c:v>4196.7235863083442</c:v>
                </c:pt>
                <c:pt idx="4">
                  <c:v>526.27960178526291</c:v>
                </c:pt>
                <c:pt idx="5">
                  <c:v>568.40829944378504</c:v>
                </c:pt>
                <c:pt idx="6">
                  <c:v>534.30380147715789</c:v>
                </c:pt>
                <c:pt idx="7">
                  <c:v>484.73121217063692</c:v>
                </c:pt>
              </c:numCache>
            </c:numRef>
          </c:val>
        </c:ser>
        <c:ser>
          <c:idx val="1"/>
          <c:order val="1"/>
          <c:tx>
            <c:strRef>
              <c:f>'Summary-Residential'!$U$6</c:f>
              <c:strCache>
                <c:ptCount val="1"/>
                <c:pt idx="0">
                  <c:v>Total Control Technology Potential</c:v>
                </c:pt>
              </c:strCache>
            </c:strRef>
          </c:tx>
          <c:dLbls>
            <c:spPr/>
            <c:txPr>
              <a:bodyPr/>
              <a:lstStyle/>
              <a:p>
                <a:pPr>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'Summary-Residential'!$S$7:$S$15</c:f>
              <c:strCache>
                <c:ptCount val="8"/>
                <c:pt idx="0">
                  <c:v>LED Panel Lighting</c:v>
                </c:pt>
                <c:pt idx="1">
                  <c:v>CFL MSB</c:v>
                </c:pt>
                <c:pt idx="2">
                  <c:v>High Efficiency Linear Fluorescent T-8</c:v>
                </c:pt>
                <c:pt idx="3">
                  <c:v>LED MSB</c:v>
                </c:pt>
                <c:pt idx="4">
                  <c:v>LED Pin Base</c:v>
                </c:pt>
                <c:pt idx="5">
                  <c:v>LED SSB</c:v>
                </c:pt>
                <c:pt idx="6">
                  <c:v>CFL SSB</c:v>
                </c:pt>
                <c:pt idx="7">
                  <c:v>CFL Pin Base</c:v>
                </c:pt>
              </c:strCache>
            </c:strRef>
          </c:cat>
          <c:val>
            <c:numRef>
              <c:f>'Summary-Residential'!$U$7:$U$15</c:f>
              <c:numCache>
                <c:formatCode>#,##0</c:formatCode>
                <c:ptCount val="8"/>
                <c:pt idx="0">
                  <c:v>163.79316116879821</c:v>
                </c:pt>
                <c:pt idx="1">
                  <c:v>985.54131372827123</c:v>
                </c:pt>
                <c:pt idx="2">
                  <c:v>163.79316116879821</c:v>
                </c:pt>
                <c:pt idx="3">
                  <c:v>1183.2335416673723</c:v>
                </c:pt>
                <c:pt idx="4">
                  <c:v>99.497082593202421</c:v>
                </c:pt>
                <c:pt idx="5">
                  <c:v>135.72486458889139</c:v>
                </c:pt>
                <c:pt idx="6">
                  <c:v>135.72486458889139</c:v>
                </c:pt>
                <c:pt idx="7">
                  <c:v>99.497082593202421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hiddenlocked.xlsx]Summary-Residential!PivotTable1</c:name>
    <c:fmtId val="3"/>
  </c:pivotSource>
  <c:chart>
    <c:title>
      <c:tx>
        <c:rich>
          <a:bodyPr/>
          <a:lstStyle/>
          <a:p>
            <a:pPr>
              <a:defRPr/>
            </a:pPr>
            <a:r>
              <a:rPr lang="en-US" sz="1800" b="1" i="0" baseline="0">
                <a:effectLst/>
              </a:rPr>
              <a:t>Savings Potential [GWh / year]</a:t>
            </a:r>
            <a:endParaRPr lang="en-US">
              <a:effectLst/>
            </a:endParaRPr>
          </a:p>
        </c:rich>
      </c:tx>
      <c:layout/>
      <c:overlay val="0"/>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7"/>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'Summary-Residential'!$T$200</c:f>
              <c:strCache>
                <c:ptCount val="1"/>
                <c:pt idx="0">
                  <c:v>Maximum Lighting Saving Potential</c:v>
                </c:pt>
              </c:strCache>
            </c:strRef>
          </c:tx>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'Summary-Residential'!$S$201:$S$204</c:f>
              <c:strCache>
                <c:ptCount val="3"/>
                <c:pt idx="0">
                  <c:v>Exterior </c:v>
                </c:pt>
                <c:pt idx="1">
                  <c:v>Interior Living 
(Kitchen, Bedroom, Living, Dining, etc)</c:v>
                </c:pt>
                <c:pt idx="2">
                  <c:v>Interior Support (Bathroom, Utility room, laundry room, garage)</c:v>
                </c:pt>
              </c:strCache>
            </c:strRef>
          </c:cat>
          <c:val>
            <c:numRef>
              <c:f>'Summary-Residential'!$T$201:$T$204</c:f>
              <c:numCache>
                <c:formatCode>#,##0</c:formatCode>
                <c:ptCount val="3"/>
                <c:pt idx="0">
                  <c:v>1242.5052623820209</c:v>
                </c:pt>
                <c:pt idx="1">
                  <c:v>2473.6679389198052</c:v>
                </c:pt>
                <c:pt idx="2">
                  <c:v>1817.6655807341187</c:v>
                </c:pt>
              </c:numCache>
            </c:numRef>
          </c:val>
        </c:ser>
        <c:ser>
          <c:idx val="1"/>
          <c:order val="1"/>
          <c:tx>
            <c:strRef>
              <c:f>'Summary-Residential'!$U$200</c:f>
              <c:strCache>
                <c:ptCount val="1"/>
                <c:pt idx="0">
                  <c:v>Maximum Controls Saving Potential</c:v>
                </c:pt>
              </c:strCache>
            </c:strRef>
          </c:tx>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'Summary-Residential'!$S$201:$S$204</c:f>
              <c:strCache>
                <c:ptCount val="3"/>
                <c:pt idx="0">
                  <c:v>Exterior </c:v>
                </c:pt>
                <c:pt idx="1">
                  <c:v>Interior Living 
(Kitchen, Bedroom, Living, Dining, etc)</c:v>
                </c:pt>
                <c:pt idx="2">
                  <c:v>Interior Support (Bathroom, Utility room, laundry room, garage)</c:v>
                </c:pt>
              </c:strCache>
            </c:strRef>
          </c:cat>
          <c:val>
            <c:numRef>
              <c:f>'Summary-Residential'!$U$201:$U$204</c:f>
              <c:numCache>
                <c:formatCode>#,##0</c:formatCode>
                <c:ptCount val="3"/>
                <c:pt idx="0">
                  <c:v>298.27625955405477</c:v>
                </c:pt>
                <c:pt idx="1">
                  <c:v>676.54342012564882</c:v>
                </c:pt>
                <c:pt idx="2">
                  <c:v>607.4289703385607</c:v>
                </c:pt>
              </c:numCache>
            </c:numRef>
          </c:val>
        </c:ser>
        <c:dLbls>
          <c:showLegendKey val="0"/>
          <c:showVal val="0"/>
          <c:showCatName val="0"/>
          <c:showSerName val="0"/>
          <c:showPercent val="0"/>
          <c:showBubbleSize val="0"/>
        </c:dLbls>
        <c:gapWidth val="150"/>
        <c:axId val="557520488"/>
        <c:axId val="557520880"/>
      </c:barChart>
      <c:catAx>
        <c:axId val="557520488"/>
        <c:scaling>
          <c:orientation val="minMax"/>
        </c:scaling>
        <c:delete val="0"/>
        <c:axPos val="b"/>
        <c:numFmt formatCode="General" sourceLinked="0"/>
        <c:majorTickMark val="out"/>
        <c:minorTickMark val="none"/>
        <c:tickLblPos val="nextTo"/>
        <c:crossAx val="557520880"/>
        <c:crosses val="autoZero"/>
        <c:auto val="1"/>
        <c:lblAlgn val="ctr"/>
        <c:lblOffset val="100"/>
        <c:noMultiLvlLbl val="0"/>
      </c:catAx>
      <c:valAx>
        <c:axId val="557520880"/>
        <c:scaling>
          <c:orientation val="minMax"/>
        </c:scaling>
        <c:delete val="0"/>
        <c:axPos val="l"/>
        <c:majorGridlines/>
        <c:numFmt formatCode="#,##0" sourceLinked="1"/>
        <c:majorTickMark val="out"/>
        <c:minorTickMark val="none"/>
        <c:tickLblPos val="nextTo"/>
        <c:crossAx val="55752048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hiddenlocked.xlsx]Summary-NonResInterior!PivotTable4</c:name>
    <c:fmtId val="6"/>
  </c:pivotSource>
  <c:chart>
    <c:title>
      <c:tx>
        <c:rich>
          <a:bodyPr/>
          <a:lstStyle/>
          <a:p>
            <a:pPr>
              <a:defRPr/>
            </a:pPr>
            <a:r>
              <a:rPr lang="en-US" sz="1800" b="1" i="0" baseline="0">
                <a:effectLst/>
              </a:rPr>
              <a:t>Savings Potential [GWh / year]</a:t>
            </a:r>
            <a:endParaRPr lang="en-US">
              <a:effectLst/>
            </a:endParaRPr>
          </a:p>
        </c:rich>
      </c:tx>
      <c:layout/>
      <c:overlay val="0"/>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7"/>
        <c:marker>
          <c:symbol val="none"/>
        </c:marker>
        <c:dLbl>
          <c:idx val="0"/>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8"/>
        <c:marker>
          <c:symbol val="none"/>
        </c:marker>
        <c:dLbl>
          <c:idx val="0"/>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9"/>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layout/>
          <c:spPr/>
          <c:txPr>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ext>
          </c:extLst>
        </c:dLbl>
      </c:pivotFmt>
      <c:pivotFmt>
        <c:idx val="1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'Summary-NonResInterior'!$T$6</c:f>
              <c:strCache>
                <c:ptCount val="1"/>
                <c:pt idx="0">
                  <c:v>Total Lighting Technology Potential</c:v>
                </c:pt>
              </c:strCache>
            </c:strRef>
          </c:tx>
          <c:dLbls>
            <c:spPr/>
            <c:txPr>
              <a:bodyPr/>
              <a:lstStyle/>
              <a:p>
                <a:pPr>
                  <a:defRPr/>
                </a:pPr>
                <a:endParaRPr lang="en-US"/>
              </a:p>
            </c:tx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'Summary-NonResInterior'!$S$7:$S$20</c:f>
              <c:strCache>
                <c:ptCount val="13"/>
                <c:pt idx="0">
                  <c:v>LED Panel Lighting</c:v>
                </c:pt>
                <c:pt idx="1">
                  <c:v>CFL</c:v>
                </c:pt>
                <c:pt idx="2">
                  <c:v>Induction</c:v>
                </c:pt>
                <c:pt idx="3">
                  <c:v>LED</c:v>
                </c:pt>
                <c:pt idx="4">
                  <c:v>LED Case Lights</c:v>
                </c:pt>
                <c:pt idx="5">
                  <c:v>LED Task Lights</c:v>
                </c:pt>
                <c:pt idx="6">
                  <c:v>LED Track Lighting</c:v>
                </c:pt>
                <c:pt idx="7">
                  <c:v>High Efficiency Linear Fluorescent T-8/T-5</c:v>
                </c:pt>
                <c:pt idx="8">
                  <c:v>CMH</c:v>
                </c:pt>
                <c:pt idx="9">
                  <c:v>LEC Exit Sign</c:v>
                </c:pt>
                <c:pt idx="10">
                  <c:v>High Bay Linear Fluorescent 
T-8/T-5 HO</c:v>
                </c:pt>
                <c:pt idx="11">
                  <c:v>High Bay LED</c:v>
                </c:pt>
                <c:pt idx="12">
                  <c:v>CFL Track Lighting</c:v>
                </c:pt>
              </c:strCache>
            </c:strRef>
          </c:cat>
          <c:val>
            <c:numRef>
              <c:f>'Summary-NonResInterior'!$T$7:$T$20</c:f>
              <c:numCache>
                <c:formatCode>#,##0</c:formatCode>
                <c:ptCount val="13"/>
                <c:pt idx="0">
                  <c:v>3041.7017481172584</c:v>
                </c:pt>
                <c:pt idx="1">
                  <c:v>349.81667292479455</c:v>
                </c:pt>
                <c:pt idx="2">
                  <c:v>30.269593789578746</c:v>
                </c:pt>
                <c:pt idx="3">
                  <c:v>653.82656029514658</c:v>
                </c:pt>
                <c:pt idx="4">
                  <c:v>10.401415268762834</c:v>
                </c:pt>
                <c:pt idx="5">
                  <c:v>546.54524175981624</c:v>
                </c:pt>
                <c:pt idx="6">
                  <c:v>488.41610883303082</c:v>
                </c:pt>
                <c:pt idx="7">
                  <c:v>2183.6330194532666</c:v>
                </c:pt>
                <c:pt idx="8">
                  <c:v>280.54674215088028</c:v>
                </c:pt>
                <c:pt idx="9">
                  <c:v>103.67270008579072</c:v>
                </c:pt>
                <c:pt idx="10">
                  <c:v>1303.9679469848468</c:v>
                </c:pt>
                <c:pt idx="11">
                  <c:v>2310.131890711139</c:v>
                </c:pt>
                <c:pt idx="12">
                  <c:v>181.72408856695813</c:v>
                </c:pt>
              </c:numCache>
            </c:numRef>
          </c:val>
        </c:ser>
        <c:ser>
          <c:idx val="1"/>
          <c:order val="1"/>
          <c:tx>
            <c:strRef>
              <c:f>'Summary-NonResInterior'!$U$6</c:f>
              <c:strCache>
                <c:ptCount val="1"/>
                <c:pt idx="0">
                  <c:v>Total Control Technology Potential</c:v>
                </c:pt>
              </c:strCache>
            </c:strRef>
          </c:tx>
          <c:dLbls>
            <c:spPr/>
            <c:txPr>
              <a:bodyPr/>
              <a:lstStyle/>
              <a:p>
                <a:pPr>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'Summary-NonResInterior'!$S$7:$S$20</c:f>
              <c:strCache>
                <c:ptCount val="13"/>
                <c:pt idx="0">
                  <c:v>LED Panel Lighting</c:v>
                </c:pt>
                <c:pt idx="1">
                  <c:v>CFL</c:v>
                </c:pt>
                <c:pt idx="2">
                  <c:v>Induction</c:v>
                </c:pt>
                <c:pt idx="3">
                  <c:v>LED</c:v>
                </c:pt>
                <c:pt idx="4">
                  <c:v>LED Case Lights</c:v>
                </c:pt>
                <c:pt idx="5">
                  <c:v>LED Task Lights</c:v>
                </c:pt>
                <c:pt idx="6">
                  <c:v>LED Track Lighting</c:v>
                </c:pt>
                <c:pt idx="7">
                  <c:v>High Efficiency Linear Fluorescent T-8/T-5</c:v>
                </c:pt>
                <c:pt idx="8">
                  <c:v>CMH</c:v>
                </c:pt>
                <c:pt idx="9">
                  <c:v>LEC Exit Sign</c:v>
                </c:pt>
                <c:pt idx="10">
                  <c:v>High Bay Linear Fluorescent 
T-8/T-5 HO</c:v>
                </c:pt>
                <c:pt idx="11">
                  <c:v>High Bay LED</c:v>
                </c:pt>
                <c:pt idx="12">
                  <c:v>CFL Track Lighting</c:v>
                </c:pt>
              </c:strCache>
            </c:strRef>
          </c:cat>
          <c:val>
            <c:numRef>
              <c:f>'Summary-NonResInterior'!$U$7:$U$20</c:f>
              <c:numCache>
                <c:formatCode>#,##0</c:formatCode>
                <c:ptCount val="13"/>
                <c:pt idx="0">
                  <c:v>3740.1212715379706</c:v>
                </c:pt>
                <c:pt idx="1">
                  <c:v>167.21830588732703</c:v>
                </c:pt>
                <c:pt idx="2">
                  <c:v>71.420784133301666</c:v>
                </c:pt>
                <c:pt idx="3">
                  <c:v>569.29219071357238</c:v>
                </c:pt>
                <c:pt idx="4">
                  <c:v>5.4896358362914954</c:v>
                </c:pt>
                <c:pt idx="5">
                  <c:v>372.39183589969929</c:v>
                </c:pt>
                <c:pt idx="6">
                  <c:v>226.85661499567902</c:v>
                </c:pt>
                <c:pt idx="7">
                  <c:v>3740.1212715379706</c:v>
                </c:pt>
                <c:pt idx="8">
                  <c:v>384.54571053185197</c:v>
                </c:pt>
                <c:pt idx="9">
                  <c:v>0</c:v>
                </c:pt>
                <c:pt idx="10">
                  <c:v>2246.9579974457656</c:v>
                </c:pt>
                <c:pt idx="11">
                  <c:v>2307.5550347038779</c:v>
                </c:pt>
                <c:pt idx="12">
                  <c:v>88.511740089988152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hiddenlocked.xlsx]Summary-NonResInterior!PivotTable4</c:name>
    <c:fmtId val="8"/>
  </c:pivotSource>
  <c:chart>
    <c:title>
      <c:tx>
        <c:rich>
          <a:bodyPr/>
          <a:lstStyle/>
          <a:p>
            <a:pPr>
              <a:defRPr/>
            </a:pPr>
            <a:r>
              <a:rPr lang="en-US" sz="1800" b="1" i="0" baseline="0">
                <a:effectLst/>
              </a:rPr>
              <a:t>Technology Savings Potential [GWh / year]</a:t>
            </a:r>
            <a:endParaRPr lang="en-US">
              <a:effectLst/>
            </a:endParaRPr>
          </a:p>
        </c:rich>
      </c:tx>
      <c:layout/>
      <c:overlay val="0"/>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accent2">
              <a:lumMod val="60000"/>
              <a:lumOff val="40000"/>
            </a:schemeClr>
          </a:solidFill>
        </c:spPr>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2"/>
        <c:dLbl>
          <c:idx val="0"/>
          <c:layout>
            <c:manualLayout>
              <c:x val="-1.1128917378917379E-3"/>
              <c:y val="-4.0346753341235365E-2"/>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'Summary-NonResInterior'!$T$6</c:f>
              <c:strCache>
                <c:ptCount val="1"/>
                <c:pt idx="0">
                  <c:v>Total Lighting Technology Potential</c:v>
                </c:pt>
              </c:strCache>
            </c:strRef>
          </c:tx>
          <c:invertIfNegative val="0"/>
          <c:dLbls>
            <c:dLbl>
              <c:idx val="11"/>
              <c:layout>
                <c:manualLayout>
                  <c:x val="-1.1128917378917379E-3"/>
                  <c:y val="-4.0346753341235365E-2"/>
                </c:manualLayout>
              </c:layout>
              <c:showLegendKey val="0"/>
              <c:showVal val="1"/>
              <c:showCatName val="0"/>
              <c:showSerName val="0"/>
              <c:showPercent val="0"/>
              <c:showBubbleSize val="0"/>
              <c:extLst>
                <c:ext xmlns:c15="http://schemas.microsoft.com/office/drawing/2012/chart" uri="{CE6537A1-D6FC-4f65-9D91-7224C49458BB}">
                  <c15:layout/>
                </c:ext>
              </c:extLst>
            </c:dLbl>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'Summary-NonResInterior'!$S$7:$S$20</c:f>
              <c:strCache>
                <c:ptCount val="13"/>
                <c:pt idx="0">
                  <c:v>LED Panel Lighting</c:v>
                </c:pt>
                <c:pt idx="1">
                  <c:v>CFL</c:v>
                </c:pt>
                <c:pt idx="2">
                  <c:v>Induction</c:v>
                </c:pt>
                <c:pt idx="3">
                  <c:v>LED</c:v>
                </c:pt>
                <c:pt idx="4">
                  <c:v>LED Case Lights</c:v>
                </c:pt>
                <c:pt idx="5">
                  <c:v>LED Task Lights</c:v>
                </c:pt>
                <c:pt idx="6">
                  <c:v>LED Track Lighting</c:v>
                </c:pt>
                <c:pt idx="7">
                  <c:v>High Efficiency Linear Fluorescent T-8/T-5</c:v>
                </c:pt>
                <c:pt idx="8">
                  <c:v>CMH</c:v>
                </c:pt>
                <c:pt idx="9">
                  <c:v>LEC Exit Sign</c:v>
                </c:pt>
                <c:pt idx="10">
                  <c:v>High Bay Linear Fluorescent 
T-8/T-5 HO</c:v>
                </c:pt>
                <c:pt idx="11">
                  <c:v>High Bay LED</c:v>
                </c:pt>
                <c:pt idx="12">
                  <c:v>CFL Track Lighting</c:v>
                </c:pt>
              </c:strCache>
            </c:strRef>
          </c:cat>
          <c:val>
            <c:numRef>
              <c:f>'Summary-NonResInterior'!$T$7:$T$20</c:f>
              <c:numCache>
                <c:formatCode>#,##0</c:formatCode>
                <c:ptCount val="13"/>
                <c:pt idx="0">
                  <c:v>3041.7017481172584</c:v>
                </c:pt>
                <c:pt idx="1">
                  <c:v>349.81667292479455</c:v>
                </c:pt>
                <c:pt idx="2">
                  <c:v>30.269593789578746</c:v>
                </c:pt>
                <c:pt idx="3">
                  <c:v>653.82656029514658</c:v>
                </c:pt>
                <c:pt idx="4">
                  <c:v>10.401415268762834</c:v>
                </c:pt>
                <c:pt idx="5">
                  <c:v>546.54524175981624</c:v>
                </c:pt>
                <c:pt idx="6">
                  <c:v>488.41610883303082</c:v>
                </c:pt>
                <c:pt idx="7">
                  <c:v>2183.6330194532666</c:v>
                </c:pt>
                <c:pt idx="8">
                  <c:v>280.54674215088028</c:v>
                </c:pt>
                <c:pt idx="9">
                  <c:v>103.67270008579072</c:v>
                </c:pt>
                <c:pt idx="10">
                  <c:v>1303.9679469848468</c:v>
                </c:pt>
                <c:pt idx="11">
                  <c:v>2310.131890711139</c:v>
                </c:pt>
                <c:pt idx="12">
                  <c:v>181.72408856695813</c:v>
                </c:pt>
              </c:numCache>
            </c:numRef>
          </c:val>
        </c:ser>
        <c:ser>
          <c:idx val="1"/>
          <c:order val="1"/>
          <c:tx>
            <c:strRef>
              <c:f>'Summary-NonResInterior'!$U$6</c:f>
              <c:strCache>
                <c:ptCount val="1"/>
                <c:pt idx="0">
                  <c:v>Total Control Technology Potential</c:v>
                </c:pt>
              </c:strCache>
            </c:strRef>
          </c:tx>
          <c:spPr>
            <a:solidFill>
              <a:schemeClr val="accent2">
                <a:lumMod val="60000"/>
                <a:lumOff val="40000"/>
              </a:schemeClr>
            </a:solidFill>
          </c:spPr>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'Summary-NonResInterior'!$S$7:$S$20</c:f>
              <c:strCache>
                <c:ptCount val="13"/>
                <c:pt idx="0">
                  <c:v>LED Panel Lighting</c:v>
                </c:pt>
                <c:pt idx="1">
                  <c:v>CFL</c:v>
                </c:pt>
                <c:pt idx="2">
                  <c:v>Induction</c:v>
                </c:pt>
                <c:pt idx="3">
                  <c:v>LED</c:v>
                </c:pt>
                <c:pt idx="4">
                  <c:v>LED Case Lights</c:v>
                </c:pt>
                <c:pt idx="5">
                  <c:v>LED Task Lights</c:v>
                </c:pt>
                <c:pt idx="6">
                  <c:v>LED Track Lighting</c:v>
                </c:pt>
                <c:pt idx="7">
                  <c:v>High Efficiency Linear Fluorescent T-8/T-5</c:v>
                </c:pt>
                <c:pt idx="8">
                  <c:v>CMH</c:v>
                </c:pt>
                <c:pt idx="9">
                  <c:v>LEC Exit Sign</c:v>
                </c:pt>
                <c:pt idx="10">
                  <c:v>High Bay Linear Fluorescent 
T-8/T-5 HO</c:v>
                </c:pt>
                <c:pt idx="11">
                  <c:v>High Bay LED</c:v>
                </c:pt>
                <c:pt idx="12">
                  <c:v>CFL Track Lighting</c:v>
                </c:pt>
              </c:strCache>
            </c:strRef>
          </c:cat>
          <c:val>
            <c:numRef>
              <c:f>'Summary-NonResInterior'!$U$7:$U$20</c:f>
              <c:numCache>
                <c:formatCode>#,##0</c:formatCode>
                <c:ptCount val="13"/>
                <c:pt idx="0">
                  <c:v>3740.1212715379706</c:v>
                </c:pt>
                <c:pt idx="1">
                  <c:v>167.21830588732703</c:v>
                </c:pt>
                <c:pt idx="2">
                  <c:v>71.420784133301666</c:v>
                </c:pt>
                <c:pt idx="3">
                  <c:v>569.29219071357238</c:v>
                </c:pt>
                <c:pt idx="4">
                  <c:v>5.4896358362914954</c:v>
                </c:pt>
                <c:pt idx="5">
                  <c:v>372.39183589969929</c:v>
                </c:pt>
                <c:pt idx="6">
                  <c:v>226.85661499567902</c:v>
                </c:pt>
                <c:pt idx="7">
                  <c:v>3740.1212715379706</c:v>
                </c:pt>
                <c:pt idx="8">
                  <c:v>384.54571053185197</c:v>
                </c:pt>
                <c:pt idx="9">
                  <c:v>0</c:v>
                </c:pt>
                <c:pt idx="10">
                  <c:v>2246.9579974457656</c:v>
                </c:pt>
                <c:pt idx="11">
                  <c:v>2307.5550347038779</c:v>
                </c:pt>
                <c:pt idx="12">
                  <c:v>88.511740089988152</c:v>
                </c:pt>
              </c:numCache>
            </c:numRef>
          </c:val>
        </c:ser>
        <c:dLbls>
          <c:showLegendKey val="0"/>
          <c:showVal val="0"/>
          <c:showCatName val="0"/>
          <c:showSerName val="0"/>
          <c:showPercent val="0"/>
          <c:showBubbleSize val="0"/>
        </c:dLbls>
        <c:gapWidth val="150"/>
        <c:axId val="152241280"/>
        <c:axId val="152241672"/>
      </c:barChart>
      <c:catAx>
        <c:axId val="152241280"/>
        <c:scaling>
          <c:orientation val="minMax"/>
        </c:scaling>
        <c:delete val="0"/>
        <c:axPos val="b"/>
        <c:numFmt formatCode="General" sourceLinked="0"/>
        <c:majorTickMark val="out"/>
        <c:minorTickMark val="none"/>
        <c:tickLblPos val="nextTo"/>
        <c:crossAx val="152241672"/>
        <c:crosses val="autoZero"/>
        <c:auto val="1"/>
        <c:lblAlgn val="ctr"/>
        <c:lblOffset val="100"/>
        <c:noMultiLvlLbl val="0"/>
      </c:catAx>
      <c:valAx>
        <c:axId val="152241672"/>
        <c:scaling>
          <c:orientation val="minMax"/>
        </c:scaling>
        <c:delete val="0"/>
        <c:axPos val="l"/>
        <c:majorGridlines/>
        <c:numFmt formatCode="#,##0" sourceLinked="1"/>
        <c:majorTickMark val="out"/>
        <c:minorTickMark val="none"/>
        <c:tickLblPos val="nextTo"/>
        <c:crossAx val="15224128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hiddenlocked.xlsx]Summary-NonResInterior!PivotTable1</c:name>
    <c:fmtId val="4"/>
  </c:pivotSource>
  <c:chart>
    <c:title>
      <c:tx>
        <c:rich>
          <a:bodyPr/>
          <a:lstStyle/>
          <a:p>
            <a:pPr>
              <a:defRPr/>
            </a:pPr>
            <a:r>
              <a:rPr lang="en-US"/>
              <a:t>Application Savings Potential [GWh / year]</a:t>
            </a:r>
          </a:p>
        </c:rich>
      </c:tx>
      <c:layout/>
      <c:overlay val="0"/>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9"/>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'Summary-NonResInterior'!$T$387</c:f>
              <c:strCache>
                <c:ptCount val="1"/>
                <c:pt idx="0">
                  <c:v>Maximum Lighting Application Potential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'Summary-NonResInterior'!$S$388:$S$396</c:f>
              <c:strCache>
                <c:ptCount val="8"/>
                <c:pt idx="0">
                  <c:v>Task Lighting</c:v>
                </c:pt>
                <c:pt idx="1">
                  <c:v>Exit Lighting</c:v>
                </c:pt>
                <c:pt idx="2">
                  <c:v>Track Lighting</c:v>
                </c:pt>
                <c:pt idx="3">
                  <c:v>Display and Advertising</c:v>
                </c:pt>
                <c:pt idx="4">
                  <c:v>Area Lighting for Lobbies, Corridors</c:v>
                </c:pt>
                <c:pt idx="5">
                  <c:v>Area Lighting for Stairwells</c:v>
                </c:pt>
                <c:pt idx="6">
                  <c:v>Area Lighting (Low/Medium Bay)</c:v>
                </c:pt>
                <c:pt idx="7">
                  <c:v>Area Lighting (High Bay)</c:v>
                </c:pt>
              </c:strCache>
            </c:strRef>
          </c:cat>
          <c:val>
            <c:numRef>
              <c:f>'Summary-NonResInterior'!$T$388:$T$396</c:f>
              <c:numCache>
                <c:formatCode>#,##0</c:formatCode>
                <c:ptCount val="8"/>
                <c:pt idx="0">
                  <c:v>570.18251900873668</c:v>
                </c:pt>
                <c:pt idx="1">
                  <c:v>103.67270008579072</c:v>
                </c:pt>
                <c:pt idx="2">
                  <c:v>488.41610883303088</c:v>
                </c:pt>
                <c:pt idx="3">
                  <c:v>257.03800744730177</c:v>
                </c:pt>
                <c:pt idx="4">
                  <c:v>675.7712373087727</c:v>
                </c:pt>
                <c:pt idx="5">
                  <c:v>74.703408255740285</c:v>
                </c:pt>
                <c:pt idx="6">
                  <c:v>2676.6792004038525</c:v>
                </c:pt>
                <c:pt idx="7">
                  <c:v>2310.1318907111386</c:v>
                </c:pt>
              </c:numCache>
            </c:numRef>
          </c:val>
        </c:ser>
        <c:ser>
          <c:idx val="1"/>
          <c:order val="1"/>
          <c:tx>
            <c:strRef>
              <c:f>'Summary-NonResInterior'!$U$387</c:f>
              <c:strCache>
                <c:ptCount val="1"/>
                <c:pt idx="0">
                  <c:v>Maximum Controls Application Potential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'Summary-NonResInterior'!$S$388:$S$396</c:f>
              <c:strCache>
                <c:ptCount val="8"/>
                <c:pt idx="0">
                  <c:v>Task Lighting</c:v>
                </c:pt>
                <c:pt idx="1">
                  <c:v>Exit Lighting</c:v>
                </c:pt>
                <c:pt idx="2">
                  <c:v>Track Lighting</c:v>
                </c:pt>
                <c:pt idx="3">
                  <c:v>Display and Advertising</c:v>
                </c:pt>
                <c:pt idx="4">
                  <c:v>Area Lighting for Lobbies, Corridors</c:v>
                </c:pt>
                <c:pt idx="5">
                  <c:v>Area Lighting for Stairwells</c:v>
                </c:pt>
                <c:pt idx="6">
                  <c:v>Area Lighting (Low/Medium Bay)</c:v>
                </c:pt>
                <c:pt idx="7">
                  <c:v>Area Lighting (High Bay)</c:v>
                </c:pt>
              </c:strCache>
            </c:strRef>
          </c:cat>
          <c:val>
            <c:numRef>
              <c:f>'Summary-NonResInterior'!$U$388:$U$396</c:f>
              <c:numCache>
                <c:formatCode>#,##0</c:formatCode>
                <c:ptCount val="8"/>
                <c:pt idx="0">
                  <c:v>409.33195290266326</c:v>
                </c:pt>
                <c:pt idx="1">
                  <c:v>0</c:v>
                </c:pt>
                <c:pt idx="2">
                  <c:v>226.85661499567902</c:v>
                </c:pt>
                <c:pt idx="3">
                  <c:v>157.66497825511533</c:v>
                </c:pt>
                <c:pt idx="4">
                  <c:v>861.21685449453798</c:v>
                </c:pt>
                <c:pt idx="5">
                  <c:v>95.203569974721603</c:v>
                </c:pt>
                <c:pt idx="6">
                  <c:v>3163.877578360496</c:v>
                </c:pt>
                <c:pt idx="7">
                  <c:v>2307.5550347038784</c:v>
                </c:pt>
              </c:numCache>
            </c:numRef>
          </c:val>
        </c:ser>
        <c:dLbls>
          <c:showLegendKey val="0"/>
          <c:showVal val="0"/>
          <c:showCatName val="0"/>
          <c:showSerName val="0"/>
          <c:showPercent val="0"/>
          <c:showBubbleSize val="0"/>
        </c:dLbls>
        <c:gapWidth val="150"/>
        <c:axId val="557520096"/>
        <c:axId val="246918608"/>
      </c:barChart>
      <c:catAx>
        <c:axId val="557520096"/>
        <c:scaling>
          <c:orientation val="minMax"/>
        </c:scaling>
        <c:delete val="0"/>
        <c:axPos val="b"/>
        <c:numFmt formatCode="General" sourceLinked="0"/>
        <c:majorTickMark val="out"/>
        <c:minorTickMark val="none"/>
        <c:tickLblPos val="nextTo"/>
        <c:crossAx val="246918608"/>
        <c:crosses val="autoZero"/>
        <c:auto val="1"/>
        <c:lblAlgn val="ctr"/>
        <c:lblOffset val="100"/>
        <c:noMultiLvlLbl val="0"/>
      </c:catAx>
      <c:valAx>
        <c:axId val="246918608"/>
        <c:scaling>
          <c:orientation val="minMax"/>
        </c:scaling>
        <c:delete val="0"/>
        <c:axPos val="l"/>
        <c:majorGridlines/>
        <c:numFmt formatCode="#,##0" sourceLinked="1"/>
        <c:majorTickMark val="out"/>
        <c:minorTickMark val="none"/>
        <c:tickLblPos val="nextTo"/>
        <c:crossAx val="55752009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hiddenlocked.xlsx]Summary-NonResExterior!PivotTable4</c:name>
    <c:fmtId val="7"/>
  </c:pivotSource>
  <c:chart>
    <c:title>
      <c:tx>
        <c:rich>
          <a:bodyPr/>
          <a:lstStyle/>
          <a:p>
            <a:pPr>
              <a:defRPr/>
            </a:pPr>
            <a:r>
              <a:rPr lang="en-US" sz="1800" b="1" i="0" baseline="0">
                <a:effectLst/>
              </a:rPr>
              <a:t>Technology Savings Potential [GWh / year]</a:t>
            </a:r>
            <a:endParaRPr lang="en-US">
              <a:effectLst/>
            </a:endParaRPr>
          </a:p>
        </c:rich>
      </c:tx>
      <c:layout/>
      <c:overlay val="0"/>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solidFill>
            <a:schemeClr val="accent2">
              <a:lumMod val="60000"/>
              <a:lumOff val="40000"/>
            </a:schemeClr>
          </a:solidFill>
        </c:spPr>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'Summary-NonResExterior'!$T$6</c:f>
              <c:strCache>
                <c:ptCount val="1"/>
                <c:pt idx="0">
                  <c:v>Total Lighting Technology Potential</c:v>
                </c:pt>
              </c:strCache>
            </c:strRef>
          </c:tx>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'Summary-NonResExterior'!$S$7:$S$17</c:f>
              <c:strCache>
                <c:ptCount val="10"/>
                <c:pt idx="0">
                  <c:v>Induction</c:v>
                </c:pt>
                <c:pt idx="1">
                  <c:v>LED</c:v>
                </c:pt>
                <c:pt idx="2">
                  <c:v>LED Signs</c:v>
                </c:pt>
                <c:pt idx="3">
                  <c:v>High Efficiency Linear Fluorescent T-8/T-5</c:v>
                </c:pt>
                <c:pt idx="4">
                  <c:v>LED Traffic Signals</c:v>
                </c:pt>
                <c:pt idx="5">
                  <c:v>CFL</c:v>
                </c:pt>
                <c:pt idx="6">
                  <c:v>LED Panel Lighting</c:v>
                </c:pt>
                <c:pt idx="7">
                  <c:v>CMH</c:v>
                </c:pt>
                <c:pt idx="8">
                  <c:v>Outdoor LED Fixture</c:v>
                </c:pt>
                <c:pt idx="9">
                  <c:v>LED Roadway</c:v>
                </c:pt>
              </c:strCache>
            </c:strRef>
          </c:cat>
          <c:val>
            <c:numRef>
              <c:f>'Summary-NonResExterior'!$T$7:$T$17</c:f>
              <c:numCache>
                <c:formatCode>#,##0</c:formatCode>
                <c:ptCount val="10"/>
                <c:pt idx="0">
                  <c:v>816.3100552849312</c:v>
                </c:pt>
                <c:pt idx="1">
                  <c:v>741.85226571270744</c:v>
                </c:pt>
                <c:pt idx="2">
                  <c:v>17.623145389498774</c:v>
                </c:pt>
                <c:pt idx="3">
                  <c:v>210.61080067398154</c:v>
                </c:pt>
                <c:pt idx="4">
                  <c:v>4.3527117066497425</c:v>
                </c:pt>
                <c:pt idx="5">
                  <c:v>106.78139863449962</c:v>
                </c:pt>
                <c:pt idx="6">
                  <c:v>392.07091977140414</c:v>
                </c:pt>
                <c:pt idx="7">
                  <c:v>381.03704352504423</c:v>
                </c:pt>
                <c:pt idx="8">
                  <c:v>1246.47169315221</c:v>
                </c:pt>
                <c:pt idx="9">
                  <c:v>48.992918547907145</c:v>
                </c:pt>
              </c:numCache>
            </c:numRef>
          </c:val>
        </c:ser>
        <c:ser>
          <c:idx val="1"/>
          <c:order val="1"/>
          <c:tx>
            <c:strRef>
              <c:f>'Summary-NonResExterior'!$U$6</c:f>
              <c:strCache>
                <c:ptCount val="1"/>
                <c:pt idx="0">
                  <c:v>Total Control Technology Potential</c:v>
                </c:pt>
              </c:strCache>
            </c:strRef>
          </c:tx>
          <c:spPr>
            <a:solidFill>
              <a:schemeClr val="accent2">
                <a:lumMod val="60000"/>
                <a:lumOff val="40000"/>
              </a:schemeClr>
            </a:solidFill>
          </c:spPr>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'Summary-NonResExterior'!$S$7:$S$17</c:f>
              <c:strCache>
                <c:ptCount val="10"/>
                <c:pt idx="0">
                  <c:v>Induction</c:v>
                </c:pt>
                <c:pt idx="1">
                  <c:v>LED</c:v>
                </c:pt>
                <c:pt idx="2">
                  <c:v>LED Signs</c:v>
                </c:pt>
                <c:pt idx="3">
                  <c:v>High Efficiency Linear Fluorescent T-8/T-5</c:v>
                </c:pt>
                <c:pt idx="4">
                  <c:v>LED Traffic Signals</c:v>
                </c:pt>
                <c:pt idx="5">
                  <c:v>CFL</c:v>
                </c:pt>
                <c:pt idx="6">
                  <c:v>LED Panel Lighting</c:v>
                </c:pt>
                <c:pt idx="7">
                  <c:v>CMH</c:v>
                </c:pt>
                <c:pt idx="8">
                  <c:v>Outdoor LED Fixture</c:v>
                </c:pt>
                <c:pt idx="9">
                  <c:v>LED Roadway</c:v>
                </c:pt>
              </c:strCache>
            </c:strRef>
          </c:cat>
          <c:val>
            <c:numRef>
              <c:f>'Summary-NonResExterior'!$U$7:$U$17</c:f>
              <c:numCache>
                <c:formatCode>#,##0</c:formatCode>
                <c:ptCount val="10"/>
                <c:pt idx="0">
                  <c:v>729.27397585578365</c:v>
                </c:pt>
                <c:pt idx="1">
                  <c:v>476.88210287968695</c:v>
                </c:pt>
                <c:pt idx="2">
                  <c:v>26.164223294548872</c:v>
                </c:pt>
                <c:pt idx="3">
                  <c:v>328.42883176174308</c:v>
                </c:pt>
                <c:pt idx="4">
                  <c:v>0</c:v>
                </c:pt>
                <c:pt idx="5">
                  <c:v>49.890100513548262</c:v>
                </c:pt>
                <c:pt idx="6">
                  <c:v>265.56247070364111</c:v>
                </c:pt>
                <c:pt idx="7">
                  <c:v>462.37154012749829</c:v>
                </c:pt>
                <c:pt idx="8">
                  <c:v>488.68361613421598</c:v>
                </c:pt>
                <c:pt idx="9">
                  <c:v>34.534955899616762</c:v>
                </c:pt>
              </c:numCache>
            </c:numRef>
          </c:val>
        </c:ser>
        <c:dLbls>
          <c:showLegendKey val="0"/>
          <c:showVal val="0"/>
          <c:showCatName val="0"/>
          <c:showSerName val="0"/>
          <c:showPercent val="0"/>
          <c:showBubbleSize val="0"/>
        </c:dLbls>
        <c:gapWidth val="150"/>
        <c:axId val="152240888"/>
        <c:axId val="560928936"/>
      </c:barChart>
      <c:catAx>
        <c:axId val="152240888"/>
        <c:scaling>
          <c:orientation val="minMax"/>
        </c:scaling>
        <c:delete val="0"/>
        <c:axPos val="b"/>
        <c:numFmt formatCode="General" sourceLinked="0"/>
        <c:majorTickMark val="out"/>
        <c:minorTickMark val="none"/>
        <c:tickLblPos val="nextTo"/>
        <c:crossAx val="560928936"/>
        <c:crosses val="autoZero"/>
        <c:auto val="1"/>
        <c:lblAlgn val="ctr"/>
        <c:lblOffset val="100"/>
        <c:noMultiLvlLbl val="0"/>
      </c:catAx>
      <c:valAx>
        <c:axId val="560928936"/>
        <c:scaling>
          <c:orientation val="minMax"/>
        </c:scaling>
        <c:delete val="0"/>
        <c:axPos val="l"/>
        <c:majorGridlines/>
        <c:numFmt formatCode="#,##0" sourceLinked="1"/>
        <c:majorTickMark val="out"/>
        <c:minorTickMark val="none"/>
        <c:tickLblPos val="nextTo"/>
        <c:crossAx val="15224088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hiddenlocked.xlsx]Summary-NonResExterior!PivotTable4</c:name>
    <c:fmtId val="8"/>
  </c:pivotSource>
  <c:chart>
    <c:title>
      <c:tx>
        <c:rich>
          <a:bodyPr/>
          <a:lstStyle/>
          <a:p>
            <a:pPr>
              <a:defRPr/>
            </a:pPr>
            <a:r>
              <a:rPr lang="en-US"/>
              <a:t>Savings Potential [GWh / year]</a:t>
            </a:r>
          </a:p>
        </c:rich>
      </c:tx>
      <c:layout/>
      <c:overlay val="0"/>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1"/>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1"/>
          <c:showSerName val="0"/>
          <c:showPercent val="0"/>
          <c:showBubbleSize val="0"/>
          <c:extLst>
            <c:ext xmlns:c15="http://schemas.microsoft.com/office/drawing/2012/chart" uri="{CE6537A1-D6FC-4f65-9D91-7224C49458BB}"/>
          </c:extLst>
        </c:dLbl>
      </c:pivotFmt>
      <c:pivotFmt>
        <c:idx val="7"/>
        <c:dLbl>
          <c:idx val="0"/>
          <c:showLegendKey val="0"/>
          <c:showVal val="1"/>
          <c:showCatName val="1"/>
          <c:showSerName val="0"/>
          <c:showPercent val="0"/>
          <c:showBubbleSize val="0"/>
          <c:extLst>
            <c:ext xmlns:c15="http://schemas.microsoft.com/office/drawing/2012/chart" uri="{CE6537A1-D6FC-4f65-9D91-7224C49458BB}"/>
          </c:extLst>
        </c:dLbl>
      </c:pivotFmt>
      <c:pivotFmt>
        <c:idx val="8"/>
        <c:dLbl>
          <c:idx val="0"/>
          <c:showLegendKey val="0"/>
          <c:showVal val="1"/>
          <c:showCatName val="1"/>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1"/>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ext>
          </c:extLst>
        </c:dLbl>
      </c:pivotFmt>
      <c:pivotFmt>
        <c:idx val="1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'Summary-NonResExterior'!$T$6</c:f>
              <c:strCache>
                <c:ptCount val="1"/>
                <c:pt idx="0">
                  <c:v>Total Lighting Technology Potential</c:v>
                </c:pt>
              </c:strCache>
            </c:strRef>
          </c:tx>
          <c:dLbls>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'Summary-NonResExterior'!$S$7:$S$17</c:f>
              <c:strCache>
                <c:ptCount val="10"/>
                <c:pt idx="0">
                  <c:v>Induction</c:v>
                </c:pt>
                <c:pt idx="1">
                  <c:v>LED</c:v>
                </c:pt>
                <c:pt idx="2">
                  <c:v>LED Signs</c:v>
                </c:pt>
                <c:pt idx="3">
                  <c:v>High Efficiency Linear Fluorescent T-8/T-5</c:v>
                </c:pt>
                <c:pt idx="4">
                  <c:v>LED Traffic Signals</c:v>
                </c:pt>
                <c:pt idx="5">
                  <c:v>CFL</c:v>
                </c:pt>
                <c:pt idx="6">
                  <c:v>LED Panel Lighting</c:v>
                </c:pt>
                <c:pt idx="7">
                  <c:v>CMH</c:v>
                </c:pt>
                <c:pt idx="8">
                  <c:v>Outdoor LED Fixture</c:v>
                </c:pt>
                <c:pt idx="9">
                  <c:v>LED Roadway</c:v>
                </c:pt>
              </c:strCache>
            </c:strRef>
          </c:cat>
          <c:val>
            <c:numRef>
              <c:f>'Summary-NonResExterior'!$T$7:$T$17</c:f>
              <c:numCache>
                <c:formatCode>#,##0</c:formatCode>
                <c:ptCount val="10"/>
                <c:pt idx="0">
                  <c:v>816.3100552849312</c:v>
                </c:pt>
                <c:pt idx="1">
                  <c:v>741.85226571270744</c:v>
                </c:pt>
                <c:pt idx="2">
                  <c:v>17.623145389498774</c:v>
                </c:pt>
                <c:pt idx="3">
                  <c:v>210.61080067398154</c:v>
                </c:pt>
                <c:pt idx="4">
                  <c:v>4.3527117066497425</c:v>
                </c:pt>
                <c:pt idx="5">
                  <c:v>106.78139863449962</c:v>
                </c:pt>
                <c:pt idx="6">
                  <c:v>392.07091977140414</c:v>
                </c:pt>
                <c:pt idx="7">
                  <c:v>381.03704352504423</c:v>
                </c:pt>
                <c:pt idx="8">
                  <c:v>1246.47169315221</c:v>
                </c:pt>
                <c:pt idx="9">
                  <c:v>48.992918547907145</c:v>
                </c:pt>
              </c:numCache>
            </c:numRef>
          </c:val>
        </c:ser>
        <c:ser>
          <c:idx val="1"/>
          <c:order val="1"/>
          <c:tx>
            <c:strRef>
              <c:f>'Summary-NonResExterior'!$U$6</c:f>
              <c:strCache>
                <c:ptCount val="1"/>
                <c:pt idx="0">
                  <c:v>Total Control Technology Potential</c:v>
                </c:pt>
              </c:strCache>
            </c:strRef>
          </c:tx>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'Summary-NonResExterior'!$S$7:$S$17</c:f>
              <c:strCache>
                <c:ptCount val="10"/>
                <c:pt idx="0">
                  <c:v>Induction</c:v>
                </c:pt>
                <c:pt idx="1">
                  <c:v>LED</c:v>
                </c:pt>
                <c:pt idx="2">
                  <c:v>LED Signs</c:v>
                </c:pt>
                <c:pt idx="3">
                  <c:v>High Efficiency Linear Fluorescent T-8/T-5</c:v>
                </c:pt>
                <c:pt idx="4">
                  <c:v>LED Traffic Signals</c:v>
                </c:pt>
                <c:pt idx="5">
                  <c:v>CFL</c:v>
                </c:pt>
                <c:pt idx="6">
                  <c:v>LED Panel Lighting</c:v>
                </c:pt>
                <c:pt idx="7">
                  <c:v>CMH</c:v>
                </c:pt>
                <c:pt idx="8">
                  <c:v>Outdoor LED Fixture</c:v>
                </c:pt>
                <c:pt idx="9">
                  <c:v>LED Roadway</c:v>
                </c:pt>
              </c:strCache>
            </c:strRef>
          </c:cat>
          <c:val>
            <c:numRef>
              <c:f>'Summary-NonResExterior'!$U$7:$U$17</c:f>
              <c:numCache>
                <c:formatCode>#,##0</c:formatCode>
                <c:ptCount val="10"/>
                <c:pt idx="0">
                  <c:v>729.27397585578365</c:v>
                </c:pt>
                <c:pt idx="1">
                  <c:v>476.88210287968695</c:v>
                </c:pt>
                <c:pt idx="2">
                  <c:v>26.164223294548872</c:v>
                </c:pt>
                <c:pt idx="3">
                  <c:v>328.42883176174308</c:v>
                </c:pt>
                <c:pt idx="4">
                  <c:v>0</c:v>
                </c:pt>
                <c:pt idx="5">
                  <c:v>49.890100513548262</c:v>
                </c:pt>
                <c:pt idx="6">
                  <c:v>265.56247070364111</c:v>
                </c:pt>
                <c:pt idx="7">
                  <c:v>462.37154012749829</c:v>
                </c:pt>
                <c:pt idx="8">
                  <c:v>488.68361613421598</c:v>
                </c:pt>
                <c:pt idx="9">
                  <c:v>34.534955899616762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[Lighting Solutions Workbook 12-12-14 FINAL hiddenlocked.xlsx]Summary-NonResExterior!PivotTable1</c:name>
    <c:fmtId val="3"/>
  </c:pivotSource>
  <c:chart>
    <c:title>
      <c:tx>
        <c:rich>
          <a:bodyPr/>
          <a:lstStyle/>
          <a:p>
            <a:pPr>
              <a:defRPr/>
            </a:pPr>
            <a:r>
              <a:rPr lang="en-US" sz="1800" b="1" i="0" baseline="0">
                <a:effectLst/>
              </a:rPr>
              <a:t>Application Savings Potential [GWh / year]</a:t>
            </a:r>
            <a:endParaRPr lang="en-US">
              <a:effectLst/>
            </a:endParaRPr>
          </a:p>
        </c:rich>
      </c:tx>
      <c:layout/>
      <c:overlay val="0"/>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7"/>
        <c:spPr>
          <a:solidFill>
            <a:schemeClr val="accent2">
              <a:lumMod val="60000"/>
              <a:lumOff val="40000"/>
            </a:schemeClr>
          </a:solidFill>
        </c:spPr>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'Summary-NonResExterior'!$T$200</c:f>
              <c:strCache>
                <c:ptCount val="1"/>
                <c:pt idx="0">
                  <c:v>Maximum Lighting Application Potential</c:v>
                </c:pt>
              </c:strCache>
            </c:strRef>
          </c:tx>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'Summary-NonResExterior'!$S$201:$S$207</c:f>
              <c:strCache>
                <c:ptCount val="6"/>
                <c:pt idx="0">
                  <c:v>Signs and Billboards</c:v>
                </c:pt>
                <c:pt idx="1">
                  <c:v>Street Lights</c:v>
                </c:pt>
                <c:pt idx="2">
                  <c:v>Traffic Signals</c:v>
                </c:pt>
                <c:pt idx="3">
                  <c:v>Parking Garage</c:v>
                </c:pt>
                <c:pt idx="4">
                  <c:v>Parking Lot</c:v>
                </c:pt>
                <c:pt idx="5">
                  <c:v>Bldg Façade, Landscape, Service Canopies, and Stadium/Athletic Field Lighting</c:v>
                </c:pt>
              </c:strCache>
            </c:strRef>
          </c:cat>
          <c:val>
            <c:numRef>
              <c:f>'Summary-NonResExterior'!$T$201:$T$207</c:f>
              <c:numCache>
                <c:formatCode>#,##0</c:formatCode>
                <c:ptCount val="6"/>
                <c:pt idx="0">
                  <c:v>17.623145389498774</c:v>
                </c:pt>
                <c:pt idx="1">
                  <c:v>620.41623902066169</c:v>
                </c:pt>
                <c:pt idx="2">
                  <c:v>4.3527117066497425</c:v>
                </c:pt>
                <c:pt idx="3">
                  <c:v>458.65036802492165</c:v>
                </c:pt>
                <c:pt idx="4">
                  <c:v>953.92151547685137</c:v>
                </c:pt>
                <c:pt idx="5">
                  <c:v>414.72091179429214</c:v>
                </c:pt>
              </c:numCache>
            </c:numRef>
          </c:val>
        </c:ser>
        <c:ser>
          <c:idx val="1"/>
          <c:order val="1"/>
          <c:tx>
            <c:strRef>
              <c:f>'Summary-NonResExterior'!$U$200</c:f>
              <c:strCache>
                <c:ptCount val="1"/>
                <c:pt idx="0">
                  <c:v>Maximum Controls Application Potential</c:v>
                </c:pt>
              </c:strCache>
            </c:strRef>
          </c:tx>
          <c:spPr>
            <a:solidFill>
              <a:schemeClr val="accent2">
                <a:lumMod val="60000"/>
                <a:lumOff val="40000"/>
              </a:schemeClr>
            </a:solidFill>
          </c:spPr>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'Summary-NonResExterior'!$S$201:$S$207</c:f>
              <c:strCache>
                <c:ptCount val="6"/>
                <c:pt idx="0">
                  <c:v>Signs and Billboards</c:v>
                </c:pt>
                <c:pt idx="1">
                  <c:v>Street Lights</c:v>
                </c:pt>
                <c:pt idx="2">
                  <c:v>Traffic Signals</c:v>
                </c:pt>
                <c:pt idx="3">
                  <c:v>Parking Garage</c:v>
                </c:pt>
                <c:pt idx="4">
                  <c:v>Parking Lot</c:v>
                </c:pt>
                <c:pt idx="5">
                  <c:v>Bldg Façade, Landscape, Service Canopies, and Stadium/Athletic Field Lighting</c:v>
                </c:pt>
              </c:strCache>
            </c:strRef>
          </c:cat>
          <c:val>
            <c:numRef>
              <c:f>'Summary-NonResExterior'!$U$201:$U$207</c:f>
              <c:numCache>
                <c:formatCode>#,##0</c:formatCode>
                <c:ptCount val="6"/>
                <c:pt idx="0">
                  <c:v>26.164223294548872</c:v>
                </c:pt>
                <c:pt idx="1">
                  <c:v>330.19956299350707</c:v>
                </c:pt>
                <c:pt idx="2">
                  <c:v>0</c:v>
                </c:pt>
                <c:pt idx="3">
                  <c:v>362.04683117276232</c:v>
                </c:pt>
                <c:pt idx="4">
                  <c:v>328.08975207707567</c:v>
                </c:pt>
                <c:pt idx="5">
                  <c:v>245.32699937381577</c:v>
                </c:pt>
              </c:numCache>
            </c:numRef>
          </c:val>
        </c:ser>
        <c:dLbls>
          <c:showLegendKey val="0"/>
          <c:showVal val="0"/>
          <c:showCatName val="0"/>
          <c:showSerName val="0"/>
          <c:showPercent val="0"/>
          <c:showBubbleSize val="0"/>
        </c:dLbls>
        <c:gapWidth val="150"/>
        <c:axId val="560930112"/>
        <c:axId val="560930504"/>
      </c:barChart>
      <c:catAx>
        <c:axId val="560930112"/>
        <c:scaling>
          <c:orientation val="minMax"/>
        </c:scaling>
        <c:delete val="0"/>
        <c:axPos val="b"/>
        <c:numFmt formatCode="General" sourceLinked="0"/>
        <c:majorTickMark val="out"/>
        <c:minorTickMark val="none"/>
        <c:tickLblPos val="nextTo"/>
        <c:crossAx val="560930504"/>
        <c:crosses val="autoZero"/>
        <c:auto val="1"/>
        <c:lblAlgn val="ctr"/>
        <c:lblOffset val="100"/>
        <c:noMultiLvlLbl val="0"/>
      </c:catAx>
      <c:valAx>
        <c:axId val="560930504"/>
        <c:scaling>
          <c:orientation val="minMax"/>
        </c:scaling>
        <c:delete val="0"/>
        <c:axPos val="l"/>
        <c:majorGridlines/>
        <c:numFmt formatCode="#,##0" sourceLinked="1"/>
        <c:majorTickMark val="out"/>
        <c:minorTickMark val="none"/>
        <c:tickLblPos val="nextTo"/>
        <c:crossAx val="56093011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gif"/><Relationship Id="rId1" Type="http://schemas.openxmlformats.org/officeDocument/2006/relationships/image" Target="../media/image1.gif"/><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7.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14</xdr:col>
      <xdr:colOff>278947</xdr:colOff>
      <xdr:row>8</xdr:row>
      <xdr:rowOff>9525</xdr:rowOff>
    </xdr:from>
    <xdr:to>
      <xdr:col>15</xdr:col>
      <xdr:colOff>317047</xdr:colOff>
      <xdr:row>8</xdr:row>
      <xdr:rowOff>733425</xdr:rowOff>
    </xdr:to>
    <xdr:pic>
      <xdr:nvPicPr>
        <xdr:cNvPr id="5" name="Picture 1" descr="PG&amp;E Logo"/>
        <xdr:cNvPicPr>
          <a:picLocks noChangeAspect="1" noChangeArrowheads="1"/>
        </xdr:cNvPicPr>
      </xdr:nvPicPr>
      <xdr:blipFill>
        <a:blip xmlns:r="http://schemas.openxmlformats.org/officeDocument/2006/relationships" r:embed="rId1" cstate="print"/>
        <a:srcRect/>
        <a:stretch>
          <a:fillRect/>
        </a:stretch>
      </xdr:blipFill>
      <xdr:spPr bwMode="auto">
        <a:xfrm>
          <a:off x="8361590" y="2894239"/>
          <a:ext cx="650421" cy="723900"/>
        </a:xfrm>
        <a:prstGeom prst="rect">
          <a:avLst/>
        </a:prstGeom>
        <a:noFill/>
      </xdr:spPr>
    </xdr:pic>
    <xdr:clientData/>
  </xdr:twoCellAnchor>
  <xdr:twoCellAnchor editAs="oneCell">
    <xdr:from>
      <xdr:col>14</xdr:col>
      <xdr:colOff>276225</xdr:colOff>
      <xdr:row>6</xdr:row>
      <xdr:rowOff>171450</xdr:rowOff>
    </xdr:from>
    <xdr:to>
      <xdr:col>16</xdr:col>
      <xdr:colOff>361950</xdr:colOff>
      <xdr:row>8</xdr:row>
      <xdr:rowOff>371475</xdr:rowOff>
    </xdr:to>
    <xdr:pic>
      <xdr:nvPicPr>
        <xdr:cNvPr id="6" name="Picture 2" descr="Southern California Edison"/>
        <xdr:cNvPicPr>
          <a:picLocks noChangeAspect="1" noChangeArrowheads="1"/>
        </xdr:cNvPicPr>
      </xdr:nvPicPr>
      <xdr:blipFill>
        <a:blip xmlns:r="http://schemas.openxmlformats.org/officeDocument/2006/relationships" r:embed="rId2" cstate="print"/>
        <a:srcRect/>
        <a:stretch>
          <a:fillRect/>
        </a:stretch>
      </xdr:blipFill>
      <xdr:spPr bwMode="auto">
        <a:xfrm>
          <a:off x="8322050" y="2210921"/>
          <a:ext cx="1303804" cy="469891"/>
        </a:xfrm>
        <a:prstGeom prst="rect">
          <a:avLst/>
        </a:prstGeom>
        <a:noFill/>
      </xdr:spPr>
    </xdr:pic>
    <xdr:clientData/>
  </xdr:twoCellAnchor>
  <xdr:twoCellAnchor editAs="oneCell">
    <xdr:from>
      <xdr:col>14</xdr:col>
      <xdr:colOff>244928</xdr:colOff>
      <xdr:row>4</xdr:row>
      <xdr:rowOff>13607</xdr:rowOff>
    </xdr:from>
    <xdr:to>
      <xdr:col>16</xdr:col>
      <xdr:colOff>476250</xdr:colOff>
      <xdr:row>5</xdr:row>
      <xdr:rowOff>311072</xdr:rowOff>
    </xdr:to>
    <xdr:pic>
      <xdr:nvPicPr>
        <xdr:cNvPr id="7" name="Picture 6" descr="\\HAL9K\common\Cadmus Templates\Cadmus Logos\Cadmus blue box logo cmyk.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27571" y="1020536"/>
          <a:ext cx="1455965" cy="814536"/>
        </a:xfrm>
        <a:prstGeom prst="rect">
          <a:avLst/>
        </a:prstGeom>
        <a:noFill/>
        <a:ln>
          <a:noFill/>
        </a:ln>
      </xdr:spPr>
    </xdr:pic>
    <xdr:clientData/>
  </xdr:twoCellAnchor>
  <xdr:twoCellAnchor editAs="oneCell">
    <xdr:from>
      <xdr:col>14</xdr:col>
      <xdr:colOff>266519</xdr:colOff>
      <xdr:row>9</xdr:row>
      <xdr:rowOff>15896</xdr:rowOff>
    </xdr:from>
    <xdr:to>
      <xdr:col>16</xdr:col>
      <xdr:colOff>291192</xdr:colOff>
      <xdr:row>11</xdr:row>
      <xdr:rowOff>62591</xdr:rowOff>
    </xdr:to>
    <xdr:pic>
      <xdr:nvPicPr>
        <xdr:cNvPr id="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49162" y="3839503"/>
          <a:ext cx="1249316" cy="5909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409575</xdr:colOff>
      <xdr:row>16</xdr:row>
      <xdr:rowOff>9525</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762000"/>
          <a:ext cx="2854224" cy="229552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174625</xdr:colOff>
      <xdr:row>50</xdr:row>
      <xdr:rowOff>187326</xdr:rowOff>
    </xdr:from>
    <xdr:to>
      <xdr:col>11</xdr:col>
      <xdr:colOff>38100</xdr:colOff>
      <xdr:row>77</xdr:row>
      <xdr:rowOff>159828</xdr:rowOff>
    </xdr:to>
    <xdr:pic>
      <xdr:nvPicPr>
        <xdr:cNvPr id="2" name="Picture 1"/>
        <xdr:cNvPicPr>
          <a:picLocks noChangeAspect="1"/>
        </xdr:cNvPicPr>
      </xdr:nvPicPr>
      <xdr:blipFill rotWithShape="1">
        <a:blip xmlns:r="http://schemas.openxmlformats.org/officeDocument/2006/relationships" r:embed="rId1"/>
        <a:srcRect l="42803" t="30575" r="24455" b="8560"/>
        <a:stretch/>
      </xdr:blipFill>
      <xdr:spPr>
        <a:xfrm>
          <a:off x="8270875" y="9728201"/>
          <a:ext cx="5038725" cy="5878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47625</xdr:colOff>
      <xdr:row>5</xdr:row>
      <xdr:rowOff>29936</xdr:rowOff>
    </xdr:from>
    <xdr:to>
      <xdr:col>43</xdr:col>
      <xdr:colOff>437551</xdr:colOff>
      <xdr:row>35</xdr:row>
      <xdr:rowOff>11648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5</xdr:row>
      <xdr:rowOff>0</xdr:rowOff>
    </xdr:from>
    <xdr:to>
      <xdr:col>57</xdr:col>
      <xdr:colOff>471569</xdr:colOff>
      <xdr:row>34</xdr:row>
      <xdr:rowOff>172212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199</xdr:row>
      <xdr:rowOff>0</xdr:rowOff>
    </xdr:from>
    <xdr:to>
      <xdr:col>43</xdr:col>
      <xdr:colOff>389927</xdr:colOff>
      <xdr:row>228</xdr:row>
      <xdr:rowOff>185819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46</xdr:col>
      <xdr:colOff>0</xdr:colOff>
      <xdr:row>5</xdr:row>
      <xdr:rowOff>0</xdr:rowOff>
    </xdr:from>
    <xdr:to>
      <xdr:col>57</xdr:col>
      <xdr:colOff>471569</xdr:colOff>
      <xdr:row>34</xdr:row>
      <xdr:rowOff>172212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5</xdr:row>
      <xdr:rowOff>0</xdr:rowOff>
    </xdr:from>
    <xdr:to>
      <xdr:col>44</xdr:col>
      <xdr:colOff>389926</xdr:colOff>
      <xdr:row>34</xdr:row>
      <xdr:rowOff>185819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386</xdr:row>
      <xdr:rowOff>0</xdr:rowOff>
    </xdr:from>
    <xdr:to>
      <xdr:col>44</xdr:col>
      <xdr:colOff>389926</xdr:colOff>
      <xdr:row>415</xdr:row>
      <xdr:rowOff>185819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47625</xdr:colOff>
      <xdr:row>5</xdr:row>
      <xdr:rowOff>29936</xdr:rowOff>
    </xdr:from>
    <xdr:to>
      <xdr:col>43</xdr:col>
      <xdr:colOff>437551</xdr:colOff>
      <xdr:row>35</xdr:row>
      <xdr:rowOff>11648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5</xdr:row>
      <xdr:rowOff>0</xdr:rowOff>
    </xdr:from>
    <xdr:to>
      <xdr:col>57</xdr:col>
      <xdr:colOff>471569</xdr:colOff>
      <xdr:row>34</xdr:row>
      <xdr:rowOff>172212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27214</xdr:colOff>
      <xdr:row>199</xdr:row>
      <xdr:rowOff>43543</xdr:rowOff>
    </xdr:from>
    <xdr:to>
      <xdr:col>43</xdr:col>
      <xdr:colOff>417141</xdr:colOff>
      <xdr:row>229</xdr:row>
      <xdr:rowOff>25255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1297781</xdr:colOff>
      <xdr:row>3</xdr:row>
      <xdr:rowOff>51196</xdr:rowOff>
    </xdr:from>
    <xdr:to>
      <xdr:col>10</xdr:col>
      <xdr:colOff>1774030</xdr:colOff>
      <xdr:row>25</xdr:row>
      <xdr:rowOff>71438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9524</xdr:colOff>
      <xdr:row>172</xdr:row>
      <xdr:rowOff>133349</xdr:rowOff>
    </xdr:from>
    <xdr:to>
      <xdr:col>6</xdr:col>
      <xdr:colOff>27612</xdr:colOff>
      <xdr:row>190</xdr:row>
      <xdr:rowOff>10620</xdr:rowOff>
    </xdr:to>
    <xdr:pic>
      <xdr:nvPicPr>
        <xdr:cNvPr id="4" name="Picture 3"/>
        <xdr:cNvPicPr/>
      </xdr:nvPicPr>
      <xdr:blipFill rotWithShape="1">
        <a:blip xmlns:r="http://schemas.openxmlformats.org/officeDocument/2006/relationships" r:embed="rId1"/>
        <a:srcRect l="5029" t="26371" r="54655" b="8285"/>
        <a:stretch/>
      </xdr:blipFill>
      <xdr:spPr bwMode="auto">
        <a:xfrm>
          <a:off x="3809999" y="68008499"/>
          <a:ext cx="9628813" cy="387777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352424</xdr:colOff>
      <xdr:row>172</xdr:row>
      <xdr:rowOff>85726</xdr:rowOff>
    </xdr:from>
    <xdr:to>
      <xdr:col>10</xdr:col>
      <xdr:colOff>33464</xdr:colOff>
      <xdr:row>183</xdr:row>
      <xdr:rowOff>34825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3763624" y="67960876"/>
          <a:ext cx="8605965" cy="2616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156</xdr:row>
      <xdr:rowOff>0</xdr:rowOff>
    </xdr:from>
    <xdr:to>
      <xdr:col>5</xdr:col>
      <xdr:colOff>1276350</xdr:colOff>
      <xdr:row>169</xdr:row>
      <xdr:rowOff>152400</xdr:rowOff>
    </xdr:to>
    <xdr:pic>
      <xdr:nvPicPr>
        <xdr:cNvPr id="205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8629650"/>
          <a:ext cx="6030483" cy="26289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409575</xdr:colOff>
      <xdr:row>12</xdr:row>
      <xdr:rowOff>19050</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609600" y="762000"/>
          <a:ext cx="4476750" cy="1562100"/>
        </a:xfrm>
        <a:prstGeom prst="rect">
          <a:avLst/>
        </a:prstGeom>
        <a:noFill/>
        <a:ln w="9525">
          <a:solidFill>
            <a:srgbClr val="000000"/>
          </a:solidFill>
          <a:miter lim="800000"/>
          <a:headEnd/>
          <a:tailEnd/>
        </a:ln>
      </xdr:spPr>
    </xdr:pic>
    <xdr:clientData/>
  </xdr:twoCellAnchor>
  <xdr:twoCellAnchor editAs="oneCell">
    <xdr:from>
      <xdr:col>0</xdr:col>
      <xdr:colOff>592536</xdr:colOff>
      <xdr:row>16</xdr:row>
      <xdr:rowOff>123825</xdr:rowOff>
    </xdr:from>
    <xdr:to>
      <xdr:col>5</xdr:col>
      <xdr:colOff>581025</xdr:colOff>
      <xdr:row>29</xdr:row>
      <xdr:rowOff>19050</xdr:rowOff>
    </xdr:to>
    <xdr:pic>
      <xdr:nvPicPr>
        <xdr:cNvPr id="3"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592536" y="3190875"/>
          <a:ext cx="5741589" cy="2371725"/>
        </a:xfrm>
        <a:prstGeom prst="rect">
          <a:avLst/>
        </a:prstGeom>
        <a:noFill/>
        <a:ln w="9525" algn="ctr">
          <a:solidFill>
            <a:srgbClr val="000000"/>
          </a:solidFill>
          <a:miter lim="800000"/>
          <a:headEnd/>
          <a:tailEnd/>
        </a:ln>
      </xdr:spPr>
    </xdr:pic>
    <xdr:clientData/>
  </xdr:twoCellAnchor>
  <xdr:twoCellAnchor editAs="oneCell">
    <xdr:from>
      <xdr:col>1</xdr:col>
      <xdr:colOff>0</xdr:colOff>
      <xdr:row>33</xdr:row>
      <xdr:rowOff>0</xdr:rowOff>
    </xdr:from>
    <xdr:to>
      <xdr:col>9</xdr:col>
      <xdr:colOff>19050</xdr:colOff>
      <xdr:row>50</xdr:row>
      <xdr:rowOff>28575</xdr:rowOff>
    </xdr:to>
    <xdr:pic>
      <xdr:nvPicPr>
        <xdr:cNvPr id="4" name="Picture 7"/>
        <xdr:cNvPicPr>
          <a:picLocks noChangeAspect="1" noChangeArrowheads="1"/>
        </xdr:cNvPicPr>
      </xdr:nvPicPr>
      <xdr:blipFill>
        <a:blip xmlns:r="http://schemas.openxmlformats.org/officeDocument/2006/relationships" r:embed="rId3" cstate="print"/>
        <a:srcRect/>
        <a:stretch>
          <a:fillRect/>
        </a:stretch>
      </xdr:blipFill>
      <xdr:spPr bwMode="auto">
        <a:xfrm>
          <a:off x="609600" y="6286500"/>
          <a:ext cx="7339494" cy="3270285"/>
        </a:xfrm>
        <a:prstGeom prst="rect">
          <a:avLst/>
        </a:prstGeom>
        <a:noFill/>
        <a:ln w="9525">
          <a:solidFill>
            <a:srgbClr val="000000"/>
          </a:solidFill>
          <a:miter lim="800000"/>
          <a:headEnd/>
          <a:tailEnd/>
        </a:ln>
      </xdr:spPr>
    </xdr:pic>
    <xdr:clientData/>
  </xdr:twoCellAnchor>
  <xdr:twoCellAnchor editAs="oneCell">
    <xdr:from>
      <xdr:col>1</xdr:col>
      <xdr:colOff>0</xdr:colOff>
      <xdr:row>52</xdr:row>
      <xdr:rowOff>142875</xdr:rowOff>
    </xdr:from>
    <xdr:to>
      <xdr:col>6</xdr:col>
      <xdr:colOff>504825</xdr:colOff>
      <xdr:row>61</xdr:row>
      <xdr:rowOff>123825</xdr:rowOff>
    </xdr:to>
    <xdr:pic>
      <xdr:nvPicPr>
        <xdr:cNvPr id="5"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609600" y="10067925"/>
          <a:ext cx="6457950" cy="1781175"/>
        </a:xfrm>
        <a:prstGeom prst="rect">
          <a:avLst/>
        </a:prstGeom>
        <a:noFill/>
        <a:ln w="9525">
          <a:solidFill>
            <a:srgbClr val="000000"/>
          </a:solidFill>
          <a:miter lim="800000"/>
          <a:headEnd/>
          <a:tailEnd/>
        </a:ln>
      </xdr:spPr>
    </xdr:pic>
    <xdr:clientData/>
  </xdr:twoCellAnchor>
  <xdr:twoCellAnchor editAs="oneCell">
    <xdr:from>
      <xdr:col>1</xdr:col>
      <xdr:colOff>9525</xdr:colOff>
      <xdr:row>62</xdr:row>
      <xdr:rowOff>9525</xdr:rowOff>
    </xdr:from>
    <xdr:to>
      <xdr:col>9</xdr:col>
      <xdr:colOff>180975</xdr:colOff>
      <xdr:row>74</xdr:row>
      <xdr:rowOff>38100</xdr:rowOff>
    </xdr:to>
    <xdr:pic>
      <xdr:nvPicPr>
        <xdr:cNvPr id="6" name="Picture 12"/>
        <xdr:cNvPicPr>
          <a:picLocks noChangeAspect="1" noChangeArrowheads="1"/>
        </xdr:cNvPicPr>
      </xdr:nvPicPr>
      <xdr:blipFill>
        <a:blip xmlns:r="http://schemas.openxmlformats.org/officeDocument/2006/relationships" r:embed="rId5" cstate="print"/>
        <a:srcRect/>
        <a:stretch>
          <a:fillRect/>
        </a:stretch>
      </xdr:blipFill>
      <xdr:spPr bwMode="auto">
        <a:xfrm>
          <a:off x="619125" y="11934825"/>
          <a:ext cx="8077200" cy="2400300"/>
        </a:xfrm>
        <a:prstGeom prst="rect">
          <a:avLst/>
        </a:prstGeom>
        <a:noFill/>
        <a:ln w="9525">
          <a:solidFill>
            <a:srgbClr val="000000"/>
          </a:solid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14</xdr:row>
      <xdr:rowOff>38100</xdr:rowOff>
    </xdr:from>
    <xdr:to>
      <xdr:col>3</xdr:col>
      <xdr:colOff>912019</xdr:colOff>
      <xdr:row>32</xdr:row>
      <xdr:rowOff>142875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4229100"/>
          <a:ext cx="9979819" cy="3533775"/>
        </a:xfrm>
        <a:prstGeom prst="rect">
          <a:avLst/>
        </a:prstGeom>
        <a:noFill/>
      </xdr:spPr>
    </xdr:pic>
    <xdr:clientData/>
  </xdr:twoCellAnchor>
  <xdr:twoCellAnchor editAs="oneCell">
    <xdr:from>
      <xdr:col>0</xdr:col>
      <xdr:colOff>38100</xdr:colOff>
      <xdr:row>33</xdr:row>
      <xdr:rowOff>38100</xdr:rowOff>
    </xdr:from>
    <xdr:to>
      <xdr:col>3</xdr:col>
      <xdr:colOff>731044</xdr:colOff>
      <xdr:row>51</xdr:row>
      <xdr:rowOff>142875</xdr:rowOff>
    </xdr:to>
    <xdr:pic>
      <xdr:nvPicPr>
        <xdr:cNvPr id="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38100" y="7848600"/>
          <a:ext cx="9779794" cy="3533775"/>
        </a:xfrm>
        <a:prstGeom prst="rect">
          <a:avLst/>
        </a:prstGeom>
        <a:noFill/>
      </xdr:spPr>
    </xdr:pic>
    <xdr:clientData/>
  </xdr:twoCellAnchor>
  <xdr:twoCellAnchor editAs="oneCell">
    <xdr:from>
      <xdr:col>5</xdr:col>
      <xdr:colOff>19050</xdr:colOff>
      <xdr:row>32</xdr:row>
      <xdr:rowOff>142875</xdr:rowOff>
    </xdr:from>
    <xdr:to>
      <xdr:col>17</xdr:col>
      <xdr:colOff>269081</xdr:colOff>
      <xdr:row>51</xdr:row>
      <xdr:rowOff>57150</xdr:rowOff>
    </xdr:to>
    <xdr:pic>
      <xdr:nvPicPr>
        <xdr:cNvPr id="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2106275" y="6238875"/>
          <a:ext cx="11784806" cy="3533775"/>
        </a:xfrm>
        <a:prstGeom prst="rect">
          <a:avLst/>
        </a:prstGeom>
        <a:noFill/>
      </xdr:spPr>
    </xdr:pic>
    <xdr:clientData/>
  </xdr:twoCellAnchor>
  <xdr:twoCellAnchor editAs="oneCell">
    <xdr:from>
      <xdr:col>5</xdr:col>
      <xdr:colOff>28575</xdr:colOff>
      <xdr:row>52</xdr:row>
      <xdr:rowOff>47625</xdr:rowOff>
    </xdr:from>
    <xdr:to>
      <xdr:col>17</xdr:col>
      <xdr:colOff>316706</xdr:colOff>
      <xdr:row>70</xdr:row>
      <xdr:rowOff>142875</xdr:rowOff>
    </xdr:to>
    <xdr:pic>
      <xdr:nvPicPr>
        <xdr:cNvPr id="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12115800" y="9953625"/>
          <a:ext cx="11822906" cy="3524250"/>
        </a:xfrm>
        <a:prstGeom prst="rect">
          <a:avLst/>
        </a:prstGeom>
        <a:noFill/>
      </xdr:spPr>
    </xdr:pic>
    <xdr:clientData/>
  </xdr:twoCellAnchor>
  <xdr:twoCellAnchor editAs="oneCell">
    <xdr:from>
      <xdr:col>0</xdr:col>
      <xdr:colOff>0</xdr:colOff>
      <xdr:row>52</xdr:row>
      <xdr:rowOff>66675</xdr:rowOff>
    </xdr:from>
    <xdr:to>
      <xdr:col>3</xdr:col>
      <xdr:colOff>978694</xdr:colOff>
      <xdr:row>70</xdr:row>
      <xdr:rowOff>152400</xdr:rowOff>
    </xdr:to>
    <xdr:pic>
      <xdr:nvPicPr>
        <xdr:cNvPr id="6"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0" y="11496675"/>
          <a:ext cx="10065544" cy="35147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Sahar Abbaszadeh" refreshedDate="41964.655771064812" createdVersion="4" refreshedVersion="5" minRefreshableVersion="3" recordCount="130">
  <cacheSource type="worksheet">
    <worksheetSource name="ResByApplication"/>
  </cacheSource>
  <cacheFields count="5">
    <cacheField name="Lighting Application" numFmtId="0">
      <sharedItems count="3">
        <s v="Exterior "/>
        <s v="Interior Living _x000a_(Kitchen, Bedroom, Living, Dining, etc)"/>
        <s v="Interior Support (Bathroom, Utility room, laundry room, garage)"/>
      </sharedItems>
    </cacheField>
    <cacheField name="Baseline Lighting" numFmtId="0">
      <sharedItems count="10">
        <s v="Baseline Lighting"/>
        <s v="CFL MSB"/>
        <s v="Halogen MSB"/>
        <s v="Halogen Pin Base"/>
        <s v="Incandescent MSB"/>
        <s v="Incandescent SSB"/>
        <s v="Linear Fluorescent"/>
        <s v="HID MSB"/>
        <s v="Incandescent Flood MSB" u="1"/>
        <s v="Halogen Flood MSB" u="1"/>
      </sharedItems>
    </cacheField>
    <cacheField name="Building Sub-Sector" numFmtId="0">
      <sharedItems/>
    </cacheField>
    <cacheField name="Max of Lighting Savings" numFmtId="0">
      <sharedItems containsSemiMixedTypes="0" containsString="0" containsNumber="1" minValue="0" maxValue="1599.6871460654402"/>
    </cacheField>
    <cacheField name="Max of Control Savings" numFmtId="0">
      <sharedItems containsSemiMixedTypes="0" containsString="0" containsNumber="1" minValue="0" maxValue="383.189633880152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har Abbaszadeh" refreshedDate="41964.655804166665" createdVersion="4" refreshedVersion="5" minRefreshableVersion="3" recordCount="174">
  <cacheSource type="worksheet">
    <worksheetSource name="ResByTechnology"/>
  </cacheSource>
  <cacheFields count="6">
    <cacheField name="Efficient Lighting" numFmtId="0">
      <sharedItems count="11">
        <s v="CFL MSB"/>
        <s v="High Efficiency Linear Fluorescent T-8"/>
        <s v="LED MSB"/>
        <s v="LED Panel Lighting"/>
        <s v="LED Pin Base"/>
        <s v="LED SSB"/>
        <s v="CFL SSB"/>
        <s v="CFL Pin Base"/>
        <s v="Cold Cathode or CFL SSB" u="1"/>
        <s v="CFL Flood MSB" u="1"/>
        <s v="LED Flood MSB" u="1"/>
      </sharedItems>
    </cacheField>
    <cacheField name="Lighting Application" numFmtId="0">
      <sharedItems count="4">
        <s v="Lighting Application"/>
        <s v="Exterior "/>
        <s v="Interior Living _x000a_(Kitchen, Bedroom, Living, Dining, etc)"/>
        <s v="Interior Support (Bathroom, Utility room, laundry room, garage)"/>
      </sharedItems>
    </cacheField>
    <cacheField name="Building Sub-Sector" numFmtId="0">
      <sharedItems/>
    </cacheField>
    <cacheField name="Baseline Lighting" numFmtId="0">
      <sharedItems/>
    </cacheField>
    <cacheField name="Max of Lighting Savings" numFmtId="3">
      <sharedItems containsSemiMixedTypes="0" containsString="0" containsNumber="1" minValue="0" maxValue="1599.6871460654402"/>
    </cacheField>
    <cacheField name="Max of Control Savings" numFmtId="3">
      <sharedItems containsSemiMixedTypes="0" containsString="0" containsNumber="1" minValue="0" maxValue="383.189633880152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ahar Abbaszadeh" refreshedDate="41964.65692199074" createdVersion="4" refreshedVersion="5" minRefreshableVersion="3" recordCount="130">
  <cacheSource type="worksheet">
    <worksheetSource name="NonResIntByApplication"/>
  </cacheSource>
  <cacheFields count="5">
    <cacheField name="Lighting Application" numFmtId="0">
      <sharedItems count="27">
        <s v="Task Lighting"/>
        <s v="Exit Lighting"/>
        <s v="Track Lighting"/>
        <s v="Display and Advertising"/>
        <s v="Area Lighting for Lobbies, Corridors"/>
        <s v="Area Lighting for Stairwells"/>
        <s v="Area Lighting (Low/Medium Bay)"/>
        <s v="Area Lighting (High Bay)"/>
        <s v="Medium Bay for Classroom/Office Lighting" u="1"/>
        <s v="Classroom Lighting" u="1"/>
        <s v="General Lighting for Lobbies, Corridors" u="1"/>
        <s v="Case/Display Lighting" u="1"/>
        <s v="General Lighting" u="1"/>
        <s v="Low/Medium Bay Lighting" u="1"/>
        <s v="Exit Signs" u="1"/>
        <s v="Kitchen Lighting" u="1"/>
        <s v="Area Lighting" u="1"/>
        <s v="Menu Board Lighting" u="1"/>
        <s v="Portable Fixtures in Rooms" u="1"/>
        <s v="Gymnasium/Cafeteria Lighting" u="1"/>
        <s v="Activity Area 22 (Lobby, corridor, stairwell)" u="1"/>
        <s v="High Bay Lighting" u="1"/>
        <s v="General Lighting for Stairwells" u="1"/>
        <s v="Area(High-bay Lighting)" u="1"/>
        <s v="Recessed/Common Area Lighting" u="1"/>
        <s v="Area (Low/Medium Bay Lighting)" u="1"/>
        <s v="Dining Room Lighting" u="1"/>
      </sharedItems>
    </cacheField>
    <cacheField name="Baseline Lighting" numFmtId="0">
      <sharedItems count="16">
        <s v="Baseline Lighting"/>
        <s v="CFL"/>
        <s v="Incandescent"/>
        <s v="Linear Fluorescent"/>
        <s v="LED"/>
        <s v="Halogen "/>
        <s v="Linear Fluorescent Case Lights"/>
        <s v="Halogen"/>
        <s v="MH (Std, PS, CMH)"/>
        <s v="HID (Metal Halide/HPS)" u="1"/>
        <s v="Incandescent/Halogen" u="1"/>
        <s v="HID (MH/HPS) Ceiling Fixture" u="1"/>
        <s v="Fluorescent Menu Board" u="1"/>
        <s v="Halogen Track Lighting" u="1"/>
        <s v="Metal Halide" u="1"/>
        <s v="HE HID" u="1"/>
      </sharedItems>
    </cacheField>
    <cacheField name="Building Sub-Sector" numFmtId="0">
      <sharedItems/>
    </cacheField>
    <cacheField name="Max of Lighting Savings" numFmtId="0">
      <sharedItems containsSemiMixedTypes="0" containsString="0" containsNumber="1" minValue="0" maxValue="857.82021865883769"/>
    </cacheField>
    <cacheField name="Max of Control Savings" numFmtId="0">
      <sharedItems containsSemiMixedTypes="0" containsString="0" containsNumber="1" minValue="0" maxValue="1056.579773725331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ahar Abbaszadeh" refreshedDate="41964.656979513886" createdVersion="4" refreshedVersion="5" minRefreshableVersion="3" recordCount="270">
  <cacheSource type="worksheet">
    <worksheetSource name="NonResIntByTechnology"/>
  </cacheSource>
  <cacheFields count="6">
    <cacheField name="Efficient Lighting" numFmtId="0">
      <sharedItems count="19">
        <s v="CFL"/>
        <s v="Induction"/>
        <s v="LED"/>
        <s v="LED Case Lights"/>
        <s v="LED Panel Lighting"/>
        <s v="LED Task Lights"/>
        <s v="LED Track Lighting"/>
        <s v="High Efficiency Linear Fluorescent T-8/T-5"/>
        <s v="CMH"/>
        <s v="LEC Exit Sign"/>
        <s v="High Bay Linear Fluorescent _x000a_T-8/T-5 HO"/>
        <s v="High Bay LED"/>
        <s v="CFL Track Lighting"/>
        <s v="Linear Fluorescent _x000a_T-8/T-5 HO" u="1"/>
        <s v="LED Menu Board" u="1"/>
        <s v="CMH/PS MH" u="1"/>
        <s v="High-Bay Linear Fluorescent _x000a_T-8/T-5 HO" u="1"/>
        <s v="High-bay LED" u="1"/>
        <s v="LED Fixture" u="1"/>
      </sharedItems>
    </cacheField>
    <cacheField name="Lighting Application" numFmtId="0">
      <sharedItems count="31">
        <s v="Lighting Application"/>
        <s v="Display and Advertising"/>
        <s v="Area Lighting (Low/Medium Bay)"/>
        <s v="Area Lighting (High Bay)"/>
        <s v="Area Lighting for Lobbies, Corridors"/>
        <s v="Area Lighting for Stairwells"/>
        <s v="Task Lighting"/>
        <s v="Track Lighting"/>
        <s v="Exit Lighting"/>
        <s v="Medium Bay for Classroom/Office Lighting" u="1"/>
        <s v="Classroom Lighting" u="1"/>
        <s v="General Lighting for Lobbies, Corridors" u="1"/>
        <s v="Display, track , advertising and spot light?" u="1"/>
        <s v="Area Lighting (Assuming this is mostly kitchen)" u="1"/>
        <s v="Case/Display Lighting" u="1"/>
        <s v="General Lighting" u="1"/>
        <s v="Low/Medium Bay Lighting" u="1"/>
        <s v="Exit Signs" u="1"/>
        <s v="Kitchen Lighting" u="1"/>
        <s v="Area Lighting" u="1"/>
        <s v="Menu Board Lighting" u="1"/>
        <s v="Portable Fixtures in Rooms" u="1"/>
        <s v="Gymnasium/Cafeteria Lighting" u="1"/>
        <s v="Activity Area 22 (Lobby, corridor, stairwell)" u="1"/>
        <s v="Track, Ornamental, Arch/wall wash, accent lighting (Assuming this is mostly dining room)" u="1"/>
        <s v="High Bay Lighting" u="1"/>
        <s v="General Lighting for Stairwells" u="1"/>
        <s v="Area(High-bay Lighting)" u="1"/>
        <s v="Recessed/Common Area Lighting" u="1"/>
        <s v="Area (Low/Medium Bay Lighting)" u="1"/>
        <s v="Dining Room Lighting" u="1"/>
      </sharedItems>
    </cacheField>
    <cacheField name="Building Sub-Sector" numFmtId="0">
      <sharedItems/>
    </cacheField>
    <cacheField name="Baseline Lighting" numFmtId="0">
      <sharedItems/>
    </cacheField>
    <cacheField name="Max of Lighting Savings" numFmtId="3">
      <sharedItems containsSemiMixedTypes="0" containsString="0" containsNumber="1" minValue="0" maxValue="857.82021865883769"/>
    </cacheField>
    <cacheField name="Max of Control Savings" numFmtId="3">
      <sharedItems containsSemiMixedTypes="0" containsString="0" containsNumber="1" minValue="0" maxValue="1056.579773725331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Sahar Abbaszadeh" refreshedDate="41964.657233680555" createdVersion="4" refreshedVersion="5" minRefreshableVersion="3" recordCount="679">
  <cacheSource type="worksheet">
    <worksheetSource name="rMarketSolutions"/>
  </cacheSource>
  <cacheFields count="30">
    <cacheField name="Building Sector" numFmtId="0">
      <sharedItems containsBlank="1" count="4">
        <s v="Residential"/>
        <s v="Non-Residential Interior"/>
        <s v="Non-Residential Exterior"/>
        <m u="1"/>
      </sharedItems>
    </cacheField>
    <cacheField name="Building Sub-Sector" numFmtId="0">
      <sharedItems count="29">
        <s v="All Residential _x000a_(Single, Multi-family, and Mobile Homes)"/>
        <s v="All Commercial"/>
        <s v="Office"/>
        <s v="Retail"/>
        <s v="Warehouse "/>
        <s v="Agricultural"/>
        <s v="Food and Liquor Stores"/>
        <s v="Hotel/Motel, Dorms, Assisted Living"/>
        <s v="Health and Medical Clinics"/>
        <s v="Health and Medical Hospital"/>
        <s v="Restaurant"/>
        <s v="University/College"/>
        <s v="Schools"/>
        <s v="Industrial"/>
        <s v="Miscellaneous"/>
        <s v="Outdoor Lighting"/>
        <s v="Roadway"/>
        <s v="Small Commercial (Office, Retail, Clinics, Minimart)" u="1"/>
        <s v="All" u="1"/>
        <s v="Healthcare" u="1"/>
        <s v="All Residential _x000a_(Single and Multi-family)" u="1"/>
        <s v="Restaurants" u="1"/>
        <s v="Warehouses, Manufacturing, Large/Medium Non-food Retail (e.g., Malls, Big Box)" u="1"/>
        <s v="Area Lighting" u="1"/>
        <s v="K-12" u="1"/>
        <s v="Medium/Large Grocery Store " u="1"/>
        <s v="Other" u="1"/>
        <s v="FOR ALL BUILDING TYPES" u="1"/>
        <s v="Large/Medium Offices" u="1"/>
      </sharedItems>
    </cacheField>
    <cacheField name="Lighting Application" numFmtId="0">
      <sharedItems count="42">
        <s v="Interior Support (Bathroom, Utility room, laundry room, garage)"/>
        <s v="Interior Living _x000a_(Kitchen, Bedroom, Living, Dining, etc)"/>
        <s v="Exterior "/>
        <s v="Exit Lighting"/>
        <s v="Area Lighting for Lobbies, Corridors"/>
        <s v="Area Lighting for Stairwells"/>
        <s v="Area Lighting (Low/Medium Bay)"/>
        <s v="Task Lighting"/>
        <s v="Track Lighting"/>
        <s v="Area Lighting (High Bay)"/>
        <s v="Display and Advertising"/>
        <s v="Parking Garage"/>
        <s v="Parking Lot"/>
        <s v="Bldg Façade, Landscape, Service Canopies, and Stadium/Athletic Field Lighting"/>
        <s v="Street Lights"/>
        <s v="Traffic Signals"/>
        <s v="Signs and Billboards"/>
        <s v="Medium Bay for Classroom/Office Lighting" u="1"/>
        <s v="Classroom Lighting" u="1"/>
        <s v="General Lighting for Lobbies, Corridors" u="1"/>
        <s v="Display, track , advertising and spot light?" u="1"/>
        <s v="Area Lighting (Assuming this is mostly kitchen)" u="1"/>
        <s v="Case/Display Lighting" u="1"/>
        <s v="General Lighting" u="1"/>
        <s v="Low/Medium Bay Lighting" u="1"/>
        <s v="Exit Signs" u="1"/>
        <s v="Kitchen Lighting" u="1"/>
        <s v="Area Lighting" u="1"/>
        <s v="Covered Parking _x000a_(Ceiling Mounted)" u="1"/>
        <s v="Outdoor Parking Lighting _x000a_(Pole Mounted)" u="1"/>
        <s v="Menu Board Lighting" u="1"/>
        <s v="Portable Fixtures in Rooms" u="1"/>
        <s v="Gymnasium/Cafeteria Lighting" u="1"/>
        <s v="Public Area _x000a_(Pathway and Landscape)" u="1"/>
        <s v="Activity Area 22 (Lobby, corridor, stairwell)" u="1"/>
        <s v="Track, Ornamental, Arch/wall wash, accent lighting (Assuming this is mostly dining room)" u="1"/>
        <s v="High Bay Lighting" u="1"/>
        <s v="General Lighting for Stairwells" u="1"/>
        <s v="Area(High-bay Lighting)" u="1"/>
        <s v="Recessed/Common Area Lighting" u="1"/>
        <s v="Area (Low/Medium Bay Lighting)" u="1"/>
        <s v="Dining Room Lighting" u="1"/>
      </sharedItems>
    </cacheField>
    <cacheField name="Application Energy Consumption Across California (IOU Territory)" numFmtId="0">
      <sharedItems containsSemiMixedTypes="0" containsString="0" containsNumber="1" minValue="18.654478742784612" maxValue="4365.0457202778744"/>
    </cacheField>
    <cacheField name="Baseline Lighting" numFmtId="0">
      <sharedItems count="32">
        <s v="Incandescent MSB"/>
        <s v="Linear Fluorescent"/>
        <s v="CFL MSB"/>
        <s v="Incandescent SSB"/>
        <s v="Halogen Pin Base"/>
        <s v="Halogen MSB"/>
        <s v="HID MSB"/>
        <s v="Incandescent"/>
        <s v="LED"/>
        <s v="CFL"/>
        <s v="Halogen "/>
        <s v="MH (Std, PS, CMH)"/>
        <s v="Linear Fluorescent Case Lights"/>
        <s v="Halogen"/>
        <s v="HPS/MV"/>
        <s v="Incandescent Signals"/>
        <s v="Fluorescent Signs"/>
        <s v="Neon Signs"/>
        <s v="HID (Metal Halide/HPS)" u="1"/>
        <s v="Incandescent/Halogen" u="1"/>
        <s v="HID (Metal Halide/HPS) " u="1"/>
        <s v="Incandescent Flood MSB" u="1"/>
        <s v="HID (MH/HPS) Ceiling Fixture" u="1"/>
        <s v="Fluorescent Menu Board" u="1"/>
        <s v="Halogen Track Lighting" u="1"/>
        <s v="HPS" u="1"/>
        <s v="Metal Halide" u="1"/>
        <s v="LE HID" u="1"/>
        <s v="HID (Metal Halide)" u="1"/>
        <s v="HID (HPS)" u="1"/>
        <s v="Halogen Flood MSB" u="1"/>
        <s v="HE HID" u="1"/>
      </sharedItems>
    </cacheField>
    <cacheField name="Lighting Saturation" numFmtId="9">
      <sharedItems containsMixedTypes="1" containsNumber="1" minValue="2.1096052666367528E-2" maxValue="0.99"/>
    </cacheField>
    <cacheField name="Baseline Control" numFmtId="0">
      <sharedItems/>
    </cacheField>
    <cacheField name="Control Saturation" numFmtId="9">
      <sharedItems containsMixedTypes="1" containsNumber="1" minValue="0.33050057310858838" maxValue="1"/>
    </cacheField>
    <cacheField name="Compliant Lighting" numFmtId="0">
      <sharedItems/>
    </cacheField>
    <cacheField name="Compliant Control" numFmtId="0">
      <sharedItems/>
    </cacheField>
    <cacheField name="Efficient Lighting" numFmtId="0">
      <sharedItems count="33">
        <s v="CFL MSB"/>
        <s v="LED MSB"/>
        <s v="High Efficiency Linear Fluorescent T-8"/>
        <s v="LED Panel Lighting"/>
        <s v="LED SSB"/>
        <s v="CFL SSB"/>
        <s v="LED Pin Base"/>
        <s v="CFL Pin Base"/>
        <s v="LEC Exit Sign"/>
        <s v="High Efficiency Linear Fluorescent T-8/T-5"/>
        <s v="LED"/>
        <s v="LED Task Lights"/>
        <s v="LED Track Lighting"/>
        <s v="High Bay Linear Fluorescent _x000a_T-8/T-5 HO"/>
        <s v="High Bay LED"/>
        <s v="CMH"/>
        <s v="CFL"/>
        <s v="Induction"/>
        <s v="LED Case Lights"/>
        <s v="CFL Track Lighting"/>
        <s v="Outdoor LED Fixture"/>
        <s v="LED Roadway"/>
        <s v="LED Traffic Signals"/>
        <s v="LED Signs"/>
        <s v="Linear Fluorescent _x000a_T-8/T-5 HO" u="1"/>
        <s v="LED Menu Board" u="1"/>
        <s v="Cold Cathode or CFL SSB" u="1"/>
        <s v="CMH/PS MH" u="1"/>
        <s v="High-Bay Linear Fluorescent _x000a_T-8/T-5 HO" u="1"/>
        <s v="CFL Flood MSB" u="1"/>
        <s v="High-bay LED" u="1"/>
        <s v="LED Flood MSB" u="1"/>
        <s v="LED Fixture" u="1"/>
      </sharedItems>
    </cacheField>
    <cacheField name="Efficient Control" numFmtId="0">
      <sharedItems/>
    </cacheField>
    <cacheField name="Lighting Savings_x000a_(lamp and/or ballast)" numFmtId="1">
      <sharedItems containsMixedTypes="1" containsNumber="1" minValue="1.8344671247554971" maxValue="1599.6871460654402"/>
    </cacheField>
    <cacheField name="Control Savings" numFmtId="1">
      <sharedItems containsMixedTypes="1" containsNumber="1" minValue="1.3762424594011338" maxValue="1056.5797737253315"/>
    </cacheField>
    <cacheField name="Lighting Savings _x000a_(lamp and/or ballast)" numFmtId="1">
      <sharedItems containsMixedTypes="1" containsNumber="1" minValue="0" maxValue="1519.7027887621682"/>
    </cacheField>
    <cacheField name="Control Savings2" numFmtId="1">
      <sharedItems containsMixedTypes="1" containsNumber="1" minValue="0.52188681975928819" maxValue="528.28988686266575"/>
    </cacheField>
    <cacheField name="-" numFmtId="0">
      <sharedItems containsNonDate="0" containsString="0" containsBlank="1"/>
    </cacheField>
    <cacheField name="Lighting Primary" numFmtId="0">
      <sharedItems containsBlank="1"/>
    </cacheField>
    <cacheField name="Lighting Secondary" numFmtId="0">
      <sharedItems containsBlank="1"/>
    </cacheField>
    <cacheField name="Controls Primary" numFmtId="0">
      <sharedItems containsBlank="1"/>
    </cacheField>
    <cacheField name="Controls Secondary" numFmtId="0">
      <sharedItems containsBlank="1"/>
    </cacheField>
    <cacheField name="Comments" numFmtId="0">
      <sharedItems containsBlank="1"/>
    </cacheField>
    <cacheField name="Column1" numFmtId="0">
      <sharedItems containsNonDate="0" containsString="0" containsBlank="1"/>
    </cacheField>
    <cacheField name="Column2" numFmtId="0">
      <sharedItems containsNonDate="0" containsString="0" containsBlank="1"/>
    </cacheField>
    <cacheField name="Program Action" numFmtId="0">
      <sharedItems/>
    </cacheField>
    <cacheField name="LMT Ranking" numFmtId="0">
      <sharedItems containsMixedTypes="1" containsNumber="1" containsInteger="1" minValue="1" maxValue="7"/>
    </cacheField>
    <cacheField name="Column3" numFmtId="0">
      <sharedItems containsNonDate="0" containsString="0" containsBlank="1"/>
    </cacheField>
    <cacheField name="Average Daily Hours of Operation" numFmtId="1">
      <sharedItems containsSemiMixedTypes="0" containsString="0" containsNumber="1" minValue="2.1800000000000002" maxValue="24"/>
    </cacheField>
    <cacheField name="Active During Peak Period" numFmtId="0">
      <sharedItems/>
    </cacheField>
    <cacheField name="Efficient Lighting Product Life Cycle Stage"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Sahar Abbaszadeh" refreshedDate="41964.657412152781" createdVersion="4" refreshedVersion="5" minRefreshableVersion="3" recordCount="130">
  <cacheSource type="worksheet">
    <worksheetSource name="NonResExtByApplication"/>
  </cacheSource>
  <cacheFields count="5">
    <cacheField name="Lighting Application" numFmtId="0">
      <sharedItems count="9">
        <s v="Signs and Billboards"/>
        <s v="Street Lights"/>
        <s v="Traffic Signals"/>
        <s v="Parking Garage"/>
        <s v="Parking Lot"/>
        <s v="Bldg Façade, Landscape, Service Canopies, and Stadium/Athletic Field Lighting"/>
        <s v="Covered Parking _x000a_(Ceiling Mounted)" u="1"/>
        <s v="Outdoor Parking Lighting _x000a_(Pole Mounted)" u="1"/>
        <s v="Public Area _x000a_(Pathway and Landscape)" u="1"/>
      </sharedItems>
    </cacheField>
    <cacheField name="Baseline Lighting" numFmtId="0">
      <sharedItems count="16">
        <s v="Baseline Lighting"/>
        <s v="Fluorescent Signs"/>
        <s v="Neon Signs"/>
        <s v="MH (Std, PS, CMH)"/>
        <s v="HPS/MV"/>
        <s v="Incandescent Signals"/>
        <s v="CFL"/>
        <s v="Linear Fluorescent"/>
        <s v="Incandescent"/>
        <s v="Halogen "/>
        <s v="HID (Metal Halide/HPS)" u="1"/>
        <s v="HID (Metal Halide/HPS) " u="1"/>
        <s v="LE HID" u="1"/>
        <s v="HID (Metal Halide)" u="1"/>
        <s v="HID (HPS)" u="1"/>
        <s v="HE HID" u="1"/>
      </sharedItems>
    </cacheField>
    <cacheField name="Building Sub-Sector" numFmtId="0">
      <sharedItems/>
    </cacheField>
    <cacheField name="Max of Lighting Savings" numFmtId="0">
      <sharedItems containsSemiMixedTypes="0" containsString="0" containsNumber="1" minValue="0" maxValue="718.44752025376283"/>
    </cacheField>
    <cacheField name="Max of Control Savings" numFmtId="0">
      <sharedItems containsSemiMixedTypes="0" containsString="0" containsNumber="1" minValue="0" maxValue="295.6646070938903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Sahar Abbaszadeh" refreshedDate="41964.657561689812" createdVersion="4" refreshedVersion="5" minRefreshableVersion="3" recordCount="174">
  <cacheSource type="worksheet">
    <worksheetSource name="NonResExtByTechnology"/>
  </cacheSource>
  <cacheFields count="6">
    <cacheField name="Efficient Lighting" numFmtId="0">
      <sharedItems count="13">
        <s v="CFL"/>
        <s v="Induction"/>
        <s v="LED"/>
        <s v="LED Panel Lighting"/>
        <s v="LED Signs"/>
        <s v="High Efficiency Linear Fluorescent T-8/T-5"/>
        <s v="CMH"/>
        <s v="LED Traffic Signals"/>
        <s v="Outdoor LED Fixture"/>
        <s v="LED Roadway"/>
        <s v="Linear Fluorescent _x000a_T-8/T-5 HO" u="1"/>
        <s v="CMH/PS MH" u="1"/>
        <s v="LED Fixture" u="1"/>
      </sharedItems>
    </cacheField>
    <cacheField name="Lighting Application" numFmtId="0">
      <sharedItems count="10">
        <s v="Lighting Application"/>
        <s v="Bldg Façade, Landscape, Service Canopies, and Stadium/Athletic Field Lighting"/>
        <s v="Street Lights"/>
        <s v="Parking Lot"/>
        <s v="Parking Garage"/>
        <s v="Signs and Billboards"/>
        <s v="Traffic Signals"/>
        <s v="Covered Parking _x000a_(Ceiling Mounted)" u="1"/>
        <s v="Outdoor Parking Lighting _x000a_(Pole Mounted)" u="1"/>
        <s v="Public Area _x000a_(Pathway and Landscape)" u="1"/>
      </sharedItems>
    </cacheField>
    <cacheField name="Building Sub-Sector" numFmtId="0">
      <sharedItems/>
    </cacheField>
    <cacheField name="Baseline Lighting" numFmtId="0">
      <sharedItems/>
    </cacheField>
    <cacheField name="Max of Lighting Savings" numFmtId="3">
      <sharedItems containsSemiMixedTypes="0" containsString="0" containsNumber="1" minValue="0" maxValue="718.44752025376283"/>
    </cacheField>
    <cacheField name="Max of Control Savings" numFmtId="3">
      <sharedItems containsSemiMixedTypes="0" containsString="0" containsNumber="1" minValue="0" maxValue="295.6646070938903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Sahar Abbaszadeh" refreshedDate="41992.669896412037" createdVersion="5" refreshedVersion="5" minRefreshableVersion="3" recordCount="679">
  <cacheSource type="worksheet">
    <worksheetSource ref="C5:E684" sheet="MarketSolutions_4customreports"/>
  </cacheSource>
  <cacheFields count="3">
    <cacheField name="Building Sub-Sector" numFmtId="0">
      <sharedItems count="17">
        <s v="All Residential _x000a_(Single, Multi-family, and Mobile Homes)"/>
        <s v="All Commercial"/>
        <s v="Office"/>
        <s v="Retail"/>
        <s v="Warehouse "/>
        <s v="Agricultural"/>
        <s v="Food and Liquor Stores"/>
        <s v="Hotel/Motel, Dorms, Assisted Living"/>
        <s v="Health and Medical Clinics"/>
        <s v="Health and Medical Hospital"/>
        <s v="Restaurant"/>
        <s v="University/College"/>
        <s v="Schools"/>
        <s v="Industrial"/>
        <s v="Miscellaneous"/>
        <s v="Outdoor Lighting"/>
        <s v="Roadway"/>
      </sharedItems>
    </cacheField>
    <cacheField name="Lighting Application" numFmtId="0">
      <sharedItems count="17">
        <s v="Interior Support (Bathroom, Utility room, laundry room, garage)"/>
        <s v="Interior Living _x000a_(Kitchen, Bedroom, Living, Dining, etc)"/>
        <s v="Exterior "/>
        <s v="Exit Lighting"/>
        <s v="Area Lighting for Lobbies, Corridors"/>
        <s v="Area Lighting for Stairwells"/>
        <s v="Area Lighting (Low/Medium Bay)"/>
        <s v="Task Lighting"/>
        <s v="Track Lighting"/>
        <s v="Area Lighting (High Bay)"/>
        <s v="Display and Advertising"/>
        <s v="Parking Garage"/>
        <s v="Parking Lot"/>
        <s v="Bldg Façade, Landscape, Service Canopies, and Stadium/Athletic Field Lighting"/>
        <s v="Street Lights"/>
        <s v="Traffic Signals"/>
        <s v="Signs and Billboards"/>
      </sharedItems>
    </cacheField>
    <cacheField name="Application Energy Consumption Across California (IOU Territory)" numFmtId="0">
      <sharedItems containsSemiMixedTypes="0" containsString="0" containsNumber="1" minValue="18.654478742784612" maxValue="4365.04572027787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0">
  <r>
    <x v="0"/>
    <x v="0"/>
    <s v="Building Sub-Sector"/>
    <n v="0"/>
    <n v="0"/>
  </r>
  <r>
    <x v="0"/>
    <x v="1"/>
    <s v="Building Sub-Sector"/>
    <n v="0"/>
    <n v="0"/>
  </r>
  <r>
    <x v="0"/>
    <x v="1"/>
    <s v="All Residential _x000a_(Single, Multi-family, and Mobile Homes)"/>
    <n v="34.134486238074636"/>
    <n v="32.426436471726809"/>
  </r>
  <r>
    <x v="0"/>
    <x v="2"/>
    <s v="All Residential _x000a_(Single, Multi-family, and Mobile Homes)"/>
    <n v="0"/>
    <n v="0"/>
  </r>
  <r>
    <x v="0"/>
    <x v="2"/>
    <s v="All Residential _x000a_(Single, Multi-family, and Mobile Homes)"/>
    <n v="271.99942965435008"/>
    <n v="43.08850432166836"/>
  </r>
  <r>
    <x v="0"/>
    <x v="3"/>
    <s v="All Residential _x000a_(Single, Multi-family, and Mobile Homes)"/>
    <n v="0"/>
    <n v="0"/>
  </r>
  <r>
    <x v="0"/>
    <x v="3"/>
    <s v="All Residential _x000a_(Single, Multi-family, and Mobile Homes)"/>
    <n v="183.20540563319796"/>
    <n v="30.192722904897703"/>
  </r>
  <r>
    <x v="0"/>
    <x v="4"/>
    <s v="All Residential _x000a_(Single, Multi-family, and Mobile Homes)"/>
    <n v="0"/>
    <n v="0"/>
  </r>
  <r>
    <x v="0"/>
    <x v="4"/>
    <s v="All Residential _x000a_(Single, Multi-family, and Mobile Homes)"/>
    <n v="615.99678807972987"/>
    <n v="151.40398243734009"/>
  </r>
  <r>
    <x v="0"/>
    <x v="5"/>
    <s v="All Residential _x000a_(Single, Multi-family, and Mobile Homes)"/>
    <n v="0"/>
    <n v="0"/>
  </r>
  <r>
    <x v="0"/>
    <x v="5"/>
    <s v="All Residential _x000a_(Single, Multi-family, and Mobile Homes)"/>
    <n v="104.19128652001687"/>
    <n v="27.46757909572003"/>
  </r>
  <r>
    <x v="0"/>
    <x v="6"/>
    <s v="All Residential _x000a_(Single, Multi-family, and Mobile Homes)"/>
    <n v="0"/>
    <n v="0"/>
  </r>
  <r>
    <x v="0"/>
    <x v="6"/>
    <s v="All Residential _x000a_(Single, Multi-family, and Mobile Homes)"/>
    <n v="13.732406408342854"/>
    <n v="9.0234363514845803"/>
  </r>
  <r>
    <x v="0"/>
    <x v="7"/>
    <s v="All Residential _x000a_(Single, Multi-family, and Mobile Homes)"/>
    <n v="0"/>
    <n v="0"/>
  </r>
  <r>
    <x v="0"/>
    <x v="7"/>
    <s v="All Residential _x000a_(Single, Multi-family, and Mobile Homes)"/>
    <n v="19.245459848308336"/>
    <n v="4.6735979712171938"/>
  </r>
  <r>
    <x v="1"/>
    <x v="7"/>
    <s v="All Residential _x000a_(Single, Multi-family, and Mobile Homes)"/>
    <n v="0"/>
    <n v="0"/>
  </r>
  <r>
    <x v="1"/>
    <x v="1"/>
    <s v="All Residential _x000a_(Single, Multi-family, and Mobile Homes)"/>
    <n v="0"/>
    <n v="0"/>
  </r>
  <r>
    <x v="1"/>
    <x v="1"/>
    <s v="All Residential _x000a_(Single, Multi-family, and Mobile Homes)"/>
    <n v="98.149121413350727"/>
    <n v="99.137397614107897"/>
  </r>
  <r>
    <x v="1"/>
    <x v="2"/>
    <s v="All Residential _x000a_(Single, Multi-family, and Mobile Homes)"/>
    <n v="0"/>
    <n v="0"/>
  </r>
  <r>
    <x v="1"/>
    <x v="2"/>
    <s v="All Residential _x000a_(Single, Multi-family, and Mobile Homes)"/>
    <n v="88.960467627455117"/>
    <n v="15.290909384659747"/>
  </r>
  <r>
    <x v="1"/>
    <x v="3"/>
    <s v="All Residential _x000a_(Single, Multi-family, and Mobile Homes)"/>
    <n v="0"/>
    <n v="0"/>
  </r>
  <r>
    <x v="1"/>
    <x v="3"/>
    <s v="All Residential _x000a_(Single, Multi-family, and Mobile Homes)"/>
    <n v="267.15088268841322"/>
    <n v="47.677774239188643"/>
  </r>
  <r>
    <x v="1"/>
    <x v="4"/>
    <s v="All Residential _x000a_(Single, Multi-family, and Mobile Homes)"/>
    <n v="0"/>
    <n v="0"/>
  </r>
  <r>
    <x v="1"/>
    <x v="4"/>
    <s v="All Residential _x000a_(Single, Multi-family, and Mobile Homes)"/>
    <n v="1599.6871460654402"/>
    <n v="383.1896338801522"/>
  </r>
  <r>
    <x v="1"/>
    <x v="5"/>
    <s v="All Residential _x000a_(Single, Multi-family, and Mobile Homes)"/>
    <n v="0"/>
    <n v="0"/>
  </r>
  <r>
    <x v="1"/>
    <x v="5"/>
    <s v="All Residential _x000a_(Single, Multi-family, and Mobile Homes)"/>
    <n v="332.69200995969754"/>
    <n v="72.104556789616055"/>
  </r>
  <r>
    <x v="1"/>
    <x v="6"/>
    <s v="All Residential _x000a_(Single, Multi-family, and Mobile Homes)"/>
    <n v="0"/>
    <n v="0"/>
  </r>
  <r>
    <x v="1"/>
    <x v="6"/>
    <s v="All Residential _x000a_(Single, Multi-family, and Mobile Homes)"/>
    <n v="87.028311165449054"/>
    <n v="59.143148217924228"/>
  </r>
  <r>
    <x v="2"/>
    <x v="6"/>
    <s v="All Residential _x000a_(Single, Multi-family, and Mobile Homes)"/>
    <n v="0"/>
    <n v="0"/>
  </r>
  <r>
    <x v="2"/>
    <x v="1"/>
    <s v="All Residential _x000a_(Single, Multi-family, and Mobile Homes)"/>
    <n v="0"/>
    <n v="0"/>
  </r>
  <r>
    <x v="2"/>
    <x v="1"/>
    <s v="All Residential _x000a_(Single, Multi-family, and Mobile Homes)"/>
    <n v="59.629230259154603"/>
    <n v="61.454795882049204"/>
  </r>
  <r>
    <x v="2"/>
    <x v="2"/>
    <s v="All Residential _x000a_(Single, Multi-family, and Mobile Homes)"/>
    <n v="0"/>
    <n v="0"/>
  </r>
  <r>
    <x v="2"/>
    <x v="2"/>
    <s v="All Residential _x000a_(Single, Multi-family, and Mobile Homes)"/>
    <n v="52.171795218190304"/>
    <n v="14.362273165973862"/>
  </r>
  <r>
    <x v="2"/>
    <x v="3"/>
    <s v="All Residential _x000a_(Single, Multi-family, and Mobile Homes)"/>
    <n v="0"/>
    <n v="0"/>
  </r>
  <r>
    <x v="2"/>
    <x v="3"/>
    <s v="All Residential _x000a_(Single, Multi-family, and Mobile Homes)"/>
    <n v="75.923313463651795"/>
    <n v="21.626585449116074"/>
  </r>
  <r>
    <x v="2"/>
    <x v="4"/>
    <s v="All Residential _x000a_(Single, Multi-family, and Mobile Homes)"/>
    <n v="0"/>
    <n v="0"/>
  </r>
  <r>
    <x v="2"/>
    <x v="4"/>
    <s v="All Residential _x000a_(Single, Multi-family, and Mobile Homes)"/>
    <n v="1356.7496619042902"/>
    <n v="378.20601053847685"/>
  </r>
  <r>
    <x v="2"/>
    <x v="5"/>
    <s v="All Residential _x000a_(Single, Multi-family, and Mobile Homes)"/>
    <n v="0"/>
    <n v="0"/>
  </r>
  <r>
    <x v="2"/>
    <x v="5"/>
    <s v="All Residential _x000a_(Single, Multi-family, and Mobile Homes)"/>
    <n v="131.52500296407061"/>
    <n v="36.152728703555312"/>
  </r>
  <r>
    <x v="2"/>
    <x v="6"/>
    <s v="All Residential _x000a_(Single, Multi-family, and Mobile Homes)"/>
    <n v="0"/>
    <n v="0"/>
  </r>
  <r>
    <x v="2"/>
    <x v="6"/>
    <s v="All Residential _x000a_(Single, Multi-family, and Mobile Homes)"/>
    <n v="141.66657692476136"/>
    <n v="95.626576599389395"/>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r>
    <x v="2"/>
    <x v="6"/>
    <s v="All Residential _x000a_(Single, Multi-family, and Mobile Homes)"/>
    <n v="0"/>
    <n v="0"/>
  </r>
</pivotCacheRecords>
</file>

<file path=xl/pivotCache/pivotCacheRecords2.xml><?xml version="1.0" encoding="utf-8"?>
<pivotCacheRecords xmlns="http://schemas.openxmlformats.org/spreadsheetml/2006/main" xmlns:r="http://schemas.openxmlformats.org/officeDocument/2006/relationships" count="174">
  <r>
    <x v="0"/>
    <x v="0"/>
    <s v="Building Sub-Sector"/>
    <s v="Baseline Lighting"/>
    <n v="0"/>
    <n v="0"/>
  </r>
  <r>
    <x v="0"/>
    <x v="1"/>
    <s v="Building Sub-Sector"/>
    <s v="Baseline Lighting"/>
    <n v="0"/>
    <n v="0"/>
  </r>
  <r>
    <x v="0"/>
    <x v="1"/>
    <s v="All Residential _x000a_(Single, Multi-family, and Mobile Homes)"/>
    <s v="Baseline Lighting"/>
    <n v="0"/>
    <n v="0"/>
  </r>
  <r>
    <x v="0"/>
    <x v="1"/>
    <s v="All Residential _x000a_(Single, Multi-family, and Mobile Homes)"/>
    <s v="Halogen MSB"/>
    <n v="250.52579047111192"/>
    <n v="43.08850432166836"/>
  </r>
  <r>
    <x v="0"/>
    <x v="1"/>
    <s v="All Residential _x000a_(Single, Multi-family, and Mobile Homes)"/>
    <s v="Incandescent MSB"/>
    <n v="579.03698079494609"/>
    <n v="151.40398243734009"/>
  </r>
  <r>
    <x v="0"/>
    <x v="2"/>
    <s v="All Residential _x000a_(Single, Multi-family, and Mobile Homes)"/>
    <s v="Incandescent MSB"/>
    <n v="0"/>
    <n v="0"/>
  </r>
  <r>
    <x v="0"/>
    <x v="2"/>
    <s v="All Residential _x000a_(Single, Multi-family, and Mobile Homes)"/>
    <s v="Incandescent MSB"/>
    <n v="0"/>
    <n v="0"/>
  </r>
  <r>
    <x v="0"/>
    <x v="2"/>
    <s v="All Residential _x000a_(Single, Multi-family, and Mobile Homes)"/>
    <s v="Halogen MSB"/>
    <n v="81.937272814761286"/>
    <n v="15.290909384659747"/>
  </r>
  <r>
    <x v="0"/>
    <x v="2"/>
    <s v="All Residential _x000a_(Single, Multi-family, and Mobile Homes)"/>
    <s v="Incandescent MSB"/>
    <n v="1503.7059173015139"/>
    <n v="383.1896338801522"/>
  </r>
  <r>
    <x v="0"/>
    <x v="3"/>
    <s v="All Residential _x000a_(Single, Multi-family, and Mobile Homes)"/>
    <s v="Incandescent MSB"/>
    <n v="0"/>
    <n v="0"/>
  </r>
  <r>
    <x v="0"/>
    <x v="3"/>
    <s v="All Residential _x000a_(Single, Multi-family, and Mobile Homes)"/>
    <s v="Incandescent MSB"/>
    <n v="0"/>
    <n v="0"/>
  </r>
  <r>
    <x v="0"/>
    <x v="3"/>
    <s v="All Residential _x000a_(Single, Multi-family, and Mobile Homes)"/>
    <s v="Halogen MSB"/>
    <n v="48.052969279912119"/>
    <n v="14.362273165973862"/>
  </r>
  <r>
    <x v="0"/>
    <x v="3"/>
    <s v="All Residential _x000a_(Single, Multi-family, and Mobile Homes)"/>
    <s v="Incandescent MSB"/>
    <n v="1275.3446821900325"/>
    <n v="378.20601053847685"/>
  </r>
  <r>
    <x v="1"/>
    <x v="3"/>
    <s v="All Residential _x000a_(Single, Multi-family, and Mobile Homes)"/>
    <s v="Incandescent MSB"/>
    <n v="0"/>
    <n v="0"/>
  </r>
  <r>
    <x v="1"/>
    <x v="1"/>
    <s v="All Residential _x000a_(Single, Multi-family, and Mobile Homes)"/>
    <s v="Incandescent MSB"/>
    <n v="0"/>
    <n v="0"/>
  </r>
  <r>
    <x v="1"/>
    <x v="1"/>
    <s v="All Residential _x000a_(Single, Multi-family, and Mobile Homes)"/>
    <s v="Incandescent MSB"/>
    <n v="0"/>
    <n v="0"/>
  </r>
  <r>
    <x v="1"/>
    <x v="1"/>
    <s v="All Residential _x000a_(Single, Multi-family, and Mobile Homes)"/>
    <s v="Linear Fluorescent"/>
    <n v="12.211594843997085"/>
    <n v="9.0234363514845803"/>
  </r>
  <r>
    <x v="1"/>
    <x v="2"/>
    <s v="All Residential _x000a_(Single, Multi-family, and Mobile Homes)"/>
    <s v="Linear Fluorescent"/>
    <n v="0"/>
    <n v="0"/>
  </r>
  <r>
    <x v="1"/>
    <x v="2"/>
    <s v="All Residential _x000a_(Single, Multi-family, and Mobile Homes)"/>
    <s v="Linear Fluorescent"/>
    <n v="0"/>
    <n v="0"/>
  </r>
  <r>
    <x v="1"/>
    <x v="2"/>
    <s v="All Residential _x000a_(Single, Multi-family, and Mobile Homes)"/>
    <s v="Linear Fluorescent"/>
    <n v="77.390258073349472"/>
    <n v="59.143148217924228"/>
  </r>
  <r>
    <x v="1"/>
    <x v="3"/>
    <s v="All Residential _x000a_(Single, Multi-family, and Mobile Homes)"/>
    <s v="Linear Fluorescent"/>
    <n v="0"/>
    <n v="0"/>
  </r>
  <r>
    <x v="1"/>
    <x v="3"/>
    <s v="All Residential _x000a_(Single, Multi-family, and Mobile Homes)"/>
    <s v="Linear Fluorescent"/>
    <n v="0"/>
    <n v="0"/>
  </r>
  <r>
    <x v="1"/>
    <x v="3"/>
    <s v="All Residential _x000a_(Single, Multi-family, and Mobile Homes)"/>
    <s v="Linear Fluorescent"/>
    <n v="125.97754456859941"/>
    <n v="95.626576599389395"/>
  </r>
  <r>
    <x v="2"/>
    <x v="3"/>
    <s v="All Residential _x000a_(Single, Multi-family, and Mobile Homes)"/>
    <s v="Linear Fluorescent"/>
    <n v="0"/>
    <n v="0"/>
  </r>
  <r>
    <x v="2"/>
    <x v="1"/>
    <s v="All Residential _x000a_(Single, Multi-family, and Mobile Homes)"/>
    <s v="Linear Fluorescent"/>
    <n v="0"/>
    <n v="0"/>
  </r>
  <r>
    <x v="2"/>
    <x v="1"/>
    <s v="All Residential _x000a_(Single, Multi-family, and Mobile Homes)"/>
    <s v="Linear Fluorescent"/>
    <n v="0"/>
    <n v="0"/>
  </r>
  <r>
    <x v="2"/>
    <x v="1"/>
    <s v="All Residential _x000a_(Single, Multi-family, and Mobile Homes)"/>
    <s v="CFL MSB"/>
    <n v="34.134486238074636"/>
    <n v="32.426436471726809"/>
  </r>
  <r>
    <x v="2"/>
    <x v="1"/>
    <s v="All Residential _x000a_(Single, Multi-family, and Mobile Homes)"/>
    <s v="Halogen MSB"/>
    <n v="271.99942965435008"/>
    <n v="43.08850432166836"/>
  </r>
  <r>
    <x v="2"/>
    <x v="1"/>
    <s v="All Residential _x000a_(Single, Multi-family, and Mobile Homes)"/>
    <s v="Incandescent MSB"/>
    <n v="615.99678807972987"/>
    <n v="151.40398243734009"/>
  </r>
  <r>
    <x v="2"/>
    <x v="1"/>
    <s v="All Residential _x000a_(Single, Multi-family, and Mobile Homes)"/>
    <s v="HID MSB"/>
    <n v="19.245459848308336"/>
    <n v="4.6735979712171938"/>
  </r>
  <r>
    <x v="2"/>
    <x v="2"/>
    <s v="All Residential _x000a_(Single, Multi-family, and Mobile Homes)"/>
    <s v="HID MSB"/>
    <n v="0"/>
    <n v="0"/>
  </r>
  <r>
    <x v="2"/>
    <x v="2"/>
    <s v="All Residential _x000a_(Single, Multi-family, and Mobile Homes)"/>
    <s v="HID MSB"/>
    <n v="0"/>
    <n v="0"/>
  </r>
  <r>
    <x v="2"/>
    <x v="2"/>
    <s v="All Residential _x000a_(Single, Multi-family, and Mobile Homes)"/>
    <s v="CFL MSB"/>
    <n v="98.149121413350727"/>
    <n v="99.137397614107897"/>
  </r>
  <r>
    <x v="2"/>
    <x v="2"/>
    <s v="All Residential _x000a_(Single, Multi-family, and Mobile Homes)"/>
    <s v="Halogen MSB"/>
    <n v="88.960467627455117"/>
    <n v="15.290909384659747"/>
  </r>
  <r>
    <x v="2"/>
    <x v="2"/>
    <s v="All Residential _x000a_(Single, Multi-family, and Mobile Homes)"/>
    <s v="Incandescent MSB"/>
    <n v="1599.6871460654402"/>
    <n v="383.1896338801522"/>
  </r>
  <r>
    <x v="2"/>
    <x v="3"/>
    <s v="All Residential _x000a_(Single, Multi-family, and Mobile Homes)"/>
    <s v="Incandescent MSB"/>
    <n v="0"/>
    <n v="0"/>
  </r>
  <r>
    <x v="2"/>
    <x v="3"/>
    <s v="All Residential _x000a_(Single, Multi-family, and Mobile Homes)"/>
    <s v="Incandescent MSB"/>
    <n v="0"/>
    <n v="0"/>
  </r>
  <r>
    <x v="2"/>
    <x v="3"/>
    <s v="All Residential _x000a_(Single, Multi-family, and Mobile Homes)"/>
    <s v="CFL MSB"/>
    <n v="59.629230259154603"/>
    <n v="61.454795882049204"/>
  </r>
  <r>
    <x v="2"/>
    <x v="3"/>
    <s v="All Residential _x000a_(Single, Multi-family, and Mobile Homes)"/>
    <s v="Halogen MSB"/>
    <n v="52.171795218190304"/>
    <n v="14.362273165973862"/>
  </r>
  <r>
    <x v="2"/>
    <x v="3"/>
    <s v="All Residential _x000a_(Single, Multi-family, and Mobile Homes)"/>
    <s v="Incandescent MSB"/>
    <n v="1356.7496619042902"/>
    <n v="378.20601053847685"/>
  </r>
  <r>
    <x v="3"/>
    <x v="3"/>
    <s v="All Residential _x000a_(Single, Multi-family, and Mobile Homes)"/>
    <s v="Incandescent MSB"/>
    <n v="0"/>
    <n v="0"/>
  </r>
  <r>
    <x v="3"/>
    <x v="1"/>
    <s v="All Residential _x000a_(Single, Multi-family, and Mobile Homes)"/>
    <s v="Incandescent MSB"/>
    <n v="0"/>
    <n v="0"/>
  </r>
  <r>
    <x v="3"/>
    <x v="1"/>
    <s v="All Residential _x000a_(Single, Multi-family, and Mobile Homes)"/>
    <s v="Incandescent MSB"/>
    <n v="0"/>
    <n v="0"/>
  </r>
  <r>
    <x v="3"/>
    <x v="1"/>
    <s v="All Residential _x000a_(Single, Multi-family, and Mobile Homes)"/>
    <s v="Linear Fluorescent"/>
    <n v="13.732406408342854"/>
    <n v="9.0234363514845803"/>
  </r>
  <r>
    <x v="3"/>
    <x v="2"/>
    <s v="All Residential _x000a_(Single, Multi-family, and Mobile Homes)"/>
    <s v="Linear Fluorescent"/>
    <n v="0"/>
    <n v="0"/>
  </r>
  <r>
    <x v="3"/>
    <x v="2"/>
    <s v="All Residential _x000a_(Single, Multi-family, and Mobile Homes)"/>
    <s v="Linear Fluorescent"/>
    <n v="0"/>
    <n v="0"/>
  </r>
  <r>
    <x v="3"/>
    <x v="2"/>
    <s v="All Residential _x000a_(Single, Multi-family, and Mobile Homes)"/>
    <s v="Linear Fluorescent"/>
    <n v="87.028311165449054"/>
    <n v="59.143148217924228"/>
  </r>
  <r>
    <x v="3"/>
    <x v="3"/>
    <s v="All Residential _x000a_(Single, Multi-family, and Mobile Homes)"/>
    <s v="Linear Fluorescent"/>
    <n v="0"/>
    <n v="0"/>
  </r>
  <r>
    <x v="3"/>
    <x v="3"/>
    <s v="All Residential _x000a_(Single, Multi-family, and Mobile Homes)"/>
    <s v="Linear Fluorescent"/>
    <n v="0"/>
    <n v="0"/>
  </r>
  <r>
    <x v="3"/>
    <x v="3"/>
    <s v="All Residential _x000a_(Single, Multi-family, and Mobile Homes)"/>
    <s v="Linear Fluorescent"/>
    <n v="141.66657692476136"/>
    <n v="95.626576599389395"/>
  </r>
  <r>
    <x v="4"/>
    <x v="3"/>
    <s v="All Residential _x000a_(Single, Multi-family, and Mobile Homes)"/>
    <s v="Linear Fluorescent"/>
    <n v="0"/>
    <n v="0"/>
  </r>
  <r>
    <x v="4"/>
    <x v="1"/>
    <s v="All Residential _x000a_(Single, Multi-family, and Mobile Homes)"/>
    <s v="Linear Fluorescent"/>
    <n v="0"/>
    <n v="0"/>
  </r>
  <r>
    <x v="4"/>
    <x v="1"/>
    <s v="All Residential _x000a_(Single, Multi-family, and Mobile Homes)"/>
    <s v="Linear Fluorescent"/>
    <n v="0"/>
    <n v="0"/>
  </r>
  <r>
    <x v="4"/>
    <x v="1"/>
    <s v="All Residential _x000a_(Single, Multi-family, and Mobile Homes)"/>
    <s v="Halogen Pin Base"/>
    <n v="183.20540563319796"/>
    <n v="30.192722904897703"/>
  </r>
  <r>
    <x v="4"/>
    <x v="2"/>
    <s v="All Residential _x000a_(Single, Multi-family, and Mobile Homes)"/>
    <s v="Halogen Pin Base"/>
    <n v="0"/>
    <n v="0"/>
  </r>
  <r>
    <x v="4"/>
    <x v="2"/>
    <s v="All Residential _x000a_(Single, Multi-family, and Mobile Homes)"/>
    <s v="Halogen Pin Base"/>
    <n v="0"/>
    <n v="0"/>
  </r>
  <r>
    <x v="4"/>
    <x v="2"/>
    <s v="All Residential _x000a_(Single, Multi-family, and Mobile Homes)"/>
    <s v="Halogen Pin Base"/>
    <n v="267.15088268841322"/>
    <n v="47.677774239188643"/>
  </r>
  <r>
    <x v="4"/>
    <x v="3"/>
    <s v="All Residential _x000a_(Single, Multi-family, and Mobile Homes)"/>
    <s v="Halogen Pin Base"/>
    <n v="0"/>
    <n v="0"/>
  </r>
  <r>
    <x v="4"/>
    <x v="3"/>
    <s v="All Residential _x000a_(Single, Multi-family, and Mobile Homes)"/>
    <s v="Halogen Pin Base"/>
    <n v="0"/>
    <n v="0"/>
  </r>
  <r>
    <x v="4"/>
    <x v="3"/>
    <s v="All Residential _x000a_(Single, Multi-family, and Mobile Homes)"/>
    <s v="Halogen Pin Base"/>
    <n v="75.923313463651795"/>
    <n v="21.626585449116074"/>
  </r>
  <r>
    <x v="5"/>
    <x v="3"/>
    <s v="All Residential _x000a_(Single, Multi-family, and Mobile Homes)"/>
    <s v="Halogen Pin Base"/>
    <n v="0"/>
    <n v="0"/>
  </r>
  <r>
    <x v="5"/>
    <x v="1"/>
    <s v="All Residential _x000a_(Single, Multi-family, and Mobile Homes)"/>
    <s v="Halogen Pin Base"/>
    <n v="0"/>
    <n v="0"/>
  </r>
  <r>
    <x v="5"/>
    <x v="1"/>
    <s v="All Residential _x000a_(Single, Multi-family, and Mobile Homes)"/>
    <s v="Halogen Pin Base"/>
    <n v="0"/>
    <n v="0"/>
  </r>
  <r>
    <x v="5"/>
    <x v="1"/>
    <s v="All Residential _x000a_(Single, Multi-family, and Mobile Homes)"/>
    <s v="Incandescent SSB"/>
    <n v="104.19128652001687"/>
    <n v="27.46757909572003"/>
  </r>
  <r>
    <x v="5"/>
    <x v="2"/>
    <s v="All Residential _x000a_(Single, Multi-family, and Mobile Homes)"/>
    <s v="Incandescent SSB"/>
    <n v="0"/>
    <n v="0"/>
  </r>
  <r>
    <x v="5"/>
    <x v="2"/>
    <s v="All Residential _x000a_(Single, Multi-family, and Mobile Homes)"/>
    <s v="Incandescent SSB"/>
    <n v="0"/>
    <n v="0"/>
  </r>
  <r>
    <x v="5"/>
    <x v="2"/>
    <s v="All Residential _x000a_(Single, Multi-family, and Mobile Homes)"/>
    <s v="Incandescent SSB"/>
    <n v="332.69200995969754"/>
    <n v="72.104556789616055"/>
  </r>
  <r>
    <x v="5"/>
    <x v="3"/>
    <s v="All Residential _x000a_(Single, Multi-family, and Mobile Homes)"/>
    <s v="Incandescent SSB"/>
    <n v="0"/>
    <n v="0"/>
  </r>
  <r>
    <x v="5"/>
    <x v="3"/>
    <s v="All Residential _x000a_(Single, Multi-family, and Mobile Homes)"/>
    <s v="Incandescent SSB"/>
    <n v="0"/>
    <n v="0"/>
  </r>
  <r>
    <x v="5"/>
    <x v="3"/>
    <s v="All Residential _x000a_(Single, Multi-family, and Mobile Homes)"/>
    <s v="Incandescent SSB"/>
    <n v="131.52500296407061"/>
    <n v="36.152728703555312"/>
  </r>
  <r>
    <x v="6"/>
    <x v="3"/>
    <s v="All Residential _x000a_(Single, Multi-family, and Mobile Homes)"/>
    <s v="Incandescent SSB"/>
    <n v="0"/>
    <n v="0"/>
  </r>
  <r>
    <x v="6"/>
    <x v="1"/>
    <s v="All Residential _x000a_(Single, Multi-family, and Mobile Homes)"/>
    <s v="Incandescent SSB"/>
    <n v="0"/>
    <n v="0"/>
  </r>
  <r>
    <x v="6"/>
    <x v="1"/>
    <s v="All Residential _x000a_(Single, Multi-family, and Mobile Homes)"/>
    <s v="Incandescent SSB"/>
    <n v="0"/>
    <n v="0"/>
  </r>
  <r>
    <x v="6"/>
    <x v="1"/>
    <s v="All Residential _x000a_(Single, Multi-family, and Mobile Homes)"/>
    <s v="Incandescent SSB"/>
    <n v="97.939809328815855"/>
    <n v="27.46757909572003"/>
  </r>
  <r>
    <x v="6"/>
    <x v="2"/>
    <s v="All Residential _x000a_(Single, Multi-family, and Mobile Homes)"/>
    <s v="Incandescent SSB"/>
    <n v="0"/>
    <n v="0"/>
  </r>
  <r>
    <x v="6"/>
    <x v="2"/>
    <s v="All Residential _x000a_(Single, Multi-family, and Mobile Homes)"/>
    <s v="Incandescent SSB"/>
    <n v="0"/>
    <n v="0"/>
  </r>
  <r>
    <x v="6"/>
    <x v="2"/>
    <s v="All Residential _x000a_(Single, Multi-family, and Mobile Homes)"/>
    <s v="Incandescent SSB"/>
    <n v="312.73048936211563"/>
    <n v="72.104556789616055"/>
  </r>
  <r>
    <x v="6"/>
    <x v="3"/>
    <s v="All Residential _x000a_(Single, Multi-family, and Mobile Homes)"/>
    <s v="Incandescent SSB"/>
    <n v="0"/>
    <n v="0"/>
  </r>
  <r>
    <x v="6"/>
    <x v="3"/>
    <s v="All Residential _x000a_(Single, Multi-family, and Mobile Homes)"/>
    <s v="Incandescent SSB"/>
    <n v="0"/>
    <n v="0"/>
  </r>
  <r>
    <x v="6"/>
    <x v="3"/>
    <s v="All Residential _x000a_(Single, Multi-family, and Mobile Homes)"/>
    <s v="Incandescent SSB"/>
    <n v="123.63350278622639"/>
    <n v="36.152728703555312"/>
  </r>
  <r>
    <x v="7"/>
    <x v="3"/>
    <s v="All Residential _x000a_(Single, Multi-family, and Mobile Homes)"/>
    <s v="Incandescent SSB"/>
    <n v="0"/>
    <n v="0"/>
  </r>
  <r>
    <x v="7"/>
    <x v="1"/>
    <s v="All Residential _x000a_(Single, Multi-family, and Mobile Homes)"/>
    <s v="Incandescent SSB"/>
    <n v="0"/>
    <n v="0"/>
  </r>
  <r>
    <x v="7"/>
    <x v="1"/>
    <s v="All Residential _x000a_(Single, Multi-family, and Mobile Homes)"/>
    <s v="Incandescent SSB"/>
    <n v="0"/>
    <n v="0"/>
  </r>
  <r>
    <x v="7"/>
    <x v="1"/>
    <s v="All Residential _x000a_(Single, Multi-family, and Mobile Homes)"/>
    <s v="Halogen Pin Base"/>
    <n v="168.74182097794548"/>
    <n v="30.192722904897703"/>
  </r>
  <r>
    <x v="7"/>
    <x v="2"/>
    <s v="All Residential _x000a_(Single, Multi-family, and Mobile Homes)"/>
    <s v="Halogen Pin Base"/>
    <n v="0"/>
    <n v="0"/>
  </r>
  <r>
    <x v="7"/>
    <x v="2"/>
    <s v="All Residential _x000a_(Single, Multi-family, and Mobile Homes)"/>
    <s v="Halogen Pin Base"/>
    <n v="0"/>
    <n v="0"/>
  </r>
  <r>
    <x v="7"/>
    <x v="2"/>
    <s v="All Residential _x000a_(Single, Multi-family, and Mobile Homes)"/>
    <s v="Halogen Pin Base"/>
    <n v="246.06002352880165"/>
    <n v="47.677774239188643"/>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69.929367663889806"/>
    <n v="21.626585449116074"/>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r>
    <x v="7"/>
    <x v="3"/>
    <s v="All Residential _x000a_(Single, Multi-family, and Mobile Homes)"/>
    <s v="Halogen Pin Base"/>
    <n v="0"/>
    <n v="0"/>
  </r>
</pivotCacheRecords>
</file>

<file path=xl/pivotCache/pivotCacheRecords3.xml><?xml version="1.0" encoding="utf-8"?>
<pivotCacheRecords xmlns="http://schemas.openxmlformats.org/spreadsheetml/2006/main" xmlns:r="http://schemas.openxmlformats.org/officeDocument/2006/relationships" count="130">
  <r>
    <x v="0"/>
    <x v="0"/>
    <s v="Building Sub-Sector"/>
    <n v="0"/>
    <n v="0"/>
  </r>
  <r>
    <x v="0"/>
    <x v="1"/>
    <s v="Building Sub-Sector"/>
    <n v="0"/>
    <n v="0"/>
  </r>
  <r>
    <x v="0"/>
    <x v="1"/>
    <s v="Hotel/Motel, Dorms, Assisted Living"/>
    <n v="60.883763540057572"/>
    <n v="112.78717195795663"/>
  </r>
  <r>
    <x v="0"/>
    <x v="1"/>
    <s v="Office"/>
    <n v="15.759194586979897"/>
    <n v="26.796252642818629"/>
  </r>
  <r>
    <x v="0"/>
    <x v="2"/>
    <s v="Office"/>
    <n v="0"/>
    <n v="0"/>
  </r>
  <r>
    <x v="0"/>
    <x v="2"/>
    <s v="Hotel/Motel, Dorms, Assisted Living"/>
    <n v="219.85803500576341"/>
    <n v="112.78717195795663"/>
  </r>
  <r>
    <x v="0"/>
    <x v="2"/>
    <s v="Office"/>
    <n v="250.04424862701541"/>
    <n v="120.0212393409674"/>
  </r>
  <r>
    <x v="0"/>
    <x v="3"/>
    <s v="Office"/>
    <n v="0"/>
    <n v="0"/>
  </r>
  <r>
    <x v="0"/>
    <x v="3"/>
    <s v="Office"/>
    <n v="23.637277248920416"/>
    <n v="36.940117002963994"/>
  </r>
  <r>
    <x v="1"/>
    <x v="3"/>
    <s v="Office"/>
    <n v="0"/>
    <n v="0"/>
  </r>
  <r>
    <x v="1"/>
    <x v="2"/>
    <s v="Office"/>
    <n v="0"/>
    <n v="0"/>
  </r>
  <r>
    <x v="1"/>
    <x v="2"/>
    <s v="All Commercial"/>
    <n v="42.345112588633263"/>
    <n v="0"/>
  </r>
  <r>
    <x v="1"/>
    <x v="4"/>
    <s v="All Commercial"/>
    <n v="0"/>
    <n v="0"/>
  </r>
  <r>
    <x v="1"/>
    <x v="4"/>
    <s v="All Commercial"/>
    <n v="61.327587497157452"/>
    <n v="0"/>
  </r>
  <r>
    <x v="2"/>
    <x v="4"/>
    <s v="All Commercial"/>
    <n v="0"/>
    <n v="0"/>
  </r>
  <r>
    <x v="2"/>
    <x v="1"/>
    <s v="All Commercial"/>
    <n v="0"/>
    <n v="0"/>
  </r>
  <r>
    <x v="2"/>
    <x v="1"/>
    <s v="Office"/>
    <n v="6.0241000859948306"/>
    <n v="10.43773639518577"/>
  </r>
  <r>
    <x v="2"/>
    <x v="2"/>
    <s v="Office"/>
    <n v="0"/>
    <n v="0"/>
  </r>
  <r>
    <x v="2"/>
    <x v="2"/>
    <s v="Office"/>
    <n v="59.297273385869531"/>
    <n v="28.098126235226509"/>
  </r>
  <r>
    <x v="2"/>
    <x v="2"/>
    <s v="Restaurant"/>
    <n v="180.25146289138166"/>
    <n v="76.820164101982115"/>
  </r>
  <r>
    <x v="2"/>
    <x v="5"/>
    <s v="Restaurant"/>
    <n v="0"/>
    <n v="0"/>
  </r>
  <r>
    <x v="2"/>
    <x v="5"/>
    <s v="Office"/>
    <n v="45.542833454230305"/>
    <n v="22.988848173296457"/>
  </r>
  <r>
    <x v="2"/>
    <x v="5"/>
    <s v="Restaurant"/>
    <n v="197.3004390155545"/>
    <n v="88.511740089988152"/>
  </r>
  <r>
    <x v="3"/>
    <x v="5"/>
    <s v="Restaurant"/>
    <n v="0"/>
    <n v="0"/>
  </r>
  <r>
    <x v="3"/>
    <x v="1"/>
    <s v="Restaurant"/>
    <n v="0"/>
    <n v="0"/>
  </r>
  <r>
    <x v="3"/>
    <x v="1"/>
    <s v="Retail"/>
    <n v="5.4034262912268671"/>
    <n v="8.3723582249597559"/>
  </r>
  <r>
    <x v="3"/>
    <x v="1"/>
    <s v="Restaurant"/>
    <n v="2.6412956770904246"/>
    <n v="2.4979079398164457"/>
  </r>
  <r>
    <x v="3"/>
    <x v="2"/>
    <s v="Restaurant"/>
    <n v="0"/>
    <n v="0"/>
  </r>
  <r>
    <x v="3"/>
    <x v="2"/>
    <s v="Retail"/>
    <n v="63.76470327519516"/>
    <n v="27.067941186289993"/>
  </r>
  <r>
    <x v="3"/>
    <x v="3"/>
    <s v="Retail"/>
    <n v="0"/>
    <n v="0"/>
  </r>
  <r>
    <x v="3"/>
    <x v="3"/>
    <s v="Retail"/>
    <n v="35.186800955524369"/>
    <n v="43.301822340592075"/>
  </r>
  <r>
    <x v="3"/>
    <x v="3"/>
    <s v="Restaurant"/>
    <n v="2.5433212369502054"/>
    <n v="3.5772108932732181"/>
  </r>
  <r>
    <x v="3"/>
    <x v="6"/>
    <s v="Restaurant"/>
    <n v="0"/>
    <n v="0"/>
  </r>
  <r>
    <x v="3"/>
    <x v="6"/>
    <s v="Food and Liquor Stores"/>
    <n v="10.401415268762834"/>
    <n v="5.4896358362914954"/>
  </r>
  <r>
    <x v="3"/>
    <x v="4"/>
    <s v="Food and Liquor Stores"/>
    <n v="0"/>
    <n v="0"/>
  </r>
  <r>
    <x v="3"/>
    <x v="4"/>
    <s v="Retail"/>
    <n v="0"/>
    <n v="9.5771018193796138"/>
  </r>
  <r>
    <x v="3"/>
    <x v="4"/>
    <s v="Restaurant"/>
    <n v="0"/>
    <n v="1.3762424594011338"/>
  </r>
  <r>
    <x v="3"/>
    <x v="5"/>
    <s v="Restaurant"/>
    <n v="0"/>
    <n v="0"/>
  </r>
  <r>
    <x v="3"/>
    <x v="5"/>
    <s v="Retail"/>
    <n v="134.04020243247757"/>
    <n v="55.014698736214626"/>
  </r>
  <r>
    <x v="3"/>
    <x v="5"/>
    <s v="Restaurant"/>
    <n v="3.0568423100743396"/>
    <n v="1.3900588188969629"/>
  </r>
  <r>
    <x v="4"/>
    <x v="5"/>
    <s v="Restaurant"/>
    <n v="0"/>
    <n v="0"/>
  </r>
  <r>
    <x v="4"/>
    <x v="1"/>
    <s v="Restaurant"/>
    <n v="0"/>
    <n v="0"/>
  </r>
  <r>
    <x v="4"/>
    <x v="1"/>
    <s v="All Commercial"/>
    <n v="145.99775740210993"/>
    <n v="207.82956327222885"/>
  </r>
  <r>
    <x v="4"/>
    <x v="3"/>
    <s v="All Commercial"/>
    <n v="0"/>
    <n v="0"/>
  </r>
  <r>
    <x v="4"/>
    <x v="3"/>
    <s v="All Commercial"/>
    <n v="529.77347990666283"/>
    <n v="653.38729122230916"/>
  </r>
  <r>
    <x v="5"/>
    <x v="3"/>
    <s v="All Commercial"/>
    <n v="0"/>
    <n v="0"/>
  </r>
  <r>
    <x v="5"/>
    <x v="1"/>
    <s v="All Commercial"/>
    <n v="0"/>
    <n v="0"/>
  </r>
  <r>
    <x v="5"/>
    <x v="1"/>
    <s v="All Commercial"/>
    <n v="16.139381899512461"/>
    <n v="22.974604208618583"/>
  </r>
  <r>
    <x v="5"/>
    <x v="3"/>
    <s v="All Commercial"/>
    <n v="0"/>
    <n v="0"/>
  </r>
  <r>
    <x v="5"/>
    <x v="3"/>
    <s v="All Commercial"/>
    <n v="58.564026356227821"/>
    <n v="72.228965766103016"/>
  </r>
  <r>
    <x v="6"/>
    <x v="3"/>
    <s v="All Commercial"/>
    <n v="0"/>
    <n v="0"/>
  </r>
  <r>
    <x v="6"/>
    <x v="1"/>
    <s v="All Commercial"/>
    <n v="0"/>
    <n v="0"/>
  </r>
  <r>
    <x v="6"/>
    <x v="1"/>
    <s v="University/College"/>
    <n v="13.020316269491438"/>
    <n v="17.795300256056262"/>
  </r>
  <r>
    <x v="6"/>
    <x v="1"/>
    <s v="Warehouse "/>
    <n v="6.9683725514715551"/>
    <n v="11.460133514744564"/>
  </r>
  <r>
    <x v="6"/>
    <x v="1"/>
    <s v="Health and Medical Clinics"/>
    <n v="15.928601381203244"/>
    <n v="7.217226909974527"/>
  </r>
  <r>
    <x v="6"/>
    <x v="1"/>
    <s v="Restaurant"/>
    <n v="11.193439428405396"/>
    <n v="18.066960553027982"/>
  </r>
  <r>
    <x v="6"/>
    <x v="1"/>
    <s v="Miscellaneous"/>
    <n v="45.291681603459011"/>
    <n v="73.612585246217634"/>
  </r>
  <r>
    <x v="6"/>
    <x v="1"/>
    <s v="Health and Medical Hospital"/>
    <n v="15.213551146811216"/>
    <n v="21.293900421820101"/>
  </r>
  <r>
    <x v="6"/>
    <x v="7"/>
    <s v="Health and Medical Hospital"/>
    <n v="0"/>
    <n v="0"/>
  </r>
  <r>
    <x v="6"/>
    <x v="7"/>
    <s v="Hotel/Motel, Dorms, Assisted Living"/>
    <n v="37.098281478231776"/>
    <n v="20.033071998245159"/>
  </r>
  <r>
    <x v="6"/>
    <x v="2"/>
    <s v="Hotel/Motel, Dorms, Assisted Living"/>
    <n v="0"/>
    <n v="0"/>
  </r>
  <r>
    <x v="6"/>
    <x v="2"/>
    <s v="Hotel/Motel, Dorms, Assisted Living"/>
    <n v="39.050822608665037"/>
    <n v="20.033071998245159"/>
  </r>
  <r>
    <x v="6"/>
    <x v="2"/>
    <s v="Restaurant"/>
    <n v="80.556402712550138"/>
    <n v="34.849089983059841"/>
  </r>
  <r>
    <x v="6"/>
    <x v="3"/>
    <s v="Restaurant"/>
    <n v="0"/>
    <n v="0"/>
  </r>
  <r>
    <x v="6"/>
    <x v="3"/>
    <s v="Hotel/Motel, Dorms, Assisted Living"/>
    <n v="10.464192418925684"/>
    <n v="14.305183487861566"/>
  </r>
  <r>
    <x v="6"/>
    <x v="3"/>
    <s v="University/College"/>
    <n v="151.97627093884191"/>
    <n v="187.27435031373497"/>
  </r>
  <r>
    <x v="6"/>
    <x v="3"/>
    <s v="Office"/>
    <n v="857.82021865883769"/>
    <n v="1056.5797737253315"/>
  </r>
  <r>
    <x v="6"/>
    <x v="3"/>
    <s v="Retail"/>
    <n v="131.70411125398581"/>
    <n v="147.70097463229004"/>
  </r>
  <r>
    <x v="6"/>
    <x v="3"/>
    <s v="Warehouse "/>
    <n v="64.584978109068985"/>
    <n v="84.097904173266699"/>
  </r>
  <r>
    <x v="6"/>
    <x v="3"/>
    <s v="Food and Liquor Stores"/>
    <n v="64.97578185046406"/>
    <n v="69.789601902445355"/>
  </r>
  <r>
    <x v="6"/>
    <x v="3"/>
    <s v="Health and Medical Clinics"/>
    <n v="82.481720021364652"/>
    <n v="94.517932178903052"/>
  </r>
  <r>
    <x v="6"/>
    <x v="3"/>
    <s v="Restaurant"/>
    <n v="53.805561831709454"/>
    <n v="78.562751204429247"/>
  </r>
  <r>
    <x v="6"/>
    <x v="3"/>
    <s v="Schools"/>
    <n v="220.61719417334498"/>
    <n v="271.06706524697006"/>
  </r>
  <r>
    <x v="6"/>
    <x v="3"/>
    <s v="Miscellaneous"/>
    <n v="598.75566090095401"/>
    <n v="729.02889055123103"/>
  </r>
  <r>
    <x v="6"/>
    <x v="3"/>
    <s v="Health and Medical Hospital"/>
    <n v="156.71055923889523"/>
    <n v="197.76143689626537"/>
  </r>
  <r>
    <x v="6"/>
    <x v="5"/>
    <s v="Health and Medical Hospital"/>
    <n v="0"/>
    <n v="0"/>
  </r>
  <r>
    <x v="6"/>
    <x v="5"/>
    <s v="Restaurant"/>
    <n v="18.46148182717107"/>
    <n v="8.8303731663752725"/>
  </r>
  <r>
    <x v="7"/>
    <x v="5"/>
    <s v="Restaurant"/>
    <n v="0"/>
    <n v="0"/>
  </r>
  <r>
    <x v="7"/>
    <x v="1"/>
    <s v="Restaurant"/>
    <n v="0"/>
    <n v="0"/>
  </r>
  <r>
    <x v="7"/>
    <x v="1"/>
    <s v="Retail"/>
    <n v="38.376546837019859"/>
    <n v="60.597037258112501"/>
  </r>
  <r>
    <x v="7"/>
    <x v="3"/>
    <s v="Retail"/>
    <n v="0"/>
    <n v="0"/>
  </r>
  <r>
    <x v="7"/>
    <x v="3"/>
    <s v="University/College"/>
    <n v="19.028882282242051"/>
    <n v="23.448539331758511"/>
  </r>
  <r>
    <x v="7"/>
    <x v="3"/>
    <s v="Retail"/>
    <n v="505.35181019114407"/>
    <n v="440.15358239428133"/>
  </r>
  <r>
    <x v="7"/>
    <x v="3"/>
    <s v="Warehouse "/>
    <n v="215.07289498965625"/>
    <n v="214.50745601796345"/>
  </r>
  <r>
    <x v="7"/>
    <x v="3"/>
    <s v="Food and Liquor Stores"/>
    <n v="207.87700865657163"/>
    <n v="148.31824167979778"/>
  </r>
  <r>
    <x v="7"/>
    <x v="3"/>
    <s v="Schools"/>
    <n v="66.227974995518693"/>
    <n v="96.767289730112978"/>
  </r>
  <r>
    <x v="7"/>
    <x v="3"/>
    <s v="Industrial"/>
    <n v="632.61808652380978"/>
    <n v="939.21717776000014"/>
  </r>
  <r>
    <x v="7"/>
    <x v="8"/>
    <s v="Industrial"/>
    <n v="0"/>
    <n v="0"/>
  </r>
  <r>
    <x v="7"/>
    <x v="8"/>
    <s v="University/College"/>
    <n v="8.4757556705868851"/>
    <n v="4.9588630620390619"/>
  </r>
  <r>
    <x v="7"/>
    <x v="8"/>
    <s v="Retail"/>
    <n v="405.73015542488798"/>
    <n v="243.31557227168014"/>
  </r>
  <r>
    <x v="7"/>
    <x v="8"/>
    <s v="Warehouse "/>
    <n v="119.17180542829573"/>
    <n v="71.420784133301666"/>
  </r>
  <r>
    <x v="7"/>
    <x v="8"/>
    <s v="Schools"/>
    <n v="29.498954604579939"/>
    <n v="20.652035640831038"/>
  </r>
  <r>
    <x v="7"/>
    <x v="8"/>
    <s v="Industrial"/>
    <n v="62.702015106825911"/>
    <n v="44.198455424000009"/>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r>
    <x v="7"/>
    <x v="8"/>
    <s v="Industrial"/>
    <n v="0"/>
    <n v="0"/>
  </r>
</pivotCacheRecords>
</file>

<file path=xl/pivotCache/pivotCacheRecords4.xml><?xml version="1.0" encoding="utf-8"?>
<pivotCacheRecords xmlns="http://schemas.openxmlformats.org/spreadsheetml/2006/main" xmlns:r="http://schemas.openxmlformats.org/officeDocument/2006/relationships" count="270">
  <r>
    <x v="0"/>
    <x v="0"/>
    <s v="Building Sub-Sector"/>
    <s v="Baseline Lighting"/>
    <n v="0"/>
    <n v="0"/>
  </r>
  <r>
    <x v="0"/>
    <x v="1"/>
    <s v="Building Sub-Sector"/>
    <s v="Baseline Lighting"/>
    <n v="0"/>
    <n v="0"/>
  </r>
  <r>
    <x v="0"/>
    <x v="1"/>
    <s v="Retail"/>
    <s v="Baseline Lighting"/>
    <n v="0"/>
    <n v="0"/>
  </r>
  <r>
    <x v="0"/>
    <x v="1"/>
    <s v="Retail"/>
    <s v="Incandescent"/>
    <n v="59.938821078683446"/>
    <n v="27.067941186289993"/>
  </r>
  <r>
    <x v="0"/>
    <x v="1"/>
    <s v="Retail"/>
    <s v="Halogen "/>
    <n v="123.45808118780829"/>
    <n v="55.014698736214626"/>
  </r>
  <r>
    <x v="0"/>
    <x v="1"/>
    <s v="Restaurant"/>
    <s v="Halogen "/>
    <n v="0"/>
    <n v="0"/>
  </r>
  <r>
    <x v="0"/>
    <x v="1"/>
    <s v="Restaurant"/>
    <s v="Halogen "/>
    <n v="2.8155126540158388"/>
    <n v="1.3900588188969629"/>
  </r>
  <r>
    <x v="0"/>
    <x v="2"/>
    <s v="Restaurant"/>
    <s v="Halogen "/>
    <n v="0"/>
    <n v="0"/>
  </r>
  <r>
    <x v="0"/>
    <x v="2"/>
    <s v="Hotel/Motel, Dorms, Assisted Living"/>
    <s v="Halogen "/>
    <n v="0"/>
    <n v="0"/>
  </r>
  <r>
    <x v="0"/>
    <x v="2"/>
    <s v="Hotel/Motel, Dorms, Assisted Living"/>
    <s v="Halogen"/>
    <n v="34.169469782581899"/>
    <n v="20.033071998245159"/>
  </r>
  <r>
    <x v="0"/>
    <x v="2"/>
    <s v="Hotel/Motel, Dorms, Assisted Living"/>
    <s v="Incandescent"/>
    <n v="36.707773252145124"/>
    <n v="20.033071998245159"/>
  </r>
  <r>
    <x v="0"/>
    <x v="2"/>
    <s v="Restaurant"/>
    <s v="Incandescent"/>
    <n v="0"/>
    <n v="0"/>
  </r>
  <r>
    <x v="0"/>
    <x v="2"/>
    <s v="Restaurant"/>
    <s v="Incandescent"/>
    <n v="75.723018549797118"/>
    <n v="34.849089983059841"/>
  </r>
  <r>
    <x v="0"/>
    <x v="2"/>
    <s v="Restaurant"/>
    <s v="Halogen "/>
    <n v="17.003996419762828"/>
    <n v="8.8303731663752725"/>
  </r>
  <r>
    <x v="1"/>
    <x v="2"/>
    <s v="Restaurant"/>
    <s v="Halogen "/>
    <n v="0"/>
    <n v="0"/>
  </r>
  <r>
    <x v="1"/>
    <x v="3"/>
    <s v="Restaurant"/>
    <s v="Halogen "/>
    <n v="0"/>
    <n v="0"/>
  </r>
  <r>
    <x v="1"/>
    <x v="3"/>
    <s v="Warehouse "/>
    <s v="Halogen "/>
    <n v="0"/>
    <n v="0"/>
  </r>
  <r>
    <x v="1"/>
    <x v="3"/>
    <s v="Warehouse "/>
    <s v="MH (Std, PS, CMH)"/>
    <n v="30.269593789578746"/>
    <n v="71.420784133301666"/>
  </r>
  <r>
    <x v="2"/>
    <x v="3"/>
    <s v="Warehouse "/>
    <s v="MH (Std, PS, CMH)"/>
    <n v="0"/>
    <n v="0"/>
  </r>
  <r>
    <x v="2"/>
    <x v="1"/>
    <s v="Warehouse "/>
    <s v="MH (Std, PS, CMH)"/>
    <n v="0"/>
    <n v="0"/>
  </r>
  <r>
    <x v="2"/>
    <x v="1"/>
    <s v="Retail"/>
    <s v="MH (Std, PS, CMH)"/>
    <n v="0"/>
    <n v="0"/>
  </r>
  <r>
    <x v="2"/>
    <x v="1"/>
    <s v="Retail"/>
    <s v="CFL"/>
    <n v="5.4034262912268671"/>
    <n v="8.3723582249597559"/>
  </r>
  <r>
    <x v="2"/>
    <x v="1"/>
    <s v="Retail"/>
    <s v="Incandescent"/>
    <n v="63.76470327519516"/>
    <n v="27.067941186289993"/>
  </r>
  <r>
    <x v="2"/>
    <x v="1"/>
    <s v="Retail"/>
    <s v="LED"/>
    <n v="0"/>
    <n v="9.5771018193796138"/>
  </r>
  <r>
    <x v="2"/>
    <x v="1"/>
    <s v="Retail"/>
    <s v="Halogen "/>
    <n v="134.04020243247757"/>
    <n v="55.014698736214626"/>
  </r>
  <r>
    <x v="2"/>
    <x v="1"/>
    <s v="Restaurant"/>
    <s v="Halogen "/>
    <n v="0"/>
    <n v="0"/>
  </r>
  <r>
    <x v="2"/>
    <x v="1"/>
    <s v="Restaurant"/>
    <s v="CFL"/>
    <n v="2.6412956770904246"/>
    <n v="2.4979079398164457"/>
  </r>
  <r>
    <x v="2"/>
    <x v="1"/>
    <s v="Restaurant"/>
    <s v="LED"/>
    <n v="0"/>
    <n v="1.3762424594011338"/>
  </r>
  <r>
    <x v="2"/>
    <x v="1"/>
    <s v="Restaurant"/>
    <s v="Halogen "/>
    <n v="3.0568423100743396"/>
    <n v="1.3900588188969629"/>
  </r>
  <r>
    <x v="2"/>
    <x v="4"/>
    <s v="Restaurant"/>
    <s v="Halogen "/>
    <n v="0"/>
    <n v="0"/>
  </r>
  <r>
    <x v="2"/>
    <x v="4"/>
    <s v="All Commercial"/>
    <s v="Halogen "/>
    <n v="0"/>
    <n v="0"/>
  </r>
  <r>
    <x v="2"/>
    <x v="4"/>
    <s v="All Commercial"/>
    <s v="CFL"/>
    <n v="145.99775740210993"/>
    <n v="207.82956327222885"/>
  </r>
  <r>
    <x v="2"/>
    <x v="5"/>
    <s v="All Commercial"/>
    <s v="CFL"/>
    <n v="0"/>
    <n v="0"/>
  </r>
  <r>
    <x v="2"/>
    <x v="5"/>
    <s v="All Commercial"/>
    <s v="CFL"/>
    <n v="0"/>
    <n v="0"/>
  </r>
  <r>
    <x v="2"/>
    <x v="5"/>
    <s v="All Commercial"/>
    <s v="CFL"/>
    <n v="16.139381899512461"/>
    <n v="22.974604208618583"/>
  </r>
  <r>
    <x v="2"/>
    <x v="2"/>
    <s v="All Commercial"/>
    <s v="CFL"/>
    <n v="0"/>
    <n v="0"/>
  </r>
  <r>
    <x v="2"/>
    <x v="2"/>
    <s v="University/College"/>
    <s v="CFL"/>
    <n v="0"/>
    <n v="0"/>
  </r>
  <r>
    <x v="2"/>
    <x v="2"/>
    <s v="University/College"/>
    <s v="CFL"/>
    <n v="13.020316269491438"/>
    <n v="17.795300256056262"/>
  </r>
  <r>
    <x v="2"/>
    <x v="2"/>
    <s v="Hotel/Motel, Dorms, Assisted Living"/>
    <s v="CFL"/>
    <n v="0"/>
    <n v="0"/>
  </r>
  <r>
    <x v="2"/>
    <x v="2"/>
    <s v="Hotel/Motel, Dorms, Assisted Living"/>
    <s v="Halogen"/>
    <n v="37.098281478231776"/>
    <n v="20.033071998245159"/>
  </r>
  <r>
    <x v="2"/>
    <x v="2"/>
    <s v="Hotel/Motel, Dorms, Assisted Living"/>
    <s v="Incandescent"/>
    <n v="39.050822608665037"/>
    <n v="20.033071998245159"/>
  </r>
  <r>
    <x v="2"/>
    <x v="2"/>
    <s v="Warehouse "/>
    <s v="Incandescent"/>
    <n v="0"/>
    <n v="0"/>
  </r>
  <r>
    <x v="2"/>
    <x v="2"/>
    <s v="Warehouse "/>
    <s v="CFL"/>
    <n v="6.9683725514715551"/>
    <n v="11.460133514744564"/>
  </r>
  <r>
    <x v="2"/>
    <x v="2"/>
    <s v="Health and Medical Clinics"/>
    <s v="CFL"/>
    <n v="0"/>
    <n v="0"/>
  </r>
  <r>
    <x v="2"/>
    <x v="2"/>
    <s v="Health and Medical Clinics"/>
    <s v="CFL"/>
    <n v="15.928601381203244"/>
    <n v="7.217226909974527"/>
  </r>
  <r>
    <x v="2"/>
    <x v="2"/>
    <s v="Restaurant"/>
    <s v="CFL"/>
    <n v="0"/>
    <n v="0"/>
  </r>
  <r>
    <x v="2"/>
    <x v="2"/>
    <s v="Restaurant"/>
    <s v="CFL"/>
    <n v="11.193439428405396"/>
    <n v="18.066960553027982"/>
  </r>
  <r>
    <x v="2"/>
    <x v="2"/>
    <s v="Restaurant"/>
    <s v="Incandescent"/>
    <n v="80.556402712550138"/>
    <n v="34.849089983059841"/>
  </r>
  <r>
    <x v="2"/>
    <x v="2"/>
    <s v="Restaurant"/>
    <s v="Halogen "/>
    <n v="18.46148182717107"/>
    <n v="8.8303731663752725"/>
  </r>
  <r>
    <x v="2"/>
    <x v="2"/>
    <s v="Miscellaneous"/>
    <s v="Halogen "/>
    <n v="0"/>
    <n v="0"/>
  </r>
  <r>
    <x v="2"/>
    <x v="2"/>
    <s v="Miscellaneous"/>
    <s v="CFL"/>
    <n v="45.291681603459011"/>
    <n v="73.612585246217634"/>
  </r>
  <r>
    <x v="2"/>
    <x v="2"/>
    <s v="Health and Medical Hospital"/>
    <s v="CFL"/>
    <n v="0"/>
    <n v="0"/>
  </r>
  <r>
    <x v="2"/>
    <x v="2"/>
    <s v="Health and Medical Hospital"/>
    <s v="CFL"/>
    <n v="15.213551146811216"/>
    <n v="21.293900421820101"/>
  </r>
  <r>
    <x v="3"/>
    <x v="2"/>
    <s v="Health and Medical Hospital"/>
    <s v="CFL"/>
    <n v="0"/>
    <n v="0"/>
  </r>
  <r>
    <x v="3"/>
    <x v="1"/>
    <s v="Health and Medical Hospital"/>
    <s v="CFL"/>
    <n v="0"/>
    <n v="0"/>
  </r>
  <r>
    <x v="3"/>
    <x v="1"/>
    <s v="Food and Liquor Stores"/>
    <s v="CFL"/>
    <n v="0"/>
    <n v="0"/>
  </r>
  <r>
    <x v="3"/>
    <x v="1"/>
    <s v="Food and Liquor Stores"/>
    <s v="Linear Fluorescent Case Lights"/>
    <n v="10.401415268762834"/>
    <n v="5.4896358362914954"/>
  </r>
  <r>
    <x v="4"/>
    <x v="1"/>
    <s v="Food and Liquor Stores"/>
    <s v="Linear Fluorescent Case Lights"/>
    <n v="0"/>
    <n v="0"/>
  </r>
  <r>
    <x v="4"/>
    <x v="6"/>
    <s v="Food and Liquor Stores"/>
    <s v="Linear Fluorescent Case Lights"/>
    <n v="0"/>
    <n v="0"/>
  </r>
  <r>
    <x v="4"/>
    <x v="6"/>
    <s v="Office"/>
    <s v="Linear Fluorescent Case Lights"/>
    <n v="0"/>
    <n v="0"/>
  </r>
  <r>
    <x v="4"/>
    <x v="6"/>
    <s v="Office"/>
    <s v="Linear Fluorescent"/>
    <n v="23.637277248920416"/>
    <n v="36.940117002963994"/>
  </r>
  <r>
    <x v="4"/>
    <x v="1"/>
    <s v="Office"/>
    <s v="Linear Fluorescent"/>
    <n v="0"/>
    <n v="0"/>
  </r>
  <r>
    <x v="4"/>
    <x v="1"/>
    <s v="Retail"/>
    <s v="Linear Fluorescent"/>
    <n v="0"/>
    <n v="0"/>
  </r>
  <r>
    <x v="4"/>
    <x v="1"/>
    <s v="Retail"/>
    <s v="Linear Fluorescent"/>
    <n v="35.186800955524369"/>
    <n v="43.301822340592075"/>
  </r>
  <r>
    <x v="4"/>
    <x v="1"/>
    <s v="Restaurant"/>
    <s v="Linear Fluorescent"/>
    <n v="0"/>
    <n v="0"/>
  </r>
  <r>
    <x v="4"/>
    <x v="1"/>
    <s v="Restaurant"/>
    <s v="Linear Fluorescent"/>
    <n v="2.5433212369502054"/>
    <n v="3.5772108932732181"/>
  </r>
  <r>
    <x v="4"/>
    <x v="4"/>
    <s v="Restaurant"/>
    <s v="Linear Fluorescent"/>
    <n v="0"/>
    <n v="0"/>
  </r>
  <r>
    <x v="4"/>
    <x v="4"/>
    <s v="All Commercial"/>
    <s v="Linear Fluorescent"/>
    <n v="0"/>
    <n v="0"/>
  </r>
  <r>
    <x v="4"/>
    <x v="4"/>
    <s v="All Commercial"/>
    <s v="Linear Fluorescent"/>
    <n v="529.77347990666283"/>
    <n v="653.38729122230916"/>
  </r>
  <r>
    <x v="4"/>
    <x v="5"/>
    <s v="All Commercial"/>
    <s v="Linear Fluorescent"/>
    <n v="0"/>
    <n v="0"/>
  </r>
  <r>
    <x v="4"/>
    <x v="5"/>
    <s v="All Commercial"/>
    <s v="Linear Fluorescent"/>
    <n v="0"/>
    <n v="0"/>
  </r>
  <r>
    <x v="4"/>
    <x v="5"/>
    <s v="All Commercial"/>
    <s v="Linear Fluorescent"/>
    <n v="58.564026356227821"/>
    <n v="72.228965766103016"/>
  </r>
  <r>
    <x v="4"/>
    <x v="2"/>
    <s v="All Commercial"/>
    <s v="Linear Fluorescent"/>
    <n v="0"/>
    <n v="0"/>
  </r>
  <r>
    <x v="4"/>
    <x v="2"/>
    <s v="University/College"/>
    <s v="Linear Fluorescent"/>
    <n v="0"/>
    <n v="0"/>
  </r>
  <r>
    <x v="4"/>
    <x v="2"/>
    <s v="University/College"/>
    <s v="Linear Fluorescent"/>
    <n v="151.97627093884191"/>
    <n v="187.27435031373497"/>
  </r>
  <r>
    <x v="4"/>
    <x v="2"/>
    <s v="Hotel/Motel, Dorms, Assisted Living"/>
    <s v="Linear Fluorescent"/>
    <n v="0"/>
    <n v="0"/>
  </r>
  <r>
    <x v="4"/>
    <x v="2"/>
    <s v="Hotel/Motel, Dorms, Assisted Living"/>
    <s v="Linear Fluorescent"/>
    <n v="8.5647854355060904"/>
    <n v="14.305183487861566"/>
  </r>
  <r>
    <x v="4"/>
    <x v="2"/>
    <s v="Office"/>
    <s v="Linear Fluorescent"/>
    <n v="0"/>
    <n v="0"/>
  </r>
  <r>
    <x v="4"/>
    <x v="2"/>
    <s v="Office"/>
    <s v="Linear Fluorescent"/>
    <n v="857.82021865883769"/>
    <n v="1056.5797737253315"/>
  </r>
  <r>
    <x v="4"/>
    <x v="2"/>
    <s v="Retail"/>
    <s v="Linear Fluorescent"/>
    <n v="0"/>
    <n v="0"/>
  </r>
  <r>
    <x v="4"/>
    <x v="2"/>
    <s v="Retail"/>
    <s v="Linear Fluorescent"/>
    <n v="131.70411125398581"/>
    <n v="147.70097463229004"/>
  </r>
  <r>
    <x v="4"/>
    <x v="2"/>
    <s v="Warehouse "/>
    <s v="Linear Fluorescent"/>
    <n v="0"/>
    <n v="0"/>
  </r>
  <r>
    <x v="4"/>
    <x v="2"/>
    <s v="Warehouse "/>
    <s v="Linear Fluorescent"/>
    <n v="64.584978109068985"/>
    <n v="84.097904173266699"/>
  </r>
  <r>
    <x v="4"/>
    <x v="2"/>
    <s v="Food and Liquor Stores"/>
    <s v="Linear Fluorescent"/>
    <n v="0"/>
    <n v="0"/>
  </r>
  <r>
    <x v="4"/>
    <x v="2"/>
    <s v="Food and Liquor Stores"/>
    <s v="Linear Fluorescent"/>
    <n v="64.97578185046406"/>
    <n v="69.789601902445355"/>
  </r>
  <r>
    <x v="4"/>
    <x v="2"/>
    <s v="Health and Medical Clinics"/>
    <s v="Linear Fluorescent"/>
    <n v="0"/>
    <n v="0"/>
  </r>
  <r>
    <x v="4"/>
    <x v="2"/>
    <s v="Health and Medical Clinics"/>
    <s v="Linear Fluorescent"/>
    <n v="82.481720021364652"/>
    <n v="94.517932178903052"/>
  </r>
  <r>
    <x v="4"/>
    <x v="2"/>
    <s v="Restaurant"/>
    <s v="Linear Fluorescent"/>
    <n v="0"/>
    <n v="0"/>
  </r>
  <r>
    <x v="4"/>
    <x v="2"/>
    <s v="Restaurant"/>
    <s v="Linear Fluorescent"/>
    <n v="53.805561831709454"/>
    <n v="78.562751204429247"/>
  </r>
  <r>
    <x v="4"/>
    <x v="2"/>
    <s v="Schools"/>
    <s v="Linear Fluorescent"/>
    <n v="0"/>
    <n v="0"/>
  </r>
  <r>
    <x v="4"/>
    <x v="2"/>
    <s v="Schools"/>
    <s v="Linear Fluorescent"/>
    <n v="220.61719417334498"/>
    <n v="271.06706524697006"/>
  </r>
  <r>
    <x v="4"/>
    <x v="2"/>
    <s v="Miscellaneous"/>
    <s v="Linear Fluorescent"/>
    <n v="0"/>
    <n v="0"/>
  </r>
  <r>
    <x v="4"/>
    <x v="2"/>
    <s v="Miscellaneous"/>
    <s v="Linear Fluorescent"/>
    <n v="598.75566090095401"/>
    <n v="729.02889055123103"/>
  </r>
  <r>
    <x v="4"/>
    <x v="2"/>
    <s v="Health and Medical Hospital"/>
    <s v="Linear Fluorescent"/>
    <n v="0"/>
    <n v="0"/>
  </r>
  <r>
    <x v="4"/>
    <x v="2"/>
    <s v="Health and Medical Hospital"/>
    <s v="Linear Fluorescent"/>
    <n v="156.71055923889523"/>
    <n v="197.76143689626537"/>
  </r>
  <r>
    <x v="5"/>
    <x v="2"/>
    <s v="Health and Medical Hospital"/>
    <s v="Linear Fluorescent"/>
    <n v="0"/>
    <n v="0"/>
  </r>
  <r>
    <x v="5"/>
    <x v="6"/>
    <s v="Health and Medical Hospital"/>
    <s v="Linear Fluorescent"/>
    <n v="0"/>
    <n v="0"/>
  </r>
  <r>
    <x v="5"/>
    <x v="6"/>
    <s v="Hotel/Motel, Dorms, Assisted Living"/>
    <s v="Linear Fluorescent"/>
    <n v="0"/>
    <n v="0"/>
  </r>
  <r>
    <x v="5"/>
    <x v="6"/>
    <s v="Hotel/Motel, Dorms, Assisted Living"/>
    <s v="CFL"/>
    <n v="60.883763540057572"/>
    <n v="112.78717195795663"/>
  </r>
  <r>
    <x v="5"/>
    <x v="6"/>
    <s v="Hotel/Motel, Dorms, Assisted Living"/>
    <s v="Incandescent"/>
    <n v="219.85803500576341"/>
    <n v="112.78717195795663"/>
  </r>
  <r>
    <x v="5"/>
    <x v="6"/>
    <s v="Office"/>
    <s v="Incandescent"/>
    <n v="0"/>
    <n v="0"/>
  </r>
  <r>
    <x v="5"/>
    <x v="6"/>
    <s v="Office"/>
    <s v="CFL"/>
    <n v="15.759194586979897"/>
    <n v="26.796252642818629"/>
  </r>
  <r>
    <x v="5"/>
    <x v="6"/>
    <s v="Office"/>
    <s v="Incandescent"/>
    <n v="250.04424862701541"/>
    <n v="120.0212393409674"/>
  </r>
  <r>
    <x v="6"/>
    <x v="6"/>
    <s v="Office"/>
    <s v="Incandescent"/>
    <n v="0"/>
    <n v="0"/>
  </r>
  <r>
    <x v="6"/>
    <x v="7"/>
    <s v="Office"/>
    <s v="Incandescent"/>
    <n v="0"/>
    <n v="0"/>
  </r>
  <r>
    <x v="6"/>
    <x v="7"/>
    <s v="Office"/>
    <s v="Incandescent"/>
    <n v="0"/>
    <n v="0"/>
  </r>
  <r>
    <x v="6"/>
    <x v="7"/>
    <s v="Office"/>
    <s v="CFL"/>
    <n v="6.0241000859948306"/>
    <n v="10.43773639518577"/>
  </r>
  <r>
    <x v="6"/>
    <x v="7"/>
    <s v="Office"/>
    <s v="Incandescent"/>
    <n v="59.297273385869531"/>
    <n v="28.098126235226509"/>
  </r>
  <r>
    <x v="6"/>
    <x v="7"/>
    <s v="Office"/>
    <s v="Halogen "/>
    <n v="45.542833454230305"/>
    <n v="22.988848173296457"/>
  </r>
  <r>
    <x v="6"/>
    <x v="7"/>
    <s v="Restaurant"/>
    <s v="Halogen "/>
    <n v="0"/>
    <n v="0"/>
  </r>
  <r>
    <x v="6"/>
    <x v="7"/>
    <s v="Restaurant"/>
    <s v="Incandescent"/>
    <n v="180.25146289138166"/>
    <n v="76.820164101982115"/>
  </r>
  <r>
    <x v="6"/>
    <x v="7"/>
    <s v="Restaurant"/>
    <s v="Halogen "/>
    <n v="197.3004390155545"/>
    <n v="88.511740089988152"/>
  </r>
  <r>
    <x v="7"/>
    <x v="7"/>
    <s v="Restaurant"/>
    <s v="Halogen "/>
    <n v="0"/>
    <n v="0"/>
  </r>
  <r>
    <x v="7"/>
    <x v="6"/>
    <s v="Restaurant"/>
    <s v="Halogen "/>
    <n v="0"/>
    <n v="0"/>
  </r>
  <r>
    <x v="7"/>
    <x v="6"/>
    <s v="Office"/>
    <s v="Halogen "/>
    <n v="0"/>
    <n v="0"/>
  </r>
  <r>
    <x v="7"/>
    <x v="6"/>
    <s v="Office"/>
    <s v="Linear Fluorescent"/>
    <n v="17.049284770598771"/>
    <n v="36.940117002963994"/>
  </r>
  <r>
    <x v="7"/>
    <x v="1"/>
    <s v="Office"/>
    <s v="Linear Fluorescent"/>
    <n v="0"/>
    <n v="0"/>
  </r>
  <r>
    <x v="7"/>
    <x v="1"/>
    <s v="Retail"/>
    <s v="Linear Fluorescent"/>
    <n v="0"/>
    <n v="0"/>
  </r>
  <r>
    <x v="7"/>
    <x v="1"/>
    <s v="Retail"/>
    <s v="Linear Fluorescent"/>
    <n v="20.232024559946961"/>
    <n v="43.301822340592075"/>
  </r>
  <r>
    <x v="7"/>
    <x v="1"/>
    <s v="Restaurant"/>
    <s v="Linear Fluorescent"/>
    <n v="0"/>
    <n v="0"/>
  </r>
  <r>
    <x v="7"/>
    <x v="1"/>
    <s v="Restaurant"/>
    <s v="Linear Fluorescent"/>
    <n v="1.8344671247554971"/>
    <n v="3.5772108932732181"/>
  </r>
  <r>
    <x v="7"/>
    <x v="4"/>
    <s v="Restaurant"/>
    <s v="Linear Fluorescent"/>
    <n v="0"/>
    <n v="0"/>
  </r>
  <r>
    <x v="7"/>
    <x v="4"/>
    <s v="All Commercial"/>
    <s v="Linear Fluorescent"/>
    <n v="0"/>
    <n v="0"/>
  </r>
  <r>
    <x v="7"/>
    <x v="4"/>
    <s v="All Commercial"/>
    <s v="Linear Fluorescent"/>
    <n v="382.11926135664839"/>
    <n v="653.38729122230916"/>
  </r>
  <r>
    <x v="7"/>
    <x v="5"/>
    <s v="All Commercial"/>
    <s v="Linear Fluorescent"/>
    <n v="0"/>
    <n v="0"/>
  </r>
  <r>
    <x v="7"/>
    <x v="5"/>
    <s v="All Commercial"/>
    <s v="Linear Fluorescent"/>
    <n v="0"/>
    <n v="0"/>
  </r>
  <r>
    <x v="7"/>
    <x v="5"/>
    <s v="All Commercial"/>
    <s v="Linear Fluorescent"/>
    <n v="42.241530280556454"/>
    <n v="72.228965766103016"/>
  </r>
  <r>
    <x v="7"/>
    <x v="2"/>
    <s v="All Commercial"/>
    <s v="Linear Fluorescent"/>
    <n v="0"/>
    <n v="0"/>
  </r>
  <r>
    <x v="7"/>
    <x v="2"/>
    <s v="University/College"/>
    <s v="Linear Fluorescent"/>
    <n v="0"/>
    <n v="0"/>
  </r>
  <r>
    <x v="7"/>
    <x v="2"/>
    <s v="University/College"/>
    <s v="Linear Fluorescent"/>
    <n v="109.61866268790889"/>
    <n v="187.27435031373497"/>
  </r>
  <r>
    <x v="7"/>
    <x v="2"/>
    <s v="Hotel/Motel, Dorms, Assisted Living"/>
    <s v="Linear Fluorescent"/>
    <n v="0"/>
    <n v="0"/>
  </r>
  <r>
    <x v="7"/>
    <x v="2"/>
    <s v="Hotel/Motel, Dorms, Assisted Living"/>
    <s v="Linear Fluorescent"/>
    <n v="10.464192418925684"/>
    <n v="14.305183487861566"/>
  </r>
  <r>
    <x v="7"/>
    <x v="2"/>
    <s v="Office"/>
    <s v="Linear Fluorescent"/>
    <n v="0"/>
    <n v="0"/>
  </r>
  <r>
    <x v="7"/>
    <x v="2"/>
    <s v="Office"/>
    <s v="Linear Fluorescent"/>
    <n v="618.73544215249262"/>
    <n v="1056.5797737253315"/>
  </r>
  <r>
    <x v="7"/>
    <x v="2"/>
    <s v="Retail"/>
    <s v="Linear Fluorescent"/>
    <n v="0"/>
    <n v="0"/>
  </r>
  <r>
    <x v="7"/>
    <x v="2"/>
    <s v="Retail"/>
    <s v="Linear Fluorescent"/>
    <n v="94.996596883018057"/>
    <n v="147.70097463229004"/>
  </r>
  <r>
    <x v="7"/>
    <x v="2"/>
    <s v="Warehouse "/>
    <s v="Linear Fluorescent"/>
    <n v="0"/>
    <n v="0"/>
  </r>
  <r>
    <x v="7"/>
    <x v="2"/>
    <s v="Warehouse "/>
    <s v="Linear Fluorescent"/>
    <n v="37.135653933358483"/>
    <n v="84.097904173266699"/>
  </r>
  <r>
    <x v="7"/>
    <x v="2"/>
    <s v="Food and Liquor Stores"/>
    <s v="Linear Fluorescent"/>
    <n v="0"/>
    <n v="0"/>
  </r>
  <r>
    <x v="7"/>
    <x v="2"/>
    <s v="Food and Liquor Stores"/>
    <s v="Linear Fluorescent"/>
    <n v="46.866252669243487"/>
    <n v="69.789601902445355"/>
  </r>
  <r>
    <x v="7"/>
    <x v="2"/>
    <s v="Health and Medical Clinics"/>
    <s v="Linear Fluorescent"/>
    <n v="0"/>
    <n v="0"/>
  </r>
  <r>
    <x v="7"/>
    <x v="2"/>
    <s v="Health and Medical Clinics"/>
    <s v="Linear Fluorescent"/>
    <n v="59.493076051188247"/>
    <n v="94.517932178903052"/>
  </r>
  <r>
    <x v="7"/>
    <x v="2"/>
    <s v="Restaurant"/>
    <s v="Linear Fluorescent"/>
    <n v="0"/>
    <n v="0"/>
  </r>
  <r>
    <x v="7"/>
    <x v="2"/>
    <s v="Restaurant"/>
    <s v="Linear Fluorescent"/>
    <n v="38.809306852495979"/>
    <n v="78.562751204429247"/>
  </r>
  <r>
    <x v="7"/>
    <x v="2"/>
    <s v="Schools"/>
    <s v="Linear Fluorescent"/>
    <n v="0"/>
    <n v="0"/>
  </r>
  <r>
    <x v="7"/>
    <x v="2"/>
    <s v="Schools"/>
    <s v="Linear Fluorescent"/>
    <n v="159.12853790821592"/>
    <n v="271.06706524697006"/>
  </r>
  <r>
    <x v="7"/>
    <x v="2"/>
    <s v="Miscellaneous"/>
    <s v="Linear Fluorescent"/>
    <n v="0"/>
    <n v="0"/>
  </r>
  <r>
    <x v="7"/>
    <x v="2"/>
    <s v="Miscellaneous"/>
    <s v="Linear Fluorescent"/>
    <n v="431.8752817088814"/>
    <n v="729.02889055123103"/>
  </r>
  <r>
    <x v="7"/>
    <x v="2"/>
    <s v="Health and Medical Hospital"/>
    <s v="Linear Fluorescent"/>
    <n v="0"/>
    <n v="0"/>
  </r>
  <r>
    <x v="7"/>
    <x v="2"/>
    <s v="Health and Medical Hospital"/>
    <s v="Linear Fluorescent"/>
    <n v="113.03344809503142"/>
    <n v="197.76143689626537"/>
  </r>
  <r>
    <x v="8"/>
    <x v="2"/>
    <s v="Health and Medical Hospital"/>
    <s v="Linear Fluorescent"/>
    <n v="0"/>
    <n v="0"/>
  </r>
  <r>
    <x v="8"/>
    <x v="3"/>
    <s v="Health and Medical Hospital"/>
    <s v="Linear Fluorescent"/>
    <n v="0"/>
    <n v="0"/>
  </r>
  <r>
    <x v="8"/>
    <x v="3"/>
    <s v="University/College"/>
    <s v="Linear Fluorescent"/>
    <n v="0"/>
    <n v="0"/>
  </r>
  <r>
    <x v="8"/>
    <x v="3"/>
    <s v="University/College"/>
    <s v="MH (Std, PS, CMH)"/>
    <n v="3.8010336556704338"/>
    <n v="4.9588630620390619"/>
  </r>
  <r>
    <x v="8"/>
    <x v="3"/>
    <s v="Retail"/>
    <s v="MH (Std, PS, CMH)"/>
    <n v="0"/>
    <n v="0"/>
  </r>
  <r>
    <x v="8"/>
    <x v="3"/>
    <s v="Retail"/>
    <s v="MH (Std, PS, CMH)"/>
    <n v="181.95356683560576"/>
    <n v="243.31557227168014"/>
  </r>
  <r>
    <x v="8"/>
    <x v="3"/>
    <s v="Warehouse "/>
    <s v="MH (Std, PS, CMH)"/>
    <n v="0"/>
    <n v="0"/>
  </r>
  <r>
    <x v="8"/>
    <x v="3"/>
    <s v="Warehouse "/>
    <s v="MH (Std, PS, CMH)"/>
    <n v="53.443735384197936"/>
    <n v="71.420784133301666"/>
  </r>
  <r>
    <x v="8"/>
    <x v="3"/>
    <s v="Schools"/>
    <s v="MH (Std, PS, CMH)"/>
    <n v="0"/>
    <n v="0"/>
  </r>
  <r>
    <x v="8"/>
    <x v="3"/>
    <s v="Schools"/>
    <s v="MH (Std, PS, CMH)"/>
    <n v="13.229088191889645"/>
    <n v="20.652035640831038"/>
  </r>
  <r>
    <x v="8"/>
    <x v="3"/>
    <s v="Industrial"/>
    <s v="MH (Std, PS, CMH)"/>
    <n v="0"/>
    <n v="0"/>
  </r>
  <r>
    <x v="8"/>
    <x v="3"/>
    <s v="Industrial"/>
    <s v="MH (Std, PS, CMH)"/>
    <n v="28.119318083516493"/>
    <n v="44.198455424000009"/>
  </r>
  <r>
    <x v="9"/>
    <x v="3"/>
    <s v="Industrial"/>
    <s v="MH (Std, PS, CMH)"/>
    <n v="0"/>
    <n v="0"/>
  </r>
  <r>
    <x v="9"/>
    <x v="8"/>
    <s v="Industrial"/>
    <s v="MH (Std, PS, CMH)"/>
    <n v="0"/>
    <n v="0"/>
  </r>
  <r>
    <x v="9"/>
    <x v="8"/>
    <s v="All Commercial"/>
    <s v="MH (Std, PS, CMH)"/>
    <n v="0"/>
    <n v="0"/>
  </r>
  <r>
    <x v="9"/>
    <x v="8"/>
    <s v="All Commercial"/>
    <s v="Incandescent"/>
    <n v="42.345112588633263"/>
    <n v="0"/>
  </r>
  <r>
    <x v="9"/>
    <x v="8"/>
    <s v="All Commercial"/>
    <s v="LED"/>
    <n v="61.327587497157452"/>
    <n v="0"/>
  </r>
  <r>
    <x v="10"/>
    <x v="8"/>
    <s v="All Commercial"/>
    <s v="LED"/>
    <n v="0"/>
    <n v="0"/>
  </r>
  <r>
    <x v="10"/>
    <x v="3"/>
    <s v="All Commercial"/>
    <s v="LED"/>
    <n v="0"/>
    <n v="0"/>
  </r>
  <r>
    <x v="10"/>
    <x v="3"/>
    <s v="University/College"/>
    <s v="LED"/>
    <n v="0"/>
    <n v="0"/>
  </r>
  <r>
    <x v="10"/>
    <x v="3"/>
    <s v="University/College"/>
    <s v="Linear Fluorescent"/>
    <n v="13.725304715921281"/>
    <n v="23.448539331758511"/>
  </r>
  <r>
    <x v="10"/>
    <x v="3"/>
    <s v="University/College"/>
    <s v="MH (Std, PS, CMH)"/>
    <n v="3.0077744579652994"/>
    <n v="4.9588630620390619"/>
  </r>
  <r>
    <x v="10"/>
    <x v="3"/>
    <s v="Retail"/>
    <s v="MH (Std, PS, CMH)"/>
    <n v="0"/>
    <n v="0"/>
  </r>
  <r>
    <x v="10"/>
    <x v="3"/>
    <s v="Retail"/>
    <s v="Linear Fluorescent"/>
    <n v="290.57174729024797"/>
    <n v="440.15358239428133"/>
  </r>
  <r>
    <x v="10"/>
    <x v="3"/>
    <s v="Retail"/>
    <s v="MH (Std, PS, CMH)"/>
    <n v="143.98064853947932"/>
    <n v="243.31557227168014"/>
  </r>
  <r>
    <x v="10"/>
    <x v="3"/>
    <s v="Warehouse "/>
    <s v="MH (Std, PS, CMH)"/>
    <n v="0"/>
    <n v="0"/>
  </r>
  <r>
    <x v="10"/>
    <x v="3"/>
    <s v="Warehouse "/>
    <s v="Linear Fluorescent"/>
    <n v="123.66455532884841"/>
    <n v="214.50745601796345"/>
  </r>
  <r>
    <x v="10"/>
    <x v="3"/>
    <s v="Warehouse "/>
    <s v="MH (Std, PS, CMH)"/>
    <n v="42.290260173582709"/>
    <n v="71.420784133301666"/>
  </r>
  <r>
    <x v="10"/>
    <x v="3"/>
    <s v="Food and Liquor Stores"/>
    <s v="MH (Std, PS, CMH)"/>
    <n v="0"/>
    <n v="0"/>
  </r>
  <r>
    <x v="10"/>
    <x v="3"/>
    <s v="Food and Liquor Stores"/>
    <s v="Linear Fluorescent"/>
    <n v="149.93919479486527"/>
    <n v="148.31824167979778"/>
  </r>
  <r>
    <x v="10"/>
    <x v="3"/>
    <s v="Schools"/>
    <s v="Linear Fluorescent"/>
    <n v="0"/>
    <n v="0"/>
  </r>
  <r>
    <x v="10"/>
    <x v="3"/>
    <s v="Schools"/>
    <s v="Linear Fluorescent"/>
    <n v="47.769444576374127"/>
    <n v="96.767289730112978"/>
  </r>
  <r>
    <x v="10"/>
    <x v="3"/>
    <s v="Schools"/>
    <s v="MH (Std, PS, CMH)"/>
    <n v="10.468235004017023"/>
    <n v="20.652035640831038"/>
  </r>
  <r>
    <x v="10"/>
    <x v="3"/>
    <s v="Industrial"/>
    <s v="MH (Std, PS, CMH)"/>
    <n v="0"/>
    <n v="0"/>
  </r>
  <r>
    <x v="10"/>
    <x v="3"/>
    <s v="Industrial"/>
    <s v="Linear Fluorescent"/>
    <n v="456.299843446154"/>
    <n v="939.21717776000014"/>
  </r>
  <r>
    <x v="10"/>
    <x v="3"/>
    <s v="Industrial"/>
    <s v="MH (Std, PS, CMH)"/>
    <n v="22.250938657391313"/>
    <n v="44.198455424000009"/>
  </r>
  <r>
    <x v="11"/>
    <x v="3"/>
    <s v="Industrial"/>
    <s v="MH (Std, PS, CMH)"/>
    <n v="0"/>
    <n v="0"/>
  </r>
  <r>
    <x v="11"/>
    <x v="3"/>
    <s v="Industrial"/>
    <s v="MH (Std, PS, CMH)"/>
    <n v="0"/>
    <n v="0"/>
  </r>
  <r>
    <x v="11"/>
    <x v="3"/>
    <s v="University/College"/>
    <s v="MH (Std, PS, CMH)"/>
    <n v="0"/>
    <n v="0"/>
  </r>
  <r>
    <x v="11"/>
    <x v="3"/>
    <s v="University/College"/>
    <s v="Linear Fluorescent"/>
    <n v="19.028882282242051"/>
    <n v="23.448539331758511"/>
  </r>
  <r>
    <x v="11"/>
    <x v="3"/>
    <s v="University/College"/>
    <s v="MH (Std, PS, CMH)"/>
    <n v="8.4757556705868851"/>
    <n v="4.9588630620390619"/>
  </r>
  <r>
    <x v="11"/>
    <x v="3"/>
    <s v="Retail"/>
    <s v="MH (Std, PS, CMH)"/>
    <n v="0"/>
    <n v="0"/>
  </r>
  <r>
    <x v="11"/>
    <x v="3"/>
    <s v="Retail"/>
    <s v="CFL"/>
    <n v="38.376546837019859"/>
    <n v="60.597037258112501"/>
  </r>
  <r>
    <x v="11"/>
    <x v="3"/>
    <s v="Retail"/>
    <s v="Linear Fluorescent"/>
    <n v="505.35181019114407"/>
    <n v="440.15358239428133"/>
  </r>
  <r>
    <x v="11"/>
    <x v="3"/>
    <s v="Retail"/>
    <s v="MH (Std, PS, CMH)"/>
    <n v="405.73015542488798"/>
    <n v="243.31557227168014"/>
  </r>
  <r>
    <x v="11"/>
    <x v="3"/>
    <s v="Warehouse "/>
    <s v="MH (Std, PS, CMH)"/>
    <n v="0"/>
    <n v="0"/>
  </r>
  <r>
    <x v="11"/>
    <x v="3"/>
    <s v="Warehouse "/>
    <s v="Linear Fluorescent"/>
    <n v="215.07289498965625"/>
    <n v="214.50745601796345"/>
  </r>
  <r>
    <x v="11"/>
    <x v="3"/>
    <s v="Warehouse "/>
    <s v="MH (Std, PS, CMH)"/>
    <n v="119.17180542829573"/>
    <n v="71.420784133301666"/>
  </r>
  <r>
    <x v="11"/>
    <x v="3"/>
    <s v="Food and Liquor Stores"/>
    <s v="MH (Std, PS, CMH)"/>
    <n v="0"/>
    <n v="0"/>
  </r>
  <r>
    <x v="11"/>
    <x v="3"/>
    <s v="Food and Liquor Stores"/>
    <s v="Linear Fluorescent"/>
    <n v="207.87700865657163"/>
    <n v="148.31824167979778"/>
  </r>
  <r>
    <x v="11"/>
    <x v="3"/>
    <s v="Schools"/>
    <s v="Linear Fluorescent"/>
    <n v="0"/>
    <n v="0"/>
  </r>
  <r>
    <x v="11"/>
    <x v="3"/>
    <s v="Schools"/>
    <s v="Linear Fluorescent"/>
    <n v="66.227974995518693"/>
    <n v="96.767289730112978"/>
  </r>
  <r>
    <x v="11"/>
    <x v="3"/>
    <s v="Schools"/>
    <s v="MH (Std, PS, CMH)"/>
    <n v="29.498954604579939"/>
    <n v="20.652035640831038"/>
  </r>
  <r>
    <x v="11"/>
    <x v="3"/>
    <s v="Industrial"/>
    <s v="MH (Std, PS, CMH)"/>
    <n v="0"/>
    <n v="0"/>
  </r>
  <r>
    <x v="11"/>
    <x v="3"/>
    <s v="Industrial"/>
    <s v="Linear Fluorescent"/>
    <n v="632.61808652380978"/>
    <n v="939.21717776000014"/>
  </r>
  <r>
    <x v="11"/>
    <x v="3"/>
    <s v="Industrial"/>
    <s v="MH (Std, PS, CMH)"/>
    <n v="62.702015106825911"/>
    <n v="44.198455424000009"/>
  </r>
  <r>
    <x v="12"/>
    <x v="3"/>
    <s v="Industrial"/>
    <s v="MH (Std, PS, CMH)"/>
    <n v="0"/>
    <n v="0"/>
  </r>
  <r>
    <x v="12"/>
    <x v="7"/>
    <s v="Industrial"/>
    <s v="MH (Std, PS, CMH)"/>
    <n v="0"/>
    <n v="0"/>
  </r>
  <r>
    <x v="12"/>
    <x v="7"/>
    <s v="Restaurant"/>
    <s v="MH (Std, PS, CMH)"/>
    <n v="0"/>
    <n v="0"/>
  </r>
  <r>
    <x v="12"/>
    <x v="7"/>
    <s v="Restaurant"/>
    <s v="Halogen "/>
    <n v="181.72408856695813"/>
    <n v="88.511740089988152"/>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r>
    <x v="12"/>
    <x v="7"/>
    <s v="Restaurant"/>
    <s v="Halogen "/>
    <n v="0"/>
    <n v="0"/>
  </r>
</pivotCacheRecords>
</file>

<file path=xl/pivotCache/pivotCacheRecords5.xml><?xml version="1.0" encoding="utf-8"?>
<pivotCacheRecords xmlns="http://schemas.openxmlformats.org/spreadsheetml/2006/main" xmlns:r="http://schemas.openxmlformats.org/officeDocument/2006/relationships" count="679">
  <r>
    <x v="0"/>
    <x v="0"/>
    <x v="0"/>
    <n v="3309.4202638916172"/>
    <x v="0"/>
    <n v="0.61494894288925672"/>
    <s v="Manual Switch"/>
    <n v="0.96791276330706777"/>
    <s v="Halogen MSB"/>
    <s v="Vacancy Sensor"/>
    <x v="0"/>
    <s v="Occupancy"/>
    <n v="1275.3446821900325"/>
    <n v="378.20601053847685"/>
    <n v="1187.1559541662537"/>
    <s v="No change"/>
    <m/>
    <s v="Reliability"/>
    <s v="Performance"/>
    <s v="No barrier identified"/>
    <s v="No barrier identified"/>
    <s v="Lighting reliability - non dimming CFL on dimmer"/>
    <m/>
    <m/>
    <s v="Trial in Progress"/>
    <n v="1"/>
    <m/>
    <n v="2.1800000000000002"/>
    <s v="Yes"/>
    <s v="Maturity"/>
  </r>
  <r>
    <x v="0"/>
    <x v="0"/>
    <x v="0"/>
    <n v="3309.4202638916172"/>
    <x v="0"/>
    <n v="0.61494894288925672"/>
    <s v="Manual Switch"/>
    <n v="0.96791276330706777"/>
    <s v="Halogen MSB"/>
    <s v="Vacancy Sensor"/>
    <x v="1"/>
    <s v="Occupancy"/>
    <n v="1356.7496619042902"/>
    <n v="378.20601053847685"/>
    <n v="1288.9121788090754"/>
    <s v="No change"/>
    <m/>
    <s v="First cost"/>
    <s v="Performance"/>
    <s v="No barrier identified"/>
    <s v="No barrier identified"/>
    <s v="None"/>
    <m/>
    <m/>
    <s v="ETP Assessment"/>
    <n v="4"/>
    <m/>
    <n v="2.1800000000000002"/>
    <s v="Yes"/>
    <s v="Growth"/>
  </r>
  <r>
    <x v="0"/>
    <x v="0"/>
    <x v="0"/>
    <n v="3309.4202638916172"/>
    <x v="1"/>
    <n v="0.15216081547975951"/>
    <s v="Manual Switch"/>
    <n v="0.98905998299780551"/>
    <s v="Linear Fluorescent T-8 / Code Compliant T-12"/>
    <s v="Manual Switch"/>
    <x v="2"/>
    <s v="Occupancy"/>
    <n v="125.97754456859941"/>
    <n v="95.626576599389395"/>
    <n v="80.570253779038296"/>
    <n v="95.626576599389395"/>
    <m/>
    <s v="No barrier identified"/>
    <s v="No barrier identified"/>
    <s v="No barrier identified"/>
    <s v="No barrier identified"/>
    <s v="None"/>
    <m/>
    <m/>
    <s v="TBD"/>
    <s v="TBD"/>
    <m/>
    <n v="2.1800000000000002"/>
    <s v="Yes"/>
    <s v="Maturity"/>
  </r>
  <r>
    <x v="0"/>
    <x v="0"/>
    <x v="0"/>
    <n v="3309.4202638916172"/>
    <x v="1"/>
    <n v="0.15216081547975951"/>
    <s v="Manual Switch"/>
    <n v="0.98905998299780551"/>
    <s v="Linear Fluorescent T-8 / Code Compliant T-12"/>
    <s v="Manual Switch"/>
    <x v="3"/>
    <s v="Occupancy"/>
    <n v="141.66657692476136"/>
    <n v="95.626576599389395"/>
    <n v="88.123715070823152"/>
    <n v="95.626576599389395"/>
    <m/>
    <s v="First cost"/>
    <s v="Performance"/>
    <s v="No barrier identified"/>
    <s v="No barrier identified"/>
    <s v="None"/>
    <m/>
    <m/>
    <s v="TBD"/>
    <s v="TBD"/>
    <m/>
    <n v="2.1800000000000002"/>
    <s v="Yes"/>
    <s v="Introduction"/>
  </r>
  <r>
    <x v="0"/>
    <x v="0"/>
    <x v="0"/>
    <n v="3309.4202638916172"/>
    <x v="2"/>
    <n v="9.7597657036142427E-2"/>
    <s v="Manual Switch"/>
    <n v="0.99097623145175151"/>
    <s v="Halogen MSB"/>
    <s v="Vacancy Sensor"/>
    <x v="1"/>
    <s v="Occupancy"/>
    <n v="59.629230259154603"/>
    <n v="61.454795882049204"/>
    <n v="59.629230259154603"/>
    <s v="No change"/>
    <m/>
    <s v="First cost"/>
    <s v="Performance"/>
    <s v="No barrier identified"/>
    <s v="No barrier identified"/>
    <s v="None"/>
    <m/>
    <m/>
    <s v="TBD"/>
    <n v="2"/>
    <m/>
    <n v="2.1800000000000002"/>
    <s v="Yes"/>
    <s v="Growth"/>
  </r>
  <r>
    <x v="0"/>
    <x v="0"/>
    <x v="0"/>
    <n v="3309.4202638916172"/>
    <x v="3"/>
    <n v="5.9613916853857467E-2"/>
    <s v="Manual Switch"/>
    <n v="0.95442163215725395"/>
    <s v="Halogen SSB"/>
    <s v="Vacancy Sensor"/>
    <x v="4"/>
    <s v="Occupancy"/>
    <n v="131.52500296407061"/>
    <n v="36.152728703555312"/>
    <n v="124.94875281586708"/>
    <s v="No change"/>
    <m/>
    <s v="First cost"/>
    <s v="Awareness"/>
    <s v="No barrier identified"/>
    <s v="No barrier identified"/>
    <s v="None"/>
    <m/>
    <m/>
    <s v="TBD"/>
    <s v="TBD"/>
    <m/>
    <n v="2.1800000000000002"/>
    <s v="Yes"/>
    <s v="Growth"/>
  </r>
  <r>
    <x v="0"/>
    <x v="0"/>
    <x v="0"/>
    <n v="3309.4202638916172"/>
    <x v="3"/>
    <n v="5.9613916853857467E-2"/>
    <s v="Manual Switch"/>
    <n v="0.95442163215725395"/>
    <s v="Halogen SSB"/>
    <s v="Vacancy Sensor"/>
    <x v="5"/>
    <s v="Occupancy"/>
    <n v="123.63350278622639"/>
    <n v="36.152728703555312"/>
    <n v="115.08437759356178"/>
    <s v="No change"/>
    <m/>
    <s v="Reliability"/>
    <s v="Awareness"/>
    <s v="No barrier identified"/>
    <s v="No barrier identified"/>
    <s v="Lighting reliability - non dimming CFL on dimmer"/>
    <m/>
    <m/>
    <s v="TBD"/>
    <s v="TBD"/>
    <m/>
    <n v="2.1800000000000002"/>
    <s v="Yes"/>
    <s v="Maturity"/>
  </r>
  <r>
    <x v="0"/>
    <x v="0"/>
    <x v="0"/>
    <n v="3309.4202638916172"/>
    <x v="4"/>
    <n v="3.6223539603964204E-2"/>
    <s v="Manual Switch"/>
    <n v="0.93960197208728269"/>
    <s v="Halogen Pin Base"/>
    <s v="Manual Switch"/>
    <x v="6"/>
    <s v="Occupancy"/>
    <n v="75.923313463651795"/>
    <n v="21.626585449116074"/>
    <n v="75.923313463651795"/>
    <n v="21.626585449116074"/>
    <m/>
    <s v="First cost"/>
    <s v="Performance"/>
    <s v="No barrier identified"/>
    <s v="No barrier identified"/>
    <s v="None"/>
    <m/>
    <m/>
    <s v="TBD"/>
    <s v="TBD"/>
    <m/>
    <n v="2.1800000000000002"/>
    <s v="Yes"/>
    <s v="Maturity"/>
  </r>
  <r>
    <x v="0"/>
    <x v="0"/>
    <x v="0"/>
    <n v="3309.4202638916172"/>
    <x v="4"/>
    <n v="3.6223539603964204E-2"/>
    <s v="Manual Switch"/>
    <n v="0.93960197208728269"/>
    <s v="Halogen Pin Base"/>
    <s v="Manual Switch"/>
    <x v="7"/>
    <s v="Occupancy"/>
    <n v="69.929367663889806"/>
    <n v="21.626585449116074"/>
    <n v="69.929367663889806"/>
    <n v="21.626585449116074"/>
    <m/>
    <s v="Reliability"/>
    <s v="Awareness"/>
    <s v="No barrier identified"/>
    <s v="No barrier identified"/>
    <s v="Lighting reliability - non dimming CFL on dimmer"/>
    <m/>
    <m/>
    <s v="TBD"/>
    <s v="TBD"/>
    <m/>
    <n v="2.1800000000000002"/>
    <s v="Yes"/>
    <s v="Maturity"/>
  </r>
  <r>
    <x v="0"/>
    <x v="0"/>
    <x v="0"/>
    <n v="3309.4202638916172"/>
    <x v="5"/>
    <n v="2.4891525462739306E-2"/>
    <s v="Manual Switch"/>
    <n v="0.90806830870899968"/>
    <s v="Halogen MSB"/>
    <s v="Vacancy Sensor"/>
    <x v="0"/>
    <s v="Occupancy"/>
    <n v="48.052969279912119"/>
    <n v="14.362273165973862"/>
    <n v="48.052969279912119"/>
    <s v="No change"/>
    <m/>
    <s v="Reliability"/>
    <s v="Performance"/>
    <s v="No barrier identified"/>
    <s v="No barrier identified"/>
    <s v="Lighting reliability - non dimming CFL on dimmer"/>
    <m/>
    <m/>
    <s v="TBD"/>
    <n v="7"/>
    <m/>
    <n v="2.1800000000000002"/>
    <s v="Yes"/>
    <s v="Maturity"/>
  </r>
  <r>
    <x v="0"/>
    <x v="0"/>
    <x v="0"/>
    <n v="3309.4202638916172"/>
    <x v="5"/>
    <n v="2.4891525462739306E-2"/>
    <s v="Manual Switch"/>
    <n v="0.90806830870899968"/>
    <s v="Halogen MSB"/>
    <s v="Vacancy Sensor"/>
    <x v="1"/>
    <s v="Occupancy"/>
    <n v="52.171795218190304"/>
    <n v="14.362273165973862"/>
    <n v="52.171795218190304"/>
    <s v="No change"/>
    <m/>
    <s v="First cost"/>
    <s v="Performance"/>
    <s v="No barrier identified"/>
    <s v="No barrier identified"/>
    <s v="None"/>
    <m/>
    <m/>
    <s v="TBD"/>
    <s v="TBD"/>
    <m/>
    <n v="2.1800000000000002"/>
    <s v="Yes"/>
    <s v="Maturity"/>
  </r>
  <r>
    <x v="0"/>
    <x v="0"/>
    <x v="1"/>
    <n v="4365.0457202778744"/>
    <x v="0"/>
    <n v="0.54971491087736157"/>
    <s v="Manual Switch"/>
    <n v="0.83173735899321444"/>
    <s v="Halogen MSB"/>
    <s v="Vacancy Sensor or Dimmer"/>
    <x v="0"/>
    <s v="Occupancy"/>
    <n v="1503.7059173015139"/>
    <n v="383.1896338801522"/>
    <n v="1399.7262528072602"/>
    <s v="No change"/>
    <m/>
    <s v="Reliability"/>
    <s v="Performance"/>
    <s v="No barrier identified"/>
    <s v="No barrier identified"/>
    <s v="Lighting reliability - non dimming CFL on dimmer"/>
    <m/>
    <m/>
    <s v="TBD"/>
    <s v="TBD"/>
    <m/>
    <n v="2.1800000000000002"/>
    <s v="Yes"/>
    <s v="Maturity"/>
  </r>
  <r>
    <x v="0"/>
    <x v="0"/>
    <x v="1"/>
    <n v="4365.0457202778744"/>
    <x v="0"/>
    <n v="0.54971491087736157"/>
    <s v="Manual Switch"/>
    <n v="0.83173735899321444"/>
    <s v="Halogen MSB"/>
    <s v="Vacancy Sensor or Dimmer"/>
    <x v="1"/>
    <s v="Occupancy"/>
    <n v="1599.6871460654402"/>
    <n v="383.1896338801522"/>
    <n v="1519.7027887621682"/>
    <s v="No change"/>
    <m/>
    <s v="First cost"/>
    <s v="Performance"/>
    <s v="No barrier identified"/>
    <s v="No barrier identified"/>
    <s v="None"/>
    <m/>
    <m/>
    <s v="TBD"/>
    <s v="TBD"/>
    <m/>
    <n v="2.1800000000000002"/>
    <s v="Yes"/>
    <s v="Maturity"/>
  </r>
  <r>
    <x v="0"/>
    <x v="0"/>
    <x v="1"/>
    <n v="4365.0457202778744"/>
    <x v="2"/>
    <n v="0.12179507578868444"/>
    <s v="Manual Switch"/>
    <n v="0.97122031669892828"/>
    <s v="Halogen MSB"/>
    <s v="Vacancy Sensor or Dimmer"/>
    <x v="1"/>
    <s v="Occupancy"/>
    <n v="98.149121413350727"/>
    <n v="99.137397614107897"/>
    <n v="98.149121413350727"/>
    <s v="No change"/>
    <m/>
    <s v="First cost"/>
    <s v="Performance"/>
    <s v="No barrier identified"/>
    <s v="No barrier identified"/>
    <s v="None"/>
    <m/>
    <m/>
    <s v="TBD"/>
    <s v="TBD"/>
    <m/>
    <n v="2.1800000000000002"/>
    <s v="Yes"/>
    <s v="Maturity"/>
  </r>
  <r>
    <x v="0"/>
    <x v="0"/>
    <x v="1"/>
    <n v="4365.0457202778744"/>
    <x v="5"/>
    <n v="3.217924971583911E-2"/>
    <s v="Manual Switch"/>
    <n v="0.56697952405620355"/>
    <s v="Halogen MSB"/>
    <s v="Vacancy Sensor or Dimmer"/>
    <x v="0"/>
    <s v="Occupancy"/>
    <n v="81.937272814761286"/>
    <n v="15.290909384659747"/>
    <n v="81.937272814761286"/>
    <s v="No change"/>
    <m/>
    <s v="Reliability"/>
    <s v="Performance"/>
    <s v="No barrier identified"/>
    <s v="No barrier identified"/>
    <s v="Lighting reliability - non dimming CFL on dimmer"/>
    <m/>
    <m/>
    <s v="TBD"/>
    <n v="7"/>
    <m/>
    <n v="2.1800000000000002"/>
    <s v="Yes"/>
    <s v="Maturity"/>
  </r>
  <r>
    <x v="0"/>
    <x v="0"/>
    <x v="1"/>
    <n v="4365.0457202778744"/>
    <x v="5"/>
    <n v="3.217924971583911E-2"/>
    <s v="Manual Switch"/>
    <n v="0.56697952405620355"/>
    <s v="Halogen MSB"/>
    <s v="Vacancy Sensor or Dimmer"/>
    <x v="1"/>
    <s v="Occupancy"/>
    <n v="88.960467627455117"/>
    <n v="15.290909384659747"/>
    <n v="88.960467627455117"/>
    <s v="No change"/>
    <m/>
    <s v="First cost"/>
    <s v="Performance"/>
    <s v="No barrier identified"/>
    <s v="No barrier identified"/>
    <s v="None"/>
    <m/>
    <m/>
    <s v="TBD"/>
    <s v="TBD"/>
    <m/>
    <n v="2.1800000000000002"/>
    <s v="Yes"/>
    <s v="Maturity"/>
  </r>
  <r>
    <x v="0"/>
    <x v="0"/>
    <x v="1"/>
    <n v="4365.0457202778744"/>
    <x v="1"/>
    <n v="7.0869457393587729E-2"/>
    <s v="Manual Switch"/>
    <n v="0.99576144146646928"/>
    <s v="Linear Fluorescent T-8 / Code Compliant T-12"/>
    <s v="Manual Switch"/>
    <x v="2"/>
    <s v="Occupancy"/>
    <n v="77.390258073349472"/>
    <n v="59.143148217924228"/>
    <n v="49.495747471087235"/>
    <n v="59.143148217924228"/>
    <m/>
    <s v="No barrier identified"/>
    <s v="No barrier identified"/>
    <s v="No barrier identified"/>
    <s v="No barrier identified"/>
    <s v="None"/>
    <m/>
    <m/>
    <s v="TBD"/>
    <s v="TBD"/>
    <m/>
    <n v="2.1800000000000002"/>
    <s v="Yes"/>
    <s v="Maturity"/>
  </r>
  <r>
    <x v="0"/>
    <x v="0"/>
    <x v="1"/>
    <n v="4365.0457202778744"/>
    <x v="1"/>
    <n v="7.0869457393587729E-2"/>
    <s v="Manual Switch"/>
    <n v="0.99576144146646928"/>
    <s v="Linear Fluorescent T-8 / Code Compliant T-12"/>
    <s v="Manual Switch"/>
    <x v="3"/>
    <s v="Occupancy"/>
    <n v="87.028311165449054"/>
    <n v="59.143148217924228"/>
    <n v="54.135973796501673"/>
    <n v="59.143148217924228"/>
    <m/>
    <s v="First cost"/>
    <s v="Performance"/>
    <s v="No barrier identified"/>
    <s v="No barrier identified"/>
    <s v="None"/>
    <m/>
    <m/>
    <s v="TBD"/>
    <s v="TBD"/>
    <m/>
    <n v="2.1800000000000002"/>
    <s v="Yes"/>
    <s v="Maturity"/>
  </r>
  <r>
    <x v="0"/>
    <x v="0"/>
    <x v="1"/>
    <n v="4365.0457202778744"/>
    <x v="4"/>
    <n v="9.6635226804767327E-2"/>
    <s v="Manual Switch"/>
    <n v="0.58869517583389164"/>
    <s v="Halogen Pin Base"/>
    <s v="Manual Switch"/>
    <x v="6"/>
    <s v="Occupancy"/>
    <n v="267.15088268841322"/>
    <n v="47.677774239188643"/>
    <n v="267.15088268841322"/>
    <n v="47.677774239188643"/>
    <m/>
    <s v="First cost"/>
    <s v="Performance"/>
    <s v="No barrier identified"/>
    <s v="No barrier identified"/>
    <s v="None"/>
    <m/>
    <m/>
    <s v="TBD"/>
    <s v="TBD"/>
    <m/>
    <n v="2.1800000000000002"/>
    <s v="Yes"/>
    <s v="Maturity"/>
  </r>
  <r>
    <x v="0"/>
    <x v="0"/>
    <x v="1"/>
    <n v="4365.0457202778744"/>
    <x v="4"/>
    <n v="9.6635226804767327E-2"/>
    <s v="Manual Switch"/>
    <n v="0.58869517583389164"/>
    <s v="Halogen Pin Base"/>
    <s v="Manual Switch"/>
    <x v="7"/>
    <s v="Occupancy"/>
    <n v="246.06002352880165"/>
    <n v="47.677774239188643"/>
    <n v="246.06002352880165"/>
    <n v="47.677774239188643"/>
    <m/>
    <s v="Reliability"/>
    <s v="Awareness"/>
    <s v="No barrier identified"/>
    <s v="No barrier identified"/>
    <s v="Lighting reliability - non dimming CFL on dimmer"/>
    <m/>
    <m/>
    <s v="TBD"/>
    <s v="TBD"/>
    <m/>
    <n v="2.1800000000000002"/>
    <s v="Yes"/>
    <s v="Maturity"/>
  </r>
  <r>
    <x v="0"/>
    <x v="0"/>
    <x v="1"/>
    <n v="4365.0457202778744"/>
    <x v="3"/>
    <n v="0.11432595370565281"/>
    <s v="Manual Switch"/>
    <n v="0.75253699191248458"/>
    <s v="Halogen SSB"/>
    <s v="Vacancy Sensor or Dimmer"/>
    <x v="4"/>
    <s v="Occupancy"/>
    <n v="332.69200995969754"/>
    <n v="72.104556789616055"/>
    <n v="316.05740946171261"/>
    <s v="No change"/>
    <m/>
    <s v="First cost"/>
    <s v="Awareness"/>
    <s v="No barrier identified"/>
    <s v="No barrier identified"/>
    <s v="None"/>
    <m/>
    <m/>
    <s v="TBD"/>
    <s v="TBD"/>
    <m/>
    <n v="2.1800000000000002"/>
    <s v="Yes"/>
    <s v="Maturity"/>
  </r>
  <r>
    <x v="0"/>
    <x v="0"/>
    <x v="1"/>
    <n v="4365.0457202778744"/>
    <x v="3"/>
    <n v="0.11432595370565281"/>
    <s v="Manual Switch"/>
    <n v="0.75253699191248458"/>
    <s v="Halogen SSB"/>
    <s v="Vacancy Sensor or Dimmer"/>
    <x v="5"/>
    <s v="Occupancy"/>
    <n v="312.73048936211563"/>
    <n v="72.104556789616055"/>
    <n v="291.10550871473532"/>
    <s v="No change"/>
    <m/>
    <s v="Reliability"/>
    <s v="Performance"/>
    <s v="No barrier identified"/>
    <s v="No barrier identified"/>
    <s v="Lighting reliability - non dimming CFL on dimmer"/>
    <m/>
    <m/>
    <s v="TBD"/>
    <s v="TBD"/>
    <m/>
    <n v="2.1800000000000002"/>
    <s v="Yes"/>
    <s v="Maturity"/>
  </r>
  <r>
    <x v="0"/>
    <x v="0"/>
    <x v="2"/>
    <n v="2115.3347415816575"/>
    <x v="5"/>
    <n v="0.20302828447077934"/>
    <s v="Manual Switch"/>
    <n v="0.52254601892817343"/>
    <s v="Halogen MSB"/>
    <s v="Occupancy and Timeclock"/>
    <x v="1"/>
    <s v="Occupancy"/>
    <n v="271.99942965435008"/>
    <n v="43.08850432166836"/>
    <n v="271.99942965435008"/>
    <s v="No change"/>
    <m/>
    <s v="First cost"/>
    <s v="Performance"/>
    <s v="No barrier identified"/>
    <s v="No barrier identified"/>
    <s v="Exterior LEDs still not comparable to CFL in terms of cost and performance."/>
    <m/>
    <m/>
    <s v="TBD"/>
    <s v="TBD"/>
    <m/>
    <n v="2.1800000000000002"/>
    <s v="No"/>
    <s v="Maturity"/>
  </r>
  <r>
    <x v="0"/>
    <x v="0"/>
    <x v="2"/>
    <n v="2115.3347415816575"/>
    <x v="5"/>
    <n v="0.20302828447077934"/>
    <s v="Manual Switch"/>
    <n v="0.52254601892817343"/>
    <s v="Halogen MSB"/>
    <s v="Occupancy and Timeclock"/>
    <x v="0"/>
    <s v="Occupancy"/>
    <n v="250.52579047111192"/>
    <n v="43.08850432166836"/>
    <n v="250.52579047111192"/>
    <s v="No change"/>
    <m/>
    <s v="Reliability"/>
    <s v="Performance"/>
    <s v="No barrier identified"/>
    <s v="No barrier identified"/>
    <s v="Lighting reliability - non dimming CFL on dimmer"/>
    <m/>
    <m/>
    <s v="TBD"/>
    <s v="TBD"/>
    <m/>
    <n v="2.1800000000000002"/>
    <s v="No"/>
    <s v="Maturity"/>
  </r>
  <r>
    <x v="0"/>
    <x v="0"/>
    <x v="2"/>
    <n v="2115.3347415816575"/>
    <x v="4"/>
    <n v="0.13674984266970341"/>
    <s v="Manual Switch"/>
    <n v="0.54361961048352092"/>
    <s v="Halogen MSB"/>
    <s v="Occupancy and Timeclock"/>
    <x v="6"/>
    <s v="Occupancy"/>
    <n v="183.20540563319796"/>
    <n v="30.192722904897703"/>
    <n v="183.20540563319796"/>
    <s v="No change"/>
    <m/>
    <s v="First cost"/>
    <s v="Performance"/>
    <s v="No barrier identified"/>
    <s v="No barrier identified"/>
    <s v="Exterior LEDs still not comparable to CFL in terms of cost and performance."/>
    <m/>
    <m/>
    <s v="TBD"/>
    <s v="TBD"/>
    <m/>
    <n v="2.1800000000000002"/>
    <s v="No"/>
    <s v="Maturity"/>
  </r>
  <r>
    <x v="0"/>
    <x v="0"/>
    <x v="2"/>
    <n v="2115.3347415816575"/>
    <x v="4"/>
    <n v="0.13674984266970341"/>
    <s v="Manual Switch"/>
    <n v="0.54361961048352092"/>
    <s v="Halogen MSB"/>
    <s v="Occupancy and Timeclock"/>
    <x v="7"/>
    <s v="Occupancy"/>
    <n v="168.74182097794548"/>
    <n v="30.192722904897703"/>
    <n v="168.74182097794548"/>
    <s v="No change"/>
    <m/>
    <s v="Reliability"/>
    <s v="Awareness"/>
    <s v="No barrier identified"/>
    <s v="No barrier identified"/>
    <s v="Lighting reliability - non dimming CFL on dimmer"/>
    <m/>
    <m/>
    <s v="TBD"/>
    <s v="TBD"/>
    <m/>
    <n v="2.1800000000000002"/>
    <s v="No"/>
    <s v="Maturity"/>
  </r>
  <r>
    <x v="0"/>
    <x v="0"/>
    <x v="2"/>
    <n v="2115.3347415816575"/>
    <x v="2"/>
    <n v="8.740703310688451E-2"/>
    <s v="Manual Switch"/>
    <n v="0.9134242015753723"/>
    <s v="Halogen MSB"/>
    <s v="Occupancy and Timeclock"/>
    <x v="1"/>
    <s v="Occupancy"/>
    <n v="34.134486238074636"/>
    <n v="32.426436471726809"/>
    <n v="34.134486238074636"/>
    <s v="No change"/>
    <m/>
    <s v="First cost"/>
    <s v="Performance"/>
    <s v="No barrier identified"/>
    <s v="No barrier identified"/>
    <s v="Exterior LEDs still not comparable to CFL in terms of cost and performance."/>
    <m/>
    <m/>
    <s v="TBD"/>
    <s v="TBD"/>
    <m/>
    <n v="2.1800000000000002"/>
    <s v="No"/>
    <s v="Maturity"/>
  </r>
  <r>
    <x v="0"/>
    <x v="0"/>
    <x v="2"/>
    <n v="2115.3347415816575"/>
    <x v="1"/>
    <n v="2.3075700539956612E-2"/>
    <s v="Manual Switch"/>
    <n v="0.96280144647984778"/>
    <s v="Linear Fluorescent T-8 / Code Compliant T-12"/>
    <s v="Occupancy and Timeclock"/>
    <x v="3"/>
    <s v="Occupancy"/>
    <n v="13.732406408342854"/>
    <n v="9.0234363514845803"/>
    <n v="8.5422454317383458"/>
    <s v="No change"/>
    <m/>
    <s v="First cost"/>
    <s v="Performance"/>
    <s v="No barrier identified"/>
    <s v="No barrier identified"/>
    <s v="None"/>
    <m/>
    <m/>
    <s v="TBD"/>
    <s v="TBD"/>
    <m/>
    <n v="2.1800000000000002"/>
    <s v="No"/>
    <s v="Maturity"/>
  </r>
  <r>
    <x v="0"/>
    <x v="0"/>
    <x v="2"/>
    <n v="2115.3347415816575"/>
    <x v="1"/>
    <n v="2.3075700539956612E-2"/>
    <s v="Manual Switch"/>
    <n v="0.96280144647984778"/>
    <s v="Linear Fluorescent T-8 / Code Compliant T-13"/>
    <s v="Occupancy and Timeclock"/>
    <x v="2"/>
    <s v="Occupancy"/>
    <n v="12.211594843997085"/>
    <n v="9.0234363514845803"/>
    <n v="7.8100529661607716"/>
    <s v="No change"/>
    <m/>
    <s v="No barrier identified"/>
    <s v="No barrier identified"/>
    <s v="No barrier identified"/>
    <s v="No barrier identified"/>
    <s v="None"/>
    <m/>
    <m/>
    <s v="TBD"/>
    <s v="TBD"/>
    <m/>
    <n v="2.1800000000000002"/>
    <s v="No"/>
    <s v="Maturity"/>
  </r>
  <r>
    <x v="0"/>
    <x v="0"/>
    <x v="2"/>
    <n v="2115.3347415816575"/>
    <x v="6"/>
    <n v="2.1096052666367528E-2"/>
    <s v="Manual Switch"/>
    <n v="0.54546868016384609"/>
    <s v="HID MSB"/>
    <s v="Occupancy and Timeclock"/>
    <x v="1"/>
    <s v="Occupancy"/>
    <n v="19.245459848308336"/>
    <n v="4.6735979712171938"/>
    <n v="18.000190779390646"/>
    <s v="No change"/>
    <m/>
    <s v="First cost"/>
    <s v="Performance"/>
    <s v="No barrier identified"/>
    <s v="No barrier identified"/>
    <s v="Exterior LEDs still not comparable to CFL in terms of cost and performance."/>
    <m/>
    <m/>
    <s v="TBD"/>
    <s v="TBD"/>
    <m/>
    <n v="2.1800000000000002"/>
    <s v="No"/>
    <s v="Maturity"/>
  </r>
  <r>
    <x v="0"/>
    <x v="0"/>
    <x v="2"/>
    <n v="2115.3347415816575"/>
    <x v="3"/>
    <n v="7.3882835991795778E-2"/>
    <s v="Manual Switch"/>
    <n v="0.9153696217051972"/>
    <s v="Halogen SSB"/>
    <s v="Occupancy and Timeclock"/>
    <x v="4"/>
    <s v="Occupancy"/>
    <n v="104.19128652001687"/>
    <n v="27.46757909572003"/>
    <n v="98.981722194016029"/>
    <s v="No change"/>
    <m/>
    <s v="First cost"/>
    <s v="Performance"/>
    <s v="No barrier identified"/>
    <s v="No barrier identified"/>
    <s v="Exterior LEDs still not comparable to CFL in terms of cost and performance."/>
    <m/>
    <m/>
    <s v="TBD"/>
    <s v="TBD"/>
    <m/>
    <n v="2.1800000000000002"/>
    <s v="No"/>
    <s v="Maturity"/>
  </r>
  <r>
    <x v="0"/>
    <x v="0"/>
    <x v="2"/>
    <n v="2115.3347415816575"/>
    <x v="3"/>
    <n v="7.3882835991795778E-2"/>
    <s v="Manual Switch"/>
    <n v="0.9153696217051972"/>
    <s v="Halogen SSB"/>
    <s v="Occupancy and Timeclock"/>
    <x v="5"/>
    <s v="Occupancy"/>
    <n v="97.939809328815855"/>
    <n v="27.46757909572003"/>
    <n v="91.167375705014763"/>
    <s v="No change"/>
    <m/>
    <s v="Reliability"/>
    <s v="Awareness"/>
    <s v="No barrier identified"/>
    <s v="No barrier identified"/>
    <s v="Lighting reliability - non dimming CFL on dimmer"/>
    <m/>
    <m/>
    <s v="TBD"/>
    <s v="TBD"/>
    <m/>
    <n v="2.1800000000000002"/>
    <s v="No"/>
    <s v="Maturity"/>
  </r>
  <r>
    <x v="0"/>
    <x v="0"/>
    <x v="2"/>
    <n v="2115.3347415816575"/>
    <x v="0"/>
    <n v="0.43680802095119664"/>
    <s v="Manual Switch"/>
    <n v="0.85342696995334266"/>
    <s v="Halogen MSB"/>
    <s v="Occupancy and Timeclock"/>
    <x v="1"/>
    <s v="Occupancy"/>
    <n v="615.99678807972987"/>
    <n v="151.40398243734009"/>
    <n v="585.19694867574333"/>
    <s v="No change"/>
    <m/>
    <s v="First cost"/>
    <s v="Performance"/>
    <s v="No barrier identified"/>
    <s v="No barrier identified"/>
    <s v="Exterior LEDs still not comparable to CFL in terms of cost and performance."/>
    <m/>
    <m/>
    <s v="TBD"/>
    <s v="TBD"/>
    <m/>
    <n v="2.1800000000000002"/>
    <s v="No"/>
    <s v="Maturity"/>
  </r>
  <r>
    <x v="0"/>
    <x v="0"/>
    <x v="2"/>
    <n v="2115.3347415816575"/>
    <x v="0"/>
    <n v="0.43680802095119664"/>
    <s v="Manual Switch"/>
    <n v="0.85342696995334266"/>
    <s v="Halogen MSB"/>
    <s v="Occupancy and Timeclock"/>
    <x v="0"/>
    <s v="Occupancy"/>
    <n v="579.03698079494609"/>
    <n v="151.40398243734009"/>
    <n v="538.99718956976358"/>
    <s v="No change"/>
    <m/>
    <s v="Reliability"/>
    <s v="Performance"/>
    <s v="No barrier identified"/>
    <s v="No barrier identified"/>
    <s v="Lighting reliability - non dimming CFL on dimmer"/>
    <m/>
    <m/>
    <s v="TBD"/>
    <s v="TBD"/>
    <m/>
    <n v="2.1800000000000002"/>
    <s v="No"/>
    <s v="Maturity"/>
  </r>
  <r>
    <x v="1"/>
    <x v="1"/>
    <x v="3"/>
    <n v="144.19587705503386"/>
    <x v="7"/>
    <n v="0.37172635885826721"/>
    <s v="Not Controlled"/>
    <n v="1"/>
    <s v="LED Exit Sign"/>
    <s v="Not Controlled"/>
    <x v="8"/>
    <s v="Not Controlled"/>
    <n v="42.345112588633263"/>
    <s v="No change"/>
    <n v="37.520985838029468"/>
    <s v="No change"/>
    <m/>
    <s v="First cost"/>
    <s v="No barrier identified"/>
    <s v="No barrier identified"/>
    <s v="No barrier identified"/>
    <s v="No retrofit opportunity"/>
    <m/>
    <m/>
    <s v="TBD"/>
    <s v="TBD"/>
    <m/>
    <n v="24"/>
    <s v="Yes"/>
    <s v="Maturity"/>
  </r>
  <r>
    <x v="1"/>
    <x v="1"/>
    <x v="3"/>
    <n v="144.19587705503386"/>
    <x v="8"/>
    <n v="0.60758213806776118"/>
    <s v="Not Controlled"/>
    <n v="1"/>
    <s v="LED Exit Sign"/>
    <s v="Not Controlled"/>
    <x v="8"/>
    <s v="Not Controlled"/>
    <n v="61.327587497157452"/>
    <s v="No change"/>
    <n v="61.327587497157452"/>
    <s v="No change"/>
    <m/>
    <s v="First cost"/>
    <s v="No barrier identified"/>
    <s v="No barrier identified"/>
    <s v="No barrier identified"/>
    <s v="No retrofit opportunity"/>
    <m/>
    <m/>
    <s v="TBD"/>
    <s v="TBD"/>
    <m/>
    <n v="24"/>
    <s v="Yes"/>
    <s v="Maturity"/>
  </r>
  <r>
    <x v="1"/>
    <x v="1"/>
    <x v="4"/>
    <n v="3778.4809172207592"/>
    <x v="1"/>
    <n v="0.68473703818659359"/>
    <s v="Not Controlled / Manual Switch"/>
    <n v="0.87687389681802685"/>
    <s v="Linear Fluorescent T-8 / Code Compliant T-12"/>
    <s v="Shut-off and occupancy/vacancy (bi-level) for corridors "/>
    <x v="9"/>
    <s v="Occupancy"/>
    <n v="382.11926135664839"/>
    <n v="435.59152748153934"/>
    <n v="331.17002650909518"/>
    <s v="No change"/>
    <m/>
    <s v="No barrier identified"/>
    <s v="No barrier identified"/>
    <s v="No barrier identified"/>
    <s v="No barrier identified"/>
    <s v="None"/>
    <m/>
    <m/>
    <s v="TBD"/>
    <s v="TBD"/>
    <m/>
    <n v="7.1068493150684935"/>
    <s v="Yes"/>
    <s v="Maturity"/>
  </r>
  <r>
    <x v="1"/>
    <x v="1"/>
    <x v="4"/>
    <n v="3778.4809172207592"/>
    <x v="1"/>
    <n v="0.68473703818659359"/>
    <s v="Not Controlled / Manual Switch"/>
    <n v="0.87687389681802685"/>
    <s v="Linear Fluorescent T-8 / Code Compliant T-12"/>
    <s v="Shut-off and occupancy/vacancy (bi-level) for corridors "/>
    <x v="3"/>
    <s v="Occupancy"/>
    <n v="529.77347990666283"/>
    <n v="435.59152748153934"/>
    <n v="452.77152061790366"/>
    <s v="No change"/>
    <m/>
    <s v="First cost"/>
    <s v="Performance"/>
    <s v="No barrier identified"/>
    <s v="No barrier identified"/>
    <s v="None"/>
    <m/>
    <m/>
    <s v="TBD"/>
    <s v="TBD"/>
    <m/>
    <n v="7.1068493150684935"/>
    <s v="Yes"/>
    <s v="Maturity"/>
  </r>
  <r>
    <x v="1"/>
    <x v="1"/>
    <x v="4"/>
    <n v="3778.4809172207592"/>
    <x v="1"/>
    <n v="0.68473703818659359"/>
    <s v="Not Controlled / Manual Switch"/>
    <n v="0.87687389681802685"/>
    <s v="Linear Fluorescent T-8 / Code Compliant T-12"/>
    <s v="Shut-off and occupancy/vacancy (bi-level) for corridors "/>
    <x v="9"/>
    <s v="Daylighting"/>
    <n v="382.11926135664839"/>
    <n v="508.19011539512934"/>
    <n v="331.17002650909518"/>
    <s v="Savings are minimal if not negative"/>
    <m/>
    <s v="No barrier identified"/>
    <s v="No barrier identified"/>
    <s v="No barrier identified"/>
    <s v="No barrier identified"/>
    <s v="None"/>
    <m/>
    <m/>
    <s v="TBD"/>
    <s v="TBD"/>
    <m/>
    <n v="7.1068493150684935"/>
    <s v="Yes"/>
    <s v="Maturity"/>
  </r>
  <r>
    <x v="1"/>
    <x v="1"/>
    <x v="4"/>
    <n v="3778.4809172207592"/>
    <x v="1"/>
    <n v="0.68473703818659359"/>
    <s v="Not Controlled / Manual Switch"/>
    <n v="0.87687389681802685"/>
    <s v="Linear Fluorescent T-8 / Code Compliant T-12"/>
    <s v="Shut-off and occupancy/vacancy (bi-level) for corridors "/>
    <x v="3"/>
    <s v="Daylighting"/>
    <n v="529.77347990666283"/>
    <n v="508.19011539512934"/>
    <n v="452.77152061790366"/>
    <s v="Savings are minimal if not negative"/>
    <m/>
    <s v="First cost"/>
    <s v="Performance"/>
    <s v="No barrier identified"/>
    <s v="No barrier identified"/>
    <s v="None"/>
    <m/>
    <m/>
    <s v="TBD"/>
    <s v="TBD"/>
    <m/>
    <n v="7.1068493150684935"/>
    <s v="Yes"/>
    <s v="Maturity"/>
  </r>
  <r>
    <x v="1"/>
    <x v="1"/>
    <x v="4"/>
    <n v="3778.4809172207592"/>
    <x v="1"/>
    <n v="0.68473703818659359"/>
    <s v="Not Controlled / Manual Switch"/>
    <n v="0.87687389681802685"/>
    <s v="Linear Fluorescent T-8 / Code Compliant T-12"/>
    <s v="Shut-off and occupancy/vacancy (bi-level) for corridors "/>
    <x v="9"/>
    <s v="Institutional Tuning"/>
    <n v="382.11926135664839"/>
    <n v="653.38729122230916"/>
    <n v="331.17002650909518"/>
    <n v="217.79576374076967"/>
    <m/>
    <s v="No barrier identified"/>
    <s v="No barrier identified"/>
    <s v="No barrier identified"/>
    <s v="No barrier identified"/>
    <s v="None"/>
    <m/>
    <m/>
    <s v="TBD"/>
    <s v="TBD"/>
    <m/>
    <n v="7.1068493150684935"/>
    <s v="Yes"/>
    <s v="Maturity"/>
  </r>
  <r>
    <x v="1"/>
    <x v="1"/>
    <x v="4"/>
    <n v="3778.4809172207592"/>
    <x v="1"/>
    <n v="0.68473703818659359"/>
    <s v="Not Controlled / Manual Switch"/>
    <n v="0.87687389681802685"/>
    <s v="Linear Fluorescent T-8 / Code Compliant T-12"/>
    <s v="Shut-off and occupancy/vacancy (bi-level) for corridors "/>
    <x v="3"/>
    <s v="Institutional Tuning"/>
    <n v="529.77347990666283"/>
    <n v="653.38729122230916"/>
    <n v="452.77152061790366"/>
    <n v="217.79576374076967"/>
    <m/>
    <s v="First cost"/>
    <s v="Performance"/>
    <s v="No barrier identified"/>
    <s v="No barrier identified"/>
    <s v="None"/>
    <m/>
    <m/>
    <s v="TBD"/>
    <s v="TBD"/>
    <m/>
    <n v="7.1068493150684935"/>
    <s v="Yes"/>
    <s v="Maturity"/>
  </r>
  <r>
    <x v="1"/>
    <x v="1"/>
    <x v="4"/>
    <n v="3778.4809172207592"/>
    <x v="9"/>
    <n v="0.20929606454378483"/>
    <s v="Not Controlled / Manual Switch"/>
    <n v="0.91250770827753969"/>
    <s v="Halogen"/>
    <s v="Shut-off and occupancy/vacancy (bi-level) for corridors "/>
    <x v="10"/>
    <s v="Occupancy"/>
    <n v="145.99775740210993"/>
    <n v="138.55304218148589"/>
    <n v="145.99775740210993"/>
    <s v="No change"/>
    <m/>
    <s v="First cost"/>
    <s v="Performance"/>
    <s v="No barrier identified"/>
    <s v="No barrier identified"/>
    <s v="None"/>
    <m/>
    <m/>
    <s v="TBD"/>
    <s v="TBD"/>
    <m/>
    <n v="7.1068493150684935"/>
    <s v="Yes"/>
    <s v="Maturity"/>
  </r>
  <r>
    <x v="1"/>
    <x v="1"/>
    <x v="4"/>
    <n v="3778.4809172207592"/>
    <x v="9"/>
    <n v="0.20929606454378483"/>
    <s v="Not Controlled / Manual Switch"/>
    <n v="0.91250770827753969"/>
    <s v="Halogen"/>
    <s v="Shut-off and occupancy/vacancy (bi-level) for corridors "/>
    <x v="10"/>
    <s v="Daylighting"/>
    <n v="145.99775740210993"/>
    <n v="161.64521587840025"/>
    <n v="145.99775740210993"/>
    <s v="Savings are minimal if not negative"/>
    <m/>
    <s v="First cost"/>
    <s v="Performance"/>
    <s v="No barrier identified"/>
    <s v="No barrier identified"/>
    <s v="None"/>
    <m/>
    <m/>
    <s v="TBD"/>
    <s v="TBD"/>
    <m/>
    <n v="7.1068493150684935"/>
    <s v="Yes"/>
    <s v="Maturity"/>
  </r>
  <r>
    <x v="1"/>
    <x v="1"/>
    <x v="4"/>
    <n v="3778.4809172207592"/>
    <x v="9"/>
    <n v="0.20929606454378483"/>
    <s v="Not Controlled / Manual Switch"/>
    <n v="0.91250770827753969"/>
    <s v="Halogen"/>
    <s v="Shut-off and occupancy/vacancy (bi-level) for corridors "/>
    <x v="10"/>
    <s v="Institutional Tuning"/>
    <n v="145.99775740210993"/>
    <n v="207.82956327222885"/>
    <n v="145.99775740210993"/>
    <n v="69.276521090742946"/>
    <m/>
    <s v="First cost"/>
    <s v="Performance"/>
    <s v="No barrier identified"/>
    <s v="No barrier identified"/>
    <s v="None"/>
    <m/>
    <m/>
    <s v="TBD"/>
    <s v="TBD"/>
    <m/>
    <n v="7.1068493150684935"/>
    <s v="Yes"/>
    <s v="Maturity"/>
  </r>
  <r>
    <x v="1"/>
    <x v="1"/>
    <x v="5"/>
    <n v="417.69372083632197"/>
    <x v="1"/>
    <n v="0.68473703818659359"/>
    <s v="Not Controlled"/>
    <n v="0.87687389681802685"/>
    <s v="Linear Fluorescent T-8 / Code Compliant T-12"/>
    <s v="Shut-off and occupancy/vacancy (bi-level) "/>
    <x v="9"/>
    <s v="Occupancy"/>
    <n v="42.241530280556454"/>
    <n v="48.15264384406867"/>
    <n v="36.609326243148921"/>
    <s v="No change"/>
    <m/>
    <s v="No barrier identified"/>
    <s v="No barrier identified"/>
    <s v="No barrier identified"/>
    <s v="No barrier identified"/>
    <s v="None"/>
    <m/>
    <m/>
    <s v="TBD"/>
    <s v="TBD"/>
    <m/>
    <n v="7.1068493150684935"/>
    <s v="Yes"/>
    <s v="Maturity"/>
  </r>
  <r>
    <x v="1"/>
    <x v="1"/>
    <x v="5"/>
    <n v="417.69372083632197"/>
    <x v="1"/>
    <n v="0.68473703818659359"/>
    <s v="Not Controlled"/>
    <n v="0.87687389681802685"/>
    <s v="Linear Fluorescent T-8 / Code Compliant T-12"/>
    <s v="Shut-off and occupancy/vacancy (bi-level) "/>
    <x v="3"/>
    <s v="Occupancy"/>
    <n v="58.564026356227821"/>
    <n v="48.15264384406867"/>
    <n v="50.05181322305517"/>
    <s v="No change"/>
    <m/>
    <s v="First cost"/>
    <s v="Availability"/>
    <s v="No barrier identified"/>
    <s v="No barrier identified"/>
    <s v="None"/>
    <m/>
    <m/>
    <s v="TBD"/>
    <s v="TBD"/>
    <m/>
    <n v="7.1068493150684935"/>
    <s v="Yes"/>
    <s v="Maturity"/>
  </r>
  <r>
    <x v="1"/>
    <x v="1"/>
    <x v="5"/>
    <n v="417.69372083632197"/>
    <x v="1"/>
    <n v="0.68473703818659359"/>
    <s v="Not Controlled"/>
    <n v="0.87687389681802685"/>
    <s v="Linear Fluorescent T-8 / Code Compliant T-12"/>
    <s v="Shut-off and occupancy/vacancy (bi-level) "/>
    <x v="9"/>
    <s v="Daylighting"/>
    <n v="42.241530280556454"/>
    <n v="56.178084484746798"/>
    <n v="36.609326243148921"/>
    <s v="Savings are minimal if not negative"/>
    <m/>
    <s v="No barrier identified"/>
    <s v="No barrier identified"/>
    <s v="No barrier identified"/>
    <s v="No barrier identified"/>
    <s v="None"/>
    <m/>
    <m/>
    <s v="TBD"/>
    <s v="TBD"/>
    <m/>
    <n v="7.1068493150684935"/>
    <s v="Yes"/>
    <s v="Maturity"/>
  </r>
  <r>
    <x v="1"/>
    <x v="1"/>
    <x v="5"/>
    <n v="417.69372083632197"/>
    <x v="1"/>
    <n v="0.68473703818659359"/>
    <s v="Not Controlled"/>
    <n v="0.87687389681802685"/>
    <s v="Linear Fluorescent T-8 / Code Compliant T-12"/>
    <s v="Shut-off and occupancy/vacancy (bi-level) "/>
    <x v="3"/>
    <s v="Daylighting"/>
    <n v="58.564026356227821"/>
    <n v="56.178084484746798"/>
    <n v="50.05181322305517"/>
    <s v="Savings are minimal if not negative"/>
    <m/>
    <s v="First cost"/>
    <s v="Availability"/>
    <s v="No barrier identified"/>
    <s v="No barrier identified"/>
    <s v="None"/>
    <m/>
    <m/>
    <s v="TBD"/>
    <s v="TBD"/>
    <m/>
    <n v="7.1068493150684935"/>
    <s v="Yes"/>
    <s v="Maturity"/>
  </r>
  <r>
    <x v="1"/>
    <x v="1"/>
    <x v="5"/>
    <n v="417.69372083632197"/>
    <x v="1"/>
    <n v="0.68473703818659359"/>
    <s v="Not Controlled"/>
    <n v="0.87687389681802685"/>
    <s v="Linear Fluorescent T-8 / Code Compliant T-12"/>
    <s v="Shut-off and occupancy/vacancy (bi-level) "/>
    <x v="9"/>
    <s v="Institutional Tuning"/>
    <n v="42.241530280556454"/>
    <n v="72.228965766103016"/>
    <n v="36.609326243148921"/>
    <n v="24.076321922034335"/>
    <m/>
    <s v="No barrier identified"/>
    <s v="No barrier identified"/>
    <s v="No barrier identified"/>
    <s v="No barrier identified"/>
    <s v="None"/>
    <m/>
    <m/>
    <s v="TBD"/>
    <s v="TBD"/>
    <m/>
    <n v="7.1068493150684935"/>
    <s v="Yes"/>
    <s v="Maturity"/>
  </r>
  <r>
    <x v="1"/>
    <x v="1"/>
    <x v="5"/>
    <n v="417.69372083632197"/>
    <x v="1"/>
    <n v="0.68473703818659359"/>
    <s v="Not Controlled"/>
    <n v="0.87687389681802685"/>
    <s v="Linear Fluorescent T-8 / Code Compliant T-12"/>
    <s v="Shut-off and occupancy/vacancy (bi-level) "/>
    <x v="3"/>
    <s v="Institutional Tuning"/>
    <n v="58.564026356227821"/>
    <n v="72.228965766103016"/>
    <n v="50.05181322305517"/>
    <n v="24.076321922034335"/>
    <m/>
    <s v="First cost"/>
    <s v="Availability"/>
    <s v="No barrier identified"/>
    <s v="No barrier identified"/>
    <s v="None"/>
    <m/>
    <m/>
    <s v="TBD"/>
    <s v="TBD"/>
    <m/>
    <n v="7.1068493150684935"/>
    <s v="Yes"/>
    <s v="Maturity"/>
  </r>
  <r>
    <x v="1"/>
    <x v="1"/>
    <x v="5"/>
    <n v="417.69372083632197"/>
    <x v="9"/>
    <n v="0.20929606454378483"/>
    <s v="Not Controlled"/>
    <n v="0.91250770827753969"/>
    <s v="Halogen"/>
    <s v="Shut-off and occupancy/vacancy (bi-level) "/>
    <x v="10"/>
    <s v="Occupancy"/>
    <n v="16.139381899512461"/>
    <n v="15.316402805745726"/>
    <n v="16.139381899512461"/>
    <s v="No change"/>
    <m/>
    <s v="First cost"/>
    <s v="Performance"/>
    <s v="No barrier identified"/>
    <s v="No barrier identified"/>
    <s v="None"/>
    <m/>
    <m/>
    <s v="TBD"/>
    <s v="TBD"/>
    <m/>
    <n v="7.1068493150684935"/>
    <s v="Yes"/>
    <s v="Maturity"/>
  </r>
  <r>
    <x v="1"/>
    <x v="1"/>
    <x v="5"/>
    <n v="417.69372083632197"/>
    <x v="9"/>
    <n v="0.20929606454378483"/>
    <s v="Not Controlled"/>
    <n v="0.91250770827753969"/>
    <s v="Halogen"/>
    <s v="Shut-off and occupancy/vacancy (bi-level) "/>
    <x v="10"/>
    <s v="Daylighting"/>
    <n v="16.139381899512461"/>
    <n v="17.869136606703346"/>
    <n v="16.139381899512461"/>
    <s v="Savings are minimal if not negative"/>
    <m/>
    <s v="First cost"/>
    <s v="Performance"/>
    <s v="No barrier identified"/>
    <s v="No barrier identified"/>
    <s v="None"/>
    <m/>
    <m/>
    <s v="TBD"/>
    <s v="TBD"/>
    <m/>
    <n v="7.1068493150684935"/>
    <s v="Yes"/>
    <s v="Maturity"/>
  </r>
  <r>
    <x v="1"/>
    <x v="1"/>
    <x v="5"/>
    <n v="417.69372083632197"/>
    <x v="9"/>
    <n v="0.20929606454378483"/>
    <s v="Not Controlled"/>
    <n v="0.91250770827753969"/>
    <s v="Halogen"/>
    <s v="Shut-off and occupancy/vacancy (bi-level) "/>
    <x v="10"/>
    <s v="Institutional Tuning"/>
    <n v="16.139381899512461"/>
    <n v="22.974604208618583"/>
    <n v="16.139381899512461"/>
    <n v="7.6582014028728631"/>
    <m/>
    <s v="First cost"/>
    <s v="Performance"/>
    <s v="No barrier identified"/>
    <s v="No barrier identified"/>
    <s v="None"/>
    <m/>
    <m/>
    <s v="TBD"/>
    <s v="TBD"/>
    <m/>
    <n v="7.1068493150684935"/>
    <s v="Yes"/>
    <s v="Maturity"/>
  </r>
  <r>
    <x v="1"/>
    <x v="2"/>
    <x v="6"/>
    <n v="4282.1979731819274"/>
    <x v="1"/>
    <n v="0.97831874716616496"/>
    <s v="Manual Switch"/>
    <n v="0.78814331624736522"/>
    <s v="Linear Fluorescent T-8 / Code Compliant T-12"/>
    <s v="Shut-off AND multi-level controls"/>
    <x v="9"/>
    <s v="Occupancy"/>
    <n v="618.73544215249262"/>
    <n v="581.11887554893224"/>
    <n v="536.23738319882671"/>
    <n v="52.828988686266534"/>
    <m/>
    <s v="No barrier identified"/>
    <s v="No barrier identified"/>
    <s v="No barrier identified"/>
    <s v="No barrier identified"/>
    <s v="None"/>
    <m/>
    <m/>
    <s v="TBD"/>
    <s v="TBD"/>
    <m/>
    <n v="7.2356164383561641"/>
    <s v="Yes"/>
    <s v="Maturity"/>
  </r>
  <r>
    <x v="1"/>
    <x v="2"/>
    <x v="6"/>
    <n v="4282.1979731819274"/>
    <x v="1"/>
    <n v="0.97831874716616496"/>
    <s v="Manual Switch"/>
    <n v="0.78814331624736522"/>
    <s v="Linear Fluorescent T-8 / Code Compliant T-12"/>
    <s v="Shut-off AND multi-level controls"/>
    <x v="9"/>
    <s v="Daylighting"/>
    <n v="618.73544215249262"/>
    <n v="713.19134726459868"/>
    <n v="536.23738319882671"/>
    <n v="184.90146040193301"/>
    <m/>
    <s v="No barrier identified"/>
    <s v="No barrier identified"/>
    <s v="No barrier identified"/>
    <s v="No barrier identified"/>
    <s v="None"/>
    <m/>
    <m/>
    <s v="TBD"/>
    <s v="TBD"/>
    <m/>
    <n v="7.2356164383561641"/>
    <s v="Yes"/>
    <s v="Maturity"/>
  </r>
  <r>
    <x v="1"/>
    <x v="2"/>
    <x v="6"/>
    <n v="4282.1979731819274"/>
    <x v="1"/>
    <n v="0.97831874716616496"/>
    <s v="Manual Switch"/>
    <n v="0.78814331624736522"/>
    <s v="Linear Fluorescent T-8 / Code Compliant T-12"/>
    <s v="Shut-off AND multi-level controls"/>
    <x v="9"/>
    <s v="Personal Tuning"/>
    <n v="618.73544215249262"/>
    <n v="924.50730200966484"/>
    <n v="536.23738319882671"/>
    <n v="396.21741514699914"/>
    <m/>
    <s v="No barrier identified"/>
    <s v="No barrier identified"/>
    <s v="No barrier identified"/>
    <s v="No barrier identified"/>
    <s v="None"/>
    <m/>
    <m/>
    <s v="TBD"/>
    <s v="TBD"/>
    <m/>
    <n v="7.2356164383561641"/>
    <s v="Yes"/>
    <s v="Maturity"/>
  </r>
  <r>
    <x v="1"/>
    <x v="2"/>
    <x v="6"/>
    <n v="4282.1979731819274"/>
    <x v="1"/>
    <n v="0.97831874716616496"/>
    <s v="Manual Switch"/>
    <n v="0.78814331624736522"/>
    <s v="Linear Fluorescent T-8 / Code Compliant T-12"/>
    <s v="Shut-off AND multi-level controls"/>
    <x v="9"/>
    <s v="Institutional Tuning"/>
    <n v="618.73544215249262"/>
    <n v="950.9217963527982"/>
    <n v="536.23738319882671"/>
    <n v="422.63190949013244"/>
    <m/>
    <s v="No barrier identified"/>
    <s v="No barrier identified"/>
    <s v="No barrier identified"/>
    <s v="No barrier identified"/>
    <s v="None"/>
    <m/>
    <m/>
    <s v="TBD"/>
    <s v="TBD"/>
    <m/>
    <n v="7.2356164383561641"/>
    <s v="Yes"/>
    <s v="Maturity"/>
  </r>
  <r>
    <x v="1"/>
    <x v="2"/>
    <x v="6"/>
    <n v="4282.1979731819274"/>
    <x v="1"/>
    <n v="0.97831874716616496"/>
    <s v="Manual Switch"/>
    <n v="0.78814331624736522"/>
    <s v="Linear Fluorescent T-8 / Code Compliant T-12"/>
    <s v="Shut-off AND multi-level controls"/>
    <x v="9"/>
    <s v="Multiple Measures"/>
    <n v="618.73544215249262"/>
    <n v="1056.5797737253315"/>
    <n v="536.23738319882671"/>
    <n v="528.28988686266575"/>
    <m/>
    <s v="No barrier identified"/>
    <s v="No barrier identified"/>
    <s v="First cost"/>
    <s v="Availability"/>
    <s v="None"/>
    <m/>
    <m/>
    <s v="TBD"/>
    <s v="TBD"/>
    <m/>
    <n v="7.2356164383561641"/>
    <s v="Yes"/>
    <s v="Maturity"/>
  </r>
  <r>
    <x v="1"/>
    <x v="2"/>
    <x v="6"/>
    <n v="4282.1979731819274"/>
    <x v="1"/>
    <n v="0.97831874716616496"/>
    <s v="Manual Switch"/>
    <n v="0.78814331624736522"/>
    <s v="Linear Fluorescent T-8 / Code Compliant T-12"/>
    <s v="Shut-off AND multi-level controls"/>
    <x v="3"/>
    <s v="Occupancy"/>
    <n v="857.82021865883769"/>
    <n v="581.11887554893224"/>
    <n v="733.13704734214616"/>
    <n v="52.828988686266534"/>
    <m/>
    <s v="First cost"/>
    <s v="Performance"/>
    <s v="No barrier identified"/>
    <s v="No barrier identified"/>
    <s v="None"/>
    <m/>
    <m/>
    <s v="TBD"/>
    <s v="TBD"/>
    <m/>
    <n v="7.2356164383561641"/>
    <s v="Yes"/>
    <s v="Maturity"/>
  </r>
  <r>
    <x v="1"/>
    <x v="2"/>
    <x v="6"/>
    <n v="4282.1979731819274"/>
    <x v="1"/>
    <n v="0.97831874716616496"/>
    <s v="Manual Switch"/>
    <n v="0.78814331624736522"/>
    <s v="Linear Fluorescent T-8 / Code Compliant T-12"/>
    <s v="Shut-off AND multi-level controls"/>
    <x v="3"/>
    <s v="Daylighting"/>
    <n v="857.82021865883769"/>
    <n v="713.19134726459868"/>
    <n v="733.13704734214616"/>
    <n v="184.90146040193301"/>
    <m/>
    <s v="First cost"/>
    <s v="Performance"/>
    <s v="No barrier identified"/>
    <s v="No barrier identified"/>
    <s v="None"/>
    <m/>
    <m/>
    <s v="TBD"/>
    <s v="TBD"/>
    <m/>
    <n v="7.2356164383561641"/>
    <s v="Yes"/>
    <s v="Maturity"/>
  </r>
  <r>
    <x v="1"/>
    <x v="2"/>
    <x v="6"/>
    <n v="4282.1979731819274"/>
    <x v="1"/>
    <n v="0.97831874716616496"/>
    <s v="Manual Switch"/>
    <n v="0.78814331624736522"/>
    <s v="Linear Fluorescent T-8 / Code Compliant T-12"/>
    <s v="Shut-off AND multi-level controls"/>
    <x v="3"/>
    <s v="Personal Tuning"/>
    <n v="857.82021865883769"/>
    <n v="924.50730200966484"/>
    <n v="733.13704734214616"/>
    <n v="396.21741514699914"/>
    <m/>
    <s v="First cost"/>
    <s v="Performance"/>
    <s v="No barrier identified"/>
    <s v="No barrier identified"/>
    <s v="None"/>
    <m/>
    <m/>
    <s v="TBD"/>
    <s v="TBD"/>
    <m/>
    <n v="7.2356164383561641"/>
    <s v="Yes"/>
    <s v="Maturity"/>
  </r>
  <r>
    <x v="1"/>
    <x v="2"/>
    <x v="6"/>
    <n v="4282.1979731819274"/>
    <x v="1"/>
    <n v="0.97831874716616496"/>
    <s v="Manual Switch"/>
    <n v="0.78814331624736522"/>
    <s v="Linear Fluorescent T-8 / Code Compliant T-12"/>
    <s v="Shut-off AND multi-level controls"/>
    <x v="3"/>
    <s v="Institutional Tuning"/>
    <n v="857.82021865883769"/>
    <n v="950.9217963527982"/>
    <n v="733.13704734214616"/>
    <n v="422.63190949013244"/>
    <m/>
    <s v="First cost"/>
    <s v="Performance"/>
    <s v="No barrier identified"/>
    <s v="No barrier identified"/>
    <s v="None"/>
    <m/>
    <m/>
    <s v="TBD"/>
    <s v="TBD"/>
    <m/>
    <n v="7.2356164383561641"/>
    <s v="Yes"/>
    <s v="Maturity"/>
  </r>
  <r>
    <x v="1"/>
    <x v="2"/>
    <x v="6"/>
    <n v="4282.1979731819274"/>
    <x v="1"/>
    <n v="0.97831874716616496"/>
    <s v="Manual Switch"/>
    <n v="0.78814331624736522"/>
    <s v="Linear Fluorescent T-8 / Code Compliant T-12"/>
    <s v="Shut-off AND multi-level controls"/>
    <x v="3"/>
    <s v="Multiple Measures"/>
    <n v="857.82021865883769"/>
    <n v="1056.5797737253315"/>
    <n v="733.13704734214616"/>
    <n v="528.28988686266575"/>
    <m/>
    <s v="First cost"/>
    <s v="Performance"/>
    <s v="First cost"/>
    <s v="Availability"/>
    <s v="None"/>
    <m/>
    <m/>
    <s v="TBD"/>
    <s v="TBD"/>
    <m/>
    <n v="7.2356164383561641"/>
    <s v="Yes"/>
    <s v="Maturity"/>
  </r>
  <r>
    <x v="1"/>
    <x v="2"/>
    <x v="7"/>
    <n v="594.25379854162532"/>
    <x v="1"/>
    <n v="0.19425684096182766"/>
    <s v="Manual Switch"/>
    <n v="1"/>
    <s v="Linear Fluorescent T-8 / Code Compliant T-12"/>
    <s v="Shut-off"/>
    <x v="3"/>
    <s v="Occupancy"/>
    <n v="23.637277248920416"/>
    <n v="20.317064351630197"/>
    <n v="20.201626485995934"/>
    <n v="15.699549726259697"/>
    <m/>
    <s v="First cost"/>
    <s v="Performance"/>
    <s v="No barrier identified"/>
    <s v="No barrier identified"/>
    <s v="None"/>
    <m/>
    <m/>
    <s v="TBD"/>
    <s v="TBD"/>
    <m/>
    <n v="7.2356164383561641"/>
    <s v="Yes"/>
    <s v="Maturity"/>
  </r>
  <r>
    <x v="1"/>
    <x v="2"/>
    <x v="7"/>
    <n v="594.25379854162532"/>
    <x v="1"/>
    <n v="0.19425684096182766"/>
    <s v="Manual Switch"/>
    <n v="1"/>
    <s v="Linear Fluorescent T-8 / Code Compliant T-12"/>
    <s v="Shut-off"/>
    <x v="3"/>
    <s v="Daylighting"/>
    <n v="23.637277248920416"/>
    <n v="24.934578977000697"/>
    <n v="20.201626485995934"/>
    <n v="20.317064351630201"/>
    <m/>
    <s v="First cost"/>
    <s v="Performance"/>
    <s v="No barrier identified"/>
    <s v="No barrier identified"/>
    <s v="None"/>
    <m/>
    <m/>
    <s v="TBD"/>
    <s v="TBD"/>
    <m/>
    <n v="7.2356164383561641"/>
    <s v="Yes"/>
    <s v="Maturity"/>
  </r>
  <r>
    <x v="1"/>
    <x v="2"/>
    <x v="7"/>
    <n v="594.25379854162532"/>
    <x v="1"/>
    <n v="0.19425684096182766"/>
    <s v="Manual Switch"/>
    <n v="1"/>
    <s v="Linear Fluorescent T-8 / Code Compliant T-12"/>
    <s v="Shut-off"/>
    <x v="3"/>
    <s v="Personal Tuning"/>
    <n v="23.637277248920416"/>
    <n v="32.322602377593498"/>
    <n v="20.201626485995934"/>
    <n v="27.705087752222994"/>
    <m/>
    <s v="First cost"/>
    <s v="Performance"/>
    <s v="No barrier identified"/>
    <s v="No barrier identified"/>
    <s v="None"/>
    <m/>
    <m/>
    <s v="TBD"/>
    <s v="TBD"/>
    <m/>
    <n v="7.2356164383561641"/>
    <s v="Yes"/>
    <s v="Maturity"/>
  </r>
  <r>
    <x v="1"/>
    <x v="2"/>
    <x v="7"/>
    <n v="594.25379854162532"/>
    <x v="1"/>
    <n v="0.19425684096182766"/>
    <s v="Manual Switch"/>
    <n v="1"/>
    <s v="Linear Fluorescent T-8 / Code Compliant T-12"/>
    <s v="Shut-off"/>
    <x v="3"/>
    <s v="Institutional Tuning"/>
    <n v="23.637277248920416"/>
    <n v="33.246105302667594"/>
    <n v="20.201626485995934"/>
    <n v="28.628590677297097"/>
    <m/>
    <s v="First cost"/>
    <s v="Performance"/>
    <s v="No barrier identified"/>
    <s v="No barrier identified"/>
    <s v="None"/>
    <m/>
    <m/>
    <s v="TBD"/>
    <s v="TBD"/>
    <m/>
    <n v="7.2356164383561641"/>
    <s v="Yes"/>
    <s v="Maturity"/>
  </r>
  <r>
    <x v="1"/>
    <x v="2"/>
    <x v="7"/>
    <n v="594.25379854162532"/>
    <x v="1"/>
    <n v="0.19425684096182766"/>
    <s v="Manual Switch"/>
    <n v="1"/>
    <s v="Linear Fluorescent T-8 / Code Compliant T-12"/>
    <s v="Shut-off"/>
    <x v="3"/>
    <s v="Multiple Measures"/>
    <n v="23.637277248920416"/>
    <n v="36.940117002963994"/>
    <n v="20.201626485995934"/>
    <n v="32.322602377593498"/>
    <m/>
    <s v="First cost"/>
    <s v="Performance"/>
    <s v="First cost"/>
    <s v="Availability"/>
    <s v="None"/>
    <m/>
    <m/>
    <s v="TBD"/>
    <s v="TBD"/>
    <m/>
    <n v="7.2356164383561641"/>
    <s v="Yes"/>
    <s v="Maturity"/>
  </r>
  <r>
    <x v="1"/>
    <x v="2"/>
    <x v="7"/>
    <n v="594.25379854162532"/>
    <x v="1"/>
    <n v="0.19425684096182766"/>
    <s v="Manual Switch"/>
    <n v="1"/>
    <s v="Linear Fluorescent T-8 / Code Compliant T-12"/>
    <s v="Shut-off"/>
    <x v="9"/>
    <s v="Occupancy"/>
    <n v="17.049284770598771"/>
    <n v="20.317064351630197"/>
    <n v="14.776046801185595"/>
    <n v="15.699549726259697"/>
    <m/>
    <s v="No barrier identified"/>
    <s v="No barrier identified"/>
    <s v="No barrier identified"/>
    <s v="No barrier identified"/>
    <s v="None"/>
    <m/>
    <m/>
    <s v="TBD"/>
    <s v="TBD"/>
    <m/>
    <n v="7.2356164383561641"/>
    <s v="Yes"/>
    <s v="Maturity"/>
  </r>
  <r>
    <x v="1"/>
    <x v="2"/>
    <x v="7"/>
    <n v="594.25379854162532"/>
    <x v="1"/>
    <n v="0.19425684096182766"/>
    <s v="Manual Switch"/>
    <n v="1"/>
    <s v="Linear Fluorescent T-8 / Code Compliant T-12"/>
    <s v="Shut-off"/>
    <x v="9"/>
    <s v="Daylighting"/>
    <n v="17.049284770598771"/>
    <n v="24.934578977000697"/>
    <n v="14.776046801185595"/>
    <n v="20.317064351630201"/>
    <m/>
    <s v="No barrier identified"/>
    <s v="No barrier identified"/>
    <s v="No barrier identified"/>
    <s v="No barrier identified"/>
    <s v="None"/>
    <m/>
    <m/>
    <s v="TBD"/>
    <s v="TBD"/>
    <m/>
    <n v="7.2356164383561641"/>
    <s v="Yes"/>
    <s v="Maturity"/>
  </r>
  <r>
    <x v="1"/>
    <x v="2"/>
    <x v="7"/>
    <n v="594.25379854162532"/>
    <x v="1"/>
    <n v="0.19425684096182766"/>
    <s v="Manual Switch"/>
    <n v="1"/>
    <s v="Linear Fluorescent T-8 / Code Compliant T-12"/>
    <s v="Shut-off"/>
    <x v="9"/>
    <s v="Personal Tuning"/>
    <n v="17.049284770598771"/>
    <n v="32.322602377593498"/>
    <n v="14.776046801185595"/>
    <n v="27.705087752222994"/>
    <m/>
    <s v="No barrier identified"/>
    <s v="No barrier identified"/>
    <s v="No barrier identified"/>
    <s v="No barrier identified"/>
    <s v="None"/>
    <m/>
    <m/>
    <s v="TBD"/>
    <s v="TBD"/>
    <m/>
    <n v="7.2356164383561641"/>
    <s v="Yes"/>
    <s v="Maturity"/>
  </r>
  <r>
    <x v="1"/>
    <x v="2"/>
    <x v="7"/>
    <n v="594.25379854162532"/>
    <x v="1"/>
    <n v="0.19425684096182766"/>
    <s v="Manual Switch"/>
    <n v="1"/>
    <s v="Linear Fluorescent T-8 / Code Compliant T-12"/>
    <s v="Shut-off"/>
    <x v="9"/>
    <s v="Institutional Tuning"/>
    <n v="17.049284770598771"/>
    <n v="33.246105302667594"/>
    <n v="14.776046801185595"/>
    <n v="28.628590677297097"/>
    <m/>
    <s v="No barrier identified"/>
    <s v="No barrier identified"/>
    <s v="No barrier identified"/>
    <s v="No barrier identified"/>
    <s v="None"/>
    <m/>
    <m/>
    <s v="TBD"/>
    <s v="TBD"/>
    <m/>
    <n v="7.2356164383561641"/>
    <s v="Yes"/>
    <s v="Maturity"/>
  </r>
  <r>
    <x v="1"/>
    <x v="2"/>
    <x v="7"/>
    <n v="594.25379854162532"/>
    <x v="1"/>
    <n v="0.19425684096182766"/>
    <s v="Manual Switch"/>
    <n v="1"/>
    <s v="Linear Fluorescent T-8 / Code Compliant T-12"/>
    <s v="Shut-off"/>
    <x v="9"/>
    <s v="Multiple Measures"/>
    <n v="17.049284770598771"/>
    <n v="36.940117002963994"/>
    <n v="14.776046801185595"/>
    <n v="32.322602377593498"/>
    <m/>
    <s v="No barrier identified"/>
    <s v="No barrier identified"/>
    <s v="First cost"/>
    <s v="Availability"/>
    <s v="None"/>
    <m/>
    <m/>
    <s v="TBD"/>
    <s v="TBD"/>
    <m/>
    <n v="7.2356164383561641"/>
    <s v="Yes"/>
    <s v="Maturity"/>
  </r>
  <r>
    <x v="1"/>
    <x v="2"/>
    <x v="7"/>
    <n v="594.25379854162532"/>
    <x v="9"/>
    <n v="0.14364620675929671"/>
    <s v="Manual Switch"/>
    <n v="0.98097503900836736"/>
    <s v="Halogen"/>
    <s v="Shut-off"/>
    <x v="11"/>
    <s v="Occupancy"/>
    <n v="15.759194586979897"/>
    <n v="14.737938953550247"/>
    <n v="15.759194586979897"/>
    <n v="11.388407373197918"/>
    <m/>
    <s v="First cost"/>
    <s v="Performance"/>
    <s v="No barrier identified"/>
    <s v="No barrier identified"/>
    <s v="None"/>
    <m/>
    <m/>
    <s v="TBD"/>
    <s v="TBD"/>
    <m/>
    <n v="7.2356164383561641"/>
    <s v="Yes"/>
    <s v="Maturity"/>
  </r>
  <r>
    <x v="1"/>
    <x v="2"/>
    <x v="7"/>
    <n v="594.25379854162532"/>
    <x v="9"/>
    <n v="0.14364620675929671"/>
    <s v="Manual Switch"/>
    <n v="0.98097503900836736"/>
    <s v="Halogen"/>
    <s v="Shut-off"/>
    <x v="11"/>
    <s v="Daylighting"/>
    <n v="15.759194586979897"/>
    <n v="18.087470533902579"/>
    <n v="15.759194586979897"/>
    <n v="14.73793895355025"/>
    <m/>
    <s v="First cost"/>
    <s v="Performance"/>
    <s v="No barrier identified"/>
    <s v="No barrier identified"/>
    <s v="None"/>
    <m/>
    <m/>
    <s v="TBD"/>
    <s v="TBD"/>
    <m/>
    <n v="7.2356164383561641"/>
    <s v="Yes"/>
    <s v="Maturity"/>
  </r>
  <r>
    <x v="1"/>
    <x v="2"/>
    <x v="7"/>
    <n v="594.25379854162532"/>
    <x v="9"/>
    <n v="0.14364620675929671"/>
    <s v="Manual Switch"/>
    <n v="0.98097503900836736"/>
    <s v="Halogen"/>
    <s v="Shut-off"/>
    <x v="11"/>
    <s v="Personal Tuning"/>
    <n v="15.759194586979897"/>
    <n v="23.446721062466299"/>
    <n v="15.759194586979897"/>
    <n v="20.097189482113972"/>
    <m/>
    <s v="First cost"/>
    <s v="Performance"/>
    <s v="No barrier identified"/>
    <s v="No barrier identified"/>
    <s v="None"/>
    <m/>
    <m/>
    <s v="TBD"/>
    <s v="TBD"/>
    <m/>
    <n v="7.2356164383561641"/>
    <s v="Yes"/>
    <s v="Maturity"/>
  </r>
  <r>
    <x v="1"/>
    <x v="2"/>
    <x v="7"/>
    <n v="594.25379854162532"/>
    <x v="9"/>
    <n v="0.14364620675929671"/>
    <s v="Manual Switch"/>
    <n v="0.98097503900836736"/>
    <s v="Halogen"/>
    <s v="Shut-off"/>
    <x v="11"/>
    <s v="Institutional Tuning"/>
    <n v="15.759194586979897"/>
    <s v="Not Applicable"/>
    <n v="15.759194586979897"/>
    <s v="Not Applicable"/>
    <m/>
    <s v="First cost"/>
    <s v="Performance"/>
    <s v="Not Applicable"/>
    <s v="Not Applicable"/>
    <s v="None"/>
    <m/>
    <m/>
    <s v="TBD"/>
    <s v="TBD"/>
    <m/>
    <n v="7.2356164383561641"/>
    <s v="Yes"/>
    <s v="Maturity"/>
  </r>
  <r>
    <x v="1"/>
    <x v="2"/>
    <x v="7"/>
    <n v="594.25379854162532"/>
    <x v="9"/>
    <n v="0.14364620675929671"/>
    <s v="Manual Switch"/>
    <n v="0.98097503900836736"/>
    <s v="Halogen"/>
    <s v="Shut-off"/>
    <x v="11"/>
    <s v="Multiple Measures"/>
    <n v="15.759194586979897"/>
    <n v="26.796252642818629"/>
    <n v="15.759194586979897"/>
    <n v="23.446721062466302"/>
    <m/>
    <s v="First cost"/>
    <s v="Performance"/>
    <s v="First cost"/>
    <s v="Availability"/>
    <s v="None"/>
    <m/>
    <m/>
    <s v="TBD"/>
    <s v="TBD"/>
    <m/>
    <n v="7.2356164383561641"/>
    <s v="Yes"/>
    <s v="Maturity"/>
  </r>
  <r>
    <x v="1"/>
    <x v="2"/>
    <x v="7"/>
    <n v="594.25379854162532"/>
    <x v="7"/>
    <n v="0.63115519641773232"/>
    <s v="Manual Switch"/>
    <n v="1"/>
    <s v="Halogen"/>
    <s v="Shut-off"/>
    <x v="11"/>
    <s v="Occupancy"/>
    <n v="250.04424862701541"/>
    <n v="66.011681637532064"/>
    <n v="237.54203619566462"/>
    <n v="51.009026719911134"/>
    <m/>
    <s v="First cost"/>
    <s v="Performance"/>
    <s v="No barrier identified"/>
    <s v="No barrier identified"/>
    <s v="None"/>
    <m/>
    <m/>
    <s v="TBD"/>
    <s v="TBD"/>
    <m/>
    <n v="7.2356164383561641"/>
    <s v="Yes"/>
    <s v="Maturity"/>
  </r>
  <r>
    <x v="1"/>
    <x v="2"/>
    <x v="7"/>
    <n v="594.25379854162532"/>
    <x v="7"/>
    <n v="0.63115519641773232"/>
    <s v="Manual Switch"/>
    <n v="1"/>
    <s v="Halogen"/>
    <s v="Shut-off"/>
    <x v="11"/>
    <s v="Daylighting"/>
    <n v="250.04424862701541"/>
    <n v="81.014336555152994"/>
    <n v="237.54203619566462"/>
    <n v="66.011681637532078"/>
    <m/>
    <s v="First cost"/>
    <s v="Performance"/>
    <s v="No barrier identified"/>
    <s v="No barrier identified"/>
    <s v="None"/>
    <m/>
    <m/>
    <s v="TBD"/>
    <s v="TBD"/>
    <m/>
    <n v="7.2356164383561641"/>
    <s v="Yes"/>
    <s v="Maturity"/>
  </r>
  <r>
    <x v="1"/>
    <x v="2"/>
    <x v="7"/>
    <n v="594.25379854162532"/>
    <x v="7"/>
    <n v="0.63115519641773232"/>
    <s v="Manual Switch"/>
    <n v="1"/>
    <s v="Halogen"/>
    <s v="Shut-off"/>
    <x v="11"/>
    <s v="Personal Tuning"/>
    <n v="250.04424862701541"/>
    <n v="105.01858442334647"/>
    <n v="237.54203619566462"/>
    <n v="90.015929505725538"/>
    <m/>
    <s v="First cost"/>
    <s v="Performance"/>
    <s v="No barrier identified"/>
    <s v="No barrier identified"/>
    <s v="None"/>
    <m/>
    <m/>
    <s v="TBD"/>
    <s v="TBD"/>
    <m/>
    <n v="7.2356164383561641"/>
    <s v="Yes"/>
    <s v="Maturity"/>
  </r>
  <r>
    <x v="1"/>
    <x v="2"/>
    <x v="7"/>
    <n v="594.25379854162532"/>
    <x v="7"/>
    <n v="0.63115519641773232"/>
    <s v="Manual Switch"/>
    <n v="1"/>
    <s v="Halogen"/>
    <s v="Shut-off"/>
    <x v="11"/>
    <s v="Institutional Tuning"/>
    <n v="250.04424862701541"/>
    <s v="Not Applicable"/>
    <n v="237.54203619566462"/>
    <s v="Not Applicable"/>
    <m/>
    <s v="First cost"/>
    <s v="Performance"/>
    <s v="Not Applicable"/>
    <s v="Not Applicable"/>
    <s v="None"/>
    <m/>
    <m/>
    <s v="TBD"/>
    <s v="TBD"/>
    <m/>
    <n v="7.2356164383561641"/>
    <s v="Yes"/>
    <s v="Maturity"/>
  </r>
  <r>
    <x v="1"/>
    <x v="2"/>
    <x v="7"/>
    <n v="594.25379854162532"/>
    <x v="7"/>
    <n v="0.63115519641773232"/>
    <s v="Manual Switch"/>
    <n v="1"/>
    <s v="Halogen"/>
    <s v="Shut-off"/>
    <x v="11"/>
    <s v="Multiple Measures"/>
    <n v="250.04424862701541"/>
    <n v="120.0212393409674"/>
    <n v="237.54203619566462"/>
    <n v="105.01858442334647"/>
    <m/>
    <s v="First cost"/>
    <s v="Performance"/>
    <s v="First cost"/>
    <s v="Availability"/>
    <s v="None"/>
    <m/>
    <m/>
    <s v="TBD"/>
    <s v="TBD"/>
    <m/>
    <n v="7.2356164383561641"/>
    <s v="Yes"/>
    <s v="Maturity"/>
  </r>
  <r>
    <x v="1"/>
    <x v="2"/>
    <x v="8"/>
    <n v="193.8338570350366"/>
    <x v="10"/>
    <n v="0.3709864630099019"/>
    <s v="Manual Switch"/>
    <n v="0.99903230780260144"/>
    <s v="Halogen"/>
    <s v="Shut-off AND multi-level controls"/>
    <x v="12"/>
    <s v="Occupancy"/>
    <n v="45.542833454230305"/>
    <n v="12.643866495313048"/>
    <n v="45.542833454230305"/>
    <n v="1.1494424086648221"/>
    <m/>
    <s v="First cost"/>
    <s v="Performance"/>
    <s v="No barrier identified"/>
    <s v="No barrier identified"/>
    <s v="None"/>
    <m/>
    <m/>
    <s v="TBD"/>
    <s v="TBD"/>
    <m/>
    <n v="7.2356164383561641"/>
    <s v="Yes"/>
    <s v="Maturity"/>
  </r>
  <r>
    <x v="1"/>
    <x v="2"/>
    <x v="8"/>
    <n v="193.8338570350366"/>
    <x v="10"/>
    <n v="0.3709864630099019"/>
    <s v="Manual Switch"/>
    <n v="0.99903230780260144"/>
    <s v="Halogen"/>
    <s v="Shut-off AND multi-level controls"/>
    <x v="12"/>
    <s v="Daylighting"/>
    <n v="45.542833454230305"/>
    <n v="15.517472516975108"/>
    <n v="45.542833454230305"/>
    <n v="4.0230484303268792"/>
    <m/>
    <s v="First cost"/>
    <s v="Performance"/>
    <s v="No barrier identified"/>
    <s v="No barrier identified"/>
    <s v="None"/>
    <m/>
    <m/>
    <s v="TBD"/>
    <s v="TBD"/>
    <m/>
    <n v="7.2356164383561641"/>
    <s v="Yes"/>
    <s v="Maturity"/>
  </r>
  <r>
    <x v="1"/>
    <x v="2"/>
    <x v="8"/>
    <n v="193.8338570350366"/>
    <x v="10"/>
    <n v="0.3709864630099019"/>
    <s v="Manual Switch"/>
    <n v="0.99903230780260144"/>
    <s v="Halogen"/>
    <s v="Shut-off AND multi-level controls"/>
    <x v="12"/>
    <s v="Personal Tuning"/>
    <n v="45.542833454230305"/>
    <n v="20.115242151634394"/>
    <n v="45.542833454230305"/>
    <n v="8.6208180649861674"/>
    <m/>
    <s v="First cost"/>
    <s v="Performance"/>
    <s v="No barrier identified"/>
    <s v="No barrier identified"/>
    <s v="None"/>
    <m/>
    <m/>
    <s v="TBD"/>
    <s v="TBD"/>
    <m/>
    <n v="7.2356164383561641"/>
    <s v="Yes"/>
    <s v="Maturity"/>
  </r>
  <r>
    <x v="1"/>
    <x v="2"/>
    <x v="8"/>
    <n v="193.8338570350366"/>
    <x v="10"/>
    <n v="0.3709864630099019"/>
    <s v="Manual Switch"/>
    <n v="0.99903230780260144"/>
    <s v="Halogen"/>
    <s v="Shut-off AND multi-level controls"/>
    <x v="12"/>
    <s v="Institutional Tuning"/>
    <n v="45.542833454230305"/>
    <n v="20.689963355966807"/>
    <n v="45.542833454230305"/>
    <n v="9.19553926931858"/>
    <m/>
    <s v="First cost"/>
    <s v="Performance"/>
    <s v="No barrier identified"/>
    <s v="No barrier identified"/>
    <s v="None"/>
    <m/>
    <m/>
    <s v="TBD"/>
    <s v="TBD"/>
    <m/>
    <n v="7.2356164383561641"/>
    <s v="Yes"/>
    <s v="Maturity"/>
  </r>
  <r>
    <x v="1"/>
    <x v="2"/>
    <x v="8"/>
    <n v="193.8338570350366"/>
    <x v="10"/>
    <n v="0.3709864630099019"/>
    <s v="Manual Switch"/>
    <n v="0.99903230780260144"/>
    <s v="Halogen"/>
    <s v="Shut-off AND multi-level controls"/>
    <x v="12"/>
    <s v="Multiple Measures"/>
    <n v="45.542833454230305"/>
    <n v="22.988848173296457"/>
    <n v="45.542833454230305"/>
    <n v="11.494424086648229"/>
    <m/>
    <s v="First cost"/>
    <s v="Performance"/>
    <s v="First cost"/>
    <s v="Availability"/>
    <s v="None"/>
    <m/>
    <m/>
    <s v="TBD"/>
    <s v="TBD"/>
    <m/>
    <n v="7.2356164383561641"/>
    <s v="Yes"/>
    <s v="Maturity"/>
  </r>
  <r>
    <x v="1"/>
    <x v="2"/>
    <x v="8"/>
    <n v="193.8338570350366"/>
    <x v="9"/>
    <n v="0.16834284077922379"/>
    <s v="Manual Switch"/>
    <n v="0.99961337150129925"/>
    <s v="Halogen"/>
    <s v="Shut-off AND multi-level controls"/>
    <x v="12"/>
    <s v="Occupancy"/>
    <n v="6.0241000859948306"/>
    <n v="5.7407550173521731"/>
    <n v="6.0241000859948306"/>
    <n v="0.52188681975928819"/>
    <m/>
    <s v="First cost"/>
    <s v="Performance"/>
    <s v="No barrier identified"/>
    <s v="No barrier identified"/>
    <s v="None"/>
    <m/>
    <m/>
    <s v="TBD"/>
    <s v="TBD"/>
    <m/>
    <n v="7.2356164383561641"/>
    <s v="Yes"/>
    <s v="Maturity"/>
  </r>
  <r>
    <x v="1"/>
    <x v="2"/>
    <x v="8"/>
    <n v="193.8338570350366"/>
    <x v="9"/>
    <n v="0.16834284077922379"/>
    <s v="Manual Switch"/>
    <n v="0.99961337150129925"/>
    <s v="Halogen"/>
    <s v="Shut-off AND multi-level controls"/>
    <x v="12"/>
    <s v="Daylighting"/>
    <n v="6.0241000859948306"/>
    <n v="7.0454720667503947"/>
    <n v="6.0241000859948306"/>
    <n v="1.8266038691575099"/>
    <m/>
    <s v="First cost"/>
    <s v="Performance"/>
    <s v="No barrier identified"/>
    <s v="No barrier identified"/>
    <s v="None"/>
    <m/>
    <m/>
    <s v="TBD"/>
    <s v="TBD"/>
    <m/>
    <n v="7.2356164383561641"/>
    <s v="Yes"/>
    <s v="Maturity"/>
  </r>
  <r>
    <x v="1"/>
    <x v="2"/>
    <x v="8"/>
    <n v="193.8338570350366"/>
    <x v="9"/>
    <n v="0.16834284077922379"/>
    <s v="Manual Switch"/>
    <n v="0.99961337150129925"/>
    <s v="Halogen"/>
    <s v="Shut-off AND multi-level controls"/>
    <x v="12"/>
    <s v="Personal Tuning"/>
    <n v="6.0241000859948306"/>
    <n v="9.133019345787547"/>
    <n v="6.0241000859948306"/>
    <n v="3.9141511481946623"/>
    <m/>
    <s v="First cost"/>
    <s v="Performance"/>
    <s v="No barrier identified"/>
    <s v="No barrier identified"/>
    <s v="None"/>
    <m/>
    <m/>
    <s v="TBD"/>
    <s v="TBD"/>
    <m/>
    <n v="7.2356164383561641"/>
    <s v="Yes"/>
    <s v="Maturity"/>
  </r>
  <r>
    <x v="1"/>
    <x v="2"/>
    <x v="8"/>
    <n v="193.8338570350366"/>
    <x v="9"/>
    <n v="0.16834284077922379"/>
    <s v="Manual Switch"/>
    <n v="0.99961337150129925"/>
    <s v="Halogen"/>
    <s v="Shut-off AND multi-level controls"/>
    <x v="12"/>
    <s v="Institutional Tuning"/>
    <n v="6.0241000859948306"/>
    <n v="9.3939627556671912"/>
    <n v="6.0241000859948306"/>
    <n v="4.1750945580743064"/>
    <m/>
    <s v="First cost"/>
    <s v="Performance"/>
    <s v="No barrier identified"/>
    <s v="No barrier identified"/>
    <s v="None"/>
    <m/>
    <m/>
    <s v="TBD"/>
    <s v="TBD"/>
    <m/>
    <n v="7.2356164383561641"/>
    <s v="Yes"/>
    <s v="Maturity"/>
  </r>
  <r>
    <x v="1"/>
    <x v="2"/>
    <x v="8"/>
    <n v="193.8338570350366"/>
    <x v="9"/>
    <n v="0.16834284077922379"/>
    <s v="Manual Switch"/>
    <n v="0.99961337150129925"/>
    <s v="Halogen"/>
    <s v="Shut-off AND multi-level controls"/>
    <x v="12"/>
    <s v="Multiple Measures"/>
    <n v="6.0241000859948306"/>
    <n v="10.43773639518577"/>
    <n v="6.0241000859948306"/>
    <n v="5.2188681975928848"/>
    <m/>
    <s v="First cost"/>
    <s v="Performance"/>
    <s v="First cost"/>
    <s v="Availability"/>
    <s v="None"/>
    <m/>
    <m/>
    <s v="TBD"/>
    <s v="TBD"/>
    <m/>
    <n v="7.2356164383561641"/>
    <s v="Yes"/>
    <s v="Maturity"/>
  </r>
  <r>
    <x v="1"/>
    <x v="2"/>
    <x v="8"/>
    <n v="193.8338570350366"/>
    <x v="7"/>
    <n v="0.45887705811233376"/>
    <s v="Manual Switch"/>
    <n v="0.98719147858836809"/>
    <s v="Halogen"/>
    <s v="Shut-off AND multi-level controls"/>
    <x v="12"/>
    <s v="Occupancy"/>
    <n v="59.297273385869531"/>
    <n v="15.453969429374581"/>
    <n v="56.332409716576052"/>
    <n v="1.404906311761325"/>
    <m/>
    <s v="First cost"/>
    <s v="Performance"/>
    <s v="No barrier identified"/>
    <s v="No barrier identified"/>
    <s v="None"/>
    <m/>
    <m/>
    <s v="TBD"/>
    <s v="TBD"/>
    <m/>
    <n v="7.2356164383561641"/>
    <s v="Yes"/>
    <s v="Maturity"/>
  </r>
  <r>
    <x v="1"/>
    <x v="2"/>
    <x v="8"/>
    <n v="193.8338570350366"/>
    <x v="7"/>
    <n v="0.45887705811233376"/>
    <s v="Manual Switch"/>
    <n v="0.98719147858836809"/>
    <s v="Halogen"/>
    <s v="Shut-off AND multi-level controls"/>
    <x v="12"/>
    <s v="Daylighting"/>
    <n v="59.297273385869531"/>
    <n v="18.966235208777896"/>
    <n v="56.332409716576052"/>
    <n v="4.9171720911646402"/>
    <m/>
    <s v="First cost"/>
    <s v="Performance"/>
    <s v="No barrier identified"/>
    <s v="No barrier identified"/>
    <s v="None"/>
    <m/>
    <m/>
    <s v="TBD"/>
    <s v="TBD"/>
    <m/>
    <n v="7.2356164383561641"/>
    <s v="Yes"/>
    <s v="Maturity"/>
  </r>
  <r>
    <x v="1"/>
    <x v="2"/>
    <x v="8"/>
    <n v="193.8338570350366"/>
    <x v="7"/>
    <n v="0.45887705811233376"/>
    <s v="Manual Switch"/>
    <n v="0.98719147858836809"/>
    <s v="Halogen"/>
    <s v="Shut-off AND multi-level controls"/>
    <x v="12"/>
    <s v="Personal Tuning"/>
    <n v="59.297273385869531"/>
    <n v="24.585860455823195"/>
    <n v="56.332409716576052"/>
    <n v="10.536797338209938"/>
    <m/>
    <s v="First cost"/>
    <s v="Performance"/>
    <s v="No barrier identified"/>
    <s v="No barrier identified"/>
    <s v="None"/>
    <m/>
    <m/>
    <s v="TBD"/>
    <s v="TBD"/>
    <m/>
    <n v="7.2356164383561641"/>
    <s v="Yes"/>
    <s v="Maturity"/>
  </r>
  <r>
    <x v="1"/>
    <x v="2"/>
    <x v="8"/>
    <n v="193.8338570350366"/>
    <x v="7"/>
    <n v="0.45887705811233376"/>
    <s v="Manual Switch"/>
    <n v="0.98719147858836809"/>
    <s v="Halogen"/>
    <s v="Shut-off AND multi-level controls"/>
    <x v="12"/>
    <s v="Institutional Tuning"/>
    <n v="59.297273385869531"/>
    <n v="25.28831361170386"/>
    <n v="56.332409716576052"/>
    <n v="11.239250494090603"/>
    <m/>
    <s v="First cost"/>
    <s v="Performance"/>
    <s v="No barrier identified"/>
    <s v="No barrier identified"/>
    <s v="None"/>
    <m/>
    <m/>
    <s v="TBD"/>
    <s v="TBD"/>
    <m/>
    <n v="7.2356164383561641"/>
    <s v="Yes"/>
    <s v="Maturity"/>
  </r>
  <r>
    <x v="1"/>
    <x v="2"/>
    <x v="8"/>
    <n v="193.8338570350366"/>
    <x v="7"/>
    <n v="0.45887705811233376"/>
    <s v="Manual Switch"/>
    <n v="0.98719147858836809"/>
    <s v="Halogen"/>
    <s v="Shut-off AND multi-level controls"/>
    <x v="12"/>
    <s v="Multiple Measures"/>
    <n v="59.297273385869531"/>
    <n v="28.098126235226509"/>
    <n v="56.332409716576052"/>
    <n v="14.049063117613255"/>
    <m/>
    <s v="First cost"/>
    <s v="Performance"/>
    <s v="First cost"/>
    <s v="Availability"/>
    <s v="None"/>
    <m/>
    <m/>
    <s v="TBD"/>
    <s v="TBD"/>
    <m/>
    <n v="7.2356164383561641"/>
    <s v="Yes"/>
    <s v="Maturity"/>
  </r>
  <r>
    <x v="1"/>
    <x v="3"/>
    <x v="6"/>
    <n v="758.78476960128171"/>
    <x v="1"/>
    <n v="0.84767927678194332"/>
    <s v="Manual Switch"/>
    <n v="0.75536978039511848"/>
    <s v="Linear Fluorescent T-8 / Code Compliant T-12"/>
    <s v="Shut-off AND multi-level controls"/>
    <x v="9"/>
    <s v="Occupancy"/>
    <n v="94.996596883018057"/>
    <n v="93.284826083551607"/>
    <n v="82.330383965282294"/>
    <n v="15.547471013925259"/>
    <m/>
    <s v="No barrier identified"/>
    <s v="No barrier identified"/>
    <s v="No barrier identified"/>
    <s v="No barrier identified"/>
    <s v="None"/>
    <m/>
    <m/>
    <s v="TBD"/>
    <s v="TBD"/>
    <m/>
    <n v="12.202739726027396"/>
    <s v="Yes"/>
    <s v="Maturity"/>
  </r>
  <r>
    <x v="1"/>
    <x v="3"/>
    <x v="6"/>
    <n v="758.78476960128171"/>
    <x v="1"/>
    <n v="0.84767927678194332"/>
    <s v="Manual Switch"/>
    <n v="0.75536978039511848"/>
    <s v="Linear Fluorescent T-8 / Code Compliant T-12"/>
    <s v="Shut-off AND multi-level controls"/>
    <x v="9"/>
    <s v="Daylighting"/>
    <n v="94.996596883018057"/>
    <n v="112.71916485095818"/>
    <n v="82.330383965282294"/>
    <n v="34.98180978133184"/>
    <m/>
    <s v="No barrier identified"/>
    <s v="No barrier identified"/>
    <s v="No barrier identified"/>
    <s v="No barrier identified"/>
    <s v="None"/>
    <m/>
    <m/>
    <s v="TBD"/>
    <s v="TBD"/>
    <m/>
    <n v="12.202739726027396"/>
    <s v="Yes"/>
    <s v="Maturity"/>
  </r>
  <r>
    <x v="1"/>
    <x v="3"/>
    <x v="6"/>
    <n v="758.78476960128171"/>
    <x v="1"/>
    <n v="0.84767927678194332"/>
    <s v="Manual Switch"/>
    <n v="0.75536978039511848"/>
    <s v="Linear Fluorescent T-8 / Code Compliant T-12"/>
    <s v="Shut-off AND multi-level controls"/>
    <x v="9"/>
    <s v="Institutional Tuning"/>
    <n v="94.996596883018057"/>
    <n v="139.92723912532742"/>
    <n v="82.330383965282294"/>
    <n v="62.189884055701071"/>
    <m/>
    <s v="No barrier identified"/>
    <s v="No barrier identified"/>
    <s v="No barrier identified"/>
    <s v="No barrier identified"/>
    <s v="None"/>
    <m/>
    <m/>
    <s v="TBD"/>
    <s v="TBD"/>
    <m/>
    <n v="12.202739726027396"/>
    <s v="Yes"/>
    <s v="Maturity"/>
  </r>
  <r>
    <x v="1"/>
    <x v="3"/>
    <x v="6"/>
    <n v="758.78476960128171"/>
    <x v="1"/>
    <n v="0.84767927678194332"/>
    <s v="Manual Switch"/>
    <n v="0.75536978039511848"/>
    <s v="Linear Fluorescent T-8 / Code Compliant T-12"/>
    <s v="Shut-off AND multi-level controls"/>
    <x v="9"/>
    <s v="Multiple Measures"/>
    <n v="94.996596883018057"/>
    <n v="147.70097463229004"/>
    <n v="82.330383965282294"/>
    <n v="69.963619562663709"/>
    <m/>
    <s v="No barrier identified"/>
    <s v="No barrier identified"/>
    <s v="First cost"/>
    <s v="Availability"/>
    <s v="None"/>
    <m/>
    <m/>
    <s v="TBD"/>
    <s v="TBD"/>
    <m/>
    <n v="12.202739726027396"/>
    <s v="Yes"/>
    <s v="Maturity"/>
  </r>
  <r>
    <x v="1"/>
    <x v="3"/>
    <x v="6"/>
    <n v="758.78476960128171"/>
    <x v="1"/>
    <n v="0.84767927678194332"/>
    <s v="Manual Switch"/>
    <n v="0.75536978039511848"/>
    <s v="Linear Fluorescent T-8 / Code Compliant T-12"/>
    <s v="Shut-off AND multi-level controls"/>
    <x v="3"/>
    <s v="Occupancy"/>
    <n v="131.70411125398581"/>
    <n v="93.284826083551607"/>
    <n v="112.56107182753441"/>
    <n v="15.547471013925259"/>
    <m/>
    <s v="First cost"/>
    <s v="Performance"/>
    <s v="No barrier identified"/>
    <s v="No barrier identified"/>
    <s v="None"/>
    <m/>
    <m/>
    <s v="TBD"/>
    <s v="TBD"/>
    <m/>
    <n v="12.202739726027396"/>
    <s v="Yes"/>
    <s v="Maturity"/>
  </r>
  <r>
    <x v="1"/>
    <x v="3"/>
    <x v="6"/>
    <n v="758.78476960128171"/>
    <x v="1"/>
    <n v="0.84767927678194332"/>
    <s v="Manual Switch"/>
    <n v="0.75536978039511848"/>
    <s v="Linear Fluorescent T-8 / Code Compliant T-12"/>
    <s v="Shut-off AND multi-level controls"/>
    <x v="3"/>
    <s v="Daylighting"/>
    <n v="131.70411125398581"/>
    <n v="112.71916485095818"/>
    <n v="112.56107182753441"/>
    <n v="34.98180978133184"/>
    <m/>
    <s v="First cost"/>
    <s v="Performance"/>
    <s v="No barrier identified"/>
    <s v="No barrier identified"/>
    <s v="None"/>
    <m/>
    <m/>
    <s v="TBD"/>
    <s v="TBD"/>
    <m/>
    <n v="12.202739726027396"/>
    <s v="Yes"/>
    <s v="Maturity"/>
  </r>
  <r>
    <x v="1"/>
    <x v="3"/>
    <x v="6"/>
    <n v="758.78476960128171"/>
    <x v="1"/>
    <n v="0.84767927678194332"/>
    <s v="Manual Switch"/>
    <n v="0.75536978039511848"/>
    <s v="Linear Fluorescent T-8 / Code Compliant T-12"/>
    <s v="Shut-off AND multi-level controls"/>
    <x v="3"/>
    <s v="Institutional Tuning"/>
    <n v="131.70411125398581"/>
    <n v="139.92723912532742"/>
    <n v="112.56107182753441"/>
    <n v="62.189884055701071"/>
    <m/>
    <s v="First cost"/>
    <s v="Performance"/>
    <s v="No barrier identified"/>
    <s v="No barrier identified"/>
    <s v="None"/>
    <m/>
    <m/>
    <s v="TBD"/>
    <s v="TBD"/>
    <m/>
    <n v="12.202739726027396"/>
    <s v="Yes"/>
    <s v="Maturity"/>
  </r>
  <r>
    <x v="1"/>
    <x v="3"/>
    <x v="6"/>
    <n v="758.78476960128171"/>
    <x v="1"/>
    <n v="0.84767927678194332"/>
    <s v="Manual Switch"/>
    <n v="0.75536978039511848"/>
    <s v="Linear Fluorescent T-8 / Code Compliant T-12"/>
    <s v="Shut-off AND multi-level controls"/>
    <x v="3"/>
    <s v="Multiple Measures"/>
    <n v="131.70411125398581"/>
    <n v="147.70097463229004"/>
    <n v="112.56107182753441"/>
    <n v="69.963619562663709"/>
    <m/>
    <s v="First cost"/>
    <s v="Performance"/>
    <s v="First cost"/>
    <s v="Availability"/>
    <s v="None"/>
    <m/>
    <m/>
    <s v="TBD"/>
    <s v="TBD"/>
    <m/>
    <n v="12.202739726027396"/>
    <s v="Yes"/>
    <s v="Maturity"/>
  </r>
  <r>
    <x v="1"/>
    <x v="3"/>
    <x v="9"/>
    <n v="3705.1477049846249"/>
    <x v="1"/>
    <n v="0.66609954826932927"/>
    <s v="Manual Switch"/>
    <n v="0.58665934423576938"/>
    <s v="Linear Fluorescent T-8 / Code Compliant T-12"/>
    <s v="Shut-off AND multi-level controls"/>
    <x v="13"/>
    <s v="Occupancy"/>
    <n v="290.57174729024797"/>
    <n v="277.99173624901977"/>
    <n v="236.9277324058944"/>
    <n v="46.331956041503283"/>
    <m/>
    <s v="No barrier identified"/>
    <s v="No barrier identified"/>
    <s v="No barrier identified"/>
    <s v="No barrier identified"/>
    <s v="None"/>
    <m/>
    <m/>
    <s v="TBD"/>
    <s v="TBD"/>
    <m/>
    <n v="12.202739726027396"/>
    <s v="Yes"/>
    <s v="Maturity"/>
  </r>
  <r>
    <x v="1"/>
    <x v="3"/>
    <x v="9"/>
    <n v="3705.1477049846249"/>
    <x v="1"/>
    <n v="0.66609954826932927"/>
    <s v="Manual Switch"/>
    <n v="0.58665934423576938"/>
    <s v="Linear Fluorescent T-8 / Code Compliant T-12"/>
    <s v="Shut-off AND multi-level controls"/>
    <x v="13"/>
    <s v="Daylighting"/>
    <n v="290.57174729024797"/>
    <n v="335.90668130089892"/>
    <n v="236.9277324058944"/>
    <n v="104.24690109338239"/>
    <m/>
    <s v="No barrier identified"/>
    <s v="No barrier identified"/>
    <s v="No barrier identified"/>
    <s v="No barrier identified"/>
    <s v="None"/>
    <m/>
    <m/>
    <s v="TBD"/>
    <s v="TBD"/>
    <m/>
    <n v="12.202739726027396"/>
    <s v="Yes"/>
    <s v="Maturity"/>
  </r>
  <r>
    <x v="1"/>
    <x v="3"/>
    <x v="9"/>
    <n v="3705.1477049846249"/>
    <x v="1"/>
    <n v="0.66609954826932927"/>
    <s v="Manual Switch"/>
    <n v="0.58665934423576938"/>
    <s v="Linear Fluorescent T-8 / Code Compliant T-12"/>
    <s v="Shut-off AND multi-level controls"/>
    <x v="13"/>
    <s v="Institutional Tuning"/>
    <n v="290.57174729024797"/>
    <n v="416.98760437352968"/>
    <n v="236.9277324058944"/>
    <n v="185.32782416601319"/>
    <m/>
    <s v="No barrier identified"/>
    <s v="No barrier identified"/>
    <s v="No barrier identified"/>
    <s v="No barrier identified"/>
    <s v="None"/>
    <m/>
    <m/>
    <s v="TBD"/>
    <s v="TBD"/>
    <m/>
    <n v="12.202739726027396"/>
    <s v="Yes"/>
    <s v="Maturity"/>
  </r>
  <r>
    <x v="1"/>
    <x v="3"/>
    <x v="9"/>
    <n v="3705.1477049846249"/>
    <x v="1"/>
    <n v="0.66609954826932927"/>
    <s v="Manual Switch"/>
    <n v="0.58665934423576938"/>
    <s v="Linear Fluorescent T-8 / Code Compliant T-12"/>
    <s v="Shut-off AND multi-level controls"/>
    <x v="13"/>
    <s v="Multiple Measures"/>
    <n v="290.57174729024797"/>
    <n v="440.15358239428133"/>
    <n v="236.9277324058944"/>
    <n v="208.49380218676484"/>
    <m/>
    <s v="No barrier identified"/>
    <s v="No barrier identified"/>
    <s v="First cost"/>
    <s v="Availability"/>
    <s v="None"/>
    <m/>
    <m/>
    <s v="TBD"/>
    <s v="TBD"/>
    <m/>
    <n v="12.202739726027396"/>
    <s v="Yes"/>
    <s v="Maturity"/>
  </r>
  <r>
    <x v="1"/>
    <x v="3"/>
    <x v="9"/>
    <n v="3705.1477049846249"/>
    <x v="1"/>
    <n v="0.66609954826932927"/>
    <s v="Manual Switch"/>
    <n v="0.58665934423576938"/>
    <s v="Linear Fluorescent T-8 / Code Compliant T-12"/>
    <s v="Shut-off AND multi-level controls"/>
    <x v="14"/>
    <s v="Occupancy"/>
    <n v="505.35181019114407"/>
    <n v="277.99173624901977"/>
    <n v="431.89951219824519"/>
    <n v="46.331956041503283"/>
    <m/>
    <s v="First cost"/>
    <s v="Performance"/>
    <s v="No barrier identified"/>
    <s v="No barrier identified"/>
    <s v="None"/>
    <m/>
    <m/>
    <s v="TBD"/>
    <s v="TBD"/>
    <m/>
    <n v="12.202739726027396"/>
    <s v="Yes"/>
    <s v="Maturity"/>
  </r>
  <r>
    <x v="1"/>
    <x v="3"/>
    <x v="9"/>
    <n v="3705.1477049846249"/>
    <x v="1"/>
    <n v="0.66609954826932927"/>
    <s v="Manual Switch"/>
    <n v="0.58665934423576938"/>
    <s v="Linear Fluorescent T-8 / Code Compliant T-12"/>
    <s v="Shut-off AND multi-level controls"/>
    <x v="14"/>
    <s v="Daylighting"/>
    <n v="505.35181019114407"/>
    <n v="335.90668130089892"/>
    <n v="431.89951219824519"/>
    <n v="104.24690109338239"/>
    <m/>
    <s v="First cost"/>
    <s v="Performance"/>
    <s v="No barrier identified"/>
    <s v="No barrier identified"/>
    <s v="None"/>
    <m/>
    <m/>
    <s v="TBD"/>
    <s v="TBD"/>
    <m/>
    <n v="12.202739726027396"/>
    <s v="Yes"/>
    <s v="Maturity"/>
  </r>
  <r>
    <x v="1"/>
    <x v="3"/>
    <x v="9"/>
    <n v="3705.1477049846249"/>
    <x v="1"/>
    <n v="0.66609954826932927"/>
    <s v="Manual Switch"/>
    <n v="0.58665934423576938"/>
    <s v="Linear Fluorescent T-8 / Code Compliant T-12"/>
    <s v="Shut-off AND multi-level controls"/>
    <x v="14"/>
    <s v="Institutional Tuning"/>
    <n v="505.35181019114407"/>
    <n v="416.98760437352968"/>
    <n v="431.89951219824519"/>
    <n v="185.32782416601319"/>
    <m/>
    <s v="First cost"/>
    <s v="Performance"/>
    <s v="No barrier identified"/>
    <s v="No barrier identified"/>
    <s v="None"/>
    <m/>
    <m/>
    <s v="TBD"/>
    <s v="TBD"/>
    <m/>
    <n v="12.202739726027396"/>
    <s v="Yes"/>
    <s v="Maturity"/>
  </r>
  <r>
    <x v="1"/>
    <x v="3"/>
    <x v="9"/>
    <n v="3705.1477049846249"/>
    <x v="1"/>
    <n v="0.66609954826932927"/>
    <s v="Manual Switch"/>
    <n v="0.58665934423576938"/>
    <s v="Linear Fluorescent T-8 / Code Compliant T-12"/>
    <s v="Shut-off AND multi-level controls"/>
    <x v="14"/>
    <s v="Multiple Measures"/>
    <n v="505.35181019114407"/>
    <n v="440.15358239428133"/>
    <n v="431.89951219824519"/>
    <n v="208.49380218676484"/>
    <m/>
    <s v="First cost"/>
    <s v="Performance"/>
    <s v="First cost"/>
    <s v="Availability"/>
    <s v="None"/>
    <m/>
    <m/>
    <s v="TBD"/>
    <s v="TBD"/>
    <m/>
    <n v="12.202739726027396"/>
    <s v="Yes"/>
    <s v="Maturity"/>
  </r>
  <r>
    <x v="1"/>
    <x v="3"/>
    <x v="9"/>
    <n v="3705.1477049846249"/>
    <x v="9"/>
    <n v="5.6103825970068889E-2"/>
    <s v="Manual Switch"/>
    <n v="0.9589143169529637"/>
    <s v="Halogen"/>
    <s v="Shut-off AND multi-level controls"/>
    <x v="14"/>
    <s v="Occupancy"/>
    <n v="38.376546837019859"/>
    <n v="38.271813005123683"/>
    <n v="38.376546837019859"/>
    <n v="6.3786355008539442"/>
    <m/>
    <s v="First cost"/>
    <s v="Performance"/>
    <s v="No barrier identified"/>
    <s v="No barrier identified"/>
    <s v="None"/>
    <m/>
    <m/>
    <s v="TBD"/>
    <s v="TBD"/>
    <m/>
    <n v="12.202739726027396"/>
    <s v="Yes"/>
    <s v="Maturity"/>
  </r>
  <r>
    <x v="1"/>
    <x v="3"/>
    <x v="9"/>
    <n v="3705.1477049846249"/>
    <x v="9"/>
    <n v="5.6103825970068889E-2"/>
    <s v="Manual Switch"/>
    <n v="0.9589143169529637"/>
    <s v="Halogen"/>
    <s v="Shut-off AND multi-level controls"/>
    <x v="14"/>
    <s v="Daylighting"/>
    <n v="38.376546837019859"/>
    <n v="46.245107381191119"/>
    <n v="38.376546837019859"/>
    <n v="14.351929876921377"/>
    <m/>
    <s v="First cost"/>
    <s v="Performance"/>
    <s v="No barrier identified"/>
    <s v="No barrier identified"/>
    <s v="None"/>
    <m/>
    <m/>
    <s v="TBD"/>
    <s v="TBD"/>
    <m/>
    <n v="12.202739726027396"/>
    <s v="Yes"/>
    <s v="Maturity"/>
  </r>
  <r>
    <x v="1"/>
    <x v="3"/>
    <x v="9"/>
    <n v="3705.1477049846249"/>
    <x v="9"/>
    <n v="5.6103825970068889E-2"/>
    <s v="Manual Switch"/>
    <n v="0.9589143169529637"/>
    <s v="Halogen"/>
    <s v="Shut-off AND multi-level controls"/>
    <x v="14"/>
    <s v="Institutional Tuning"/>
    <n v="38.376546837019859"/>
    <n v="57.40771950768552"/>
    <n v="38.376546837019859"/>
    <n v="25.514542003415787"/>
    <m/>
    <s v="First cost"/>
    <s v="Performance"/>
    <s v="No barrier identified"/>
    <s v="No barrier identified"/>
    <s v="None"/>
    <m/>
    <m/>
    <s v="TBD"/>
    <s v="TBD"/>
    <m/>
    <n v="12.202739726027396"/>
    <s v="Yes"/>
    <s v="Maturity"/>
  </r>
  <r>
    <x v="1"/>
    <x v="3"/>
    <x v="9"/>
    <n v="3705.1477049846249"/>
    <x v="9"/>
    <n v="5.6103825970068889E-2"/>
    <s v="Manual Switch"/>
    <n v="0.9589143169529637"/>
    <s v="Halogen"/>
    <s v="Shut-off AND multi-level controls"/>
    <x v="14"/>
    <s v="Multiple Measures"/>
    <n v="38.376546837019859"/>
    <n v="60.597037258112501"/>
    <n v="38.376546837019859"/>
    <n v="28.70385975384276"/>
    <m/>
    <s v="First cost"/>
    <s v="Performance"/>
    <s v="First cost"/>
    <s v="Availability"/>
    <s v="None"/>
    <m/>
    <m/>
    <s v="TBD"/>
    <s v="TBD"/>
    <m/>
    <n v="12.202739726027396"/>
    <s v="Yes"/>
    <s v="Maturity"/>
  </r>
  <r>
    <x v="1"/>
    <x v="3"/>
    <x v="9"/>
    <n v="3705.1477049846249"/>
    <x v="11"/>
    <n v="0.25391231918802248"/>
    <s v="Manual Switch"/>
    <n v="0.85075992286636826"/>
    <s v="PS MH"/>
    <s v="Shut-off AND multi-level controls"/>
    <x v="15"/>
    <s v="Occupancy"/>
    <n v="181.95356683560576"/>
    <n v="153.67299301369275"/>
    <n v="148.77493017689329"/>
    <n v="25.612165502282107"/>
    <m/>
    <s v="First cost"/>
    <s v="No barrier identified"/>
    <s v="No barrier identified"/>
    <s v="No barrier identified"/>
    <s v="None"/>
    <m/>
    <m/>
    <s v="TBD"/>
    <s v="TBD"/>
    <m/>
    <n v="12.202739726027396"/>
    <s v="Yes"/>
    <s v="Maturity"/>
  </r>
  <r>
    <x v="1"/>
    <x v="3"/>
    <x v="9"/>
    <n v="3705.1477049846249"/>
    <x v="11"/>
    <n v="0.25391231918802248"/>
    <s v="Manual Switch"/>
    <n v="0.85075992286636826"/>
    <s v="PS MH"/>
    <s v="Shut-off AND multi-level controls"/>
    <x v="15"/>
    <s v="Daylighting"/>
    <n v="181.95356683560576"/>
    <n v="185.68819989154537"/>
    <n v="148.77493017689329"/>
    <n v="57.627372380134759"/>
    <m/>
    <s v="First cost"/>
    <s v="No barrier identified"/>
    <s v="No barrier identified"/>
    <s v="No barrier identified"/>
    <s v="None"/>
    <m/>
    <m/>
    <s v="TBD"/>
    <s v="TBD"/>
    <m/>
    <n v="12.202739726027396"/>
    <s v="Yes"/>
    <s v="Maturity"/>
  </r>
  <r>
    <x v="1"/>
    <x v="3"/>
    <x v="9"/>
    <n v="3705.1477049846249"/>
    <x v="11"/>
    <n v="0.25391231918802248"/>
    <s v="Manual Switch"/>
    <n v="0.85075992286636826"/>
    <s v="PS MH"/>
    <s v="Shut-off AND multi-level controls"/>
    <x v="15"/>
    <s v="Institutional Tuning"/>
    <n v="181.95356683560576"/>
    <n v="230.50948952053909"/>
    <n v="148.77493017689329"/>
    <n v="102.44866200912847"/>
    <m/>
    <s v="First cost"/>
    <s v="No barrier identified"/>
    <s v="No barrier identified"/>
    <s v="No barrier identified"/>
    <s v="None"/>
    <m/>
    <m/>
    <s v="TBD"/>
    <s v="TBD"/>
    <m/>
    <n v="12.202739726027396"/>
    <s v="Yes"/>
    <s v="Maturity"/>
  </r>
  <r>
    <x v="1"/>
    <x v="3"/>
    <x v="9"/>
    <n v="3705.1477049846249"/>
    <x v="11"/>
    <n v="0.25391231918802248"/>
    <s v="Manual Switch"/>
    <n v="0.85075992286636826"/>
    <s v="PS MH"/>
    <s v="Shut-off AND multi-level controls"/>
    <x v="15"/>
    <s v="Multiple Measures"/>
    <n v="181.95356683560576"/>
    <n v="243.31557227168014"/>
    <n v="148.77493017689329"/>
    <n v="115.25474476026955"/>
    <m/>
    <s v="First cost"/>
    <s v="No barrier identified"/>
    <s v="First cost"/>
    <s v="Availability"/>
    <s v="None"/>
    <m/>
    <m/>
    <s v="TBD"/>
    <s v="TBD"/>
    <m/>
    <n v="12.202739726027396"/>
    <s v="Yes"/>
    <s v="Maturity"/>
  </r>
  <r>
    <x v="1"/>
    <x v="3"/>
    <x v="9"/>
    <n v="3705.1477049846249"/>
    <x v="11"/>
    <n v="0.25391231918802248"/>
    <s v="Manual Switch"/>
    <n v="0.85075992286636826"/>
    <s v="PS MH"/>
    <s v="Shut-off AND multi-level controls"/>
    <x v="13"/>
    <s v="Occupancy"/>
    <n v="143.98064853947932"/>
    <n v="153.67299301369275"/>
    <n v="109.00102389430798"/>
    <n v="25.612165502282107"/>
    <m/>
    <s v="No barrier identified"/>
    <s v="No barrier identified"/>
    <s v="No barrier identified"/>
    <s v="No barrier identified"/>
    <s v="None"/>
    <m/>
    <m/>
    <s v="TBD"/>
    <s v="TBD"/>
    <m/>
    <n v="12.202739726027396"/>
    <s v="Yes"/>
    <s v="Maturity"/>
  </r>
  <r>
    <x v="1"/>
    <x v="3"/>
    <x v="9"/>
    <n v="3705.1477049846249"/>
    <x v="11"/>
    <n v="0.25391231918802248"/>
    <s v="Manual Switch"/>
    <n v="0.85075992286636826"/>
    <s v="PS MH"/>
    <s v="Shut-off AND multi-level controls"/>
    <x v="13"/>
    <s v="Daylighting"/>
    <n v="143.98064853947932"/>
    <n v="185.68819989154537"/>
    <n v="109.00102389430798"/>
    <n v="57.627372380134759"/>
    <m/>
    <s v="No barrier identified"/>
    <s v="No barrier identified"/>
    <s v="No barrier identified"/>
    <s v="No barrier identified"/>
    <s v="None"/>
    <m/>
    <m/>
    <s v="TBD"/>
    <s v="TBD"/>
    <m/>
    <n v="12.202739726027396"/>
    <s v="Yes"/>
    <s v="Maturity"/>
  </r>
  <r>
    <x v="1"/>
    <x v="3"/>
    <x v="9"/>
    <n v="3705.1477049846249"/>
    <x v="11"/>
    <n v="0.25391231918802248"/>
    <s v="Manual Switch"/>
    <n v="0.85075992286636826"/>
    <s v="PS MH"/>
    <s v="Shut-off AND multi-level controls"/>
    <x v="13"/>
    <s v="Institutional Tuning"/>
    <n v="143.98064853947932"/>
    <n v="230.50948952053909"/>
    <n v="109.00102389430798"/>
    <n v="102.44866200912847"/>
    <m/>
    <s v="No barrier identified"/>
    <s v="No barrier identified"/>
    <s v="No barrier identified"/>
    <s v="No barrier identified"/>
    <s v="None"/>
    <m/>
    <m/>
    <s v="TBD"/>
    <s v="TBD"/>
    <m/>
    <n v="12.202739726027396"/>
    <s v="Yes"/>
    <s v="Maturity"/>
  </r>
  <r>
    <x v="1"/>
    <x v="3"/>
    <x v="9"/>
    <n v="3705.1477049846249"/>
    <x v="11"/>
    <n v="0.25391231918802248"/>
    <s v="Manual Switch"/>
    <n v="0.85075992286636826"/>
    <s v="PS MH"/>
    <s v="Shut-off AND multi-level controls"/>
    <x v="13"/>
    <s v="Multiple Measures"/>
    <n v="143.98064853947932"/>
    <n v="243.31557227168014"/>
    <n v="109.00102389430798"/>
    <n v="115.25474476026955"/>
    <m/>
    <s v="No barrier identified"/>
    <s v="No barrier identified"/>
    <s v="First cost"/>
    <s v="Availability"/>
    <s v="None"/>
    <m/>
    <m/>
    <s v="TBD"/>
    <s v="TBD"/>
    <m/>
    <n v="12.202739726027396"/>
    <s v="Yes"/>
    <s v="Maturity"/>
  </r>
  <r>
    <x v="1"/>
    <x v="3"/>
    <x v="9"/>
    <n v="3705.1477049846249"/>
    <x v="11"/>
    <n v="0.25391231918802248"/>
    <s v="Manual Switch"/>
    <n v="0.85075992286636826"/>
    <s v="PS MH"/>
    <s v="Shut-off AND multi-level controls"/>
    <x v="14"/>
    <s v="Occupancy"/>
    <n v="405.73015542488798"/>
    <n v="153.67299301369275"/>
    <n v="379.47756302854725"/>
    <n v="25.612165502282107"/>
    <m/>
    <s v="First cost"/>
    <s v="Performance"/>
    <s v="No barrier identified"/>
    <s v="No barrier identified"/>
    <s v="None"/>
    <m/>
    <m/>
    <s v="TBD"/>
    <s v="TBD"/>
    <m/>
    <n v="12.202739726027396"/>
    <s v="Yes"/>
    <s v="Maturity"/>
  </r>
  <r>
    <x v="1"/>
    <x v="3"/>
    <x v="9"/>
    <n v="3705.1477049846249"/>
    <x v="11"/>
    <n v="0.25391231918802248"/>
    <s v="Manual Switch"/>
    <n v="0.85075992286636826"/>
    <s v="PS MH"/>
    <s v="Shut-off AND multi-level controls"/>
    <x v="14"/>
    <s v="Daylighting"/>
    <n v="405.73015542488798"/>
    <n v="185.68819989154537"/>
    <n v="379.47756302854725"/>
    <n v="57.627372380134759"/>
    <m/>
    <s v="First cost"/>
    <s v="Performance"/>
    <s v="No barrier identified"/>
    <s v="No barrier identified"/>
    <s v="None"/>
    <m/>
    <m/>
    <s v="TBD"/>
    <s v="TBD"/>
    <m/>
    <n v="12.202739726027396"/>
    <s v="Yes"/>
    <s v="Maturity"/>
  </r>
  <r>
    <x v="1"/>
    <x v="3"/>
    <x v="9"/>
    <n v="3705.1477049846249"/>
    <x v="11"/>
    <n v="0.25391231918802248"/>
    <s v="Manual Switch"/>
    <n v="0.85075992286636826"/>
    <s v="PS MH"/>
    <s v="Shut-off AND multi-level controls"/>
    <x v="14"/>
    <s v="Institutional Tuning"/>
    <n v="405.73015542488798"/>
    <n v="230.50948952053909"/>
    <n v="379.47756302854725"/>
    <n v="102.44866200912847"/>
    <m/>
    <s v="First cost"/>
    <s v="Performance"/>
    <s v="No barrier identified"/>
    <s v="No barrier identified"/>
    <s v="None"/>
    <m/>
    <m/>
    <s v="TBD"/>
    <s v="TBD"/>
    <m/>
    <n v="12.202739726027396"/>
    <s v="Yes"/>
    <s v="Maturity"/>
  </r>
  <r>
    <x v="1"/>
    <x v="3"/>
    <x v="9"/>
    <n v="3705.1477049846249"/>
    <x v="11"/>
    <n v="0.25391231918802248"/>
    <s v="Manual Switch"/>
    <n v="0.85075992286636826"/>
    <s v="PS MH"/>
    <s v="Shut-off AND multi-level controls"/>
    <x v="14"/>
    <s v="Multiple Measures"/>
    <n v="405.73015542488798"/>
    <n v="243.31557227168014"/>
    <n v="379.47756302854725"/>
    <n v="115.25474476026955"/>
    <m/>
    <s v="First cost"/>
    <s v="Performance"/>
    <s v="First cost"/>
    <s v="Availability"/>
    <s v="None"/>
    <m/>
    <m/>
    <s v="TBD"/>
    <s v="TBD"/>
    <m/>
    <n v="12.202739726027396"/>
    <s v="Yes"/>
    <s v="Maturity"/>
  </r>
  <r>
    <x v="1"/>
    <x v="3"/>
    <x v="10"/>
    <n v="551.08209536163713"/>
    <x v="1"/>
    <n v="0.31182743504241944"/>
    <s v="Manual Switch"/>
    <n v="0.87494965178535133"/>
    <s v="Linear Fluorescent T-8 / Code Compliant T-12"/>
    <s v="Shut-off"/>
    <x v="9"/>
    <s v="Occupancy"/>
    <n v="20.232024559946961"/>
    <s v="Not Applicable"/>
    <n v="16.496881564264442"/>
    <s v="Not Applicable"/>
    <m/>
    <s v="No barrier identified"/>
    <s v="No barrier identified"/>
    <s v="No barrier identified"/>
    <s v="No barrier identified"/>
    <s v="None"/>
    <m/>
    <m/>
    <s v="TBD"/>
    <s v="TBD"/>
    <m/>
    <n v="12.202739726027396"/>
    <s v="Yes"/>
    <s v="Maturity"/>
  </r>
  <r>
    <x v="1"/>
    <x v="3"/>
    <x v="10"/>
    <n v="551.08209536163713"/>
    <x v="1"/>
    <n v="0.31182743504241944"/>
    <s v="Manual Switch"/>
    <n v="0.87494965178535133"/>
    <s v="Linear Fluorescent T-8 / Code Compliant T-12"/>
    <s v="Shut-off"/>
    <x v="9"/>
    <s v="Daylighting"/>
    <n v="20.232024559946961"/>
    <s v="Not Applicable"/>
    <n v="16.496881564264442"/>
    <s v="Not Applicable"/>
    <m/>
    <s v="No barrier identified"/>
    <s v="No barrier identified"/>
    <s v="No barrier identified"/>
    <s v="No barrier identified"/>
    <s v="None"/>
    <m/>
    <m/>
    <s v="TBD"/>
    <s v="TBD"/>
    <m/>
    <n v="12.202739726027396"/>
    <s v="Yes"/>
    <s v="Maturity"/>
  </r>
  <r>
    <x v="1"/>
    <x v="3"/>
    <x v="10"/>
    <n v="551.08209536163713"/>
    <x v="1"/>
    <n v="0.31182743504241944"/>
    <s v="Manual Switch"/>
    <n v="0.87494965178535133"/>
    <s v="Linear Fluorescent T-8 / Code Compliant T-12"/>
    <s v="Shut-off"/>
    <x v="9"/>
    <s v="Institutional Tuning"/>
    <n v="20.232024559946961"/>
    <n v="43.301822340592075"/>
    <n v="16.496881564264442"/>
    <n v="37.287680348843182"/>
    <m/>
    <s v="No barrier identified"/>
    <s v="No barrier identified"/>
    <s v="No barrier identified"/>
    <s v="No barrier identified"/>
    <s v="None"/>
    <m/>
    <m/>
    <s v="TBD"/>
    <s v="TBD"/>
    <m/>
    <n v="12.202739726027396"/>
    <s v="Yes"/>
    <s v="Maturity"/>
  </r>
  <r>
    <x v="1"/>
    <x v="3"/>
    <x v="10"/>
    <n v="551.08209536163713"/>
    <x v="1"/>
    <n v="0.31182743504241944"/>
    <s v="Manual Switch"/>
    <n v="0.87494965178535133"/>
    <s v="Linear Fluorescent T-8 / Code Compliant T-12"/>
    <s v="Shut-off"/>
    <x v="9"/>
    <s v="Multiple Measures"/>
    <n v="20.232024559946961"/>
    <s v="Not Applicable"/>
    <n v="16.496881564264442"/>
    <s v="Not Applicable"/>
    <m/>
    <s v="No barrier identified"/>
    <s v="No barrier identified"/>
    <s v="First cost"/>
    <s v="Availability"/>
    <s v="None"/>
    <m/>
    <m/>
    <s v="TBD"/>
    <s v="TBD"/>
    <m/>
    <n v="12.202739726027396"/>
    <s v="Yes"/>
    <s v="Maturity"/>
  </r>
  <r>
    <x v="1"/>
    <x v="3"/>
    <x v="10"/>
    <n v="551.08209536163713"/>
    <x v="1"/>
    <n v="0.31182743504241944"/>
    <s v="Manual Switch"/>
    <n v="0.87494965178535133"/>
    <s v="Linear Fluorescent T-8 / Code Compliant T-12"/>
    <s v="Shut-off"/>
    <x v="3"/>
    <s v="Occupancy"/>
    <n v="35.186800955524369"/>
    <s v="Not Applicable"/>
    <n v="30.072440351523728"/>
    <s v="Not Applicable"/>
    <m/>
    <s v="First cost"/>
    <s v="Performance"/>
    <s v="No barrier identified"/>
    <s v="No barrier identified"/>
    <s v="None"/>
    <m/>
    <m/>
    <s v="TBD"/>
    <s v="TBD"/>
    <m/>
    <n v="12.202739726027396"/>
    <s v="Yes"/>
    <s v="Maturity"/>
  </r>
  <r>
    <x v="1"/>
    <x v="3"/>
    <x v="10"/>
    <n v="551.08209536163713"/>
    <x v="1"/>
    <n v="0.31182743504241944"/>
    <s v="Manual Switch"/>
    <n v="0.87494965178535133"/>
    <s v="Linear Fluorescent T-8 / Code Compliant T-12"/>
    <s v="Shut-off"/>
    <x v="3"/>
    <s v="Daylighting"/>
    <n v="35.186800955524369"/>
    <s v="Not Applicable"/>
    <n v="30.072440351523728"/>
    <s v="Not Applicable"/>
    <m/>
    <s v="First cost"/>
    <s v="Performance"/>
    <s v="No barrier identified"/>
    <s v="No barrier identified"/>
    <s v="None"/>
    <m/>
    <m/>
    <s v="TBD"/>
    <s v="TBD"/>
    <m/>
    <n v="12.202739726027396"/>
    <s v="Yes"/>
    <s v="Maturity"/>
  </r>
  <r>
    <x v="1"/>
    <x v="3"/>
    <x v="10"/>
    <n v="551.08209536163713"/>
    <x v="1"/>
    <n v="0.31182743504241944"/>
    <s v="Manual Switch"/>
    <n v="0.87494965178535133"/>
    <s v="Linear Fluorescent T-8 / Code Compliant T-12"/>
    <s v="Shut-off"/>
    <x v="3"/>
    <s v="Institutional Tuning"/>
    <n v="35.186800955524369"/>
    <n v="43.301822340592075"/>
    <n v="30.072440351523728"/>
    <n v="37.287680348843182"/>
    <m/>
    <s v="First cost"/>
    <s v="Performance"/>
    <s v="No barrier identified"/>
    <s v="No barrier identified"/>
    <s v="None"/>
    <m/>
    <m/>
    <s v="TBD"/>
    <s v="TBD"/>
    <m/>
    <n v="12.202739726027396"/>
    <s v="Yes"/>
    <s v="Maturity"/>
  </r>
  <r>
    <x v="1"/>
    <x v="3"/>
    <x v="10"/>
    <n v="551.08209536163713"/>
    <x v="1"/>
    <n v="0.31182743504241944"/>
    <s v="Manual Switch"/>
    <n v="0.87494965178535133"/>
    <s v="Linear Fluorescent T-8 / Code Compliant T-12"/>
    <s v="Shut-off"/>
    <x v="3"/>
    <s v="Multiple Measures"/>
    <n v="35.186800955524369"/>
    <s v="Not Applicable"/>
    <n v="30.072440351523728"/>
    <s v="Not Applicable"/>
    <m/>
    <s v="First cost"/>
    <s v="Performance"/>
    <s v="First cost"/>
    <s v="Availability"/>
    <s v="None"/>
    <m/>
    <m/>
    <s v="TBD"/>
    <s v="TBD"/>
    <m/>
    <n v="12.202739726027396"/>
    <s v="Yes"/>
    <s v="Maturity"/>
  </r>
  <r>
    <x v="1"/>
    <x v="3"/>
    <x v="10"/>
    <n v="551.08209536163713"/>
    <x v="10"/>
    <n v="0.38404881355199783"/>
    <s v="Manual Switch"/>
    <n v="0.90257546234868891"/>
    <s v="Halogen"/>
    <s v="Shut-off"/>
    <x v="10"/>
    <s v="Occupancy"/>
    <n v="134.04020243247757"/>
    <s v="Not Applicable"/>
    <n v="134.04020243247757"/>
    <s v="Not Applicable"/>
    <m/>
    <s v="First cost"/>
    <s v="Performance"/>
    <s v="No barrier identified"/>
    <s v="No barrier identified"/>
    <s v="None"/>
    <m/>
    <m/>
    <s v="TBD"/>
    <s v="TBD"/>
    <m/>
    <n v="12.202739726027396"/>
    <s v="Yes"/>
    <s v="Maturity"/>
  </r>
  <r>
    <x v="1"/>
    <x v="3"/>
    <x v="10"/>
    <n v="551.08209536163713"/>
    <x v="10"/>
    <n v="0.38404881355199783"/>
    <s v="Manual Switch"/>
    <n v="0.90257546234868891"/>
    <s v="Halogen"/>
    <s v="Shut-off"/>
    <x v="10"/>
    <s v="Daylighting"/>
    <n v="134.04020243247757"/>
    <s v="Not Applicable"/>
    <n v="134.04020243247757"/>
    <s v="Not Applicable"/>
    <m/>
    <s v="First cost"/>
    <s v="Performance"/>
    <s v="No barrier identified"/>
    <s v="No barrier identified"/>
    <s v="None"/>
    <m/>
    <m/>
    <s v="TBD"/>
    <s v="TBD"/>
    <m/>
    <n v="12.202739726027396"/>
    <s v="Yes"/>
    <s v="Maturity"/>
  </r>
  <r>
    <x v="1"/>
    <x v="3"/>
    <x v="10"/>
    <n v="551.08209536163713"/>
    <x v="10"/>
    <n v="0.38404881355199783"/>
    <s v="Manual Switch"/>
    <n v="0.90257546234868891"/>
    <s v="Halogen"/>
    <s v="Shut-off"/>
    <x v="10"/>
    <s v="Institutional Tuning"/>
    <n v="134.04020243247757"/>
    <n v="55.014698736214626"/>
    <n v="134.04020243247757"/>
    <n v="47.373768356184819"/>
    <m/>
    <s v="First cost"/>
    <s v="Performance"/>
    <s v="No barrier identified"/>
    <s v="No barrier identified"/>
    <s v="None"/>
    <m/>
    <m/>
    <s v="TBD"/>
    <s v="TBD"/>
    <m/>
    <n v="12.202739726027396"/>
    <s v="Yes"/>
    <s v="Maturity"/>
  </r>
  <r>
    <x v="1"/>
    <x v="3"/>
    <x v="10"/>
    <n v="551.08209536163713"/>
    <x v="10"/>
    <n v="0.38404881355199783"/>
    <s v="Manual Switch"/>
    <n v="0.90257546234868891"/>
    <s v="Halogen"/>
    <s v="Shut-off"/>
    <x v="10"/>
    <s v="Multiple Measures"/>
    <n v="134.04020243247757"/>
    <s v="Not Applicable"/>
    <n v="134.04020243247757"/>
    <s v="Not Applicable"/>
    <m/>
    <s v="First cost"/>
    <s v="Performance"/>
    <s v="First cost"/>
    <s v="Availability"/>
    <s v="None"/>
    <m/>
    <m/>
    <s v="TBD"/>
    <s v="TBD"/>
    <m/>
    <n v="12.202739726027396"/>
    <s v="Yes"/>
    <s v="Maturity"/>
  </r>
  <r>
    <x v="1"/>
    <x v="3"/>
    <x v="10"/>
    <n v="551.08209536163713"/>
    <x v="10"/>
    <n v="0.38404881355199783"/>
    <s v="Manual Switch"/>
    <n v="0.90257546234868891"/>
    <s v="Halogen"/>
    <s v="Shut-off"/>
    <x v="16"/>
    <s v="Occupancy"/>
    <n v="123.45808118780829"/>
    <s v="Not Applicable"/>
    <n v="123.45808118780829"/>
    <s v="Not Applicable"/>
    <m/>
    <s v="Reliability"/>
    <s v="Performance"/>
    <s v="No barrier identified"/>
    <s v="No barrier identified"/>
    <s v="Lighting reliability - non dimming CFL on dimmer"/>
    <m/>
    <m/>
    <s v="TBD"/>
    <s v="TBD"/>
    <m/>
    <n v="12.202739726027396"/>
    <s v="Yes"/>
    <s v="Maturity"/>
  </r>
  <r>
    <x v="1"/>
    <x v="3"/>
    <x v="10"/>
    <n v="551.08209536163713"/>
    <x v="10"/>
    <n v="0.38404881355199783"/>
    <s v="Manual Switch"/>
    <n v="0.90257546234868891"/>
    <s v="Halogen"/>
    <s v="Shut-off"/>
    <x v="16"/>
    <s v="Daylighting"/>
    <n v="123.45808118780829"/>
    <s v="Not Applicable"/>
    <n v="123.45808118780829"/>
    <s v="Not Applicable"/>
    <m/>
    <s v="Reliability"/>
    <s v="Performance"/>
    <s v="No barrier identified"/>
    <s v="No barrier identified"/>
    <s v="Lighting reliability - non dimming CFL on dimmer"/>
    <m/>
    <m/>
    <s v="TBD"/>
    <s v="TBD"/>
    <m/>
    <n v="12.202739726027396"/>
    <s v="Yes"/>
    <s v="Maturity"/>
  </r>
  <r>
    <x v="1"/>
    <x v="3"/>
    <x v="10"/>
    <n v="551.08209536163713"/>
    <x v="10"/>
    <n v="0.38404881355199783"/>
    <s v="Manual Switch"/>
    <n v="0.90257546234868891"/>
    <s v="Halogen"/>
    <s v="Shut-off"/>
    <x v="16"/>
    <s v="Institutional Tuning"/>
    <n v="123.45808118780829"/>
    <n v="55.014698736214626"/>
    <n v="123.45808118780829"/>
    <n v="47.373768356184819"/>
    <m/>
    <s v="Reliability"/>
    <s v="Performance"/>
    <s v="No barrier identified"/>
    <s v="No barrier identified"/>
    <s v="Lighting reliability - non dimming CFL on dimmer"/>
    <m/>
    <m/>
    <s v="TBD"/>
    <s v="TBD"/>
    <m/>
    <n v="12.202739726027396"/>
    <s v="Yes"/>
    <s v="Maturity"/>
  </r>
  <r>
    <x v="1"/>
    <x v="3"/>
    <x v="10"/>
    <n v="551.08209536163713"/>
    <x v="10"/>
    <n v="0.38404881355199783"/>
    <s v="Manual Switch"/>
    <n v="0.90257546234868891"/>
    <s v="Halogen"/>
    <s v="Shut-off"/>
    <x v="16"/>
    <s v="Multiple Measures"/>
    <n v="123.45808118780829"/>
    <s v="Not Applicable"/>
    <n v="123.45808118780829"/>
    <s v="Not Applicable"/>
    <m/>
    <s v="Reliability"/>
    <s v="Performance"/>
    <s v="First cost"/>
    <s v="Availability"/>
    <s v="Lighting reliability - non dimming CFL on dimmer"/>
    <m/>
    <m/>
    <s v="TBD"/>
    <s v="TBD"/>
    <m/>
    <n v="12.202739726027396"/>
    <s v="Yes"/>
    <s v="Maturity"/>
  </r>
  <r>
    <x v="1"/>
    <x v="3"/>
    <x v="10"/>
    <n v="551.08209536163713"/>
    <x v="8"/>
    <n v="6.0606142377777755E-2"/>
    <s v="Manual Switch"/>
    <n v="0.99565453020434114"/>
    <s v="Halogen"/>
    <s v="Shut-off"/>
    <x v="10"/>
    <s v="Occupancy"/>
    <s v="No Change"/>
    <s v="Not Applicable"/>
    <s v="No Change"/>
    <s v="Not Applicable"/>
    <m/>
    <s v="Reliability"/>
    <s v="Performance"/>
    <s v="No barrier identified"/>
    <s v="No barrier identified"/>
    <s v="Lighting reliability - non dimming CFL on dimmer"/>
    <m/>
    <m/>
    <s v="TBD"/>
    <s v="TBD"/>
    <m/>
    <n v="12.202739726027396"/>
    <s v="Yes"/>
    <s v="Maturity"/>
  </r>
  <r>
    <x v="1"/>
    <x v="3"/>
    <x v="10"/>
    <n v="551.08209536163713"/>
    <x v="8"/>
    <n v="6.0606142377777755E-2"/>
    <s v="Manual Switch"/>
    <n v="0.99565453020434114"/>
    <s v="Halogen"/>
    <s v="Shut-off"/>
    <x v="10"/>
    <s v="Daylighting"/>
    <s v="No Change"/>
    <s v="Not Applicable"/>
    <s v="No Change"/>
    <s v="Not Applicable"/>
    <m/>
    <s v="Reliability"/>
    <s v="Performance"/>
    <s v="No barrier identified"/>
    <s v="No barrier identified"/>
    <s v="Lighting reliability - non dimming CFL on dimmer"/>
    <m/>
    <m/>
    <s v="TBD"/>
    <s v="TBD"/>
    <m/>
    <n v="12.202739726027396"/>
    <s v="Yes"/>
    <s v="Maturity"/>
  </r>
  <r>
    <x v="1"/>
    <x v="3"/>
    <x v="10"/>
    <n v="551.08209536163713"/>
    <x v="8"/>
    <n v="6.0606142377777755E-2"/>
    <s v="Manual Switch"/>
    <n v="0.99565453020434114"/>
    <s v="Halogen"/>
    <s v="Shut-off"/>
    <x v="10"/>
    <s v="Institutional Tuning"/>
    <s v="No Change"/>
    <n v="9.5771018193796138"/>
    <s v="No Change"/>
    <n v="8.2469487889102222"/>
    <m/>
    <s v="Reliability"/>
    <s v="Performance"/>
    <s v="No barrier identified"/>
    <s v="No barrier identified"/>
    <s v="Lighting reliability - non dimming CFL on dimmer"/>
    <m/>
    <m/>
    <s v="TBD"/>
    <s v="TBD"/>
    <m/>
    <n v="12.202739726027396"/>
    <s v="Yes"/>
    <s v="Maturity"/>
  </r>
  <r>
    <x v="1"/>
    <x v="3"/>
    <x v="10"/>
    <n v="551.08209536163713"/>
    <x v="8"/>
    <n v="6.0606142377777755E-2"/>
    <s v="Manual Switch"/>
    <n v="0.99565453020434114"/>
    <s v="Halogen"/>
    <s v="Shut-off"/>
    <x v="10"/>
    <s v="Multiple Measures"/>
    <s v="No Change"/>
    <s v="Not Applicable"/>
    <s v="No Change"/>
    <s v="Not Applicable"/>
    <m/>
    <s v="Reliability"/>
    <s v="Performance"/>
    <s v="First cost"/>
    <s v="Availability"/>
    <s v="Lighting reliability - non dimming CFL on dimmer"/>
    <m/>
    <m/>
    <s v="TBD"/>
    <s v="TBD"/>
    <m/>
    <n v="12.202739726027396"/>
    <s v="Yes"/>
    <s v="Maturity"/>
  </r>
  <r>
    <x v="1"/>
    <x v="3"/>
    <x v="10"/>
    <n v="551.08209536163713"/>
    <x v="9"/>
    <n v="5.3111068793247444E-2"/>
    <s v="Manual Switch"/>
    <n v="0.99323947599043749"/>
    <s v="Halogen"/>
    <s v="Shut-off"/>
    <x v="10"/>
    <s v="Occupancy"/>
    <n v="5.4034262912268671"/>
    <s v="Not Applicable"/>
    <n v="5.4034262912268671"/>
    <s v="Not Applicable"/>
    <m/>
    <s v="Reliability"/>
    <s v="Performance"/>
    <s v="No barrier identified"/>
    <s v="No barrier identified"/>
    <s v="Lighting reliability - non dimming CFL on dimmer"/>
    <m/>
    <m/>
    <s v="TBD"/>
    <s v="TBD"/>
    <m/>
    <n v="12.202739726027396"/>
    <s v="Yes"/>
    <s v="Maturity"/>
  </r>
  <r>
    <x v="1"/>
    <x v="3"/>
    <x v="10"/>
    <n v="551.08209536163713"/>
    <x v="9"/>
    <n v="5.3111068793247444E-2"/>
    <s v="Manual Switch"/>
    <n v="0.99323947599043749"/>
    <s v="Halogen"/>
    <s v="Shut-off"/>
    <x v="10"/>
    <s v="Daylighting"/>
    <n v="5.4034262912268671"/>
    <s v="Not Applicable"/>
    <n v="5.4034262912268671"/>
    <s v="Not Applicable"/>
    <m/>
    <s v="Reliability"/>
    <s v="Performance"/>
    <s v="No barrier identified"/>
    <s v="No barrier identified"/>
    <s v="Lighting reliability - non dimming CFL on dimmer"/>
    <m/>
    <m/>
    <s v="TBD"/>
    <s v="TBD"/>
    <m/>
    <n v="12.202739726027396"/>
    <s v="Yes"/>
    <s v="Maturity"/>
  </r>
  <r>
    <x v="1"/>
    <x v="3"/>
    <x v="10"/>
    <n v="551.08209536163713"/>
    <x v="9"/>
    <n v="5.3111068793247444E-2"/>
    <s v="Manual Switch"/>
    <n v="0.99323947599043749"/>
    <s v="Halogen"/>
    <s v="Shut-off"/>
    <x v="10"/>
    <s v="Institutional Tuning"/>
    <n v="5.4034262912268671"/>
    <n v="8.3723582249597559"/>
    <n v="5.4034262912268671"/>
    <n v="7.2095306937153456"/>
    <m/>
    <s v="Reliability"/>
    <s v="Performance"/>
    <s v="No barrier identified"/>
    <s v="No barrier identified"/>
    <s v="Lighting reliability - non dimming CFL on dimmer"/>
    <m/>
    <m/>
    <s v="TBD"/>
    <s v="TBD"/>
    <m/>
    <n v="12.202739726027396"/>
    <s v="Yes"/>
    <s v="Maturity"/>
  </r>
  <r>
    <x v="1"/>
    <x v="3"/>
    <x v="10"/>
    <n v="551.08209536163713"/>
    <x v="9"/>
    <n v="5.3111068793247444E-2"/>
    <s v="Manual Switch"/>
    <n v="0.99323947599043749"/>
    <s v="Halogen"/>
    <s v="Shut-off"/>
    <x v="10"/>
    <s v="Multiple Measures"/>
    <n v="5.4034262912268671"/>
    <s v="Not Applicable"/>
    <n v="5.4034262912268671"/>
    <s v="Not Applicable"/>
    <m/>
    <s v="Reliability"/>
    <s v="Performance"/>
    <s v="First cost"/>
    <s v="Availability"/>
    <s v="Lighting reliability - non dimming CFL on dimmer"/>
    <m/>
    <m/>
    <s v="TBD"/>
    <s v="TBD"/>
    <m/>
    <n v="12.202739726027396"/>
    <s v="Yes"/>
    <s v="Maturity"/>
  </r>
  <r>
    <x v="1"/>
    <x v="3"/>
    <x v="10"/>
    <n v="551.08209536163713"/>
    <x v="7"/>
    <n v="0.17356226180788212"/>
    <s v="Manual Switch"/>
    <n v="0.98263252310834825"/>
    <s v="Halogen"/>
    <s v="Shut-off"/>
    <x v="10"/>
    <s v="Occupancy"/>
    <n v="63.76470327519516"/>
    <s v="Not Applicable"/>
    <n v="60.576468111435396"/>
    <s v="Not Applicable"/>
    <m/>
    <s v="Reliability"/>
    <s v="Performance"/>
    <s v="No barrier identified"/>
    <s v="No barrier identified"/>
    <s v="Lighting reliability - non dimming CFL on dimmer"/>
    <m/>
    <m/>
    <s v="TBD"/>
    <s v="TBD"/>
    <m/>
    <n v="12.202739726027396"/>
    <s v="Yes"/>
    <s v="Maturity"/>
  </r>
  <r>
    <x v="1"/>
    <x v="3"/>
    <x v="10"/>
    <n v="551.08209536163713"/>
    <x v="7"/>
    <n v="0.17356226180788212"/>
    <s v="Manual Switch"/>
    <n v="0.98263252310834825"/>
    <s v="Halogen"/>
    <s v="Shut-off"/>
    <x v="10"/>
    <s v="Daylighting"/>
    <n v="63.76470327519516"/>
    <s v="Not Applicable"/>
    <n v="60.576468111435396"/>
    <s v="Not Applicable"/>
    <m/>
    <s v="Reliability"/>
    <s v="Performance"/>
    <s v="No barrier identified"/>
    <s v="No barrier identified"/>
    <s v="Lighting reliability - non dimming CFL on dimmer"/>
    <m/>
    <m/>
    <s v="TBD"/>
    <s v="TBD"/>
    <m/>
    <n v="12.202739726027396"/>
    <s v="Yes"/>
    <s v="Maturity"/>
  </r>
  <r>
    <x v="1"/>
    <x v="3"/>
    <x v="10"/>
    <n v="551.08209536163713"/>
    <x v="7"/>
    <n v="0.17356226180788212"/>
    <s v="Manual Switch"/>
    <n v="0.98263252310834825"/>
    <s v="Halogen"/>
    <s v="Shut-off"/>
    <x v="10"/>
    <s v="Institutional Tuning"/>
    <n v="63.76470327519516"/>
    <n v="27.067941186289993"/>
    <n v="60.576468111435396"/>
    <n v="23.308504910416385"/>
    <m/>
    <s v="Reliability"/>
    <s v="Performance"/>
    <s v="No barrier identified"/>
    <s v="No barrier identified"/>
    <s v="Lighting reliability - non dimming CFL on dimmer"/>
    <m/>
    <m/>
    <s v="TBD"/>
    <s v="TBD"/>
    <m/>
    <n v="12.202739726027396"/>
    <s v="Yes"/>
    <s v="Maturity"/>
  </r>
  <r>
    <x v="1"/>
    <x v="3"/>
    <x v="10"/>
    <n v="551.08209536163713"/>
    <x v="7"/>
    <n v="0.17356226180788212"/>
    <s v="Manual Switch"/>
    <n v="0.98263252310834825"/>
    <s v="Halogen"/>
    <s v="Shut-off"/>
    <x v="10"/>
    <s v="Multiple Measures"/>
    <n v="63.76470327519516"/>
    <s v="Not Applicable"/>
    <n v="60.576468111435396"/>
    <s v="Not Applicable"/>
    <m/>
    <s v="Reliability"/>
    <s v="Performance"/>
    <s v="First cost"/>
    <s v="Availability"/>
    <s v="Lighting reliability - non dimming CFL on dimmer"/>
    <m/>
    <m/>
    <s v="TBD"/>
    <s v="TBD"/>
    <m/>
    <n v="12.202739726027396"/>
    <s v="Yes"/>
    <s v="Maturity"/>
  </r>
  <r>
    <x v="1"/>
    <x v="3"/>
    <x v="10"/>
    <n v="551.08209536163713"/>
    <x v="7"/>
    <n v="0.17356226180788212"/>
    <s v="Manual Switch"/>
    <n v="0.98263252310834825"/>
    <s v="Halogen"/>
    <s v="Shut-off"/>
    <x v="16"/>
    <s v="Occupancy"/>
    <n v="59.938821078683446"/>
    <s v="Not Applicable"/>
    <n v="55.794115365795761"/>
    <s v="Not Applicable"/>
    <m/>
    <s v="Reliability"/>
    <s v="Performance"/>
    <s v="No barrier identified"/>
    <s v="No barrier identified"/>
    <s v="Lighting reliability - non dimming CFL on dimmer"/>
    <m/>
    <m/>
    <s v="TBD"/>
    <s v="TBD"/>
    <m/>
    <n v="12.202739726027396"/>
    <s v="Yes"/>
    <s v="Maturity"/>
  </r>
  <r>
    <x v="1"/>
    <x v="3"/>
    <x v="10"/>
    <n v="551.08209536163713"/>
    <x v="7"/>
    <n v="0.17356226180788212"/>
    <s v="Manual Switch"/>
    <n v="0.98263252310834825"/>
    <s v="Halogen"/>
    <s v="Shut-off"/>
    <x v="16"/>
    <s v="Daylighting"/>
    <n v="59.938821078683446"/>
    <s v="Not Applicable"/>
    <n v="55.794115365795761"/>
    <s v="Not Applicable"/>
    <m/>
    <s v="Reliability"/>
    <s v="Performance"/>
    <s v="No barrier identified"/>
    <s v="No barrier identified"/>
    <s v="Lighting reliability - non dimming CFL on dimmer"/>
    <m/>
    <m/>
    <s v="TBD"/>
    <s v="TBD"/>
    <m/>
    <n v="12.202739726027396"/>
    <s v="Yes"/>
    <s v="Maturity"/>
  </r>
  <r>
    <x v="1"/>
    <x v="3"/>
    <x v="10"/>
    <n v="551.08209536163713"/>
    <x v="7"/>
    <n v="0.17356226180788212"/>
    <s v="Manual Switch"/>
    <n v="0.98263252310834825"/>
    <s v="Halogen"/>
    <s v="Shut-off"/>
    <x v="16"/>
    <s v="Institutional Tuning"/>
    <n v="59.938821078683446"/>
    <n v="27.067941186289993"/>
    <n v="55.794115365795761"/>
    <n v="23.308504910416385"/>
    <m/>
    <s v="Reliability"/>
    <s v="Performance"/>
    <s v="No barrier identified"/>
    <s v="No barrier identified"/>
    <s v="Lighting reliability - non dimming CFL on dimmer"/>
    <m/>
    <m/>
    <s v="TBD"/>
    <s v="TBD"/>
    <m/>
    <n v="12.202739726027396"/>
    <s v="Yes"/>
    <s v="Maturity"/>
  </r>
  <r>
    <x v="1"/>
    <x v="3"/>
    <x v="10"/>
    <n v="551.08209536163713"/>
    <x v="7"/>
    <n v="0.17356226180788212"/>
    <s v="Manual Switch"/>
    <n v="0.98263252310834825"/>
    <s v="Halogen"/>
    <s v="Shut-off"/>
    <x v="16"/>
    <s v="Multiple Measures"/>
    <n v="59.938821078683446"/>
    <s v="Not Applicable"/>
    <n v="55.794115365795761"/>
    <s v="Not Applicable"/>
    <m/>
    <s v="Reliability"/>
    <s v="Performance"/>
    <s v="First cost"/>
    <s v="Availability"/>
    <s v="Lighting reliability - non dimming CFL on dimmer"/>
    <m/>
    <m/>
    <s v="TBD"/>
    <s v="TBD"/>
    <m/>
    <n v="12.202739726027396"/>
    <s v="Yes"/>
    <s v="Maturity"/>
  </r>
  <r>
    <x v="1"/>
    <x v="4"/>
    <x v="6"/>
    <n v="358.49365031662199"/>
    <x v="1"/>
    <n v="0.87983429857487527"/>
    <s v="Manual Switch / Schedule"/>
    <n v="0.87705985592721025"/>
    <s v="Linear Fluorescent T-8 / Code Compliant T-12"/>
    <s v="Shut-off and Daylighting and  Bi-level (in warehouse aisleways and open areas)"/>
    <x v="9"/>
    <s v="Occupancy"/>
    <n v="37.135653933358483"/>
    <n v="68.606184983454412"/>
    <n v="30.279840899507679"/>
    <s v="Savings are minimal if not negative"/>
    <m/>
    <s v="No barrier identified"/>
    <s v="No barrier identified"/>
    <s v="No barrier identified"/>
    <s v="No barrier identified"/>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9"/>
    <s v="Daylighting"/>
    <n v="37.135653933358483"/>
    <n v="61.966876759249132"/>
    <n v="30.279840899507679"/>
    <s v="No change"/>
    <m/>
    <s v="No barrier identified"/>
    <s v="No barrier identified"/>
    <s v="No barrier identified"/>
    <s v="No barrier identified"/>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9"/>
    <s v="Personal Tuning"/>
    <n v="37.135653933358483"/>
    <s v="Not Applicable"/>
    <n v="30.279840899507679"/>
    <s v="Not Applicable"/>
    <m/>
    <s v="No barrier identified"/>
    <s v="No barrier identified"/>
    <s v="Not Applicable"/>
    <s v="Not Applicable"/>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9"/>
    <s v="Institutional Tuning"/>
    <n v="37.135653933358483"/>
    <n v="79.671698690463174"/>
    <n v="30.279840899507679"/>
    <n v="17.704821931214031"/>
    <m/>
    <s v="No barrier identified"/>
    <s v="No barrier identified"/>
    <s v="No barrier identified"/>
    <s v="No barrier identified"/>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9"/>
    <s v="Multiple Measures"/>
    <n v="37.135653933358483"/>
    <n v="84.097904173266699"/>
    <n v="30.279840899507679"/>
    <n v="22.131027414017542"/>
    <m/>
    <s v="No barrier identified"/>
    <s v="No barrier identified"/>
    <s v="First cost"/>
    <s v="Availability"/>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3"/>
    <s v="Occupancy"/>
    <n v="64.584978109068985"/>
    <n v="68.606184983454412"/>
    <n v="55.197626639727552"/>
    <s v="Savings are minimal if not negative"/>
    <m/>
    <s v="First cost"/>
    <s v="Performance"/>
    <s v="No barrier identified"/>
    <s v="No barrier identified"/>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3"/>
    <s v="Daylighting"/>
    <n v="64.584978109068985"/>
    <n v="61.966876759249132"/>
    <n v="55.197626639727552"/>
    <s v="No change"/>
    <m/>
    <s v="First cost"/>
    <s v="Performance"/>
    <s v="No barrier identified"/>
    <s v="No barrier identified"/>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3"/>
    <s v="Personal Tuning"/>
    <n v="64.584978109068985"/>
    <s v="Not Applicable"/>
    <n v="55.197626639727552"/>
    <s v="Not Applicable"/>
    <m/>
    <s v="First cost"/>
    <s v="Performance"/>
    <s v="Not Applicable"/>
    <s v="Not Applicable"/>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3"/>
    <s v="Institutional Tuning"/>
    <n v="64.584978109068985"/>
    <n v="79.671698690463174"/>
    <n v="55.197626639727552"/>
    <n v="17.704821931214031"/>
    <m/>
    <s v="First cost"/>
    <s v="Performance"/>
    <s v="No barrier identified"/>
    <s v="No barrier identified"/>
    <s v="Lighting reliability - non dimming CFL on dimmer"/>
    <m/>
    <m/>
    <s v="TBD"/>
    <s v="TBD"/>
    <m/>
    <n v="9.4273972602739722"/>
    <s v="Yes"/>
    <s v="Maturity"/>
  </r>
  <r>
    <x v="1"/>
    <x v="4"/>
    <x v="6"/>
    <n v="358.49365031662199"/>
    <x v="1"/>
    <n v="0.87983429857487527"/>
    <s v="Manual Switch / Schedule"/>
    <n v="0.87705985592721025"/>
    <s v="Linear Fluorescent T-8 / Code Compliant T-12"/>
    <s v="Shut-off and Daylighting and  Bi-level (in warehouse aisleways and open areas)"/>
    <x v="3"/>
    <s v="Multiple Measures"/>
    <n v="64.584978109068985"/>
    <n v="84.097904173266699"/>
    <n v="55.197626639727552"/>
    <n v="22.131027414017542"/>
    <m/>
    <s v="First cost"/>
    <s v="Performance"/>
    <s v="First cost"/>
    <s v="Availability"/>
    <s v="Lighting reliability - non dimming CFL on dimmer"/>
    <m/>
    <m/>
    <s v="TBD"/>
    <s v="TBD"/>
    <m/>
    <n v="9.4273972602739722"/>
    <s v="Yes"/>
    <s v="Maturity"/>
  </r>
  <r>
    <x v="1"/>
    <x v="4"/>
    <x v="6"/>
    <n v="358.49365031662199"/>
    <x v="9"/>
    <n v="0.10528875835634517"/>
    <s v="Manual Switch / Schedule"/>
    <n v="0.99874040896385019"/>
    <s v="Halogen"/>
    <s v="Shut-off and Daylighting and  Bi-level (in warehouse aisleways and open areas)"/>
    <x v="10"/>
    <s v="Occupancy"/>
    <n v="6.9683725514715551"/>
    <n v="9.349056288344249"/>
    <n v="6.9683725514715551"/>
    <s v="Savings are minimal if not negative"/>
    <m/>
    <s v="First cost"/>
    <s v="Performance"/>
    <s v="No barrier identified"/>
    <s v="No barrier identified"/>
    <s v="Lighting reliability - non dimming CFL on dimmer"/>
    <m/>
    <m/>
    <s v="TBD"/>
    <s v="TBD"/>
    <m/>
    <n v="9.4273972602739722"/>
    <s v="Yes"/>
    <s v="Maturity"/>
  </r>
  <r>
    <x v="1"/>
    <x v="4"/>
    <x v="6"/>
    <n v="358.49365031662199"/>
    <x v="9"/>
    <n v="0.10528875835634517"/>
    <s v="Manual Switch / Schedule"/>
    <n v="0.99874040896385019"/>
    <s v="Halogen"/>
    <s v="Shut-off and Daylighting and  Bi-level (in warehouse aisleways and open areas)"/>
    <x v="10"/>
    <s v="Daylighting"/>
    <n v="6.9683725514715551"/>
    <n v="8.4443089056012575"/>
    <n v="6.9683725514715551"/>
    <s v="No change"/>
    <m/>
    <s v="First cost"/>
    <s v="Performance"/>
    <s v="No barrier identified"/>
    <s v="No barrier identified"/>
    <s v="Lighting reliability - non dimming CFL on dimmer"/>
    <m/>
    <m/>
    <s v="TBD"/>
    <s v="TBD"/>
    <m/>
    <n v="9.4273972602739722"/>
    <s v="Yes"/>
    <s v="Maturity"/>
  </r>
  <r>
    <x v="1"/>
    <x v="4"/>
    <x v="6"/>
    <n v="358.49365031662199"/>
    <x v="9"/>
    <n v="0.10528875835634517"/>
    <s v="Manual Switch / Schedule"/>
    <n v="0.99874040896385019"/>
    <s v="Halogen"/>
    <s v="Shut-off and Daylighting and  Bi-level (in warehouse aisleways and open areas)"/>
    <x v="10"/>
    <s v="Personal Tuning"/>
    <n v="6.9683725514715551"/>
    <s v="Not Applicable"/>
    <n v="6.9683725514715551"/>
    <s v="Not Applicable"/>
    <m/>
    <s v="First cost"/>
    <s v="Performance"/>
    <s v="Not Applicable"/>
    <s v="Not Applicable"/>
    <s v="Lighting reliability - non dimming CFL on dimmer"/>
    <m/>
    <m/>
    <s v="TBD"/>
    <s v="TBD"/>
    <m/>
    <n v="9.4273972602739722"/>
    <s v="Yes"/>
    <s v="Maturity"/>
  </r>
  <r>
    <x v="1"/>
    <x v="4"/>
    <x v="6"/>
    <n v="358.49365031662199"/>
    <x v="9"/>
    <n v="0.10528875835634517"/>
    <s v="Manual Switch / Schedule"/>
    <n v="0.99874040896385019"/>
    <s v="Halogen"/>
    <s v="Shut-off and Daylighting and  Bi-level (in warehouse aisleways and open areas)"/>
    <x v="10"/>
    <s v="Institutional Tuning"/>
    <n v="6.9683725514715551"/>
    <n v="10.856968592915901"/>
    <n v="6.9683725514715551"/>
    <n v="2.412659687314644"/>
    <m/>
    <s v="First cost"/>
    <s v="Performance"/>
    <s v="No barrier identified"/>
    <s v="No barrier identified"/>
    <s v="Lighting reliability - non dimming CFL on dimmer"/>
    <m/>
    <m/>
    <s v="TBD"/>
    <s v="TBD"/>
    <m/>
    <n v="9.4273972602739722"/>
    <s v="Yes"/>
    <s v="Maturity"/>
  </r>
  <r>
    <x v="1"/>
    <x v="4"/>
    <x v="6"/>
    <n v="358.49365031662199"/>
    <x v="9"/>
    <n v="0.10528875835634517"/>
    <s v="Manual Switch / Schedule"/>
    <n v="0.99874040896385019"/>
    <s v="Halogen"/>
    <s v="Shut-off and Daylighting and  Bi-level (in warehouse aisleways and open areas)"/>
    <x v="10"/>
    <s v="Multiple Measures"/>
    <n v="6.9683725514715551"/>
    <n v="11.460133514744564"/>
    <n v="6.9683725514715551"/>
    <n v="3.0158246091433054"/>
    <m/>
    <s v="First cost"/>
    <s v="Performance"/>
    <s v="First cost"/>
    <s v="Availability"/>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3"/>
    <s v="Occupancy"/>
    <n v="123.66455532884841"/>
    <n v="174.99292464623329"/>
    <n v="100.83417588352252"/>
    <s v="Savings are minimal if not negative"/>
    <m/>
    <s v="No barrier identified"/>
    <s v="No barrier identified"/>
    <s v="No barrier identified"/>
    <s v="No barrier identified"/>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3"/>
    <s v="Daylighting"/>
    <n v="123.66455532884841"/>
    <n v="158.0581254869204"/>
    <n v="100.83417588352252"/>
    <s v="No change"/>
    <m/>
    <s v="No barrier identified"/>
    <s v="No barrier identified"/>
    <s v="No barrier identified"/>
    <s v="No barrier identified"/>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3"/>
    <s v="Personal Tuning"/>
    <n v="123.66455532884841"/>
    <s v="Not Applicable"/>
    <n v="100.83417588352252"/>
    <s v="Not Applicable"/>
    <m/>
    <s v="No barrier identified"/>
    <s v="No barrier identified"/>
    <s v="Not Applicable"/>
    <s v="Not Applicable"/>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3"/>
    <s v="Institutional Tuning"/>
    <n v="123.66455532884841"/>
    <n v="203.21758991175483"/>
    <n v="100.83417588352252"/>
    <n v="45.159464424834383"/>
    <m/>
    <s v="No barrier identified"/>
    <s v="No barrier identified"/>
    <s v="No barrier identified"/>
    <s v="No barrier identified"/>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3"/>
    <s v="Multiple Measures"/>
    <n v="123.66455532884841"/>
    <n v="214.50745601796345"/>
    <n v="100.83417588352252"/>
    <n v="56.449330531042989"/>
    <m/>
    <s v="No barrier identified"/>
    <s v="No barrier identified"/>
    <s v="First cost"/>
    <s v="Availability"/>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4"/>
    <s v="Occupancy"/>
    <n v="215.07289498965625"/>
    <n v="174.99292464623329"/>
    <n v="183.81229978767132"/>
    <s v="Savings are minimal if not negative"/>
    <m/>
    <s v="First cost"/>
    <s v="Performance"/>
    <s v="No barrier identified"/>
    <s v="No barrier identified"/>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4"/>
    <s v="Daylighting"/>
    <n v="215.07289498965625"/>
    <n v="158.0581254869204"/>
    <n v="183.81229978767132"/>
    <s v="No change"/>
    <m/>
    <s v="First cost"/>
    <s v="Performance"/>
    <s v="No barrier identified"/>
    <s v="No barrier identified"/>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4"/>
    <s v="Personal Tuning"/>
    <n v="215.07289498965625"/>
    <s v="Not Applicable"/>
    <n v="183.81229978767132"/>
    <s v="Not Applicable"/>
    <m/>
    <s v="First cost"/>
    <s v="Performance"/>
    <s v="Not Applicable"/>
    <s v="Not Applicable"/>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4"/>
    <s v="Institutional Tuning"/>
    <n v="215.07289498965625"/>
    <n v="203.21758991175483"/>
    <n v="183.81229978767132"/>
    <n v="45.159464424834383"/>
    <m/>
    <s v="First cost"/>
    <s v="Performance"/>
    <s v="No barrier identified"/>
    <s v="No barrier identified"/>
    <s v="Lighting reliability - non dimming CFL on dimmer"/>
    <m/>
    <m/>
    <s v="TBD"/>
    <s v="TBD"/>
    <m/>
    <n v="9.4273972602739722"/>
    <s v="Yes"/>
    <s v="Maturity"/>
  </r>
  <r>
    <x v="1"/>
    <x v="4"/>
    <x v="9"/>
    <n v="1384.7695904387162"/>
    <x v="1"/>
    <n v="0.75850596809677506"/>
    <s v="Manual Switch / Schedule"/>
    <n v="0.67178807228513249"/>
    <s v="Linear Fluorescent T-8 / Code Compliant T-12"/>
    <s v="Shut-off and Daylighting and  Bi-level (in warehouse aisleways and open areas)"/>
    <x v="14"/>
    <s v="Multiple Measures"/>
    <n v="215.07289498965625"/>
    <n v="214.50745601796345"/>
    <n v="183.81229978767132"/>
    <n v="56.449330531042989"/>
    <m/>
    <s v="First cost"/>
    <s v="Performance"/>
    <s v="First cost"/>
    <s v="Availability"/>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5"/>
    <s v="Occupancy"/>
    <n v="53.443735384197936"/>
    <n v="58.264323898219779"/>
    <n v="43.698445369637525"/>
    <s v="Savings are minimal if not negative"/>
    <m/>
    <s v="No barrier identified"/>
    <s v="No barrier identified"/>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5"/>
    <s v="Daylighting"/>
    <n v="53.443735384197936"/>
    <n v="52.625840940327542"/>
    <n v="43.698445369637525"/>
    <s v="No change"/>
    <m/>
    <s v="First cost"/>
    <s v="No barrier identified"/>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5"/>
    <s v="Personal Tuning"/>
    <n v="53.443735384197936"/>
    <s v="Not Applicable"/>
    <n v="43.698445369637525"/>
    <s v="Not Applicable"/>
    <m/>
    <s v="First cost"/>
    <s v="No barrier identified"/>
    <s v="Not Applicable"/>
    <s v="Not Applicable"/>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5"/>
    <s v="Institutional Tuning"/>
    <n v="53.443735384197936"/>
    <n v="67.661795494706837"/>
    <n v="43.698445369637525"/>
    <n v="15.035954554379289"/>
    <m/>
    <s v="First cost"/>
    <s v="No barrier identified"/>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5"/>
    <s v="Multiple Measures"/>
    <n v="53.443735384197936"/>
    <n v="71.420784133301666"/>
    <n v="43.698445369637525"/>
    <n v="18.794943192974117"/>
    <m/>
    <s v="First cost"/>
    <s v="No barrier identified"/>
    <s v="First cost"/>
    <s v="Availability"/>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4"/>
    <s v="Occupancy"/>
    <n v="119.17180542829573"/>
    <n v="58.264323898219779"/>
    <n v="111.4608458380016"/>
    <s v="Savings are minimal if not negative"/>
    <m/>
    <s v="First cost"/>
    <s v="Performance"/>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4"/>
    <s v="Daylighting"/>
    <n v="119.17180542829573"/>
    <n v="52.625840940327542"/>
    <n v="111.4608458380016"/>
    <s v="No change"/>
    <m/>
    <s v="First cost"/>
    <s v="Performance"/>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4"/>
    <s v="Personal Tuning"/>
    <n v="119.17180542829573"/>
    <s v="Not Applicable"/>
    <n v="111.4608458380016"/>
    <s v="Not Applicable"/>
    <m/>
    <s v="First cost"/>
    <s v="Performance"/>
    <s v="Not Applicable"/>
    <s v="Not Applicable"/>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4"/>
    <s v="Institutional Tuning"/>
    <n v="119.17180542829573"/>
    <n v="67.661795494706837"/>
    <n v="111.4608458380016"/>
    <n v="15.035954554379289"/>
    <m/>
    <s v="First cost"/>
    <s v="Performance"/>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4"/>
    <s v="Multiple Measures"/>
    <n v="119.17180542829573"/>
    <n v="71.420784133301666"/>
    <n v="111.4608458380016"/>
    <n v="18.794943192974117"/>
    <m/>
    <s v="First cost"/>
    <s v="Performance"/>
    <s v="First cost"/>
    <s v="Availability"/>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7"/>
    <s v="Occupancy"/>
    <n v="30.269593789578746"/>
    <n v="58.264323898219779"/>
    <n v="30.269593789578746"/>
    <s v="Savings are minimal if not negative"/>
    <m/>
    <s v="Reliability"/>
    <s v="Performance"/>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7"/>
    <s v="Daylighting"/>
    <n v="30.269593789578746"/>
    <n v="52.625840940327542"/>
    <n v="30.269593789578746"/>
    <s v="No change"/>
    <m/>
    <s v="Reliability"/>
    <s v="Performance"/>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7"/>
    <s v="Personal Tuning"/>
    <n v="30.269593789578746"/>
    <s v="Not Applicable"/>
    <n v="30.269593789578746"/>
    <s v="Not Applicable"/>
    <m/>
    <s v="Reliability"/>
    <s v="Performance"/>
    <s v="Not Applicable"/>
    <s v="Not Applicable"/>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7"/>
    <s v="Institutional Tuning"/>
    <n v="30.269593789578746"/>
    <n v="67.661795494706837"/>
    <n v="30.269593789578746"/>
    <n v="15.035954554379289"/>
    <m/>
    <s v="Reliability"/>
    <s v="Performance"/>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7"/>
    <s v="Multiple Measures"/>
    <n v="30.269593789578746"/>
    <n v="71.420784133301666"/>
    <n v="30.269593789578746"/>
    <n v="18.794943192974117"/>
    <m/>
    <s v="Reliability"/>
    <s v="Performance"/>
    <s v="First cost"/>
    <s v="Availability"/>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3"/>
    <s v="Occupancy"/>
    <n v="42.290260173582709"/>
    <n v="58.264323898219779"/>
    <n v="32.015980664326712"/>
    <s v="Savings are minimal if not negative"/>
    <m/>
    <s v="No barrier identified"/>
    <s v="No barrier identified"/>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3"/>
    <s v="Daylighting"/>
    <n v="42.290260173582709"/>
    <n v="52.625840940327542"/>
    <n v="32.015980664326712"/>
    <s v="No change"/>
    <m/>
    <s v="No barrier identified"/>
    <s v="No barrier identified"/>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3"/>
    <s v="Personal Tuning"/>
    <n v="42.290260173582709"/>
    <s v="Not Applicable"/>
    <n v="32.015980664326712"/>
    <s v="Not Applicable"/>
    <m/>
    <s v="No barrier identified"/>
    <s v="No barrier identified"/>
    <s v="Not Applicable"/>
    <s v="Not Applicable"/>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3"/>
    <s v="Institutional Tuning"/>
    <n v="42.290260173582709"/>
    <n v="67.661795494706837"/>
    <n v="32.015980664326712"/>
    <n v="15.035954554379289"/>
    <m/>
    <s v="No barrier identified"/>
    <s v="No barrier identified"/>
    <s v="No barrier identified"/>
    <s v="No barrier identified"/>
    <s v="Lighting reliability - non dimming CFL on dimmer"/>
    <m/>
    <m/>
    <s v="TBD"/>
    <s v="TBD"/>
    <m/>
    <n v="9.4273972602739722"/>
    <s v="Yes"/>
    <s v="Maturity"/>
  </r>
  <r>
    <x v="1"/>
    <x v="4"/>
    <x v="9"/>
    <n v="1384.7695904387162"/>
    <x v="11"/>
    <n v="0.19954829052517753"/>
    <s v="Manual Switch / Schedule"/>
    <n v="0.85020861427716821"/>
    <s v="PS MH"/>
    <s v="Shut-off and Daylighting and  Bi-level (in warehouse aisleways and open areas)"/>
    <x v="13"/>
    <s v="Multiple Measures"/>
    <n v="42.290260173582709"/>
    <n v="71.420784133301666"/>
    <n v="32.015980664326712"/>
    <n v="18.794943192974117"/>
    <m/>
    <s v="No barrier identified"/>
    <s v="No barrier identified"/>
    <s v="First cost"/>
    <s v="Availability"/>
    <s v="Lighting reliability - non dimming CFL on dimmer"/>
    <m/>
    <m/>
    <s v="TBD"/>
    <s v="TBD"/>
    <m/>
    <n v="9.4273972602739722"/>
    <s v="Yes"/>
    <s v="Maturity"/>
  </r>
  <r>
    <x v="1"/>
    <x v="5"/>
    <x v="9"/>
    <n v="536.81628000000001"/>
    <x v="11"/>
    <s v="Insufficient Data Found"/>
    <s v="Manual Switch"/>
    <s v="Insufficient Data Found"/>
    <s v="PS MH"/>
    <s v="Shut-off and Daylighting and  Bi-level (in warehouse aisleways and open areas)"/>
    <x v="15"/>
    <s v="Occupancy"/>
    <s v="N/A"/>
    <s v="N/A"/>
    <s v="N/A"/>
    <s v="Savings are minimal if not negative"/>
    <m/>
    <s v="First cost"/>
    <s v="No barrier identified"/>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5"/>
    <s v="Daylighting"/>
    <s v="N/A"/>
    <s v="N/A"/>
    <s v="N/A"/>
    <s v="No change"/>
    <m/>
    <s v="First cost"/>
    <s v="No barrier identified"/>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5"/>
    <s v="Personal Tuning"/>
    <s v="N/A"/>
    <s v="Not Applicable"/>
    <s v="N/A"/>
    <s v="Not Applicable"/>
    <m/>
    <s v="First cost"/>
    <s v="No barrier identified"/>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5"/>
    <s v="Institutional Tuning"/>
    <s v="N/A"/>
    <s v="Insufficient Data Found"/>
    <s v="N/A"/>
    <s v="Insufficient Data to Estimate"/>
    <m/>
    <s v="First cost"/>
    <s v="No barrier identified"/>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5"/>
    <s v="Multiple Measures"/>
    <s v="N/A"/>
    <s v="Insufficient Data Found"/>
    <s v="N/A"/>
    <s v="Insufficient Data to Estimate"/>
    <m/>
    <s v="First cost"/>
    <s v="No barrier identified"/>
    <s v="First cost"/>
    <s v="Availability"/>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4"/>
    <s v="Occupancy"/>
    <s v="N/A"/>
    <s v="N/A"/>
    <s v="N/A"/>
    <s v="Savings are minimal if not negative"/>
    <m/>
    <s v="First cost"/>
    <s v="Availability"/>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4"/>
    <s v="Daylighting"/>
    <s v="N/A"/>
    <s v="N/A"/>
    <s v="N/A"/>
    <s v="No change"/>
    <m/>
    <s v="First cost"/>
    <s v="Availability"/>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4"/>
    <s v="Personal Tuning"/>
    <s v="N/A"/>
    <s v="Not Applicable"/>
    <s v="N/A"/>
    <s v="Not Applicable"/>
    <m/>
    <s v="First cost"/>
    <s v="Availability"/>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4"/>
    <s v="Institutional Tuning"/>
    <s v="N/A"/>
    <s v="Insufficient Data Found"/>
    <s v="N/A"/>
    <s v="Insufficient Data to Estimate"/>
    <m/>
    <s v="First cost"/>
    <s v="Availability"/>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4"/>
    <s v="Multiple Measures"/>
    <s v="N/A"/>
    <s v="Insufficient Data Found"/>
    <s v="N/A"/>
    <s v="Insufficient Data to Estimate"/>
    <m/>
    <s v="First cost"/>
    <s v="Availability"/>
    <s v="First cost"/>
    <s v="Availability"/>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7"/>
    <s v="Occupancy"/>
    <s v="N/A"/>
    <s v="N/A"/>
    <s v="N/A"/>
    <s v="Savings are minimal if not negative"/>
    <m/>
    <s v="Reliability"/>
    <s v="Performance"/>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7"/>
    <s v="Daylighting"/>
    <s v="N/A"/>
    <s v="N/A"/>
    <s v="N/A"/>
    <s v="No change"/>
    <m/>
    <s v="Reliability"/>
    <s v="Performance"/>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7"/>
    <s v="Personal Tuning"/>
    <s v="N/A"/>
    <s v="Not Applicable"/>
    <s v="N/A"/>
    <s v="Not Applicable"/>
    <m/>
    <s v="Reliability"/>
    <s v="Performance"/>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7"/>
    <s v="Institutional Tuning"/>
    <s v="N/A"/>
    <s v="Insufficient Data Found"/>
    <s v="N/A"/>
    <s v="Insufficient Data to Estimate"/>
    <m/>
    <s v="Reliability"/>
    <s v="Performance"/>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7"/>
    <s v="Multiple Measures"/>
    <s v="N/A"/>
    <s v="Insufficient Data Found"/>
    <s v="N/A"/>
    <s v="Insufficient Data to Estimate"/>
    <m/>
    <s v="Reliability"/>
    <s v="Performance"/>
    <s v="First cost"/>
    <s v="Availability"/>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3"/>
    <s v="Occupancy"/>
    <s v="N/A"/>
    <s v="N/A"/>
    <s v="N/A"/>
    <s v="Savings are minimal if not negative"/>
    <m/>
    <s v="No barrier identified"/>
    <s v="No barrier identified"/>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3"/>
    <s v="Daylighting"/>
    <s v="N/A"/>
    <s v="N/A"/>
    <s v="N/A"/>
    <s v="No change"/>
    <m/>
    <s v="No barrier identified"/>
    <s v="No barrier identified"/>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3"/>
    <s v="Personal Tuning"/>
    <s v="N/A"/>
    <s v="Not Applicable"/>
    <s v="N/A"/>
    <s v="Not Applicable"/>
    <m/>
    <s v="No barrier identified"/>
    <s v="No barrier identified"/>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3"/>
    <s v="Institutional Tuning"/>
    <s v="N/A"/>
    <s v="Insufficient Data Found"/>
    <s v="N/A"/>
    <s v="Insufficient Data to Estimate"/>
    <m/>
    <s v="No barrier identified"/>
    <s v="No barrier identified"/>
    <s v="No barrier identified"/>
    <s v="No barrier identified"/>
    <s v="Lighting reliability - non dimming CFL on dimmer"/>
    <m/>
    <m/>
    <s v="TBD"/>
    <s v="TBD"/>
    <m/>
    <n v="17"/>
    <s v="Yes"/>
    <s v="Maturity"/>
  </r>
  <r>
    <x v="1"/>
    <x v="5"/>
    <x v="9"/>
    <n v="536.81628000000001"/>
    <x v="11"/>
    <s v="Insufficient Data Found"/>
    <s v="Manual Switch"/>
    <s v="Insufficient Data Found"/>
    <s v="PS MH"/>
    <s v="Shut-off and Daylighting and  Bi-level (in warehouse aisleways and open areas)"/>
    <x v="13"/>
    <s v="Multiple Measures"/>
    <s v="N/A"/>
    <s v="Insufficient Data Found"/>
    <s v="N/A"/>
    <s v="Insufficient Data to Estimate"/>
    <m/>
    <s v="No barrier identified"/>
    <s v="No barrier identified"/>
    <s v="First cost"/>
    <s v="Availability"/>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9"/>
    <s v="Occupancy"/>
    <s v="N/A"/>
    <s v="N/A"/>
    <s v="N/A"/>
    <s v="Savings are minimal if not negative"/>
    <m/>
    <s v="No barrier identified"/>
    <s v="No barrier identified"/>
    <s v="No barrier identified"/>
    <s v="No barrier identified"/>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9"/>
    <s v="Daylighting"/>
    <s v="N/A"/>
    <s v="N/A"/>
    <s v="N/A"/>
    <s v="No change"/>
    <m/>
    <s v="No barrier identified"/>
    <s v="No barrier identified"/>
    <s v="No barrier identified"/>
    <s v="No barrier identified"/>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9"/>
    <s v="Personal Tuning"/>
    <s v="N/A"/>
    <s v="Not Applicable"/>
    <s v="N/A"/>
    <s v="Not Applicable"/>
    <m/>
    <s v="No barrier identified"/>
    <s v="No barrier identified"/>
    <s v="No barrier identified"/>
    <s v="No barrier identified"/>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9"/>
    <s v="Institutional Tuning"/>
    <s v="N/A"/>
    <s v="Insufficient Data Found"/>
    <s v="N/A"/>
    <s v="Insufficient Data to Estimate"/>
    <m/>
    <s v="No barrier identified"/>
    <s v="No barrier identified"/>
    <s v="No barrier identified"/>
    <s v="No barrier identified"/>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9"/>
    <s v="Multiple Measures"/>
    <s v="N/A"/>
    <s v="Insufficient Data Found"/>
    <s v="N/A"/>
    <s v="Insufficient Data to Estimate"/>
    <m/>
    <s v="No barrier identified"/>
    <s v="No barrier identified"/>
    <s v="First cost"/>
    <s v="Availability"/>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3"/>
    <s v="Occupancy"/>
    <s v="N/A"/>
    <s v="N/A"/>
    <s v="N/A"/>
    <s v="Savings are minimal if not negative"/>
    <m/>
    <s v="First cost"/>
    <s v="Availability"/>
    <s v="No barrier identified"/>
    <s v="No barrier identified"/>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3"/>
    <s v="Daylighting"/>
    <s v="N/A"/>
    <s v="N/A"/>
    <s v="N/A"/>
    <s v="No change"/>
    <m/>
    <s v="First cost"/>
    <s v="Availability"/>
    <s v="No barrier identified"/>
    <s v="No barrier identified"/>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3"/>
    <s v="Personal Tuning"/>
    <s v="N/A"/>
    <s v="Not Applicable"/>
    <s v="N/A"/>
    <s v="Not Applicable"/>
    <m/>
    <s v="First cost"/>
    <s v="Availability"/>
    <s v="No barrier identified"/>
    <s v="No barrier identified"/>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3"/>
    <s v="Institutional Tuning"/>
    <s v="N/A"/>
    <s v="Insufficient Data Found"/>
    <s v="N/A"/>
    <s v="Insufficient Data to Estimate"/>
    <m/>
    <s v="First cost"/>
    <s v="Availability"/>
    <s v="No barrier identified"/>
    <s v="No barrier identified"/>
    <s v="Lighting reliability - non dimming CFL on dimmer"/>
    <m/>
    <m/>
    <s v="TBD"/>
    <s v="TBD"/>
    <m/>
    <n v="17"/>
    <s v="Yes"/>
    <s v="Maturity"/>
  </r>
  <r>
    <x v="1"/>
    <x v="5"/>
    <x v="6"/>
    <n v="536.81628000000001"/>
    <x v="1"/>
    <s v="Insufficient Data Found"/>
    <s v="Manual Switch"/>
    <s v="Insufficient Data Found"/>
    <s v="Linear Fluorescent T-8 / Code Compliant T-12"/>
    <s v="Shut-off and Daylighting and  Bi-level (in warehouse aisleways and open areas)"/>
    <x v="3"/>
    <s v="Multiple Measures"/>
    <s v="N/A"/>
    <s v="Insufficient Data Found"/>
    <s v="N/A"/>
    <s v="Insufficient Data to Estimate"/>
    <m/>
    <s v="First cost"/>
    <s v="Availability"/>
    <s v="First cost"/>
    <s v="Availability"/>
    <s v="Lighting reliability - non dimming CFL on dimmer"/>
    <m/>
    <m/>
    <s v="TBD"/>
    <s v="TBD"/>
    <m/>
    <n v="17"/>
    <s v="Yes"/>
    <s v="Maturity"/>
  </r>
  <r>
    <x v="1"/>
    <x v="6"/>
    <x v="6"/>
    <n v="328.32750217054399"/>
    <x v="1"/>
    <n v="0.96648493861628382"/>
    <s v="Manual Switch"/>
    <n v="0.72346043337546795"/>
    <s v="Linear Fluorescent T-8 / Code Compliant T-12"/>
    <s v="Shut-off and Multi-level controls and Daylighting"/>
    <x v="9"/>
    <s v="Occupancy"/>
    <n v="46.866252669243487"/>
    <n v="44.07764330680758"/>
    <n v="40.61741898001101"/>
    <s v="Savings are minimal if not negative"/>
    <m/>
    <s v="No barrier identified"/>
    <s v="No barrier identified"/>
    <s v="No barrier identified"/>
    <s v="No barrier identified"/>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9"/>
    <s v="Daylighting"/>
    <n v="46.866252669243487"/>
    <n v="53.260485662392504"/>
    <n v="40.61741898001101"/>
    <s v="No change"/>
    <m/>
    <s v="No barrier identified"/>
    <s v="No barrier identified"/>
    <s v="No barrier identified"/>
    <s v="No barrier identified"/>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9"/>
    <s v="Personal Tuning"/>
    <n v="46.866252669243487"/>
    <s v="Not Applicable"/>
    <n v="40.61741898001101"/>
    <s v="Not Applicable"/>
    <m/>
    <s v="No barrier identified"/>
    <s v="No barrier identified"/>
    <s v="Not Applicable"/>
    <s v="Not Applicable"/>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9"/>
    <s v="Institutional Tuning"/>
    <n v="46.866252669243487"/>
    <n v="66.116464960211374"/>
    <n v="40.61741898001101"/>
    <n v="12.855979297818878"/>
    <m/>
    <s v="No barrier identified"/>
    <s v="No barrier identified"/>
    <s v="No barrier identified"/>
    <s v="No barrier identified"/>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9"/>
    <s v="Multiple Measures"/>
    <n v="46.866252669243487"/>
    <n v="69.789601902445355"/>
    <n v="40.61741898001101"/>
    <s v="No change"/>
    <m/>
    <s v="No barrier identified"/>
    <s v="No barrier identified"/>
    <s v="First cost"/>
    <s v="Availability"/>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3"/>
    <s v="Occupancy"/>
    <n v="64.97578185046406"/>
    <n v="44.07764330680758"/>
    <n v="55.531627511733802"/>
    <s v="Savings are minimal if not negative"/>
    <m/>
    <s v="First cost"/>
    <s v="Performance"/>
    <s v="No barrier identified"/>
    <s v="No barrier identified"/>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3"/>
    <s v="Daylighting"/>
    <n v="64.97578185046406"/>
    <n v="53.260485662392504"/>
    <n v="55.531627511733802"/>
    <s v="No change"/>
    <m/>
    <s v="First cost"/>
    <s v="Performance"/>
    <s v="No barrier identified"/>
    <s v="No barrier identified"/>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3"/>
    <s v="Personal Tuning"/>
    <n v="64.97578185046406"/>
    <s v="Not Applicable"/>
    <n v="55.531627511733802"/>
    <s v="Not Applicable"/>
    <m/>
    <s v="First cost"/>
    <s v="Performance"/>
    <s v="Not Applicable"/>
    <s v="Not Applicable"/>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3"/>
    <s v="Institutional Tuning"/>
    <n v="64.97578185046406"/>
    <n v="66.116464960211374"/>
    <n v="55.531627511733802"/>
    <n v="12.855979297818878"/>
    <m/>
    <s v="First cost"/>
    <s v="Performance"/>
    <s v="No barrier identified"/>
    <s v="No barrier identified"/>
    <s v="Lighting reliability - non dimming CFL on dimmer"/>
    <m/>
    <m/>
    <s v="TBD"/>
    <s v="TBD"/>
    <m/>
    <n v="12.202739726027396"/>
    <s v="Yes"/>
    <s v="Maturity"/>
  </r>
  <r>
    <x v="1"/>
    <x v="6"/>
    <x v="6"/>
    <n v="328.32750217054399"/>
    <x v="1"/>
    <n v="0.96648493861628382"/>
    <s v="Manual Switch"/>
    <n v="0.72346043337546795"/>
    <s v="Linear Fluorescent T-8 / Code Compliant T-12"/>
    <s v="Shut-off and Multi-level controls and Daylighting"/>
    <x v="3"/>
    <s v="Multiple Measures"/>
    <n v="64.97578185046406"/>
    <n v="69.789601902445355"/>
    <n v="55.531627511733802"/>
    <s v="No change"/>
    <m/>
    <s v="First cost"/>
    <s v="Performance"/>
    <s v="First cost"/>
    <s v="Availability"/>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3"/>
    <s v="Occupancy"/>
    <n v="149.93919479486527"/>
    <n v="93.674678955661747"/>
    <n v="129.94730215554986"/>
    <s v="Savings are minimal if not negative"/>
    <m/>
    <s v="No barrier identified"/>
    <s v="No barrier identified"/>
    <s v="No barrier identified"/>
    <s v="No barrier identified"/>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3"/>
    <s v="Daylighting"/>
    <n v="149.93919479486527"/>
    <n v="113.1902370714246"/>
    <n v="129.94730215554986"/>
    <s v="No change"/>
    <m/>
    <s v="No barrier identified"/>
    <s v="No barrier identified"/>
    <s v="No barrier identified"/>
    <s v="No barrier identified"/>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3"/>
    <s v="Personal Tuning"/>
    <n v="149.93919479486527"/>
    <s v="Not Applicable"/>
    <n v="129.94730215554986"/>
    <s v="Not Applicable"/>
    <m/>
    <s v="No barrier identified"/>
    <s v="No barrier identified"/>
    <s v="Not Applicable"/>
    <s v="Not Applicable"/>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3"/>
    <s v="Institutional Tuning"/>
    <n v="149.93919479486527"/>
    <n v="140.51201843349264"/>
    <n v="129.94730215554986"/>
    <n v="27.321781362068013"/>
    <m/>
    <s v="No barrier identified"/>
    <s v="No barrier identified"/>
    <s v="No barrier identified"/>
    <s v="No barrier identified"/>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3"/>
    <s v="Multiple Measures"/>
    <n v="149.93919479486527"/>
    <n v="148.31824167979778"/>
    <n v="129.94730215554986"/>
    <s v="No change"/>
    <m/>
    <s v="No barrier identified"/>
    <s v="No barrier identified"/>
    <s v="First cost"/>
    <s v="Availability"/>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4"/>
    <s v="Occupancy"/>
    <n v="207.87700865657163"/>
    <n v="93.674678955661747"/>
    <n v="177.66232716579086"/>
    <s v="Savings are minimal if not negative"/>
    <m/>
    <s v="First cost"/>
    <s v="Performance"/>
    <s v="No barrier identified"/>
    <s v="No barrier identified"/>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4"/>
    <s v="Daylighting"/>
    <n v="207.87700865657163"/>
    <n v="113.1902370714246"/>
    <n v="177.66232716579086"/>
    <s v="No change"/>
    <m/>
    <s v="First cost"/>
    <s v="Performance"/>
    <s v="No barrier identified"/>
    <s v="No barrier identified"/>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4"/>
    <s v="Personal Tuning"/>
    <n v="207.87700865657163"/>
    <s v="Not Applicable"/>
    <n v="177.66232716579086"/>
    <s v="Not Applicable"/>
    <m/>
    <s v="First cost"/>
    <s v="Performance"/>
    <s v="Not Applicable"/>
    <s v="Not Applicable"/>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4"/>
    <s v="Institutional Tuning"/>
    <n v="207.87700865657163"/>
    <n v="140.51201843349264"/>
    <n v="177.66232716579086"/>
    <n v="27.321781362068013"/>
    <m/>
    <s v="First cost"/>
    <s v="Performance"/>
    <s v="No barrier identified"/>
    <s v="No barrier identified"/>
    <s v="Lighting reliability - non dimming CFL on dimmer"/>
    <m/>
    <m/>
    <s v="TBD"/>
    <s v="TBD"/>
    <m/>
    <n v="12.202739726027396"/>
    <s v="Yes"/>
    <s v="Maturity"/>
  </r>
  <r>
    <x v="1"/>
    <x v="6"/>
    <x v="9"/>
    <n v="1091.5065405491862"/>
    <x v="1"/>
    <n v="0.93010280779392651"/>
    <s v="Manual Switch"/>
    <n v="0.48057777987331629"/>
    <s v="Linear Fluorescent T-8 / Code Compliant T-12"/>
    <s v="Shut-off and Multi-level controls and Daylighting"/>
    <x v="14"/>
    <s v="Multiple Measures"/>
    <n v="207.87700865657163"/>
    <n v="148.31824167979778"/>
    <n v="177.66232716579086"/>
    <s v="No change"/>
    <m/>
    <s v="First cost"/>
    <s v="Performance"/>
    <s v="First cost"/>
    <s v="Availability"/>
    <s v="Lighting reliability - non dimming CFL on dimmer"/>
    <m/>
    <m/>
    <s v="TBD"/>
    <s v="TBD"/>
    <m/>
    <n v="12.202739726027396"/>
    <s v="Yes"/>
    <s v="Maturity"/>
  </r>
  <r>
    <x v="1"/>
    <x v="6"/>
    <x v="10"/>
    <n v="36.480833574504885"/>
    <x v="12"/>
    <n v="0.99"/>
    <s v="Manual Switch"/>
    <n v="0.5"/>
    <s v="Linear Fluorescent Case Lights"/>
    <s v="Shut-off and occupancy/vacancy (bi-level) "/>
    <x v="18"/>
    <s v="Occupancy"/>
    <n v="10.401415268762834"/>
    <n v="3.4671384229209448"/>
    <n v="10.401415268762834"/>
    <s v="No change"/>
    <m/>
    <s v="First cost"/>
    <s v="Performance"/>
    <s v="No barrier identified"/>
    <s v="No barrier identified"/>
    <s v="Lighting reliability - non dimming CFL on dimmer"/>
    <m/>
    <m/>
    <s v="TBD"/>
    <s v="TBD"/>
    <m/>
    <n v="12.202739726027396"/>
    <s v="Yes"/>
    <s v="Maturity"/>
  </r>
  <r>
    <x v="1"/>
    <x v="6"/>
    <x v="10"/>
    <n v="36.480833574504885"/>
    <x v="12"/>
    <n v="0.99"/>
    <s v="Manual Switch"/>
    <n v="0.5"/>
    <s v="Linear Fluorescent Case Lights"/>
    <s v="Shut-off and occupancy/vacancy (bi-level) "/>
    <x v="18"/>
    <s v="Daylighting"/>
    <n v="10.401415268762834"/>
    <n v="4.1894589276961414"/>
    <n v="10.401415268762834"/>
    <s v="Savings are minimal if not negative"/>
    <m/>
    <s v="First cost"/>
    <s v="Performance"/>
    <s v="No barrier identified"/>
    <s v="No barrier identified"/>
    <s v="Lighting reliability - non dimming CFL on dimmer"/>
    <m/>
    <m/>
    <s v="TBD"/>
    <s v="TBD"/>
    <m/>
    <n v="12.202739726027396"/>
    <s v="Yes"/>
    <s v="Maturity"/>
  </r>
  <r>
    <x v="1"/>
    <x v="6"/>
    <x v="10"/>
    <n v="36.480833574504885"/>
    <x v="12"/>
    <n v="0.99"/>
    <s v="Manual Switch"/>
    <n v="0.5"/>
    <s v="Linear Fluorescent Case Lights"/>
    <s v="Shut-off and occupancy/vacancy (bi-level) "/>
    <x v="18"/>
    <s v="Personal Tuning"/>
    <n v="10.401415268762834"/>
    <s v="Not Applicable"/>
    <n v="10.401415268762834"/>
    <s v="Not Applicable"/>
    <m/>
    <s v="First cost"/>
    <s v="Performance"/>
    <s v="No barrier identified"/>
    <s v="No barrier identified"/>
    <s v="Lighting reliability - non dimming CFL on dimmer"/>
    <m/>
    <m/>
    <s v="TBD"/>
    <s v="TBD"/>
    <m/>
    <n v="12.202739726027396"/>
    <s v="Yes"/>
    <s v="Maturity"/>
  </r>
  <r>
    <x v="1"/>
    <x v="6"/>
    <x v="10"/>
    <n v="36.480833574504885"/>
    <x v="12"/>
    <n v="0.99"/>
    <s v="Manual Switch"/>
    <n v="0.5"/>
    <s v="Linear Fluorescent Case Lights"/>
    <s v="Shut-off and occupancy/vacancy (bi-level) "/>
    <x v="18"/>
    <s v="Institutional Tuning"/>
    <n v="10.401415268762834"/>
    <n v="5.2007076343814171"/>
    <n v="10.401415268762834"/>
    <n v="1.7335692114604724"/>
    <m/>
    <s v="First cost"/>
    <s v="Performance"/>
    <s v="No barrier identified"/>
    <s v="No barrier identified"/>
    <s v="Lighting reliability - non dimming CFL on dimmer"/>
    <m/>
    <m/>
    <s v="TBD"/>
    <s v="TBD"/>
    <m/>
    <n v="12.202739726027396"/>
    <s v="Yes"/>
    <s v="Maturity"/>
  </r>
  <r>
    <x v="1"/>
    <x v="6"/>
    <x v="10"/>
    <n v="36.480833574504885"/>
    <x v="12"/>
    <n v="0.99"/>
    <s v="Manual Switch"/>
    <n v="0.5"/>
    <s v="Linear Fluorescent Case Lights"/>
    <s v="Shut-off and occupancy/vacancy (bi-level) "/>
    <x v="18"/>
    <s v="Multiple Measures"/>
    <n v="10.401415268762834"/>
    <n v="5.4896358362914954"/>
    <n v="10.401415268762834"/>
    <n v="2.0224974133705511"/>
    <m/>
    <s v="First cost"/>
    <s v="Performance"/>
    <s v="First cost"/>
    <s v="Availability"/>
    <s v="Lighting reliability - non dimming CFL on dimmer"/>
    <m/>
    <m/>
    <s v="TBD"/>
    <s v="TBD"/>
    <m/>
    <n v="12.202739726027396"/>
    <s v="Yes"/>
    <s v="Maturity"/>
  </r>
  <r>
    <x v="1"/>
    <x v="7"/>
    <x v="7"/>
    <n v="949.02748923351123"/>
    <x v="9"/>
    <n v="0.34749999999999998"/>
    <s v="Manual Switch"/>
    <n v="0.95"/>
    <s v="Halogen"/>
    <s v="No controls req'd"/>
    <x v="11"/>
    <s v="Occupancy"/>
    <n v="60.883763540057572"/>
    <n v="112.78717195795663"/>
    <n v="60.883763540057572"/>
    <n v="112.78717195795663"/>
    <m/>
    <s v="First cost"/>
    <s v="Performance"/>
    <s v="No barrier identified"/>
    <s v="No barrier identified"/>
    <s v="Lighting reliability - non dimming CFL on dimmer"/>
    <m/>
    <m/>
    <s v="TBD"/>
    <s v="TBD"/>
    <m/>
    <n v="2.1890410958904112"/>
    <s v="Yes"/>
    <s v="Maturity"/>
  </r>
  <r>
    <x v="1"/>
    <x v="7"/>
    <x v="7"/>
    <n v="949.02748923351123"/>
    <x v="9"/>
    <n v="0.34749999999999998"/>
    <s v="Manual Switch"/>
    <n v="0.95"/>
    <s v="Halogen"/>
    <s v="No controls req'd"/>
    <x v="11"/>
    <s v="Daylighting"/>
    <n v="60.883763540057572"/>
    <n v="70.178684773839677"/>
    <n v="60.883763540057572"/>
    <n v="70.178684773839677"/>
    <m/>
    <s v="First cost"/>
    <s v="Performance"/>
    <s v="No barrier identified"/>
    <s v="No barrier identified"/>
    <s v="Lighting reliability - non dimming CFL on dimmer"/>
    <m/>
    <m/>
    <s v="TBD"/>
    <s v="TBD"/>
    <m/>
    <n v="2.1890410958904112"/>
    <s v="Yes"/>
    <s v="Maturity"/>
  </r>
  <r>
    <x v="1"/>
    <x v="7"/>
    <x v="7"/>
    <n v="949.02748923351123"/>
    <x v="9"/>
    <n v="0.34749999999999998"/>
    <s v="Manual Switch"/>
    <n v="0.95"/>
    <s v="Halogen"/>
    <s v="No controls req'd"/>
    <x v="11"/>
    <s v="Personal Tuning"/>
    <n v="60.883763540057572"/>
    <n v="77.697829571036792"/>
    <n v="60.883763540057572"/>
    <n v="77.697829571036792"/>
    <m/>
    <s v="First cost"/>
    <s v="Performance"/>
    <s v="No barrier identified"/>
    <s v="No barrier identified"/>
    <s v="Lighting reliability - non dimming CFL on dimmer"/>
    <m/>
    <m/>
    <s v="TBD"/>
    <s v="TBD"/>
    <m/>
    <n v="2.1890410958904112"/>
    <s v="Yes"/>
    <s v="Maturity"/>
  </r>
  <r>
    <x v="1"/>
    <x v="7"/>
    <x v="7"/>
    <n v="949.02748923351123"/>
    <x v="9"/>
    <n v="0.34749999999999998"/>
    <s v="Manual Switch"/>
    <n v="0.95"/>
    <s v="Halogen"/>
    <s v="No controls req'd"/>
    <x v="11"/>
    <s v="Institutional Tuning"/>
    <n v="60.883763540057572"/>
    <s v="Not Applicable"/>
    <n v="60.883763540057572"/>
    <s v="Not Applicable"/>
    <m/>
    <s v="First cost"/>
    <s v="Performance"/>
    <s v="No barrier identified"/>
    <s v="No barrier identified"/>
    <s v="Lighting reliability - non dimming CFL on dimmer"/>
    <m/>
    <m/>
    <s v="TBD"/>
    <s v="TBD"/>
    <m/>
    <n v="2.1890410958904112"/>
    <s v="Yes"/>
    <s v="Maturity"/>
  </r>
  <r>
    <x v="1"/>
    <x v="7"/>
    <x v="7"/>
    <n v="949.02748923351123"/>
    <x v="9"/>
    <n v="0.34749999999999998"/>
    <s v="Manual Switch"/>
    <n v="0.95"/>
    <s v="Halogen"/>
    <s v="No controls req'd"/>
    <x v="11"/>
    <s v="Multiple Measures"/>
    <n v="60.883763540057572"/>
    <n v="95.242500764496711"/>
    <n v="60.883763540057572"/>
    <n v="95.242500764496711"/>
    <m/>
    <s v="First cost"/>
    <s v="Performance"/>
    <s v="First cost"/>
    <s v="Availability"/>
    <s v="Lighting reliability - non dimming CFL on dimmer"/>
    <m/>
    <m/>
    <s v="TBD"/>
    <s v="TBD"/>
    <m/>
    <n v="2.1890410958904112"/>
    <s v="Yes"/>
    <s v="Maturity"/>
  </r>
  <r>
    <x v="1"/>
    <x v="7"/>
    <x v="7"/>
    <n v="949.02748923351123"/>
    <x v="7"/>
    <n v="0.34749999999999998"/>
    <s v="Manual Switch"/>
    <n v="0.95"/>
    <s v="Halogen"/>
    <s v="No controls req'd"/>
    <x v="11"/>
    <s v="Occupancy"/>
    <n v="219.85803500576341"/>
    <n v="112.78717195795663"/>
    <n v="208.86513325547523"/>
    <n v="112.78717195795663"/>
    <m/>
    <s v="First cost"/>
    <s v="Performance"/>
    <s v="No barrier identified"/>
    <s v="No barrier identified"/>
    <s v="Lighting reliability - non dimming CFL on dimmer"/>
    <m/>
    <m/>
    <s v="TBD"/>
    <s v="TBD"/>
    <m/>
    <n v="2.1890410958904112"/>
    <s v="Yes"/>
    <s v="Maturity"/>
  </r>
  <r>
    <x v="1"/>
    <x v="7"/>
    <x v="7"/>
    <n v="949.02748923351123"/>
    <x v="7"/>
    <n v="0.34749999999999998"/>
    <s v="Manual Switch"/>
    <n v="0.95"/>
    <s v="Halogen"/>
    <s v="No controls req'd"/>
    <x v="11"/>
    <s v="Daylighting"/>
    <n v="219.85803500576341"/>
    <n v="70.178684773839677"/>
    <n v="208.86513325547523"/>
    <n v="70.178684773839677"/>
    <m/>
    <s v="First cost"/>
    <s v="Performance"/>
    <s v="No barrier identified"/>
    <s v="No barrier identified"/>
    <s v="Lighting reliability - non dimming CFL on dimmer"/>
    <m/>
    <m/>
    <s v="TBD"/>
    <s v="TBD"/>
    <m/>
    <n v="2.1890410958904112"/>
    <s v="Yes"/>
    <s v="Maturity"/>
  </r>
  <r>
    <x v="1"/>
    <x v="7"/>
    <x v="7"/>
    <n v="949.02748923351123"/>
    <x v="7"/>
    <n v="0.34749999999999998"/>
    <s v="Manual Switch"/>
    <n v="0.95"/>
    <s v="Halogen"/>
    <s v="No controls req'd"/>
    <x v="11"/>
    <s v="Personal Tuning"/>
    <n v="219.85803500576341"/>
    <n v="77.697829571036792"/>
    <n v="208.86513325547523"/>
    <n v="77.697829571036792"/>
    <m/>
    <s v="First cost"/>
    <s v="Performance"/>
    <s v="No barrier identified"/>
    <s v="No barrier identified"/>
    <s v="Lighting reliability - non dimming CFL on dimmer"/>
    <m/>
    <m/>
    <s v="TBD"/>
    <s v="TBD"/>
    <m/>
    <n v="2.1890410958904112"/>
    <s v="Yes"/>
    <s v="Maturity"/>
  </r>
  <r>
    <x v="1"/>
    <x v="7"/>
    <x v="7"/>
    <n v="949.02748923351123"/>
    <x v="7"/>
    <n v="0.34749999999999998"/>
    <s v="Manual Switch"/>
    <n v="0.95"/>
    <s v="Halogen"/>
    <s v="No controls req'd"/>
    <x v="11"/>
    <s v="Institutional Tuning"/>
    <n v="219.85803500576341"/>
    <s v="Not Applicable"/>
    <n v="208.86513325547523"/>
    <s v="Not Applicable"/>
    <m/>
    <s v="First cost"/>
    <s v="Performance"/>
    <s v="No barrier identified"/>
    <s v="No barrier identified"/>
    <s v="Lighting reliability - non dimming CFL on dimmer"/>
    <m/>
    <m/>
    <s v="TBD"/>
    <s v="TBD"/>
    <m/>
    <n v="2.1890410958904112"/>
    <s v="Yes"/>
    <s v="Maturity"/>
  </r>
  <r>
    <x v="1"/>
    <x v="7"/>
    <x v="7"/>
    <n v="949.02748923351123"/>
    <x v="7"/>
    <n v="0.34749999999999998"/>
    <s v="Manual Switch"/>
    <n v="0.95"/>
    <s v="Halogen"/>
    <s v="No controls req'd"/>
    <x v="11"/>
    <s v="Multiple Measures"/>
    <n v="219.85803500576341"/>
    <n v="95.242500764496711"/>
    <n v="208.86513325547523"/>
    <n v="95.242500764496711"/>
    <m/>
    <s v="First cost"/>
    <s v="Performance"/>
    <s v="First cost"/>
    <s v="Availability"/>
    <s v="Lighting reliability - non dimming CFL on dimmer"/>
    <m/>
    <m/>
    <s v="TBD"/>
    <s v="TBD"/>
    <m/>
    <n v="2.1890410958904112"/>
    <s v="Yes"/>
    <s v="Maturity"/>
  </r>
  <r>
    <x v="1"/>
    <x v="7"/>
    <x v="6"/>
    <n v="158.98048972032714"/>
    <x v="13"/>
    <n v="0.36844919786096259"/>
    <s v="Manual Switch"/>
    <n v="0.95"/>
    <s v="Halogen"/>
    <s v="occupancy/vacancy in hote/motel and on low-efficacy fixtures in all others"/>
    <x v="10"/>
    <s v="Occupancy"/>
    <n v="37.098281478231776"/>
    <n v="20.033071998245159"/>
    <n v="37.098281478231776"/>
    <s v="No change"/>
    <m/>
    <s v="First cost"/>
    <s v="Performance"/>
    <s v="No barrier identified"/>
    <s v="No barrier identified"/>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0"/>
    <s v="Daylighting"/>
    <n v="37.098281478231776"/>
    <n v="12.465022576685881"/>
    <n v="37.098281478231776"/>
    <s v="Savings are minimal if not negative"/>
    <m/>
    <s v="First cost"/>
    <s v="Performance"/>
    <s v="No barrier identified"/>
    <s v="No barrier identified"/>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0"/>
    <s v="Personal Tuning"/>
    <n v="37.098281478231776"/>
    <s v="Not Applicable"/>
    <n v="37.098281478231776"/>
    <s v="Not Applicable"/>
    <m/>
    <s v="First cost"/>
    <s v="Performance"/>
    <s v="No barrier identified"/>
    <s v="No barrier identified"/>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0"/>
    <s v="Institutional Tuning"/>
    <n v="37.098281478231776"/>
    <n v="16.026457598596128"/>
    <n v="37.098281478231776"/>
    <s v="Savings are minimal if not negative"/>
    <m/>
    <s v="First cost"/>
    <s v="Performance"/>
    <s v="No barrier identified"/>
    <s v="No barrier identified"/>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0"/>
    <s v="Multiple Measures"/>
    <n v="37.098281478231776"/>
    <n v="16.916816354073688"/>
    <n v="37.098281478231776"/>
    <s v="Savings are minimal if not negative"/>
    <m/>
    <s v="First cost"/>
    <s v="Performance"/>
    <s v="First cost"/>
    <s v="Availability"/>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6"/>
    <s v="Occupancy"/>
    <n v="34.169469782581899"/>
    <n v="20.033071998245159"/>
    <n v="34.169469782581899"/>
    <s v="No change"/>
    <m/>
    <s v="Reliability"/>
    <s v="Performance"/>
    <s v="No barrier identified"/>
    <s v="No barrier identified"/>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6"/>
    <s v="Daylighting"/>
    <n v="34.169469782581899"/>
    <n v="12.465022576685881"/>
    <n v="34.169469782581899"/>
    <s v="Savings are minimal if not negative"/>
    <m/>
    <s v="Reliability"/>
    <s v="Performance"/>
    <s v="No barrier identified"/>
    <s v="No barrier identified"/>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6"/>
    <s v="Personal Tuning"/>
    <n v="34.169469782581899"/>
    <s v="Not Applicable"/>
    <n v="34.169469782581899"/>
    <s v="Not Applicable"/>
    <m/>
    <s v="Reliability"/>
    <s v="Performance"/>
    <s v="No barrier identified"/>
    <s v="No barrier identified"/>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6"/>
    <s v="Institutional Tuning"/>
    <n v="34.169469782581899"/>
    <n v="16.026457598596128"/>
    <n v="34.169469782581899"/>
    <s v="Savings are minimal if not negative"/>
    <m/>
    <s v="Reliability"/>
    <s v="Performance"/>
    <s v="No barrier identified"/>
    <s v="No barrier identified"/>
    <s v="Lighting reliability - non dimming CFL on dimmer"/>
    <m/>
    <m/>
    <s v="TBD"/>
    <s v="TBD"/>
    <m/>
    <n v="21.6"/>
    <s v="Yes"/>
    <s v="Maturity"/>
  </r>
  <r>
    <x v="1"/>
    <x v="7"/>
    <x v="6"/>
    <n v="158.98048972032714"/>
    <x v="13"/>
    <n v="0.36844919786096259"/>
    <s v="Manual Switch"/>
    <n v="0.95"/>
    <s v="Halogen"/>
    <s v="occupancy/vacancy in hote/motel and on low-efficacy fixtures in all others"/>
    <x v="16"/>
    <s v="Multiple Measures"/>
    <n v="34.169469782581899"/>
    <n v="16.916816354073688"/>
    <n v="34.169469782581899"/>
    <s v="Savings are minimal if not negative"/>
    <m/>
    <s v="Reliability"/>
    <s v="Performance"/>
    <s v="First cost"/>
    <s v="Availability"/>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9"/>
    <s v="Occupancy"/>
    <n v="10.464192418925684"/>
    <n v="14.305183487861566"/>
    <n v="6.6924835030931282"/>
    <s v="No change"/>
    <m/>
    <s v="No barrier identified"/>
    <s v="No barrier identified"/>
    <s v="No barrier identified"/>
    <s v="No barrier identified"/>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9"/>
    <s v="Daylighting"/>
    <n v="10.464192418925684"/>
    <n v="8.9010030591138616"/>
    <n v="6.6924835030931282"/>
    <s v="Savings are minimal if not negative"/>
    <m/>
    <s v="No barrier identified"/>
    <s v="No barrier identified"/>
    <s v="No barrier identified"/>
    <s v="No barrier identified"/>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9"/>
    <s v="Personal Tuning"/>
    <n v="10.464192418925684"/>
    <s v="Not Applicable"/>
    <n v="6.6924835030931282"/>
    <s v="Not Applicable"/>
    <m/>
    <s v="No barrier identified"/>
    <s v="No barrier identified"/>
    <s v="No barrier identified"/>
    <s v="No barrier identified"/>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9"/>
    <s v="Institutional Tuning"/>
    <n v="10.464192418925684"/>
    <n v="11.444146790289251"/>
    <n v="6.6924835030931282"/>
    <s v="Savings are minimal if not negative"/>
    <m/>
    <s v="No barrier identified"/>
    <s v="No barrier identified"/>
    <s v="No barrier identified"/>
    <s v="No barrier identified"/>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9"/>
    <s v="Multiple Measures"/>
    <n v="10.464192418925684"/>
    <n v="12.0799327230831"/>
    <n v="6.6924835030931282"/>
    <s v="Savings are minimal if not negative"/>
    <m/>
    <s v="No barrier identified"/>
    <s v="No barrier identified"/>
    <s v="First cost"/>
    <s v="Availability"/>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3"/>
    <s v="Occupancy"/>
    <n v="8.5647854355060904"/>
    <n v="14.305183487861566"/>
    <n v="7.3199038315081113"/>
    <s v="No change"/>
    <m/>
    <s v="First cost"/>
    <s v="Performance"/>
    <s v="No barrier identified"/>
    <s v="No barrier identified"/>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3"/>
    <s v="Daylighting"/>
    <n v="8.5647854355060904"/>
    <n v="8.9010030591138616"/>
    <n v="7.3199038315081113"/>
    <s v="Savings are minimal if not negative"/>
    <m/>
    <s v="First cost"/>
    <s v="Performance"/>
    <s v="No barrier identified"/>
    <s v="No barrier identified"/>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3"/>
    <s v="Personal Tuning"/>
    <n v="8.5647854355060904"/>
    <s v="Not Applicable"/>
    <n v="7.3199038315081113"/>
    <s v="Not Applicable"/>
    <m/>
    <s v="First cost"/>
    <s v="Performance"/>
    <s v="No barrier identified"/>
    <s v="No barrier identified"/>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3"/>
    <s v="Institutional Tuning"/>
    <n v="8.5647854355060904"/>
    <n v="11.444146790289251"/>
    <n v="7.3199038315081113"/>
    <s v="Savings are minimal if not negative"/>
    <m/>
    <s v="First cost"/>
    <s v="Performance"/>
    <s v="No barrier identified"/>
    <s v="No barrier identified"/>
    <s v="Lighting reliability - non dimming CFL on dimmer"/>
    <m/>
    <m/>
    <s v="TBD"/>
    <s v="TBD"/>
    <m/>
    <n v="21.6"/>
    <s v="Yes"/>
    <s v="Maturity"/>
  </r>
  <r>
    <x v="1"/>
    <x v="7"/>
    <x v="6"/>
    <n v="158.98048972032714"/>
    <x v="1"/>
    <n v="0.26310160427807489"/>
    <s v="Manual Switch"/>
    <n v="0.95"/>
    <s v="Linear Fluorescent T-8 / Code Compliant T-12"/>
    <s v="occupancy/vacancy in hote/motel and on low-efficacy fixtures in all others"/>
    <x v="3"/>
    <s v="Multiple Measures"/>
    <n v="8.5647854355060904"/>
    <n v="12.0799327230831"/>
    <n v="7.3199038315081113"/>
    <s v="Savings are minimal if not negative"/>
    <m/>
    <s v="First cost"/>
    <s v="Performance"/>
    <s v="First cost"/>
    <s v="Availability"/>
    <s v="Lighting reliability - non dimming CFL on dimmer"/>
    <m/>
    <m/>
    <s v="TBD"/>
    <s v="TBD"/>
    <m/>
    <n v="21.6"/>
    <s v="Yes"/>
    <s v="Maturity"/>
  </r>
  <r>
    <x v="1"/>
    <x v="7"/>
    <x v="6"/>
    <n v="158.98048972032714"/>
    <x v="7"/>
    <n v="0.36844919786096259"/>
    <s v="Manual Switch"/>
    <n v="0.95"/>
    <s v="Halogen"/>
    <s v="occupancy/vacancy in hote/motel and on low-efficacy fixtures in all others"/>
    <x v="10"/>
    <s v="Occupancy"/>
    <n v="39.050822608665037"/>
    <n v="20.033071998245159"/>
    <n v="37.098281478231776"/>
    <s v="No change"/>
    <m/>
    <s v="First cost"/>
    <s v="Performance"/>
    <s v="No barrier identified"/>
    <s v="No barrier identified"/>
    <s v="Lighting reliability - non dimming CFL on dimmer"/>
    <m/>
    <m/>
    <s v="TBD"/>
    <s v="TBD"/>
    <m/>
    <n v="21.6"/>
    <s v="Yes"/>
    <s v="Maturity"/>
  </r>
  <r>
    <x v="1"/>
    <x v="7"/>
    <x v="6"/>
    <n v="158.98048972032714"/>
    <x v="7"/>
    <n v="0.36844919786096259"/>
    <s v="Manual Switch"/>
    <n v="0.95"/>
    <s v="Halogen"/>
    <s v="occupancy/vacancy in hote/motel and on low-efficacy fixtures in all others"/>
    <x v="10"/>
    <s v="Daylighting"/>
    <n v="39.050822608665037"/>
    <n v="12.465022576685881"/>
    <n v="37.098281478231776"/>
    <s v="Savings are minimal if not negative"/>
    <m/>
    <s v="First cost"/>
    <s v="Performance"/>
    <s v="No barrier identified"/>
    <s v="No barrier identified"/>
    <s v="Lighting reliability - non dimming CFL on dimmer"/>
    <m/>
    <m/>
    <s v="TBD"/>
    <s v="TBD"/>
    <m/>
    <n v="21.6"/>
    <s v="Yes"/>
    <s v="Maturity"/>
  </r>
  <r>
    <x v="1"/>
    <x v="7"/>
    <x v="6"/>
    <n v="158.98048972032714"/>
    <x v="7"/>
    <n v="0.36844919786096259"/>
    <s v="Manual Switch"/>
    <n v="0.95"/>
    <s v="Halogen"/>
    <s v="occupancy/vacancy in hote/motel and on low-efficacy fixtures in all others"/>
    <x v="10"/>
    <s v="Personal Tuning"/>
    <n v="39.050822608665037"/>
    <s v="Not Applicable"/>
    <n v="37.098281478231776"/>
    <s v="Not Applicable"/>
    <m/>
    <s v="First cost"/>
    <s v="Performance"/>
    <s v="No barrier identified"/>
    <s v="No barrier identified"/>
    <s v="Lighting reliability - non dimming CFL on dimmer"/>
    <m/>
    <m/>
    <s v="TBD"/>
    <s v="TBD"/>
    <m/>
    <n v="21.6"/>
    <s v="Yes"/>
    <s v="Maturity"/>
  </r>
  <r>
    <x v="1"/>
    <x v="7"/>
    <x v="6"/>
    <n v="158.98048972032714"/>
    <x v="7"/>
    <n v="0.36844919786096259"/>
    <s v="Manual Switch"/>
    <n v="0.95"/>
    <s v="Halogen"/>
    <s v="occupancy/vacancy in hote/motel and on low-efficacy fixtures in all others"/>
    <x v="10"/>
    <s v="Institutional Tuning"/>
    <n v="39.050822608665037"/>
    <n v="16.026457598596128"/>
    <n v="37.098281478231776"/>
    <s v="Savings are minimal if not negative"/>
    <m/>
    <s v="First cost"/>
    <s v="Performance"/>
    <s v="No barrier identified"/>
    <s v="No barrier identified"/>
    <s v="Lighting reliability - non dimming CFL on dimmer"/>
    <m/>
    <m/>
    <s v="TBD"/>
    <s v="TBD"/>
    <m/>
    <n v="21.6"/>
    <s v="Yes"/>
    <s v="Maturity"/>
  </r>
  <r>
    <x v="1"/>
    <x v="7"/>
    <x v="6"/>
    <n v="158.98048972032714"/>
    <x v="7"/>
    <n v="0.36844919786096259"/>
    <s v="Manual Switch"/>
    <n v="0.95"/>
    <s v="Halogen"/>
    <s v="occupancy/vacancy in hote/motel and on low-efficacy fixtures in all others"/>
    <x v="10"/>
    <s v="Multiple Measures"/>
    <n v="39.050822608665037"/>
    <n v="16.916816354073688"/>
    <n v="37.098281478231776"/>
    <s v="Savings are minimal if not negative"/>
    <m/>
    <s v="First cost"/>
    <s v="Performance"/>
    <s v="First cost"/>
    <s v="Availability"/>
    <s v="Lighting reliability - non dimming CFL on dimmer"/>
    <m/>
    <m/>
    <s v="TBD"/>
    <s v="TBD"/>
    <m/>
    <n v="21.6"/>
    <s v="Yes"/>
    <s v="Maturity"/>
  </r>
  <r>
    <x v="1"/>
    <x v="7"/>
    <x v="6"/>
    <n v="158.98048972032714"/>
    <x v="7"/>
    <n v="0.36844919786096259"/>
    <s v="Manual Switch"/>
    <n v="0.95"/>
    <s v="Halogen"/>
    <s v="occupancy/vacancy in hote/motel and on low-efficacy fixtures in all others"/>
    <x v="16"/>
    <s v="Occupancy"/>
    <n v="36.707773252145124"/>
    <n v="20.033071998245159"/>
    <n v="34.169469782581899"/>
    <s v="No change"/>
    <m/>
    <s v="Reliability"/>
    <s v="Performance"/>
    <s v="No barrier identified"/>
    <s v="No barrier identified"/>
    <s v="Lighting reliability - non dimming CFL on dimmer"/>
    <m/>
    <m/>
    <s v="TBD"/>
    <s v="TBD"/>
    <m/>
    <n v="21.6"/>
    <s v="Yes"/>
    <s v="Maturity"/>
  </r>
  <r>
    <x v="1"/>
    <x v="7"/>
    <x v="6"/>
    <n v="158.98048972032714"/>
    <x v="7"/>
    <n v="0.36844919786096259"/>
    <s v="Manual Switch"/>
    <n v="0.95"/>
    <s v="Halogen"/>
    <s v="occupancy/vacancy in hote/motel and on low-efficacy fixtures in all others"/>
    <x v="16"/>
    <s v="Daylighting"/>
    <n v="36.707773252145124"/>
    <n v="12.465022576685881"/>
    <n v="34.169469782581899"/>
    <s v="Savings are minimal if not negative"/>
    <m/>
    <s v="Reliability"/>
    <s v="Performance"/>
    <s v="No barrier identified"/>
    <s v="No barrier identified"/>
    <s v="Lighting reliability - non dimming CFL on dimmer"/>
    <m/>
    <m/>
    <s v="TBD"/>
    <s v="TBD"/>
    <m/>
    <n v="21.6"/>
    <s v="Yes"/>
    <s v="Maturity"/>
  </r>
  <r>
    <x v="1"/>
    <x v="7"/>
    <x v="6"/>
    <n v="158.98048972032714"/>
    <x v="7"/>
    <n v="0.36844919786096259"/>
    <s v="Manual Switch"/>
    <n v="0.95"/>
    <s v="Halogen"/>
    <s v="occupancy/vacancy in hote/motel and on low-efficacy fixtures in all others"/>
    <x v="16"/>
    <s v="Personal Tuning"/>
    <n v="36.707773252145124"/>
    <s v="Not Applicable"/>
    <n v="34.169469782581899"/>
    <s v="Not Applicable"/>
    <m/>
    <s v="Reliability"/>
    <s v="Performance"/>
    <s v="No barrier identified"/>
    <s v="No barrier identified"/>
    <s v="Lighting reliability - non dimming CFL on dimmer"/>
    <m/>
    <m/>
    <s v="TBD"/>
    <s v="TBD"/>
    <m/>
    <n v="21.6"/>
    <s v="Yes"/>
    <s v="Maturity"/>
  </r>
  <r>
    <x v="1"/>
    <x v="7"/>
    <x v="6"/>
    <n v="158.98048972032714"/>
    <x v="7"/>
    <n v="0.36844919786096259"/>
    <s v="Manual Switch"/>
    <n v="0.95"/>
    <s v="Halogen"/>
    <s v="occupancy/vacancy in hote/motel and on low-efficacy fixtures in all others"/>
    <x v="16"/>
    <s v="Institutional Tuning"/>
    <n v="36.707773252145124"/>
    <n v="16.026457598596128"/>
    <n v="34.169469782581899"/>
    <s v="Savings are minimal if not negative"/>
    <m/>
    <s v="Reliability"/>
    <s v="Performance"/>
    <s v="No barrier identified"/>
    <s v="No barrier identified"/>
    <s v="Lighting reliability - non dimming CFL on dimmer"/>
    <m/>
    <m/>
    <s v="TBD"/>
    <s v="TBD"/>
    <m/>
    <n v="21.6"/>
    <s v="Yes"/>
    <s v="Maturity"/>
  </r>
  <r>
    <x v="1"/>
    <x v="7"/>
    <x v="6"/>
    <n v="158.98048972032714"/>
    <x v="7"/>
    <n v="0.36844919786096259"/>
    <s v="Manual Switch"/>
    <n v="0.95"/>
    <s v="Halogen"/>
    <s v="occupancy/vacancy in hote/motel and on low-efficacy fixtures in all others"/>
    <x v="16"/>
    <s v="Multiple Measures"/>
    <n v="36.707773252145124"/>
    <n v="16.916816354073688"/>
    <n v="34.169469782581899"/>
    <s v="Savings are minimal if not negative"/>
    <m/>
    <s v="Reliability"/>
    <s v="Performance"/>
    <s v="First cost"/>
    <s v="Availability"/>
    <s v="Lighting reliability - non dimming CFL on dimmer"/>
    <m/>
    <m/>
    <s v="TBD"/>
    <s v="TBD"/>
    <m/>
    <n v="21.6"/>
    <s v="Yes"/>
    <s v="Maturity"/>
  </r>
  <r>
    <x v="1"/>
    <x v="8"/>
    <x v="6"/>
    <n v="446.00405151407574"/>
    <x v="1"/>
    <n v="0.90317050049758907"/>
    <s v="Manual Switch"/>
    <n v="0.77184852779052782"/>
    <s v="Linear Fluorescent T-8 / Code Compliant T-12"/>
    <s v="Shut-off AND multi-level controls"/>
    <x v="9"/>
    <s v="Occupancy"/>
    <n v="59.493076051188247"/>
    <n v="59.695536112991405"/>
    <n v="51.560665911029787"/>
    <n v="9.9492560188318979"/>
    <m/>
    <s v="No barrier identified"/>
    <s v="No barrier identified"/>
    <s v="No barrier identified"/>
    <s v="No barrier identified"/>
    <s v="None"/>
    <m/>
    <m/>
    <s v="TBD"/>
    <s v="TBD"/>
    <m/>
    <n v="14.227397260273975"/>
    <s v="Yes"/>
    <s v="Maturity"/>
  </r>
  <r>
    <x v="1"/>
    <x v="8"/>
    <x v="6"/>
    <n v="446.00405151407574"/>
    <x v="1"/>
    <n v="0.90317050049758907"/>
    <s v="Manual Switch"/>
    <n v="0.77184852779052782"/>
    <s v="Linear Fluorescent T-8 / Code Compliant T-12"/>
    <s v="Shut-off AND multi-level controls"/>
    <x v="9"/>
    <s v="Daylighting"/>
    <n v="59.493076051188247"/>
    <n v="69.644792131823309"/>
    <n v="51.560665911029787"/>
    <n v="19.89851203766381"/>
    <m/>
    <s v="No barrier identified"/>
    <s v="No barrier identified"/>
    <s v="No barrier identified"/>
    <s v="No barrier identified"/>
    <s v="None"/>
    <m/>
    <m/>
    <s v="TBD"/>
    <s v="TBD"/>
    <m/>
    <n v="14.227397260273975"/>
    <s v="Yes"/>
    <s v="Maturity"/>
  </r>
  <r>
    <x v="1"/>
    <x v="8"/>
    <x v="6"/>
    <n v="446.00405151407574"/>
    <x v="1"/>
    <n v="0.90317050049758907"/>
    <s v="Manual Switch"/>
    <n v="0.77184852779052782"/>
    <s v="Linear Fluorescent T-8 / Code Compliant T-12"/>
    <s v="Shut-off AND multi-level controls"/>
    <x v="9"/>
    <s v="Personal Tuning"/>
    <n v="59.493076051188247"/>
    <s v="Not Applicable"/>
    <n v="51.560665911029787"/>
    <s v="Not Applicable"/>
    <m/>
    <s v="No barrier identified"/>
    <s v="No barrier identified"/>
    <s v="Not Applicable"/>
    <s v="Not Applicable"/>
    <s v="None"/>
    <m/>
    <m/>
    <s v="TBD"/>
    <s v="TBD"/>
    <m/>
    <n v="14.227397260273975"/>
    <s v="Yes"/>
    <s v="Maturity"/>
  </r>
  <r>
    <x v="1"/>
    <x v="8"/>
    <x v="6"/>
    <n v="446.00405151407574"/>
    <x v="1"/>
    <n v="0.90317050049758907"/>
    <s v="Manual Switch"/>
    <n v="0.77184852779052782"/>
    <s v="Linear Fluorescent T-8 / Code Compliant T-12"/>
    <s v="Shut-off AND multi-level controls"/>
    <x v="9"/>
    <s v="Institutional Tuning"/>
    <n v="59.493076051188247"/>
    <n v="89.543304169487115"/>
    <n v="51.560665911029787"/>
    <n v="39.797024075327592"/>
    <m/>
    <s v="No barrier identified"/>
    <s v="No barrier identified"/>
    <s v="No barrier identified"/>
    <s v="No barrier identified"/>
    <s v="None"/>
    <m/>
    <m/>
    <s v="TBD"/>
    <s v="TBD"/>
    <m/>
    <n v="14.227397260273975"/>
    <s v="Yes"/>
    <s v="Maturity"/>
  </r>
  <r>
    <x v="1"/>
    <x v="8"/>
    <x v="6"/>
    <n v="446.00405151407574"/>
    <x v="1"/>
    <n v="0.90317050049758907"/>
    <s v="Manual Switch"/>
    <n v="0.77184852779052782"/>
    <s v="Linear Fluorescent T-8 / Code Compliant T-12"/>
    <s v="Shut-off AND multi-level controls"/>
    <x v="9"/>
    <s v="Multiple Measures"/>
    <n v="59.493076051188247"/>
    <n v="94.517932178903052"/>
    <n v="51.560665911029787"/>
    <n v="44.771652084743558"/>
    <m/>
    <s v="No barrier identified"/>
    <s v="No barrier identified"/>
    <s v="First cost"/>
    <s v="Availability"/>
    <s v="None"/>
    <m/>
    <m/>
    <s v="TBD"/>
    <s v="TBD"/>
    <m/>
    <n v="14.227397260273975"/>
    <s v="Yes"/>
    <s v="Maturity"/>
  </r>
  <r>
    <x v="1"/>
    <x v="8"/>
    <x v="6"/>
    <n v="446.00405151407574"/>
    <x v="1"/>
    <n v="0.90317050049758907"/>
    <s v="Manual Switch"/>
    <n v="0.77184852779052782"/>
    <s v="Linear Fluorescent T-8 / Code Compliant T-12"/>
    <s v="Shut-off AND multi-level controls"/>
    <x v="3"/>
    <s v="Occupancy"/>
    <n v="82.481720021364652"/>
    <n v="59.695536112991405"/>
    <n v="70.493097925236057"/>
    <n v="9.9492560188318979"/>
    <m/>
    <s v="First cost"/>
    <s v="Performance"/>
    <s v="No barrier identified"/>
    <s v="No barrier identified"/>
    <s v="There may be specific codes and standards to prevent lighting technology changes"/>
    <m/>
    <m/>
    <s v="TBD"/>
    <s v="TBD"/>
    <m/>
    <n v="14.227397260273975"/>
    <s v="Yes"/>
    <s v="Maturity"/>
  </r>
  <r>
    <x v="1"/>
    <x v="8"/>
    <x v="6"/>
    <n v="446.00405151407574"/>
    <x v="1"/>
    <n v="0.90317050049758907"/>
    <s v="Manual Switch"/>
    <n v="0.77184852779052782"/>
    <s v="Linear Fluorescent T-8 / Code Compliant T-12"/>
    <s v="Shut-off AND multi-level controls"/>
    <x v="3"/>
    <s v="Daylighting"/>
    <n v="82.481720021364652"/>
    <n v="69.644792131823309"/>
    <n v="70.493097925236057"/>
    <n v="19.89851203766381"/>
    <m/>
    <s v="First cost"/>
    <s v="Performance"/>
    <s v="No barrier identified"/>
    <s v="No barrier identified"/>
    <s v="There may be specific codes and standards to prevent lighting technology changes"/>
    <m/>
    <m/>
    <s v="TBD"/>
    <s v="TBD"/>
    <m/>
    <n v="14.227397260273975"/>
    <s v="Yes"/>
    <s v="Maturity"/>
  </r>
  <r>
    <x v="1"/>
    <x v="8"/>
    <x v="6"/>
    <n v="446.00405151407574"/>
    <x v="1"/>
    <n v="0.90317050049758907"/>
    <s v="Manual Switch"/>
    <n v="0.77184852779052782"/>
    <s v="Linear Fluorescent T-8 / Code Compliant T-12"/>
    <s v="Shut-off AND multi-level controls"/>
    <x v="3"/>
    <s v="Personal Tuning"/>
    <n v="82.481720021364652"/>
    <s v="Not Applicable"/>
    <n v="70.493097925236057"/>
    <s v="Not Applicable"/>
    <m/>
    <s v="First cost"/>
    <s v="Performance"/>
    <s v="Not Applicable"/>
    <s v="Not Applicable"/>
    <s v="There may be specific codes and standards to prevent lighting technology changes"/>
    <m/>
    <m/>
    <s v="TBD"/>
    <s v="TBD"/>
    <m/>
    <n v="14.227397260273975"/>
    <s v="Yes"/>
    <s v="Maturity"/>
  </r>
  <r>
    <x v="1"/>
    <x v="8"/>
    <x v="6"/>
    <n v="446.00405151407574"/>
    <x v="1"/>
    <n v="0.90317050049758907"/>
    <s v="Manual Switch"/>
    <n v="0.77184852779052782"/>
    <s v="Linear Fluorescent T-8 / Code Compliant T-12"/>
    <s v="Shut-off AND multi-level controls"/>
    <x v="3"/>
    <s v="Institutional Tuning"/>
    <n v="82.481720021364652"/>
    <n v="89.543304169487115"/>
    <n v="70.493097925236057"/>
    <n v="39.797024075327592"/>
    <m/>
    <s v="First cost"/>
    <s v="Performance"/>
    <s v="No barrier identified"/>
    <s v="No barrier identified"/>
    <s v="There may be specific codes and standards to prevent lighting technology changes"/>
    <m/>
    <m/>
    <s v="TBD"/>
    <s v="TBD"/>
    <m/>
    <n v="14.227397260273975"/>
    <s v="Yes"/>
    <s v="Maturity"/>
  </r>
  <r>
    <x v="1"/>
    <x v="8"/>
    <x v="6"/>
    <n v="446.00405151407574"/>
    <x v="1"/>
    <n v="0.90317050049758907"/>
    <s v="Manual Switch"/>
    <n v="0.77184852779052782"/>
    <s v="Linear Fluorescent T-8 / Code Compliant T-12"/>
    <s v="Shut-off AND multi-level controls"/>
    <x v="3"/>
    <s v="Multiple Measures"/>
    <n v="82.481720021364652"/>
    <n v="94.517932178903052"/>
    <n v="70.493097925236057"/>
    <n v="44.771652084743558"/>
    <m/>
    <s v="First cost"/>
    <s v="Performance"/>
    <s v="First cost"/>
    <s v="Availability"/>
    <s v="There may be specific codes and standards to prevent lighting technology changes"/>
    <m/>
    <m/>
    <s v="TBD"/>
    <s v="TBD"/>
    <m/>
    <n v="14.227397260273975"/>
    <s v="Yes"/>
    <s v="Maturity"/>
  </r>
  <r>
    <x v="1"/>
    <x v="8"/>
    <x v="6"/>
    <n v="446.00405151407574"/>
    <x v="9"/>
    <n v="5.3571042663613136E-2"/>
    <s v="Manual Switch"/>
    <n v="0.9936372702650047"/>
    <s v="Halogen"/>
    <s v="Shut-off AND multi-level controls"/>
    <x v="10"/>
    <s v="Occupancy"/>
    <n v="15.928601381203244"/>
    <n v="4.5582485747207535"/>
    <n v="15.928601381203244"/>
    <n v="0.75970809578679188"/>
    <m/>
    <s v="First cost"/>
    <s v="Performance"/>
    <s v="No barrier identified"/>
    <s v="No barrier identified"/>
    <s v="There may be specific codes and standards to prevent lighting technology changes"/>
    <m/>
    <m/>
    <s v="TBD"/>
    <s v="TBD"/>
    <m/>
    <n v="14.227397260273975"/>
    <s v="Yes"/>
    <s v="Maturity"/>
  </r>
  <r>
    <x v="1"/>
    <x v="8"/>
    <x v="6"/>
    <n v="446.00405151407574"/>
    <x v="9"/>
    <n v="5.3571042663613136E-2"/>
    <s v="Manual Switch"/>
    <n v="0.9936372702650047"/>
    <s v="Halogen"/>
    <s v="Shut-off AND multi-level controls"/>
    <x v="10"/>
    <s v="Daylighting"/>
    <n v="15.928601381203244"/>
    <n v="5.3179566705075469"/>
    <n v="15.928601381203244"/>
    <n v="1.5194161915735849"/>
    <m/>
    <s v="First cost"/>
    <s v="Performance"/>
    <s v="No barrier identified"/>
    <s v="No barrier identified"/>
    <s v="There may be specific codes and standards to prevent lighting technology changes"/>
    <m/>
    <m/>
    <s v="TBD"/>
    <s v="TBD"/>
    <m/>
    <n v="14.227397260273975"/>
    <s v="Yes"/>
    <s v="Maturity"/>
  </r>
  <r>
    <x v="1"/>
    <x v="8"/>
    <x v="6"/>
    <n v="446.00405151407574"/>
    <x v="9"/>
    <n v="5.3571042663613136E-2"/>
    <s v="Manual Switch"/>
    <n v="0.9936372702650047"/>
    <s v="Halogen"/>
    <s v="Shut-off AND multi-level controls"/>
    <x v="10"/>
    <s v="Personal Tuning"/>
    <n v="15.928601381203244"/>
    <s v="Not Applicable"/>
    <n v="15.928601381203244"/>
    <s v="Not Applicable"/>
    <m/>
    <s v="First cost"/>
    <s v="Performance"/>
    <s v="Not Applicable"/>
    <s v="Not Applicable"/>
    <s v="There may be specific codes and standards to prevent lighting technology changes"/>
    <m/>
    <m/>
    <s v="TBD"/>
    <s v="TBD"/>
    <m/>
    <n v="14.227397260273975"/>
    <s v="Yes"/>
    <s v="Maturity"/>
  </r>
  <r>
    <x v="1"/>
    <x v="8"/>
    <x v="6"/>
    <n v="446.00405151407574"/>
    <x v="9"/>
    <n v="5.3571042663613136E-2"/>
    <s v="Manual Switch"/>
    <n v="0.9936372702650047"/>
    <s v="Halogen"/>
    <s v="Shut-off AND multi-level controls"/>
    <x v="10"/>
    <s v="Institutional Tuning"/>
    <n v="15.928601381203244"/>
    <n v="6.8373728620811312"/>
    <n v="15.928601381203244"/>
    <n v="3.0388323831471689"/>
    <m/>
    <s v="First cost"/>
    <s v="Performance"/>
    <s v="No barrier identified"/>
    <s v="No barrier identified"/>
    <s v="There may be specific codes and standards to prevent lighting technology changes"/>
    <m/>
    <m/>
    <s v="TBD"/>
    <s v="TBD"/>
    <m/>
    <n v="14.227397260273975"/>
    <s v="Yes"/>
    <s v="Maturity"/>
  </r>
  <r>
    <x v="1"/>
    <x v="8"/>
    <x v="6"/>
    <n v="446.00405151407574"/>
    <x v="9"/>
    <n v="5.3571042663613136E-2"/>
    <s v="Manual Switch"/>
    <n v="0.9936372702650047"/>
    <s v="Halogen"/>
    <s v="Shut-off AND multi-level controls"/>
    <x v="10"/>
    <s v="Multiple Measures"/>
    <n v="15.928601381203244"/>
    <n v="7.217226909974527"/>
    <n v="15.928601381203244"/>
    <n v="3.4186864310405656"/>
    <m/>
    <s v="First cost"/>
    <s v="Performance"/>
    <s v="First cost"/>
    <s v="Availability"/>
    <s v="There may be specific codes and standards to prevent lighting technology changes"/>
    <m/>
    <m/>
    <s v="TBD"/>
    <s v="TBD"/>
    <m/>
    <n v="14.227397260273975"/>
    <s v="Yes"/>
    <s v="Maturity"/>
  </r>
  <r>
    <x v="1"/>
    <x v="9"/>
    <x v="6"/>
    <n v="847.73737352200237"/>
    <x v="9"/>
    <n v="9.7207859358841797E-2"/>
    <s v="Manual Switch"/>
    <n v="0.85000000000000009"/>
    <s v="Halogen"/>
    <s v="Shut-off AND multi-level controls"/>
    <x v="10"/>
    <s v="Occupancy"/>
    <n v="15.213551146811216"/>
    <n v="13.448779213781114"/>
    <n v="15.213551146811216"/>
    <n v="2.2414632022968513"/>
    <m/>
    <s v="Technical feasibility"/>
    <s v="First cost"/>
    <s v="No barrier identified"/>
    <s v="No barrier identified"/>
    <s v="There may be specific codes and standards to prevent lighting technology changes"/>
    <m/>
    <m/>
    <s v="TBD"/>
    <s v="TBD"/>
    <m/>
    <n v="14.227397260273975"/>
    <s v="Yes"/>
    <s v="Maturity"/>
  </r>
  <r>
    <x v="1"/>
    <x v="9"/>
    <x v="6"/>
    <n v="847.73737352200237"/>
    <x v="9"/>
    <n v="9.7207859358841797E-2"/>
    <s v="Manual Switch"/>
    <n v="0.85000000000000009"/>
    <s v="Halogen"/>
    <s v="Shut-off AND multi-level controls"/>
    <x v="10"/>
    <s v="Daylighting"/>
    <n v="15.213551146811216"/>
    <n v="15.69024241607797"/>
    <n v="15.213551146811216"/>
    <n v="4.4829264045937061"/>
    <m/>
    <s v="Technical feasibility"/>
    <s v="First cost"/>
    <s v="No barrier identified"/>
    <s v="No barrier identified"/>
    <s v="There may be specific codes and standards to prevent lighting technology changes"/>
    <m/>
    <m/>
    <s v="TBD"/>
    <s v="TBD"/>
    <m/>
    <n v="14.227397260273975"/>
    <s v="Yes"/>
    <s v="Maturity"/>
  </r>
  <r>
    <x v="1"/>
    <x v="9"/>
    <x v="6"/>
    <n v="847.73737352200237"/>
    <x v="9"/>
    <n v="9.7207859358841797E-2"/>
    <s v="Manual Switch"/>
    <n v="0.85000000000000009"/>
    <s v="Halogen"/>
    <s v="Shut-off AND multi-level controls"/>
    <x v="10"/>
    <s v="Personal Tuning"/>
    <n v="15.213551146811216"/>
    <s v="Not Applicable"/>
    <n v="15.213551146811216"/>
    <s v="Not Applicable"/>
    <m/>
    <s v="Technical feasibility"/>
    <s v="First cost"/>
    <s v="No barrier identified"/>
    <s v="No barrier identified"/>
    <s v="There may be specific codes and standards to prevent lighting technology changes"/>
    <m/>
    <m/>
    <s v="TBD"/>
    <s v="TBD"/>
    <m/>
    <n v="14.227397260273975"/>
    <s v="Yes"/>
    <s v="Maturity"/>
  </r>
  <r>
    <x v="1"/>
    <x v="9"/>
    <x v="6"/>
    <n v="847.73737352200237"/>
    <x v="9"/>
    <n v="9.7207859358841797E-2"/>
    <s v="Manual Switch"/>
    <n v="0.85000000000000009"/>
    <s v="Halogen"/>
    <s v="Shut-off AND multi-level controls"/>
    <x v="10"/>
    <s v="Institutional Tuning"/>
    <n v="15.213551146811216"/>
    <n v="20.17316882067167"/>
    <n v="15.213551146811216"/>
    <n v="8.9658528091874086"/>
    <m/>
    <s v="Technical feasibility"/>
    <s v="First cost"/>
    <s v="No barrier identified"/>
    <s v="No barrier identified"/>
    <s v="There may be specific codes and standards to prevent lighting technology changes"/>
    <m/>
    <m/>
    <s v="TBD"/>
    <s v="TBD"/>
    <m/>
    <n v="14.227397260273975"/>
    <s v="Yes"/>
    <s v="Maturity"/>
  </r>
  <r>
    <x v="1"/>
    <x v="9"/>
    <x v="6"/>
    <n v="847.73737352200237"/>
    <x v="9"/>
    <n v="9.7207859358841797E-2"/>
    <s v="Manual Switch"/>
    <n v="0.85000000000000009"/>
    <s v="Halogen"/>
    <s v="Shut-off AND multi-level controls"/>
    <x v="10"/>
    <s v="Multiple Measures"/>
    <n v="15.213551146811216"/>
    <n v="21.293900421820101"/>
    <n v="15.213551146811216"/>
    <n v="10.086584410335835"/>
    <m/>
    <s v="Technical feasibility"/>
    <s v="First cost"/>
    <s v="First cost"/>
    <s v="Availability"/>
    <s v="There may be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9"/>
    <s v="Occupancy"/>
    <n v="113.03344809503142"/>
    <n v="124.9019601450097"/>
    <n v="97.962321682360525"/>
    <n v="20.816993357501605"/>
    <m/>
    <s v="Technical feasibility"/>
    <s v="No barrier identified"/>
    <s v="No barrier identified"/>
    <s v="No barrier identified"/>
    <s v="There may be hospital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9"/>
    <s v="Daylighting"/>
    <n v="113.03344809503142"/>
    <n v="145.71895350251131"/>
    <n v="97.962321682360525"/>
    <n v="41.633986715003239"/>
    <m/>
    <s v="Technical feasibility"/>
    <s v="No barrier identified"/>
    <s v="No barrier identified"/>
    <s v="No barrier identified"/>
    <s v="There may be hospital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9"/>
    <s v="Personal Tuning"/>
    <n v="113.03344809503142"/>
    <s v="Not Applicable"/>
    <n v="97.962321682360525"/>
    <s v="Not Applicable"/>
    <m/>
    <s v="Technical feasibility"/>
    <s v="No barrier identified"/>
    <s v="No barrier identified"/>
    <s v="No barrier identified"/>
    <s v="There may be hospital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9"/>
    <s v="Institutional Tuning"/>
    <n v="113.03344809503142"/>
    <n v="187.35294021751452"/>
    <n v="97.962321682360525"/>
    <n v="83.26797343000645"/>
    <m/>
    <s v="Technical feasibility"/>
    <s v="No barrier identified"/>
    <s v="No barrier identified"/>
    <s v="No barrier identified"/>
    <s v="There may be hospital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9"/>
    <s v="Multiple Measures"/>
    <n v="113.03344809503142"/>
    <n v="197.76143689626537"/>
    <n v="97.962321682360525"/>
    <n v="93.676470108757258"/>
    <m/>
    <s v="Technical feasibility"/>
    <s v="No barrier identified"/>
    <s v="First cost"/>
    <s v="Availability"/>
    <s v="There may be hospital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3"/>
    <s v="Occupancy"/>
    <n v="156.71055923889523"/>
    <n v="124.9019601450097"/>
    <n v="133.93286167510232"/>
    <n v="20.816993357501605"/>
    <m/>
    <s v="Technical feasibility"/>
    <s v="First cost"/>
    <s v="No barrier identified"/>
    <s v="No barrier identified"/>
    <s v="There may be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3"/>
    <s v="Daylighting"/>
    <n v="156.71055923889523"/>
    <n v="145.71895350251131"/>
    <n v="133.93286167510232"/>
    <n v="41.633986715003239"/>
    <m/>
    <s v="Technical feasibility"/>
    <s v="First cost"/>
    <s v="No barrier identified"/>
    <s v="No barrier identified"/>
    <s v="There may be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3"/>
    <s v="Personal Tuning"/>
    <n v="156.71055923889523"/>
    <s v="Not Applicable"/>
    <n v="133.93286167510232"/>
    <s v="Not Applicable"/>
    <m/>
    <s v="Technical feasibility"/>
    <s v="First cost"/>
    <s v="No barrier identified"/>
    <s v="No barrier identified"/>
    <s v="There may be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3"/>
    <s v="Institutional Tuning"/>
    <n v="156.71055923889523"/>
    <n v="187.35294021751452"/>
    <n v="133.93286167510232"/>
    <n v="83.26797343000645"/>
    <m/>
    <s v="Technical feasibility"/>
    <s v="First cost"/>
    <s v="No barrier identified"/>
    <s v="No barrier identified"/>
    <s v="There may be specific codes and standards to prevent lighting technology changes"/>
    <m/>
    <m/>
    <s v="TBD"/>
    <s v="TBD"/>
    <m/>
    <n v="14.227397260273975"/>
    <s v="Yes"/>
    <s v="Maturity"/>
  </r>
  <r>
    <x v="1"/>
    <x v="9"/>
    <x v="6"/>
    <n v="847.73737352200237"/>
    <x v="1"/>
    <n v="0.9027921406411582"/>
    <s v="Manual Switch"/>
    <n v="0.85000000000000009"/>
    <s v="Linear Fluorescent T-8 / Code Compliant T-12"/>
    <s v="Shut-off AND multi-level controls"/>
    <x v="3"/>
    <s v="Multiple Measures"/>
    <n v="156.71055923889523"/>
    <n v="197.76143689626537"/>
    <n v="133.93286167510232"/>
    <n v="93.676470108757258"/>
    <m/>
    <s v="Technical feasibility"/>
    <s v="First cost"/>
    <s v="First cost"/>
    <s v="Availability"/>
    <s v="There may be specific codes and standards to prevent lighting technology changes"/>
    <m/>
    <m/>
    <s v="TBD"/>
    <s v="TBD"/>
    <m/>
    <n v="14.227397260273975"/>
    <s v="Yes"/>
    <s v="Maturity"/>
  </r>
  <r>
    <x v="1"/>
    <x v="10"/>
    <x v="6"/>
    <n v="476.27033903997773"/>
    <x v="1"/>
    <n v="0.55172730052875429"/>
    <s v="Manual Switch"/>
    <n v="0.98347899853086229"/>
    <s v="Linear Fluorescent T-8 / Code Compliant T-12"/>
    <s v="Shut-off AND multi-level controls"/>
    <x v="9"/>
    <s v="Occupancy"/>
    <n v="38.809306852495979"/>
    <n v="49.618579708060572"/>
    <n v="33.634732605496502"/>
    <n v="8.2697632846767579"/>
    <m/>
    <s v="No barrier identified"/>
    <s v="No barrier identified"/>
    <s v="No barrier identified"/>
    <s v="No barrier identified"/>
    <s v="None"/>
    <m/>
    <m/>
    <s v="TBD"/>
    <s v="TBD"/>
    <m/>
    <n v="13.287671232876711"/>
    <s v="Yes"/>
    <s v="Maturity"/>
  </r>
  <r>
    <x v="1"/>
    <x v="10"/>
    <x v="6"/>
    <n v="476.27033903997773"/>
    <x v="1"/>
    <n v="0.55172730052875429"/>
    <s v="Manual Switch"/>
    <n v="0.98347899853086229"/>
    <s v="Linear Fluorescent T-8 / Code Compliant T-12"/>
    <s v="Shut-off AND multi-level controls"/>
    <x v="9"/>
    <s v="Daylighting"/>
    <n v="38.809306852495979"/>
    <n v="57.888342992737343"/>
    <n v="33.634732605496502"/>
    <n v="16.539526569353526"/>
    <m/>
    <s v="No barrier identified"/>
    <s v="No barrier identified"/>
    <s v="No barrier identified"/>
    <s v="No barrier identified"/>
    <s v="None"/>
    <m/>
    <m/>
    <s v="TBD"/>
    <s v="TBD"/>
    <m/>
    <n v="13.287671232876711"/>
    <s v="Yes"/>
    <s v="Maturity"/>
  </r>
  <r>
    <x v="1"/>
    <x v="10"/>
    <x v="6"/>
    <n v="476.27033903997773"/>
    <x v="1"/>
    <n v="0.55172730052875429"/>
    <s v="Manual Switch"/>
    <n v="0.98347899853086229"/>
    <s v="Linear Fluorescent T-8 / Code Compliant T-12"/>
    <s v="Shut-off AND multi-level controls"/>
    <x v="9"/>
    <s v="Personal Tuning"/>
    <n v="38.809306852495979"/>
    <s v="Not Applicable"/>
    <n v="33.634732605496502"/>
    <s v="Not Applicable"/>
    <m/>
    <s v="No barrier identified"/>
    <s v="No barrier identified"/>
    <s v="No barrier identified"/>
    <s v="No barrier identified"/>
    <s v="None"/>
    <m/>
    <m/>
    <s v="TBD"/>
    <s v="TBD"/>
    <m/>
    <n v="13.287671232876711"/>
    <s v="Yes"/>
    <s v="Maturity"/>
  </r>
  <r>
    <x v="1"/>
    <x v="10"/>
    <x v="6"/>
    <n v="476.27033903997773"/>
    <x v="1"/>
    <n v="0.55172730052875429"/>
    <s v="Manual Switch"/>
    <n v="0.98347899853086229"/>
    <s v="Linear Fluorescent T-8 / Code Compliant T-12"/>
    <s v="Shut-off AND multi-level controls"/>
    <x v="9"/>
    <s v="Institutional Tuning"/>
    <n v="38.809306852495979"/>
    <n v="74.427869562090848"/>
    <n v="33.634732605496502"/>
    <n v="33.079053138707039"/>
    <m/>
    <s v="No barrier identified"/>
    <s v="No barrier identified"/>
    <s v="No barrier identified"/>
    <s v="No barrier identified"/>
    <s v="None"/>
    <m/>
    <m/>
    <s v="TBD"/>
    <s v="TBD"/>
    <m/>
    <n v="13.287671232876711"/>
    <s v="Yes"/>
    <s v="Maturity"/>
  </r>
  <r>
    <x v="1"/>
    <x v="10"/>
    <x v="6"/>
    <n v="476.27033903997773"/>
    <x v="1"/>
    <n v="0.55172730052875429"/>
    <s v="Manual Switch"/>
    <n v="0.98347899853086229"/>
    <s v="Linear Fluorescent T-8 / Code Compliant T-12"/>
    <s v="Shut-off AND multi-level controls"/>
    <x v="9"/>
    <s v="Multiple Measures"/>
    <n v="38.809306852495979"/>
    <n v="78.562751204429247"/>
    <n v="33.634732605496502"/>
    <n v="37.213934781045424"/>
    <m/>
    <s v="No barrier identified"/>
    <s v="No barrier identified"/>
    <s v="First cost"/>
    <s v="Availability"/>
    <s v="None"/>
    <m/>
    <m/>
    <s v="TBD"/>
    <s v="TBD"/>
    <m/>
    <n v="13.287671232876711"/>
    <s v="Yes"/>
    <s v="Maturity"/>
  </r>
  <r>
    <x v="1"/>
    <x v="10"/>
    <x v="6"/>
    <n v="476.27033903997773"/>
    <x v="1"/>
    <n v="0.55172730052875429"/>
    <s v="Manual Switch"/>
    <n v="0.98347899853086229"/>
    <s v="Linear Fluorescent T-8 / Code Compliant T-12"/>
    <s v="Shut-off AND multi-level controls"/>
    <x v="3"/>
    <s v="Occupancy"/>
    <n v="53.805561831709454"/>
    <n v="49.618579708060572"/>
    <n v="45.984985984077262"/>
    <n v="8.2697632846767579"/>
    <m/>
    <s v="First cost"/>
    <s v="Performance"/>
    <s v="No barrier identified"/>
    <s v="No barrier identified"/>
    <s v="None"/>
    <m/>
    <m/>
    <s v="TBD"/>
    <s v="TBD"/>
    <m/>
    <n v="13.287671232876711"/>
    <s v="Yes"/>
    <s v="Maturity"/>
  </r>
  <r>
    <x v="1"/>
    <x v="10"/>
    <x v="6"/>
    <n v="476.27033903997773"/>
    <x v="1"/>
    <n v="0.55172730052875429"/>
    <s v="Manual Switch"/>
    <n v="0.98347899853086229"/>
    <s v="Linear Fluorescent T-8 / Code Compliant T-12"/>
    <s v="Shut-off AND multi-level controls"/>
    <x v="3"/>
    <s v="Daylighting"/>
    <n v="53.805561831709454"/>
    <n v="57.888342992737343"/>
    <n v="45.984985984077262"/>
    <n v="16.539526569353526"/>
    <m/>
    <s v="First cost"/>
    <s v="Performance"/>
    <s v="No barrier identified"/>
    <s v="No barrier identified"/>
    <s v="None"/>
    <m/>
    <m/>
    <s v="TBD"/>
    <s v="TBD"/>
    <m/>
    <n v="13.287671232876711"/>
    <s v="Yes"/>
    <s v="Maturity"/>
  </r>
  <r>
    <x v="1"/>
    <x v="10"/>
    <x v="6"/>
    <n v="476.27033903997773"/>
    <x v="1"/>
    <n v="0.55172730052875429"/>
    <s v="Manual Switch"/>
    <n v="0.98347899853086229"/>
    <s v="Linear Fluorescent T-8 / Code Compliant T-12"/>
    <s v="Shut-off AND multi-level controls"/>
    <x v="3"/>
    <s v="Personal Tuning"/>
    <n v="53.805561831709454"/>
    <s v="Not Applicable"/>
    <n v="45.984985984077262"/>
    <s v="Not Applicable"/>
    <m/>
    <s v="First cost"/>
    <s v="Performance"/>
    <s v="No barrier identified"/>
    <s v="No barrier identified"/>
    <s v="None"/>
    <m/>
    <m/>
    <s v="TBD"/>
    <s v="TBD"/>
    <m/>
    <n v="13.287671232876711"/>
    <s v="Yes"/>
    <s v="Maturity"/>
  </r>
  <r>
    <x v="1"/>
    <x v="10"/>
    <x v="6"/>
    <n v="476.27033903997773"/>
    <x v="1"/>
    <n v="0.55172730052875429"/>
    <s v="Manual Switch"/>
    <n v="0.98347899853086229"/>
    <s v="Linear Fluorescent T-8 / Code Compliant T-12"/>
    <s v="Shut-off AND multi-level controls"/>
    <x v="3"/>
    <s v="Institutional Tuning"/>
    <n v="53.805561831709454"/>
    <n v="74.427869562090848"/>
    <n v="45.984985984077262"/>
    <n v="33.079053138707039"/>
    <m/>
    <s v="First cost"/>
    <s v="Performance"/>
    <s v="No barrier identified"/>
    <s v="No barrier identified"/>
    <s v="None"/>
    <m/>
    <m/>
    <s v="TBD"/>
    <s v="TBD"/>
    <m/>
    <n v="13.287671232876711"/>
    <s v="Yes"/>
    <s v="Maturity"/>
  </r>
  <r>
    <x v="1"/>
    <x v="10"/>
    <x v="6"/>
    <n v="476.27033903997773"/>
    <x v="1"/>
    <n v="0.55172730052875429"/>
    <s v="Manual Switch"/>
    <n v="0.98347899853086229"/>
    <s v="Linear Fluorescent T-8 / Code Compliant T-12"/>
    <s v="Shut-off AND multi-level controls"/>
    <x v="3"/>
    <s v="Multiple Measures"/>
    <n v="53.805561831709454"/>
    <n v="78.562751204429247"/>
    <n v="45.984985984077262"/>
    <n v="37.213934781045424"/>
    <m/>
    <s v="First cost"/>
    <s v="Performance"/>
    <s v="First cost"/>
    <s v="Availability"/>
    <s v="None"/>
    <m/>
    <m/>
    <s v="TBD"/>
    <s v="TBD"/>
    <m/>
    <n v="13.287671232876711"/>
    <s v="Yes"/>
    <s v="Maturity"/>
  </r>
  <r>
    <x v="1"/>
    <x v="10"/>
    <x v="6"/>
    <n v="476.27033903997773"/>
    <x v="10"/>
    <n v="6.1204122446344586E-2"/>
    <s v="Manual Switch"/>
    <n v="0.99648613992654811"/>
    <s v="Halogen"/>
    <s v="Shut-off AND multi-level controls"/>
    <x v="10"/>
    <s v="Occupancy"/>
    <n v="18.46148182717107"/>
    <n v="5.5770777892896453"/>
    <n v="18.46148182717107"/>
    <n v="0.92951296488160717"/>
    <m/>
    <s v="First cost"/>
    <s v="Performance"/>
    <s v="No barrier identified"/>
    <s v="No barrier identified"/>
    <s v="None"/>
    <m/>
    <m/>
    <s v="TBD"/>
    <s v="TBD"/>
    <m/>
    <n v="13.287671232876711"/>
    <s v="Yes"/>
    <s v="Maturity"/>
  </r>
  <r>
    <x v="1"/>
    <x v="10"/>
    <x v="6"/>
    <n v="476.27033903997773"/>
    <x v="10"/>
    <n v="6.1204122446344586E-2"/>
    <s v="Manual Switch"/>
    <n v="0.99648613992654811"/>
    <s v="Halogen"/>
    <s v="Shut-off AND multi-level controls"/>
    <x v="10"/>
    <s v="Daylighting"/>
    <n v="18.46148182717107"/>
    <n v="6.5065907541712544"/>
    <n v="18.46148182717107"/>
    <n v="1.8590259297632157"/>
    <m/>
    <s v="First cost"/>
    <s v="Performance"/>
    <s v="No barrier identified"/>
    <s v="No barrier identified"/>
    <s v="None"/>
    <m/>
    <m/>
    <s v="TBD"/>
    <s v="TBD"/>
    <m/>
    <n v="13.287671232876711"/>
    <s v="Yes"/>
    <s v="Maturity"/>
  </r>
  <r>
    <x v="1"/>
    <x v="10"/>
    <x v="6"/>
    <n v="476.27033903997773"/>
    <x v="10"/>
    <n v="6.1204122446344586E-2"/>
    <s v="Manual Switch"/>
    <n v="0.99648613992654811"/>
    <s v="Halogen"/>
    <s v="Shut-off AND multi-level controls"/>
    <x v="10"/>
    <s v="Personal Tuning"/>
    <n v="18.46148182717107"/>
    <s v="Not Applicable"/>
    <n v="18.46148182717107"/>
    <s v="Not Applicable"/>
    <m/>
    <s v="First cost"/>
    <s v="Performance"/>
    <s v="Not Applicable"/>
    <s v="Not Applicable"/>
    <s v="None"/>
    <m/>
    <m/>
    <s v="TBD"/>
    <s v="TBD"/>
    <m/>
    <n v="13.287671232876711"/>
    <s v="Yes"/>
    <s v="Maturity"/>
  </r>
  <r>
    <x v="1"/>
    <x v="10"/>
    <x v="6"/>
    <n v="476.27033903997773"/>
    <x v="10"/>
    <n v="6.1204122446344586E-2"/>
    <s v="Manual Switch"/>
    <n v="0.99648613992654811"/>
    <s v="Halogen"/>
    <s v="Shut-off AND multi-level controls"/>
    <x v="10"/>
    <s v="Institutional Tuning"/>
    <n v="18.46148182717107"/>
    <n v="8.3656166839344674"/>
    <n v="18.46148182717107"/>
    <n v="3.71805185952643"/>
    <m/>
    <s v="First cost"/>
    <s v="Performance"/>
    <s v="No barrier identified"/>
    <s v="No barrier identified"/>
    <s v="None"/>
    <m/>
    <m/>
    <s v="TBD"/>
    <s v="TBD"/>
    <m/>
    <n v="13.287671232876711"/>
    <s v="Yes"/>
    <s v="Maturity"/>
  </r>
  <r>
    <x v="1"/>
    <x v="10"/>
    <x v="6"/>
    <n v="476.27033903997773"/>
    <x v="10"/>
    <n v="6.1204122446344586E-2"/>
    <s v="Manual Switch"/>
    <n v="0.99648613992654811"/>
    <s v="Halogen"/>
    <s v="Shut-off AND multi-level controls"/>
    <x v="10"/>
    <s v="Multiple Measures"/>
    <n v="18.46148182717107"/>
    <n v="8.8303731663752725"/>
    <n v="18.46148182717107"/>
    <n v="4.1828083419672337"/>
    <m/>
    <s v="First cost"/>
    <s v="Performance"/>
    <s v="First cost"/>
    <s v="Availability"/>
    <s v="None"/>
    <m/>
    <m/>
    <s v="TBD"/>
    <s v="TBD"/>
    <m/>
    <n v="13.287671232876711"/>
    <s v="Yes"/>
    <s v="Maturity"/>
  </r>
  <r>
    <x v="1"/>
    <x v="10"/>
    <x v="6"/>
    <n v="476.27033903997773"/>
    <x v="10"/>
    <n v="6.1204122446344586E-2"/>
    <s v="Manual Switch"/>
    <n v="0.99648613992654811"/>
    <s v="Halogen"/>
    <s v="Shut-off AND multi-level controls"/>
    <x v="16"/>
    <s v="Occupancy"/>
    <n v="17.003996419762828"/>
    <n v="5.5770777892896453"/>
    <n v="17.003996419762828"/>
    <n v="0.92951296488160717"/>
    <m/>
    <s v="Reliability"/>
    <s v="Performance"/>
    <s v="No barrier identified"/>
    <s v="No barrier identified"/>
    <s v="Lighting reliability - non dimming CFL on dimmer"/>
    <m/>
    <m/>
    <s v="TBD"/>
    <s v="TBD"/>
    <m/>
    <n v="13.287671232876711"/>
    <s v="Yes"/>
    <s v="Maturity"/>
  </r>
  <r>
    <x v="1"/>
    <x v="10"/>
    <x v="6"/>
    <n v="476.27033903997773"/>
    <x v="10"/>
    <n v="6.1204122446344586E-2"/>
    <s v="Manual Switch"/>
    <n v="0.99648613992654811"/>
    <s v="Halogen"/>
    <s v="Shut-off AND multi-level controls"/>
    <x v="16"/>
    <s v="Daylighting"/>
    <n v="17.003996419762828"/>
    <n v="6.5065907541712544"/>
    <n v="17.003996419762828"/>
    <n v="1.8590259297632157"/>
    <m/>
    <s v="Reliability"/>
    <s v="Performance"/>
    <s v="No barrier identified"/>
    <s v="No barrier identified"/>
    <s v="Lighting reliability - non dimming CFL on dimmer"/>
    <m/>
    <m/>
    <s v="TBD"/>
    <s v="TBD"/>
    <m/>
    <n v="13.287671232876711"/>
    <s v="Yes"/>
    <s v="Maturity"/>
  </r>
  <r>
    <x v="1"/>
    <x v="10"/>
    <x v="6"/>
    <n v="476.27033903997773"/>
    <x v="10"/>
    <n v="6.1204122446344586E-2"/>
    <s v="Manual Switch"/>
    <n v="0.99648613992654811"/>
    <s v="Halogen"/>
    <s v="Shut-off AND multi-level controls"/>
    <x v="16"/>
    <s v="Personal Tuning"/>
    <n v="17.003996419762828"/>
    <s v="Not Applicable"/>
    <n v="17.003996419762828"/>
    <s v="Not Applicable"/>
    <m/>
    <s v="Reliability"/>
    <s v="Performance"/>
    <s v="No barrier identified"/>
    <s v="No barrier identified"/>
    <s v="Lighting reliability - non dimming CFL on dimmer"/>
    <m/>
    <m/>
    <s v="TBD"/>
    <s v="TBD"/>
    <m/>
    <n v="13.287671232876711"/>
    <s v="Yes"/>
    <s v="Maturity"/>
  </r>
  <r>
    <x v="1"/>
    <x v="10"/>
    <x v="6"/>
    <n v="476.27033903997773"/>
    <x v="10"/>
    <n v="6.1204122446344586E-2"/>
    <s v="Manual Switch"/>
    <n v="0.99648613992654811"/>
    <s v="Halogen"/>
    <s v="Shut-off AND multi-level controls"/>
    <x v="16"/>
    <s v="Institutional Tuning"/>
    <n v="17.003996419762828"/>
    <n v="8.3656166839344674"/>
    <n v="17.003996419762828"/>
    <n v="3.71805185952643"/>
    <m/>
    <s v="Reliability"/>
    <s v="Performance"/>
    <s v="No barrier identified"/>
    <s v="No barrier identified"/>
    <s v="Lighting reliability - non dimming CFL on dimmer"/>
    <m/>
    <m/>
    <s v="TBD"/>
    <s v="TBD"/>
    <m/>
    <n v="13.287671232876711"/>
    <s v="Yes"/>
    <s v="Maturity"/>
  </r>
  <r>
    <x v="1"/>
    <x v="10"/>
    <x v="6"/>
    <n v="476.27033903997773"/>
    <x v="10"/>
    <n v="6.1204122446344586E-2"/>
    <s v="Manual Switch"/>
    <n v="0.99648613992654811"/>
    <s v="Halogen"/>
    <s v="Shut-off AND multi-level controls"/>
    <x v="16"/>
    <s v="Multiple Measures"/>
    <n v="17.003996419762828"/>
    <n v="8.8303731663752725"/>
    <n v="17.003996419762828"/>
    <n v="4.1828083419672337"/>
    <m/>
    <s v="Reliability"/>
    <s v="Performance"/>
    <s v="First cost"/>
    <s v="Availability"/>
    <s v="Lighting reliability - non dimming CFL on dimmer"/>
    <m/>
    <m/>
    <s v="TBD"/>
    <s v="TBD"/>
    <m/>
    <n v="13.287671232876711"/>
    <s v="Yes"/>
    <s v="Maturity"/>
  </r>
  <r>
    <x v="1"/>
    <x v="10"/>
    <x v="6"/>
    <n v="476.27033903997773"/>
    <x v="9"/>
    <n v="0.12730402308783406"/>
    <s v="Manual Switch"/>
    <n v="0.98020259659279285"/>
    <s v="Halogen"/>
    <s v="Shut-off AND multi-level controls"/>
    <x v="10"/>
    <s v="Occupancy"/>
    <n v="11.193439428405396"/>
    <n v="11.410711928228197"/>
    <n v="11.193439428405396"/>
    <n v="1.9017853213713654"/>
    <m/>
    <s v="First cost"/>
    <s v="Performance"/>
    <s v="No barrier identified"/>
    <s v="No barrier identified"/>
    <s v="None"/>
    <m/>
    <m/>
    <s v="TBD"/>
    <s v="TBD"/>
    <m/>
    <n v="13.287671232876711"/>
    <s v="Yes"/>
    <s v="Maturity"/>
  </r>
  <r>
    <x v="1"/>
    <x v="10"/>
    <x v="6"/>
    <n v="476.27033903997773"/>
    <x v="9"/>
    <n v="0.12730402308783406"/>
    <s v="Manual Switch"/>
    <n v="0.98020259659279285"/>
    <s v="Halogen"/>
    <s v="Shut-off AND multi-level controls"/>
    <x v="10"/>
    <s v="Daylighting"/>
    <n v="11.193439428405396"/>
    <n v="13.312497249599566"/>
    <n v="11.193439428405396"/>
    <n v="3.8035706427427338"/>
    <m/>
    <s v="First cost"/>
    <s v="Performance"/>
    <s v="No barrier identified"/>
    <s v="No barrier identified"/>
    <s v="None"/>
    <m/>
    <m/>
    <s v="TBD"/>
    <s v="TBD"/>
    <m/>
    <n v="13.287671232876711"/>
    <s v="Yes"/>
    <s v="Maturity"/>
  </r>
  <r>
    <x v="1"/>
    <x v="10"/>
    <x v="6"/>
    <n v="476.27033903997773"/>
    <x v="9"/>
    <n v="0.12730402308783406"/>
    <s v="Manual Switch"/>
    <n v="0.98020259659279285"/>
    <s v="Halogen"/>
    <s v="Shut-off AND multi-level controls"/>
    <x v="10"/>
    <s v="Personal Tuning"/>
    <n v="11.193439428405396"/>
    <s v="Not Applicable"/>
    <n v="11.193439428405396"/>
    <s v="Not Applicable"/>
    <m/>
    <s v="First cost"/>
    <s v="Performance"/>
    <s v="Not Applicable"/>
    <s v="Not Applicable"/>
    <s v="None"/>
    <m/>
    <m/>
    <s v="TBD"/>
    <s v="TBD"/>
    <m/>
    <n v="13.287671232876711"/>
    <s v="Yes"/>
    <s v="Maturity"/>
  </r>
  <r>
    <x v="1"/>
    <x v="10"/>
    <x v="6"/>
    <n v="476.27033903997773"/>
    <x v="9"/>
    <n v="0.12730402308783406"/>
    <s v="Manual Switch"/>
    <n v="0.98020259659279285"/>
    <s v="Halogen"/>
    <s v="Shut-off AND multi-level controls"/>
    <x v="10"/>
    <s v="Institutional Tuning"/>
    <n v="11.193439428405396"/>
    <n v="17.116067892342297"/>
    <n v="11.193439428405396"/>
    <n v="7.607141285485465"/>
    <m/>
    <s v="First cost"/>
    <s v="Performance"/>
    <s v="No barrier identified"/>
    <s v="No barrier identified"/>
    <s v="None"/>
    <m/>
    <m/>
    <s v="TBD"/>
    <s v="TBD"/>
    <m/>
    <n v="13.287671232876711"/>
    <s v="Yes"/>
    <s v="Maturity"/>
  </r>
  <r>
    <x v="1"/>
    <x v="10"/>
    <x v="6"/>
    <n v="476.27033903997773"/>
    <x v="9"/>
    <n v="0.12730402308783406"/>
    <s v="Manual Switch"/>
    <n v="0.98020259659279285"/>
    <s v="Halogen"/>
    <s v="Shut-off AND multi-level controls"/>
    <x v="10"/>
    <s v="Multiple Measures"/>
    <n v="11.193439428405396"/>
    <n v="18.066960553027982"/>
    <n v="11.193439428405396"/>
    <n v="8.5580339461711485"/>
    <m/>
    <s v="First cost"/>
    <s v="Performance"/>
    <s v="First cost"/>
    <s v="Availability"/>
    <s v="None"/>
    <m/>
    <m/>
    <s v="TBD"/>
    <s v="TBD"/>
    <m/>
    <n v="13.287671232876711"/>
    <s v="Yes"/>
    <s v="Maturity"/>
  </r>
  <r>
    <x v="1"/>
    <x v="10"/>
    <x v="6"/>
    <n v="476.27033903997773"/>
    <x v="7"/>
    <n v="0.25371011831724088"/>
    <s v="Manual Switch"/>
    <n v="0.94869483209185579"/>
    <s v="Halogen"/>
    <s v="Shut-off AND multi-level controls"/>
    <x v="16"/>
    <s v="Occupancy"/>
    <n v="75.723018549797118"/>
    <n v="22.009951568248319"/>
    <n v="70.486852373481355"/>
    <n v="3.6683252613747181"/>
    <m/>
    <s v="Reliability"/>
    <s v="Performance"/>
    <s v="No barrier identified"/>
    <s v="No barrier identified"/>
    <s v="Lighting reliability - non dimming CFL on dimmer"/>
    <m/>
    <m/>
    <s v="TBD"/>
    <s v="TBD"/>
    <m/>
    <n v="13.287671232876711"/>
    <s v="Yes"/>
    <s v="Maturity"/>
  </r>
  <r>
    <x v="1"/>
    <x v="10"/>
    <x v="6"/>
    <n v="476.27033903997773"/>
    <x v="7"/>
    <n v="0.25371011831724088"/>
    <s v="Manual Switch"/>
    <n v="0.94869483209185579"/>
    <s v="Halogen"/>
    <s v="Shut-off AND multi-level controls"/>
    <x v="16"/>
    <s v="Daylighting"/>
    <n v="75.723018549797118"/>
    <n v="25.678276829623041"/>
    <n v="70.486852373481355"/>
    <n v="7.3366505227494407"/>
    <m/>
    <s v="Reliability"/>
    <s v="Performance"/>
    <s v="No barrier identified"/>
    <s v="No barrier identified"/>
    <s v="Lighting reliability - non dimming CFL on dimmer"/>
    <m/>
    <m/>
    <s v="TBD"/>
    <s v="TBD"/>
    <m/>
    <n v="13.287671232876711"/>
    <s v="Yes"/>
    <s v="Maturity"/>
  </r>
  <r>
    <x v="1"/>
    <x v="10"/>
    <x v="6"/>
    <n v="476.27033903997773"/>
    <x v="7"/>
    <n v="0.25371011831724088"/>
    <s v="Manual Switch"/>
    <n v="0.94869483209185579"/>
    <s v="Halogen"/>
    <s v="Shut-off AND multi-level controls"/>
    <x v="16"/>
    <s v="Personal Tuning"/>
    <n v="75.723018549797118"/>
    <s v="Not Applicable"/>
    <n v="70.486852373481355"/>
    <s v="Not Applicable"/>
    <m/>
    <s v="Reliability"/>
    <s v="Performance"/>
    <s v="No barrier identified"/>
    <s v="No barrier identified"/>
    <s v="Lighting reliability - non dimming CFL on dimmer"/>
    <m/>
    <m/>
    <s v="TBD"/>
    <s v="TBD"/>
    <m/>
    <n v="13.287671232876711"/>
    <s v="Yes"/>
    <s v="Maturity"/>
  </r>
  <r>
    <x v="1"/>
    <x v="10"/>
    <x v="6"/>
    <n v="476.27033903997773"/>
    <x v="7"/>
    <n v="0.25371011831724088"/>
    <s v="Manual Switch"/>
    <n v="0.94869483209185579"/>
    <s v="Halogen"/>
    <s v="Shut-off AND multi-level controls"/>
    <x v="16"/>
    <s v="Institutional Tuning"/>
    <n v="75.723018549797118"/>
    <n v="33.014927352372474"/>
    <n v="70.486852373481355"/>
    <n v="14.673301045498876"/>
    <m/>
    <s v="Reliability"/>
    <s v="Performance"/>
    <s v="No barrier identified"/>
    <s v="No barrier identified"/>
    <s v="Lighting reliability - non dimming CFL on dimmer"/>
    <m/>
    <m/>
    <s v="TBD"/>
    <s v="TBD"/>
    <m/>
    <n v="13.287671232876711"/>
    <s v="Yes"/>
    <s v="Maturity"/>
  </r>
  <r>
    <x v="1"/>
    <x v="10"/>
    <x v="6"/>
    <n v="476.27033903997773"/>
    <x v="7"/>
    <n v="0.25371011831724088"/>
    <s v="Manual Switch"/>
    <n v="0.94869483209185579"/>
    <s v="Halogen"/>
    <s v="Shut-off AND multi-level controls"/>
    <x v="16"/>
    <s v="Multiple Measures"/>
    <n v="75.723018549797118"/>
    <n v="34.849089983059841"/>
    <n v="70.486852373481355"/>
    <n v="16.507463676186237"/>
    <m/>
    <s v="Reliability"/>
    <s v="Performance"/>
    <s v="First cost"/>
    <s v="Availability"/>
    <s v="Lighting reliability - non dimming CFL on dimmer"/>
    <m/>
    <m/>
    <s v="TBD"/>
    <s v="TBD"/>
    <m/>
    <n v="13.287671232876711"/>
    <s v="Yes"/>
    <s v="Maturity"/>
  </r>
  <r>
    <x v="1"/>
    <x v="10"/>
    <x v="6"/>
    <n v="476.27033903997773"/>
    <x v="7"/>
    <n v="0.25371011831724088"/>
    <s v="Manual Switch"/>
    <n v="0.94869483209185579"/>
    <s v="Halogen"/>
    <s v="Shut-off AND multi-level controls"/>
    <x v="10"/>
    <s v="Occupancy"/>
    <n v="80.556402712550138"/>
    <n v="22.009951568248319"/>
    <n v="76.528582576922616"/>
    <n v="3.6683252613747181"/>
    <m/>
    <s v="First cost"/>
    <s v="Performance"/>
    <s v="No barrier identified"/>
    <s v="No barrier identified"/>
    <s v="None"/>
    <m/>
    <m/>
    <s v="TBD"/>
    <s v="TBD"/>
    <m/>
    <n v="13.287671232876711"/>
    <s v="Yes"/>
    <s v="Maturity"/>
  </r>
  <r>
    <x v="1"/>
    <x v="10"/>
    <x v="6"/>
    <n v="476.27033903997773"/>
    <x v="7"/>
    <n v="0.25371011831724088"/>
    <s v="Manual Switch"/>
    <n v="0.94869483209185579"/>
    <s v="Halogen"/>
    <s v="Shut-off AND multi-level controls"/>
    <x v="10"/>
    <s v="Daylighting"/>
    <n v="80.556402712550138"/>
    <n v="25.678276829623041"/>
    <n v="76.528582576922616"/>
    <n v="7.3366505227494407"/>
    <m/>
    <s v="First cost"/>
    <s v="Performance"/>
    <s v="No barrier identified"/>
    <s v="No barrier identified"/>
    <s v="None"/>
    <m/>
    <m/>
    <s v="TBD"/>
    <s v="TBD"/>
    <m/>
    <n v="13.287671232876711"/>
    <s v="Yes"/>
    <s v="Maturity"/>
  </r>
  <r>
    <x v="1"/>
    <x v="10"/>
    <x v="6"/>
    <n v="476.27033903997773"/>
    <x v="7"/>
    <n v="0.25371011831724088"/>
    <s v="Manual Switch"/>
    <n v="0.94869483209185579"/>
    <s v="Halogen"/>
    <s v="Shut-off AND multi-level controls"/>
    <x v="10"/>
    <s v="Personal Tuning"/>
    <n v="80.556402712550138"/>
    <s v="Not Applicable"/>
    <n v="76.528582576922616"/>
    <s v="Not Applicable"/>
    <m/>
    <s v="First cost"/>
    <s v="Performance"/>
    <s v="Not Applicable"/>
    <s v="Not Applicable"/>
    <s v="None"/>
    <m/>
    <m/>
    <s v="TBD"/>
    <s v="TBD"/>
    <m/>
    <n v="13.287671232876711"/>
    <s v="Yes"/>
    <s v="Maturity"/>
  </r>
  <r>
    <x v="1"/>
    <x v="10"/>
    <x v="6"/>
    <n v="476.27033903997773"/>
    <x v="7"/>
    <n v="0.25371011831724088"/>
    <s v="Manual Switch"/>
    <n v="0.94869483209185579"/>
    <s v="Halogen"/>
    <s v="Shut-off AND multi-level controls"/>
    <x v="10"/>
    <s v="Institutional Tuning"/>
    <n v="80.556402712550138"/>
    <n v="33.014927352372474"/>
    <n v="76.528582576922616"/>
    <n v="14.673301045498876"/>
    <m/>
    <s v="First cost"/>
    <s v="Performance"/>
    <s v="No barrier identified"/>
    <s v="No barrier identified"/>
    <s v="None"/>
    <m/>
    <m/>
    <s v="TBD"/>
    <s v="TBD"/>
    <m/>
    <n v="13.287671232876711"/>
    <s v="Yes"/>
    <s v="Maturity"/>
  </r>
  <r>
    <x v="1"/>
    <x v="10"/>
    <x v="6"/>
    <n v="476.27033903997773"/>
    <x v="7"/>
    <n v="0.25371011831724088"/>
    <s v="Manual Switch"/>
    <n v="0.94869483209185579"/>
    <s v="Halogen"/>
    <s v="Shut-off AND multi-level controls"/>
    <x v="10"/>
    <s v="Multiple Measures"/>
    <n v="80.556402712550138"/>
    <n v="34.849089983059841"/>
    <n v="76.528582576922616"/>
    <n v="16.507463676186237"/>
    <m/>
    <s v="First cost"/>
    <s v="Performance"/>
    <s v="First cost"/>
    <s v="Availability"/>
    <s v="None"/>
    <m/>
    <m/>
    <s v="TBD"/>
    <s v="TBD"/>
    <m/>
    <n v="13.287671232876711"/>
    <s v="Yes"/>
    <s v="Maturity"/>
  </r>
  <r>
    <x v="1"/>
    <x v="10"/>
    <x v="8"/>
    <n v="611.35212104600316"/>
    <x v="10"/>
    <n v="0.50957050486537259"/>
    <s v="Manual Switch"/>
    <n v="0.93461250994110145"/>
    <s v="Halogen"/>
    <s v="Shut-off AND multi-level controls"/>
    <x v="12"/>
    <s v="Occupancy"/>
    <n v="197.3004390155545"/>
    <n v="55.902151635781976"/>
    <n v="197.3004390155545"/>
    <n v="9.3170252726303264"/>
    <m/>
    <s v="First cost"/>
    <s v="Performance"/>
    <s v="No barrier identified"/>
    <s v="No barrier identified"/>
    <s v="None"/>
    <m/>
    <m/>
    <s v="TBD"/>
    <s v="TBD"/>
    <m/>
    <n v="13.287671232876711"/>
    <s v="Yes"/>
    <s v="Maturity"/>
  </r>
  <r>
    <x v="1"/>
    <x v="10"/>
    <x v="8"/>
    <n v="611.35212104600316"/>
    <x v="10"/>
    <n v="0.50957050486537259"/>
    <s v="Manual Switch"/>
    <n v="0.93461250994110145"/>
    <s v="Halogen"/>
    <s v="Shut-off AND multi-level controls"/>
    <x v="12"/>
    <s v="Daylighting"/>
    <n v="197.3004390155545"/>
    <n v="65.219176908412322"/>
    <n v="197.3004390155545"/>
    <n v="18.634050545260667"/>
    <m/>
    <s v="First cost"/>
    <s v="Performance"/>
    <s v="No barrier identified"/>
    <s v="No barrier identified"/>
    <s v="None"/>
    <m/>
    <m/>
    <s v="TBD"/>
    <s v="TBD"/>
    <m/>
    <n v="13.287671232876711"/>
    <s v="Yes"/>
    <s v="Maturity"/>
  </r>
  <r>
    <x v="1"/>
    <x v="10"/>
    <x v="8"/>
    <n v="611.35212104600316"/>
    <x v="10"/>
    <n v="0.50957050486537259"/>
    <s v="Manual Switch"/>
    <n v="0.93461250994110145"/>
    <s v="Halogen"/>
    <s v="Shut-off AND multi-level controls"/>
    <x v="12"/>
    <s v="Personal Tuning"/>
    <n v="197.3004390155545"/>
    <s v="Not Applicable"/>
    <n v="197.3004390155545"/>
    <s v="Not Applicable"/>
    <m/>
    <s v="First cost"/>
    <s v="Performance"/>
    <s v="Not Applicable"/>
    <s v="Not Applicable"/>
    <s v="None"/>
    <m/>
    <m/>
    <s v="TBD"/>
    <s v="TBD"/>
    <m/>
    <n v="13.287671232876711"/>
    <s v="Yes"/>
    <s v="Maturity"/>
  </r>
  <r>
    <x v="1"/>
    <x v="10"/>
    <x v="8"/>
    <n v="611.35212104600316"/>
    <x v="10"/>
    <n v="0.50957050486537259"/>
    <s v="Manual Switch"/>
    <n v="0.93461250994110145"/>
    <s v="Halogen"/>
    <s v="Shut-off AND multi-level controls"/>
    <x v="12"/>
    <s v="Institutional Tuning"/>
    <n v="197.3004390155545"/>
    <n v="83.853227453672972"/>
    <n v="197.3004390155545"/>
    <n v="37.268101090521327"/>
    <m/>
    <s v="First cost"/>
    <s v="Performance"/>
    <s v="No barrier identified"/>
    <s v="No barrier identified"/>
    <s v="None"/>
    <m/>
    <m/>
    <s v="TBD"/>
    <s v="TBD"/>
    <m/>
    <n v="13.287671232876711"/>
    <s v="Yes"/>
    <s v="Maturity"/>
  </r>
  <r>
    <x v="1"/>
    <x v="10"/>
    <x v="8"/>
    <n v="611.35212104600316"/>
    <x v="10"/>
    <n v="0.50957050486537259"/>
    <s v="Manual Switch"/>
    <n v="0.93461250994110145"/>
    <s v="Halogen"/>
    <s v="Shut-off AND multi-level controls"/>
    <x v="12"/>
    <s v="Multiple Measures"/>
    <n v="197.3004390155545"/>
    <n v="88.511740089988152"/>
    <n v="197.3004390155545"/>
    <n v="41.926613726836486"/>
    <m/>
    <s v="First cost"/>
    <s v="Performance"/>
    <s v="First cost"/>
    <s v="Availability"/>
    <s v="None"/>
    <m/>
    <m/>
    <s v="TBD"/>
    <s v="TBD"/>
    <m/>
    <n v="13.287671232876711"/>
    <s v="Yes"/>
    <s v="Maturity"/>
  </r>
  <r>
    <x v="1"/>
    <x v="10"/>
    <x v="8"/>
    <n v="611.35212104600316"/>
    <x v="10"/>
    <n v="0.50957050486537259"/>
    <s v="Manual Switch"/>
    <n v="0.93461250994110145"/>
    <s v="Halogen"/>
    <s v="Shut-off AND multi-level controls"/>
    <x v="19"/>
    <s v="Occupancy"/>
    <n v="181.72408856695813"/>
    <n v="55.902151635781976"/>
    <n v="181.72408856695813"/>
    <n v="9.3170252726303264"/>
    <m/>
    <s v="Reliability"/>
    <s v="Performance"/>
    <s v="No barrier identified"/>
    <s v="No barrier identified"/>
    <s v="Lighting reliability - non dimming CFL on dimmer"/>
    <m/>
    <m/>
    <s v="TBD"/>
    <s v="TBD"/>
    <m/>
    <n v="13.287671232876711"/>
    <s v="Yes"/>
    <s v="Maturity"/>
  </r>
  <r>
    <x v="1"/>
    <x v="10"/>
    <x v="8"/>
    <n v="611.35212104600316"/>
    <x v="10"/>
    <n v="0.50957050486537259"/>
    <s v="Manual Switch"/>
    <n v="0.93461250994110145"/>
    <s v="Halogen"/>
    <s v="Shut-off AND multi-level controls"/>
    <x v="19"/>
    <s v="Daylighting"/>
    <n v="181.72408856695813"/>
    <n v="65.219176908412322"/>
    <n v="181.72408856695813"/>
    <n v="18.634050545260667"/>
    <m/>
    <s v="Reliability"/>
    <s v="Performance"/>
    <s v="No barrier identified"/>
    <s v="No barrier identified"/>
    <s v="Lighting reliability - non dimming CFL on dimmer"/>
    <m/>
    <m/>
    <s v="TBD"/>
    <s v="TBD"/>
    <m/>
    <n v="13.287671232876711"/>
    <s v="Yes"/>
    <s v="Maturity"/>
  </r>
  <r>
    <x v="1"/>
    <x v="10"/>
    <x v="8"/>
    <n v="611.35212104600316"/>
    <x v="10"/>
    <n v="0.50957050486537259"/>
    <s v="Manual Switch"/>
    <n v="0.93461250994110145"/>
    <s v="Halogen"/>
    <s v="Shut-off AND multi-level controls"/>
    <x v="19"/>
    <s v="Personal Tuning"/>
    <n v="181.72408856695813"/>
    <s v="Not Applicable"/>
    <n v="181.72408856695813"/>
    <s v="Not Applicable"/>
    <m/>
    <s v="Reliability"/>
    <s v="Performance"/>
    <s v="No barrier identified"/>
    <s v="No barrier identified"/>
    <s v="Lighting reliability - non dimming CFL on dimmer"/>
    <m/>
    <m/>
    <s v="TBD"/>
    <s v="TBD"/>
    <m/>
    <n v="13.287671232876711"/>
    <s v="Yes"/>
    <s v="Maturity"/>
  </r>
  <r>
    <x v="1"/>
    <x v="10"/>
    <x v="8"/>
    <n v="611.35212104600316"/>
    <x v="10"/>
    <n v="0.50957050486537259"/>
    <s v="Manual Switch"/>
    <n v="0.93461250994110145"/>
    <s v="Halogen"/>
    <s v="Shut-off AND multi-level controls"/>
    <x v="19"/>
    <s v="Institutional Tuning"/>
    <n v="181.72408856695813"/>
    <n v="83.853227453672972"/>
    <n v="181.72408856695813"/>
    <n v="37.268101090521327"/>
    <m/>
    <s v="Reliability"/>
    <s v="Performance"/>
    <s v="No barrier identified"/>
    <s v="No barrier identified"/>
    <s v="Lighting reliability - non dimming CFL on dimmer"/>
    <m/>
    <m/>
    <s v="TBD"/>
    <s v="TBD"/>
    <m/>
    <n v="13.287671232876711"/>
    <s v="Yes"/>
    <s v="Maturity"/>
  </r>
  <r>
    <x v="1"/>
    <x v="10"/>
    <x v="8"/>
    <n v="611.35212104600316"/>
    <x v="10"/>
    <n v="0.50957050486537259"/>
    <s v="Manual Switch"/>
    <n v="0.93461250994110145"/>
    <s v="Halogen"/>
    <s v="Shut-off AND multi-level controls"/>
    <x v="19"/>
    <s v="Multiple Measures"/>
    <n v="181.72408856695813"/>
    <n v="88.511740089988152"/>
    <n v="181.72408856695813"/>
    <n v="41.926613726836486"/>
    <m/>
    <s v="Reliability"/>
    <s v="Performance"/>
    <s v="First cost"/>
    <s v="Availability"/>
    <s v="Lighting reliability - non dimming CFL on dimmer"/>
    <m/>
    <m/>
    <s v="TBD"/>
    <s v="TBD"/>
    <m/>
    <n v="13.287671232876711"/>
    <s v="Yes"/>
    <s v="Maturity"/>
  </r>
  <r>
    <x v="1"/>
    <x v="10"/>
    <x v="8"/>
    <n v="611.35212104600316"/>
    <x v="7"/>
    <n v="0.44226099007306308"/>
    <s v="Manual Switch"/>
    <n v="0.93461250994110145"/>
    <s v="Halogen"/>
    <s v="Shut-off AND multi-level controls"/>
    <x v="12"/>
    <s v="Occupancy"/>
    <n v="180.25146289138166"/>
    <n v="48.517998380199224"/>
    <n v="171.23888974681256"/>
    <n v="8.0863330633665331"/>
    <m/>
    <s v="First cost"/>
    <s v="Performance"/>
    <s v="No barrier identified"/>
    <s v="No barrier identified"/>
    <s v="None"/>
    <m/>
    <m/>
    <s v="TBD"/>
    <s v="TBD"/>
    <m/>
    <n v="13.287671232876711"/>
    <s v="Yes"/>
    <s v="Maturity"/>
  </r>
  <r>
    <x v="1"/>
    <x v="10"/>
    <x v="8"/>
    <n v="611.35212104600316"/>
    <x v="7"/>
    <n v="0.44226099007306308"/>
    <s v="Manual Switch"/>
    <n v="0.93461250994110145"/>
    <s v="Halogen"/>
    <s v="Shut-off AND multi-level controls"/>
    <x v="12"/>
    <s v="Daylighting"/>
    <n v="180.25146289138166"/>
    <n v="56.604331443565762"/>
    <n v="171.23888974681256"/>
    <n v="16.172666126733077"/>
    <m/>
    <s v="First cost"/>
    <s v="Performance"/>
    <s v="No barrier identified"/>
    <s v="No barrier identified"/>
    <s v="None"/>
    <m/>
    <m/>
    <s v="TBD"/>
    <s v="TBD"/>
    <m/>
    <n v="13.287671232876711"/>
    <s v="Yes"/>
    <s v="Maturity"/>
  </r>
  <r>
    <x v="1"/>
    <x v="10"/>
    <x v="8"/>
    <n v="611.35212104600316"/>
    <x v="7"/>
    <n v="0.44226099007306308"/>
    <s v="Manual Switch"/>
    <n v="0.93461250994110145"/>
    <s v="Halogen"/>
    <s v="Shut-off AND multi-level controls"/>
    <x v="12"/>
    <s v="Personal Tuning"/>
    <n v="180.25146289138166"/>
    <s v="Not Applicable"/>
    <n v="171.23888974681256"/>
    <s v="Not Applicable"/>
    <m/>
    <s v="First cost"/>
    <s v="Performance"/>
    <s v="Not Applicable"/>
    <s v="Not Applicable"/>
    <s v="None"/>
    <m/>
    <m/>
    <s v="TBD"/>
    <s v="TBD"/>
    <m/>
    <n v="13.287671232876711"/>
    <s v="Yes"/>
    <s v="Maturity"/>
  </r>
  <r>
    <x v="1"/>
    <x v="10"/>
    <x v="8"/>
    <n v="611.35212104600316"/>
    <x v="7"/>
    <n v="0.44226099007306308"/>
    <s v="Manual Switch"/>
    <n v="0.93461250994110145"/>
    <s v="Halogen"/>
    <s v="Shut-off AND multi-level controls"/>
    <x v="12"/>
    <s v="Institutional Tuning"/>
    <n v="180.25146289138166"/>
    <n v="72.776997570298832"/>
    <n v="171.23888974681256"/>
    <n v="32.345332253466147"/>
    <m/>
    <s v="First cost"/>
    <s v="Performance"/>
    <s v="No barrier identified"/>
    <s v="No barrier identified"/>
    <s v="None"/>
    <m/>
    <m/>
    <s v="TBD"/>
    <s v="TBD"/>
    <m/>
    <n v="13.287671232876711"/>
    <s v="Yes"/>
    <s v="Maturity"/>
  </r>
  <r>
    <x v="1"/>
    <x v="10"/>
    <x v="8"/>
    <n v="611.35212104600316"/>
    <x v="7"/>
    <n v="0.44226099007306308"/>
    <s v="Manual Switch"/>
    <n v="0.93461250994110145"/>
    <s v="Halogen"/>
    <s v="Shut-off AND multi-level controls"/>
    <x v="12"/>
    <s v="Multiple Measures"/>
    <n v="180.25146289138166"/>
    <n v="76.820164101982115"/>
    <n v="171.23888974681256"/>
    <n v="36.388498785149416"/>
    <m/>
    <s v="First cost"/>
    <s v="Performance"/>
    <s v="First cost"/>
    <s v="Availability"/>
    <s v="None"/>
    <m/>
    <m/>
    <s v="TBD"/>
    <s v="TBD"/>
    <m/>
    <n v="13.287671232876711"/>
    <s v="Yes"/>
    <s v="Maturity"/>
  </r>
  <r>
    <x v="1"/>
    <x v="10"/>
    <x v="10"/>
    <n v="36.33310217997353"/>
    <x v="1"/>
    <n v="0.34186101411524789"/>
    <s v="Manual Switch"/>
    <n v="1"/>
    <s v="Linear Fluorescent T-8 / Code Compliant T-12"/>
    <s v="Time-switch controls"/>
    <x v="3"/>
    <s v="Occupancy"/>
    <n v="2.5433212369502054"/>
    <s v="Not Applicable"/>
    <n v="2.1736524525097685"/>
    <s v="Not Applicable"/>
    <m/>
    <s v="First cost"/>
    <s v="Performance"/>
    <s v="Not Applicable"/>
    <s v="Not Applicable"/>
    <s v="None"/>
    <m/>
    <m/>
    <s v="TBD"/>
    <s v="TBD"/>
    <m/>
    <n v="13.287671232876711"/>
    <s v="Yes"/>
    <s v="Maturity"/>
  </r>
  <r>
    <x v="1"/>
    <x v="10"/>
    <x v="10"/>
    <n v="36.33310217997353"/>
    <x v="1"/>
    <n v="0.34186101411524789"/>
    <s v="Manual Switch"/>
    <n v="1"/>
    <s v="Linear Fluorescent T-8 / Code Compliant T-12"/>
    <s v="Time-switch controls"/>
    <x v="3"/>
    <s v="Daylighting"/>
    <n v="2.5433212369502054"/>
    <s v="Not Applicable"/>
    <n v="2.1736524525097685"/>
    <s v="Not Applicable"/>
    <m/>
    <s v="First cost"/>
    <s v="Performance"/>
    <s v="Not Applicable"/>
    <s v="Not Applicable"/>
    <s v="None"/>
    <m/>
    <m/>
    <s v="TBD"/>
    <s v="TBD"/>
    <m/>
    <n v="13.287671232876711"/>
    <s v="Yes"/>
    <s v="Maturity"/>
  </r>
  <r>
    <x v="1"/>
    <x v="10"/>
    <x v="10"/>
    <n v="36.33310217997353"/>
    <x v="1"/>
    <n v="0.34186101411524789"/>
    <s v="Manual Switch"/>
    <n v="1"/>
    <s v="Linear Fluorescent T-8 / Code Compliant T-12"/>
    <s v="Time-switch controls"/>
    <x v="3"/>
    <s v="Personal Tuning"/>
    <n v="2.5433212369502054"/>
    <s v="Not Applicable"/>
    <n v="2.1736524525097685"/>
    <s v="Not Applicable"/>
    <m/>
    <s v="First cost"/>
    <s v="Performance"/>
    <s v="Not Applicable"/>
    <s v="Not Applicable"/>
    <s v="None"/>
    <m/>
    <m/>
    <s v="TBD"/>
    <s v="TBD"/>
    <m/>
    <n v="13.287671232876711"/>
    <s v="Yes"/>
    <s v="Maturity"/>
  </r>
  <r>
    <x v="1"/>
    <x v="10"/>
    <x v="10"/>
    <n v="36.33310217997353"/>
    <x v="1"/>
    <n v="0.34186101411524789"/>
    <s v="Manual Switch"/>
    <n v="1"/>
    <s v="Linear Fluorescent T-8 / Code Compliant T-12"/>
    <s v="Time-switch controls"/>
    <x v="3"/>
    <s v="Institutional Tuning"/>
    <n v="2.5433212369502054"/>
    <n v="3.5772108932732181"/>
    <n v="2.1736524525097685"/>
    <n v="3.5772108932732181"/>
    <m/>
    <s v="First cost"/>
    <s v="Performance"/>
    <s v="No barrier identified"/>
    <s v="No barrier identified"/>
    <s v="None"/>
    <m/>
    <m/>
    <s v="TBD"/>
    <s v="TBD"/>
    <m/>
    <n v="13.287671232876711"/>
    <s v="Yes"/>
    <s v="Maturity"/>
  </r>
  <r>
    <x v="1"/>
    <x v="10"/>
    <x v="10"/>
    <n v="36.33310217997353"/>
    <x v="1"/>
    <n v="0.34186101411524789"/>
    <s v="Manual Switch"/>
    <n v="1"/>
    <s v="Linear Fluorescent T-8 / Code Compliant T-12"/>
    <s v="Time-switch controls"/>
    <x v="3"/>
    <s v="Multiple Measures"/>
    <n v="2.5433212369502054"/>
    <s v="Not Applicable"/>
    <n v="2.1736524525097685"/>
    <s v="Not Applicable"/>
    <m/>
    <s v="First cost"/>
    <s v="Performance"/>
    <s v="Not Applicable"/>
    <s v="Not Applicable"/>
    <s v="None"/>
    <m/>
    <m/>
    <s v="TBD"/>
    <s v="TBD"/>
    <m/>
    <n v="13.287671232876711"/>
    <s v="Yes"/>
    <s v="Maturity"/>
  </r>
  <r>
    <x v="1"/>
    <x v="10"/>
    <x v="10"/>
    <n v="36.33310217997353"/>
    <x v="1"/>
    <n v="0.34186101411524789"/>
    <s v="Manual Switch"/>
    <n v="1"/>
    <s v="Linear Fluorescent T-8 / Code Compliant T-12"/>
    <s v="Time-switch controls"/>
    <x v="9"/>
    <s v="Occupancy"/>
    <n v="1.8344671247554971"/>
    <s v="Not Applicable"/>
    <n v="1.5898715081214303"/>
    <s v="Not Applicable"/>
    <m/>
    <s v="No barrier identified"/>
    <s v="No barrier identified"/>
    <s v="Not Applicable"/>
    <s v="Not Applicable"/>
    <s v="None"/>
    <m/>
    <m/>
    <s v="TBD"/>
    <s v="TBD"/>
    <m/>
    <n v="13.287671232876711"/>
    <s v="Yes"/>
    <s v="Maturity"/>
  </r>
  <r>
    <x v="1"/>
    <x v="10"/>
    <x v="10"/>
    <n v="36.33310217997353"/>
    <x v="1"/>
    <n v="0.34186101411524789"/>
    <s v="Manual Switch"/>
    <n v="1"/>
    <s v="Linear Fluorescent T-8 / Code Compliant T-12"/>
    <s v="Time-switch controls"/>
    <x v="9"/>
    <s v="Daylighting"/>
    <n v="1.8344671247554971"/>
    <s v="Not Applicable"/>
    <n v="1.5898715081214303"/>
    <s v="Not Applicable"/>
    <m/>
    <s v="No barrier identified"/>
    <s v="No barrier identified"/>
    <s v="Not Applicable"/>
    <s v="Not Applicable"/>
    <s v="None"/>
    <m/>
    <m/>
    <s v="TBD"/>
    <s v="TBD"/>
    <m/>
    <n v="13.287671232876711"/>
    <s v="Yes"/>
    <s v="Maturity"/>
  </r>
  <r>
    <x v="1"/>
    <x v="10"/>
    <x v="10"/>
    <n v="36.33310217997353"/>
    <x v="1"/>
    <n v="0.34186101411524789"/>
    <s v="Manual Switch"/>
    <n v="1"/>
    <s v="Linear Fluorescent T-8 / Code Compliant T-12"/>
    <s v="Time-switch controls"/>
    <x v="9"/>
    <s v="Personal Tuning"/>
    <n v="1.8344671247554971"/>
    <s v="Not Applicable"/>
    <n v="1.5898715081214303"/>
    <s v="Not Applicable"/>
    <m/>
    <s v="No barrier identified"/>
    <s v="No barrier identified"/>
    <s v="Not Applicable"/>
    <s v="Not Applicable"/>
    <s v="None"/>
    <m/>
    <m/>
    <s v="TBD"/>
    <s v="TBD"/>
    <m/>
    <n v="13.287671232876711"/>
    <s v="Yes"/>
    <s v="Maturity"/>
  </r>
  <r>
    <x v="1"/>
    <x v="10"/>
    <x v="10"/>
    <n v="36.33310217997353"/>
    <x v="1"/>
    <n v="0.34186101411524789"/>
    <s v="Manual Switch"/>
    <n v="1"/>
    <s v="Linear Fluorescent T-8 / Code Compliant T-12"/>
    <s v="Time-switch controls"/>
    <x v="9"/>
    <s v="Institutional Tuning"/>
    <n v="1.8344671247554971"/>
    <n v="3.5772108932732181"/>
    <n v="1.5898715081214303"/>
    <n v="3.5772108932732181"/>
    <m/>
    <s v="No barrier identified"/>
    <s v="No barrier identified"/>
    <s v="No barrier identified"/>
    <s v="No barrier identified"/>
    <s v="None"/>
    <m/>
    <m/>
    <s v="TBD"/>
    <s v="TBD"/>
    <m/>
    <n v="13.287671232876711"/>
    <s v="Yes"/>
    <s v="Maturity"/>
  </r>
  <r>
    <x v="1"/>
    <x v="10"/>
    <x v="10"/>
    <n v="36.33310217997353"/>
    <x v="1"/>
    <n v="0.34186101411524789"/>
    <s v="Manual Switch"/>
    <n v="1"/>
    <s v="Linear Fluorescent T-8 / Code Compliant T-12"/>
    <s v="Time-switch controls"/>
    <x v="9"/>
    <s v="Multiple Measures"/>
    <n v="1.8344671247554971"/>
    <s v="Not Applicable"/>
    <n v="1.5898715081214303"/>
    <s v="Not Applicable"/>
    <m/>
    <s v="No barrier identified"/>
    <s v="No barrier identified"/>
    <s v="Not Applicable"/>
    <s v="Not Applicable"/>
    <s v="None"/>
    <m/>
    <m/>
    <s v="TBD"/>
    <s v="TBD"/>
    <m/>
    <n v="13.287671232876711"/>
    <s v="Yes"/>
    <s v="Maturity"/>
  </r>
  <r>
    <x v="1"/>
    <x v="10"/>
    <x v="10"/>
    <n v="36.33310217997353"/>
    <x v="10"/>
    <n v="0.132842857658061"/>
    <s v="Manual Switch"/>
    <n v="1"/>
    <s v="Halogen"/>
    <s v="Time-switch controls"/>
    <x v="10"/>
    <s v="Occupancy"/>
    <n v="3.0568423100743396"/>
    <s v="Not Applicable"/>
    <n v="3.0568423100743396"/>
    <s v="Not Applicable"/>
    <m/>
    <s v="First cost"/>
    <s v="Performance"/>
    <s v="Not Applicable"/>
    <s v="Not Applicable"/>
    <s v="None"/>
    <m/>
    <m/>
    <s v="TBD"/>
    <s v="TBD"/>
    <m/>
    <n v="13.287671232876711"/>
    <s v="Yes"/>
    <s v="Maturity"/>
  </r>
  <r>
    <x v="1"/>
    <x v="10"/>
    <x v="10"/>
    <n v="36.33310217997353"/>
    <x v="10"/>
    <n v="0.132842857658061"/>
    <s v="Manual Switch"/>
    <n v="1"/>
    <s v="Halogen"/>
    <s v="Time-switch controls"/>
    <x v="10"/>
    <s v="Daylighting"/>
    <n v="3.0568423100743396"/>
    <s v="Not Applicable"/>
    <n v="3.0568423100743396"/>
    <s v="Not Applicable"/>
    <m/>
    <s v="First cost"/>
    <s v="Performance"/>
    <s v="Not Applicable"/>
    <s v="Not Applicable"/>
    <s v="None"/>
    <m/>
    <m/>
    <s v="TBD"/>
    <s v="TBD"/>
    <m/>
    <n v="13.287671232876711"/>
    <s v="Yes"/>
    <s v="Maturity"/>
  </r>
  <r>
    <x v="1"/>
    <x v="10"/>
    <x v="10"/>
    <n v="36.33310217997353"/>
    <x v="10"/>
    <n v="0.132842857658061"/>
    <s v="Manual Switch"/>
    <n v="1"/>
    <s v="Halogen"/>
    <s v="Time-switch controls"/>
    <x v="10"/>
    <s v="Personal Tuning"/>
    <n v="3.0568423100743396"/>
    <s v="Not Applicable"/>
    <n v="3.0568423100743396"/>
    <s v="Not Applicable"/>
    <m/>
    <s v="First cost"/>
    <s v="Performance"/>
    <s v="Not Applicable"/>
    <s v="Not Applicable"/>
    <s v="None"/>
    <m/>
    <m/>
    <s v="TBD"/>
    <s v="TBD"/>
    <m/>
    <n v="13.287671232876711"/>
    <s v="Yes"/>
    <s v="Maturity"/>
  </r>
  <r>
    <x v="1"/>
    <x v="10"/>
    <x v="10"/>
    <n v="36.33310217997353"/>
    <x v="10"/>
    <n v="0.132842857658061"/>
    <s v="Manual Switch"/>
    <n v="1"/>
    <s v="Halogen"/>
    <s v="Time-switch controls"/>
    <x v="10"/>
    <s v="Institutional Tuning"/>
    <n v="3.0568423100743396"/>
    <n v="1.3900588188969629"/>
    <n v="3.0568423100743396"/>
    <n v="1.3900588188969629"/>
    <m/>
    <s v="First cost"/>
    <s v="Performance"/>
    <s v="No barrier identified"/>
    <s v="No barrier identified"/>
    <s v="None"/>
    <m/>
    <m/>
    <s v="TBD"/>
    <s v="TBD"/>
    <m/>
    <n v="13.287671232876711"/>
    <s v="Yes"/>
    <s v="Maturity"/>
  </r>
  <r>
    <x v="1"/>
    <x v="10"/>
    <x v="10"/>
    <n v="36.33310217997353"/>
    <x v="10"/>
    <n v="0.132842857658061"/>
    <s v="Manual Switch"/>
    <n v="1"/>
    <s v="Halogen"/>
    <s v="Time-switch controls"/>
    <x v="10"/>
    <s v="Multiple Measures"/>
    <n v="3.0568423100743396"/>
    <s v="Not Applicable"/>
    <n v="3.0568423100743396"/>
    <s v="Not Applicable"/>
    <m/>
    <s v="First cost"/>
    <s v="Performance"/>
    <s v="Not Applicable"/>
    <s v="Not Applicable"/>
    <s v="None"/>
    <m/>
    <m/>
    <s v="TBD"/>
    <s v="TBD"/>
    <m/>
    <n v="13.287671232876711"/>
    <s v="Yes"/>
    <s v="Maturity"/>
  </r>
  <r>
    <x v="1"/>
    <x v="10"/>
    <x v="10"/>
    <n v="36.33310217997353"/>
    <x v="10"/>
    <n v="0.132842857658061"/>
    <s v="Manual Switch"/>
    <n v="1"/>
    <s v="Halogen"/>
    <s v="Time-switch controls"/>
    <x v="16"/>
    <s v="Occupancy"/>
    <n v="2.8155126540158388"/>
    <s v="Not Applicable"/>
    <n v="2.8155126540158388"/>
    <s v="Not Applicable"/>
    <m/>
    <s v="Reliability"/>
    <s v="Performance"/>
    <s v="No barrier identified"/>
    <s v="No barrier identified"/>
    <s v="Lighting reliability - non dimming CFL on dimmer"/>
    <m/>
    <m/>
    <s v="TBD"/>
    <s v="TBD"/>
    <m/>
    <n v="13.287671232876711"/>
    <s v="Yes"/>
    <s v="Maturity"/>
  </r>
  <r>
    <x v="1"/>
    <x v="10"/>
    <x v="10"/>
    <n v="36.33310217997353"/>
    <x v="10"/>
    <n v="0.132842857658061"/>
    <s v="Manual Switch"/>
    <n v="1"/>
    <s v="Halogen"/>
    <s v="Time-switch controls"/>
    <x v="16"/>
    <s v="Daylighting"/>
    <n v="2.8155126540158388"/>
    <s v="Not Applicable"/>
    <n v="2.8155126540158388"/>
    <s v="Not Applicable"/>
    <m/>
    <s v="Reliability"/>
    <s v="Performance"/>
    <s v="No barrier identified"/>
    <s v="No barrier identified"/>
    <s v="Lighting reliability - non dimming CFL on dimmer"/>
    <m/>
    <m/>
    <s v="TBD"/>
    <s v="TBD"/>
    <m/>
    <n v="13.287671232876711"/>
    <s v="Yes"/>
    <s v="Maturity"/>
  </r>
  <r>
    <x v="1"/>
    <x v="10"/>
    <x v="10"/>
    <n v="36.33310217997353"/>
    <x v="10"/>
    <n v="0.132842857658061"/>
    <s v="Manual Switch"/>
    <n v="1"/>
    <s v="Halogen"/>
    <s v="Time-switch controls"/>
    <x v="16"/>
    <s v="Personal Tuning"/>
    <n v="2.8155126540158388"/>
    <s v="Not Applicable"/>
    <n v="2.8155126540158388"/>
    <s v="Not Applicable"/>
    <m/>
    <s v="Reliability"/>
    <s v="Performance"/>
    <s v="No barrier identified"/>
    <s v="No barrier identified"/>
    <s v="Lighting reliability - non dimming CFL on dimmer"/>
    <m/>
    <m/>
    <s v="TBD"/>
    <s v="TBD"/>
    <m/>
    <n v="13.287671232876711"/>
    <s v="Yes"/>
    <s v="Maturity"/>
  </r>
  <r>
    <x v="1"/>
    <x v="10"/>
    <x v="10"/>
    <n v="36.33310217997353"/>
    <x v="10"/>
    <n v="0.132842857658061"/>
    <s v="Manual Switch"/>
    <n v="1"/>
    <s v="Halogen"/>
    <s v="Time-switch controls"/>
    <x v="16"/>
    <s v="Institutional Tuning"/>
    <n v="2.8155126540158388"/>
    <n v="1.3900588188969629"/>
    <n v="2.8155126540158388"/>
    <n v="1.3900588188969629"/>
    <m/>
    <s v="Reliability"/>
    <s v="Performance"/>
    <s v="No barrier identified"/>
    <s v="No barrier identified"/>
    <s v="Lighting reliability - non dimming CFL on dimmer"/>
    <m/>
    <m/>
    <s v="TBD"/>
    <s v="TBD"/>
    <m/>
    <n v="13.287671232876711"/>
    <s v="Yes"/>
    <s v="Maturity"/>
  </r>
  <r>
    <x v="1"/>
    <x v="10"/>
    <x v="10"/>
    <n v="36.33310217997353"/>
    <x v="10"/>
    <n v="0.132842857658061"/>
    <s v="Manual Switch"/>
    <n v="1"/>
    <s v="Halogen"/>
    <s v="Time-switch controls"/>
    <x v="16"/>
    <s v="Multiple Measures"/>
    <n v="2.8155126540158388"/>
    <s v="Not Applicable"/>
    <n v="2.8155126540158388"/>
    <s v="Not Applicable"/>
    <m/>
    <s v="Reliability"/>
    <s v="Performance"/>
    <s v="First cost"/>
    <s v="Availability"/>
    <s v="Lighting reliability - non dimming CFL on dimmer"/>
    <m/>
    <m/>
    <s v="TBD"/>
    <s v="TBD"/>
    <m/>
    <n v="13.287671232876711"/>
    <s v="Yes"/>
    <s v="Maturity"/>
  </r>
  <r>
    <x v="1"/>
    <x v="10"/>
    <x v="10"/>
    <n v="36.33310217997353"/>
    <x v="8"/>
    <n v="0.13152247851085813"/>
    <s v="Manual Switch"/>
    <n v="1"/>
    <s v="Halogen"/>
    <s v="Time-switch controls"/>
    <x v="10"/>
    <s v="Occupancy"/>
    <s v="No Change"/>
    <s v="Not Applicable"/>
    <s v="No Change"/>
    <s v="Not Applicable"/>
    <m/>
    <s v="Not Applicable"/>
    <s v="Not Applicable"/>
    <s v="Not Applicable"/>
    <s v="Not Applicable"/>
    <s v="None"/>
    <m/>
    <m/>
    <s v="TBD"/>
    <s v="TBD"/>
    <m/>
    <n v="13.287671232876711"/>
    <s v="Yes"/>
    <s v="Maturity"/>
  </r>
  <r>
    <x v="1"/>
    <x v="10"/>
    <x v="10"/>
    <n v="36.33310217997353"/>
    <x v="8"/>
    <n v="0.13152247851085813"/>
    <s v="Manual Switch"/>
    <n v="1"/>
    <s v="Halogen"/>
    <s v="Time-switch controls"/>
    <x v="10"/>
    <s v="Daylighting"/>
    <s v="No Change"/>
    <s v="Not Applicable"/>
    <s v="No Change"/>
    <s v="Not Applicable"/>
    <m/>
    <s v="Not Applicable"/>
    <s v="Not Applicable"/>
    <s v="Not Applicable"/>
    <s v="Not Applicable"/>
    <s v="None"/>
    <m/>
    <m/>
    <s v="TBD"/>
    <s v="TBD"/>
    <m/>
    <n v="13.287671232876711"/>
    <s v="Yes"/>
    <s v="Maturity"/>
  </r>
  <r>
    <x v="1"/>
    <x v="10"/>
    <x v="10"/>
    <n v="36.33310217997353"/>
    <x v="8"/>
    <n v="0.13152247851085813"/>
    <s v="Manual Switch"/>
    <n v="1"/>
    <s v="Halogen"/>
    <s v="Time-switch controls"/>
    <x v="10"/>
    <s v="Personal Tuning"/>
    <s v="No Change"/>
    <s v="Not Applicable"/>
    <s v="No Change"/>
    <s v="Not Applicable"/>
    <m/>
    <s v="Not Applicable"/>
    <s v="Not Applicable"/>
    <s v="Not Applicable"/>
    <s v="Not Applicable"/>
    <s v="None"/>
    <m/>
    <m/>
    <s v="TBD"/>
    <s v="TBD"/>
    <m/>
    <n v="13.287671232876711"/>
    <s v="Yes"/>
    <s v="Maturity"/>
  </r>
  <r>
    <x v="1"/>
    <x v="10"/>
    <x v="10"/>
    <n v="36.33310217997353"/>
    <x v="8"/>
    <n v="0.13152247851085813"/>
    <s v="Manual Switch"/>
    <n v="1"/>
    <s v="Halogen"/>
    <s v="Time-switch controls"/>
    <x v="10"/>
    <s v="Institutional Tuning"/>
    <s v="No Change"/>
    <n v="1.3762424594011338"/>
    <s v="No Change"/>
    <n v="1.3762424594011338"/>
    <m/>
    <s v="Not Applicable"/>
    <s v="Not Applicable"/>
    <s v="No barrier identified"/>
    <s v="No barrier identified"/>
    <s v="None"/>
    <m/>
    <m/>
    <s v="TBD"/>
    <s v="TBD"/>
    <m/>
    <n v="13.287671232876711"/>
    <s v="Yes"/>
    <s v="Maturity"/>
  </r>
  <r>
    <x v="1"/>
    <x v="10"/>
    <x v="10"/>
    <n v="36.33310217997353"/>
    <x v="8"/>
    <n v="0.13152247851085813"/>
    <s v="Manual Switch"/>
    <n v="1"/>
    <s v="Halogen"/>
    <s v="Time-switch controls"/>
    <x v="10"/>
    <s v="Multiple Measures"/>
    <s v="No Change"/>
    <s v="Not Applicable"/>
    <s v="No Change"/>
    <s v="Not Applicable"/>
    <m/>
    <s v="Not Applicable"/>
    <s v="Not Applicable"/>
    <s v="Not Applicable"/>
    <s v="Not Applicable"/>
    <s v="None"/>
    <m/>
    <m/>
    <s v="TBD"/>
    <s v="TBD"/>
    <m/>
    <n v="13.287671232876711"/>
    <s v="Yes"/>
    <s v="Maturity"/>
  </r>
  <r>
    <x v="1"/>
    <x v="10"/>
    <x v="10"/>
    <n v="36.33310217997353"/>
    <x v="9"/>
    <n v="0.39377364971583301"/>
    <s v="Manual Switch"/>
    <n v="0.60622635028416694"/>
    <s v="Halogen"/>
    <s v="Time-switch controls"/>
    <x v="10"/>
    <s v="Occupancy"/>
    <n v="2.6412956770904246"/>
    <s v="Not Applicable"/>
    <n v="2.6412956770904246"/>
    <s v="Not Applicable"/>
    <m/>
    <s v="First cost"/>
    <s v="Performance"/>
    <s v="Not Applicable"/>
    <s v="Not Applicable"/>
    <s v="None"/>
    <m/>
    <m/>
    <s v="TBD"/>
    <s v="TBD"/>
    <m/>
    <n v="13.287671232876711"/>
    <s v="Yes"/>
    <s v="Maturity"/>
  </r>
  <r>
    <x v="1"/>
    <x v="10"/>
    <x v="10"/>
    <n v="36.33310217997353"/>
    <x v="9"/>
    <n v="0.39377364971583301"/>
    <s v="Manual Switch"/>
    <n v="0.60622635028416694"/>
    <s v="Halogen"/>
    <s v="Time-switch controls"/>
    <x v="10"/>
    <s v="Daylighting"/>
    <n v="2.6412956770904246"/>
    <s v="Not Applicable"/>
    <n v="2.6412956770904246"/>
    <s v="Not Applicable"/>
    <m/>
    <s v="First cost"/>
    <s v="Performance"/>
    <s v="Not Applicable"/>
    <s v="Not Applicable"/>
    <s v="None"/>
    <m/>
    <m/>
    <s v="TBD"/>
    <s v="TBD"/>
    <m/>
    <n v="13.287671232876711"/>
    <s v="Yes"/>
    <s v="Maturity"/>
  </r>
  <r>
    <x v="1"/>
    <x v="10"/>
    <x v="10"/>
    <n v="36.33310217997353"/>
    <x v="9"/>
    <n v="0.39377364971583301"/>
    <s v="Manual Switch"/>
    <n v="0.60622635028416694"/>
    <s v="Halogen"/>
    <s v="Time-switch controls"/>
    <x v="10"/>
    <s v="Personal Tuning"/>
    <n v="2.6412956770904246"/>
    <s v="Not Applicable"/>
    <n v="2.6412956770904246"/>
    <s v="Not Applicable"/>
    <m/>
    <s v="First cost"/>
    <s v="Performance"/>
    <s v="Not Applicable"/>
    <s v="Not Applicable"/>
    <s v="None"/>
    <m/>
    <m/>
    <s v="TBD"/>
    <s v="TBD"/>
    <m/>
    <n v="13.287671232876711"/>
    <s v="Yes"/>
    <s v="Maturity"/>
  </r>
  <r>
    <x v="1"/>
    <x v="10"/>
    <x v="10"/>
    <n v="36.33310217997353"/>
    <x v="9"/>
    <n v="0.39377364971583301"/>
    <s v="Manual Switch"/>
    <n v="0.60622635028416694"/>
    <s v="Halogen"/>
    <s v="Time-switch controls"/>
    <x v="10"/>
    <s v="Institutional Tuning"/>
    <n v="2.6412956770904246"/>
    <n v="2.4979079398164457"/>
    <n v="2.6412956770904246"/>
    <n v="2.4979079398164457"/>
    <m/>
    <s v="First cost"/>
    <s v="Performance"/>
    <s v="No barrier identified"/>
    <s v="No barrier identified"/>
    <s v="None"/>
    <m/>
    <m/>
    <s v="TBD"/>
    <s v="TBD"/>
    <m/>
    <n v="13.287671232876711"/>
    <s v="Yes"/>
    <s v="Maturity"/>
  </r>
  <r>
    <x v="1"/>
    <x v="10"/>
    <x v="10"/>
    <n v="36.33310217997353"/>
    <x v="9"/>
    <n v="0.39377364971583301"/>
    <s v="Manual Switch"/>
    <n v="0.60622635028416694"/>
    <s v="Halogen"/>
    <s v="Time-switch controls"/>
    <x v="10"/>
    <s v="Multiple Measures"/>
    <n v="2.6412956770904246"/>
    <s v="Not Applicable"/>
    <n v="2.6412956770904246"/>
    <s v="Not Applicable"/>
    <m/>
    <s v="First cost"/>
    <s v="Performance"/>
    <s v="Not Applicable"/>
    <s v="Not Applicable"/>
    <s v="None"/>
    <m/>
    <m/>
    <s v="TBD"/>
    <s v="TBD"/>
    <m/>
    <n v="13.287671232876711"/>
    <s v="Yes"/>
    <s v="Maturity"/>
  </r>
  <r>
    <x v="1"/>
    <x v="11"/>
    <x v="6"/>
    <n v="812.7364084091281"/>
    <x v="1"/>
    <n v="0.91322314049586784"/>
    <s v="Manual Switch"/>
    <n v="0.83"/>
    <s v="Linear Fluorescent T-8 / Code Compliant T-12"/>
    <s v="Shut-off and bi-level(for classroom) / multi-level(for office)"/>
    <x v="9"/>
    <s v="Occupancy"/>
    <n v="109.61866268790889"/>
    <n v="118.27853704025364"/>
    <n v="95.002840996187672"/>
    <n v="19.713089506708933"/>
    <m/>
    <s v="No barrier identified"/>
    <s v="No barrier identified"/>
    <s v="No barrier identified"/>
    <s v="No barrier identified"/>
    <s v="None"/>
    <m/>
    <m/>
    <s v="TBD"/>
    <s v="TBD"/>
    <m/>
    <n v="6.9095890410958898"/>
    <s v="Yes"/>
    <s v="Maturity"/>
  </r>
  <r>
    <x v="1"/>
    <x v="11"/>
    <x v="6"/>
    <n v="812.7364084091281"/>
    <x v="1"/>
    <n v="0.91322314049586784"/>
    <s v="Manual Switch"/>
    <n v="0.83"/>
    <s v="Linear Fluorescent T-8 / Code Compliant T-12"/>
    <s v="Shut-off and bi-level(for classroom) / multi-level(for office)"/>
    <x v="9"/>
    <s v="Daylighting"/>
    <n v="109.61866268790889"/>
    <n v="137.99162654696264"/>
    <n v="95.002840996187672"/>
    <n v="39.426179013417894"/>
    <m/>
    <s v="No barrier identified"/>
    <s v="No barrier identified"/>
    <s v="No barrier identified"/>
    <s v="No barrier identified"/>
    <s v="None"/>
    <m/>
    <m/>
    <s v="TBD"/>
    <s v="TBD"/>
    <m/>
    <n v="6.9095890410958898"/>
    <s v="Yes"/>
    <s v="Maturity"/>
  </r>
  <r>
    <x v="1"/>
    <x v="11"/>
    <x v="6"/>
    <n v="812.7364084091281"/>
    <x v="1"/>
    <n v="0.91322314049586784"/>
    <s v="Manual Switch"/>
    <n v="0.83"/>
    <s v="Linear Fluorescent T-8 / Code Compliant T-12"/>
    <s v="Shut-off and bi-level(for classroom) / multi-level(for office)"/>
    <x v="9"/>
    <s v="Personal Tuning"/>
    <n v="109.61866268790889"/>
    <n v="152.77644367699432"/>
    <n v="95.002840996187672"/>
    <n v="54.210996143449577"/>
    <m/>
    <s v="No barrier identified"/>
    <s v="No barrier identified"/>
    <s v="No barrier identified"/>
    <s v="No barrier identified"/>
    <s v="None"/>
    <m/>
    <m/>
    <s v="TBD"/>
    <s v="TBD"/>
    <m/>
    <n v="6.9095890410958898"/>
    <s v="Yes"/>
    <s v="Maturity"/>
  </r>
  <r>
    <x v="1"/>
    <x v="11"/>
    <x v="6"/>
    <n v="812.7364084091281"/>
    <x v="1"/>
    <n v="0.91322314049586784"/>
    <s v="Manual Switch"/>
    <n v="0.83"/>
    <s v="Linear Fluorescent T-8 / Code Compliant T-12"/>
    <s v="Shut-off and bi-level(for classroom) / multi-level(for office)"/>
    <x v="9"/>
    <s v="Institutional Tuning"/>
    <n v="109.61866268790889"/>
    <n v="177.41780556038051"/>
    <n v="95.002840996187672"/>
    <n v="78.852358026835759"/>
    <m/>
    <s v="No barrier identified"/>
    <s v="No barrier identified"/>
    <s v="No barrier identified"/>
    <s v="No barrier identified"/>
    <s v="None"/>
    <m/>
    <m/>
    <s v="TBD"/>
    <s v="TBD"/>
    <m/>
    <n v="6.9095890410958898"/>
    <s v="Yes"/>
    <s v="Maturity"/>
  </r>
  <r>
    <x v="1"/>
    <x v="11"/>
    <x v="6"/>
    <n v="812.7364084091281"/>
    <x v="1"/>
    <n v="0.91322314049586784"/>
    <s v="Manual Switch"/>
    <n v="0.83"/>
    <s v="Linear Fluorescent T-8 / Code Compliant T-12"/>
    <s v="Shut-off and bi-level(for classroom) / multi-level(for office)"/>
    <x v="9"/>
    <s v="Multiple Measures"/>
    <n v="109.61866268790889"/>
    <n v="187.27435031373497"/>
    <n v="95.002840996187672"/>
    <n v="88.708902780190257"/>
    <m/>
    <s v="No barrier identified"/>
    <s v="No barrier identified"/>
    <s v="First cost"/>
    <s v="Availability"/>
    <s v="None"/>
    <m/>
    <m/>
    <s v="TBD"/>
    <s v="TBD"/>
    <m/>
    <n v="6.9095890410958898"/>
    <s v="Yes"/>
    <s v="Maturity"/>
  </r>
  <r>
    <x v="1"/>
    <x v="11"/>
    <x v="6"/>
    <n v="812.7364084091281"/>
    <x v="1"/>
    <n v="0.91322314049586784"/>
    <s v="Manual Switch"/>
    <n v="0.83"/>
    <s v="Linear Fluorescent T-8 / Code Compliant T-12"/>
    <s v="Shut-off and bi-level(for classroom) / multi-level(for office)"/>
    <x v="3"/>
    <s v="Occupancy"/>
    <n v="151.97627093884191"/>
    <n v="118.27853704025364"/>
    <n v="129.88669667447536"/>
    <n v="19.713089506708933"/>
    <m/>
    <s v="First cost"/>
    <s v="Performance"/>
    <s v="No barrier identified"/>
    <s v="No barrier identified"/>
    <s v="None"/>
    <m/>
    <m/>
    <s v="TBD"/>
    <s v="TBD"/>
    <m/>
    <n v="6.9095890410958898"/>
    <s v="Yes"/>
    <s v="Maturity"/>
  </r>
  <r>
    <x v="1"/>
    <x v="11"/>
    <x v="6"/>
    <n v="812.7364084091281"/>
    <x v="1"/>
    <n v="0.91322314049586784"/>
    <s v="Manual Switch"/>
    <n v="0.83"/>
    <s v="Linear Fluorescent T-8 / Code Compliant T-12"/>
    <s v="Shut-off and bi-level(for classroom) / multi-level(for office)"/>
    <x v="3"/>
    <s v="Daylighting"/>
    <n v="151.97627093884191"/>
    <n v="137.99162654696264"/>
    <n v="129.88669667447536"/>
    <n v="39.426179013417894"/>
    <m/>
    <s v="First cost"/>
    <s v="Performance"/>
    <s v="No barrier identified"/>
    <s v="No barrier identified"/>
    <s v="None"/>
    <m/>
    <m/>
    <s v="TBD"/>
    <s v="TBD"/>
    <m/>
    <n v="6.9095890410958898"/>
    <s v="Yes"/>
    <s v="Maturity"/>
  </r>
  <r>
    <x v="1"/>
    <x v="11"/>
    <x v="6"/>
    <n v="812.7364084091281"/>
    <x v="1"/>
    <n v="0.91322314049586784"/>
    <s v="Manual Switch"/>
    <n v="0.83"/>
    <s v="Linear Fluorescent T-8 / Code Compliant T-12"/>
    <s v="Shut-off and bi-level(for classroom) / multi-level(for office)"/>
    <x v="3"/>
    <s v="Personal Tuning"/>
    <n v="151.97627093884191"/>
    <n v="152.77644367699432"/>
    <n v="129.88669667447536"/>
    <n v="54.210996143449577"/>
    <m/>
    <s v="First cost"/>
    <s v="Performance"/>
    <s v="No barrier identified"/>
    <s v="No barrier identified"/>
    <s v="None"/>
    <m/>
    <m/>
    <s v="TBD"/>
    <s v="TBD"/>
    <m/>
    <n v="6.9095890410958898"/>
    <s v="Yes"/>
    <s v="Maturity"/>
  </r>
  <r>
    <x v="1"/>
    <x v="11"/>
    <x v="6"/>
    <n v="812.7364084091281"/>
    <x v="1"/>
    <n v="0.91322314049586784"/>
    <s v="Manual Switch"/>
    <n v="0.83"/>
    <s v="Linear Fluorescent T-8 / Code Compliant T-12"/>
    <s v="Shut-off and bi-level(for classroom) / multi-level(for office)"/>
    <x v="3"/>
    <s v="Institutional Tuning"/>
    <n v="151.97627093884191"/>
    <n v="177.41780556038051"/>
    <n v="129.88669667447536"/>
    <n v="78.852358026835759"/>
    <m/>
    <s v="First cost"/>
    <s v="Performance"/>
    <s v="No barrier identified"/>
    <s v="No barrier identified"/>
    <s v="None"/>
    <m/>
    <m/>
    <s v="TBD"/>
    <s v="TBD"/>
    <m/>
    <n v="6.9095890410958898"/>
    <s v="Yes"/>
    <s v="Maturity"/>
  </r>
  <r>
    <x v="1"/>
    <x v="11"/>
    <x v="6"/>
    <n v="812.7364084091281"/>
    <x v="1"/>
    <n v="0.91322314049586784"/>
    <s v="Manual Switch"/>
    <n v="0.83"/>
    <s v="Linear Fluorescent T-8 / Code Compliant T-12"/>
    <s v="Shut-off and bi-level(for classroom) / multi-level(for office)"/>
    <x v="3"/>
    <s v="Multiple Measures"/>
    <n v="151.97627093884191"/>
    <n v="187.27435031373497"/>
    <n v="129.88669667447536"/>
    <n v="88.708902780190257"/>
    <m/>
    <s v="First cost"/>
    <s v="Performance"/>
    <s v="First cost"/>
    <s v="Availability"/>
    <s v="None"/>
    <m/>
    <m/>
    <s v="TBD"/>
    <s v="TBD"/>
    <m/>
    <n v="6.9095890410958898"/>
    <s v="Yes"/>
    <s v="Maturity"/>
  </r>
  <r>
    <x v="1"/>
    <x v="11"/>
    <x v="6"/>
    <n v="812.7364084091281"/>
    <x v="9"/>
    <n v="8.6776859504132234E-2"/>
    <s v="Manual Switch"/>
    <n v="0.83"/>
    <s v="Halogen"/>
    <s v="Shut-off and bi-level(for classroom) / multi-level(for office)"/>
    <x v="10"/>
    <s v="Occupancy"/>
    <n v="13.020316269491438"/>
    <n v="11.239137003825009"/>
    <n v="13.020316269491438"/>
    <n v="1.8731895006375003"/>
    <m/>
    <s v="First cost"/>
    <s v="Performance"/>
    <s v="No barrier identified"/>
    <s v="No barrier identified"/>
    <s v="None"/>
    <m/>
    <m/>
    <s v="TBD"/>
    <s v="TBD"/>
    <m/>
    <n v="6.9095890410958898"/>
    <s v="Yes"/>
    <s v="Maturity"/>
  </r>
  <r>
    <x v="1"/>
    <x v="11"/>
    <x v="6"/>
    <n v="812.7364084091281"/>
    <x v="9"/>
    <n v="8.6776859504132234E-2"/>
    <s v="Manual Switch"/>
    <n v="0.83"/>
    <s v="Halogen"/>
    <s v="Shut-off and bi-level(for classroom) / multi-level(for office)"/>
    <x v="10"/>
    <s v="Daylighting"/>
    <n v="13.020316269491438"/>
    <n v="13.11232650446251"/>
    <n v="13.020316269491438"/>
    <n v="3.7463790012750038"/>
    <m/>
    <s v="First cost"/>
    <s v="Performance"/>
    <s v="No barrier identified"/>
    <s v="No barrier identified"/>
    <s v="None"/>
    <m/>
    <m/>
    <s v="TBD"/>
    <s v="TBD"/>
    <m/>
    <n v="6.9095890410958898"/>
    <s v="Yes"/>
    <s v="Maturity"/>
  </r>
  <r>
    <x v="1"/>
    <x v="11"/>
    <x v="6"/>
    <n v="812.7364084091281"/>
    <x v="9"/>
    <n v="8.6776859504132234E-2"/>
    <s v="Manual Switch"/>
    <n v="0.83"/>
    <s v="Halogen"/>
    <s v="Shut-off and bi-level(for classroom) / multi-level(for office)"/>
    <x v="10"/>
    <s v="Personal Tuning"/>
    <n v="13.020316269491438"/>
    <n v="14.517218629940635"/>
    <n v="13.020316269491438"/>
    <n v="5.1512711267531284"/>
    <m/>
    <s v="First cost"/>
    <s v="Performance"/>
    <s v="No barrier identified"/>
    <s v="No barrier identified"/>
    <s v="None"/>
    <m/>
    <m/>
    <s v="TBD"/>
    <s v="TBD"/>
    <m/>
    <n v="6.9095890410958898"/>
    <s v="Yes"/>
    <s v="Maturity"/>
  </r>
  <r>
    <x v="1"/>
    <x v="11"/>
    <x v="6"/>
    <n v="812.7364084091281"/>
    <x v="9"/>
    <n v="8.6776859504132234E-2"/>
    <s v="Manual Switch"/>
    <n v="0.83"/>
    <s v="Halogen"/>
    <s v="Shut-off and bi-level(for classroom) / multi-level(for office)"/>
    <x v="10"/>
    <s v="Institutional Tuning"/>
    <n v="13.020316269491438"/>
    <n v="16.858705505737511"/>
    <n v="13.020316269491438"/>
    <n v="7.492758002550004"/>
    <m/>
    <s v="First cost"/>
    <s v="Performance"/>
    <s v="No barrier identified"/>
    <s v="No barrier identified"/>
    <s v="None"/>
    <m/>
    <m/>
    <s v="TBD"/>
    <s v="TBD"/>
    <m/>
    <n v="6.9095890410958898"/>
    <s v="Yes"/>
    <s v="Maturity"/>
  </r>
  <r>
    <x v="1"/>
    <x v="11"/>
    <x v="6"/>
    <n v="812.7364084091281"/>
    <x v="9"/>
    <n v="8.6776859504132234E-2"/>
    <s v="Manual Switch"/>
    <n v="0.83"/>
    <s v="Halogen"/>
    <s v="Shut-off and bi-level(for classroom) / multi-level(for office)"/>
    <x v="10"/>
    <s v="Multiple Measures"/>
    <n v="13.020316269491438"/>
    <n v="17.795300256056262"/>
    <n v="13.020316269491438"/>
    <n v="8.4293527528687555"/>
    <m/>
    <s v="First cost"/>
    <s v="Performance"/>
    <s v="First cost"/>
    <s v="Availability"/>
    <s v="None"/>
    <m/>
    <m/>
    <s v="TBD"/>
    <s v="TBD"/>
    <m/>
    <n v="6.9095890410958898"/>
    <s v="Yes"/>
    <s v="Maturity"/>
  </r>
  <r>
    <x v="1"/>
    <x v="11"/>
    <x v="9"/>
    <n v="120.47055208607148"/>
    <x v="1"/>
    <n v="0.77140636505360172"/>
    <s v="Manual Switch"/>
    <n v="0.83"/>
    <s v="Linear Fluorescent T-8 / Code Compliant T-12"/>
    <s v="Shut-off and occupancy"/>
    <x v="13"/>
    <s v="Occupancy"/>
    <n v="13.725304715921281"/>
    <n v="14.809603788479061"/>
    <n v="11.895264087131773"/>
    <s v="No change"/>
    <m/>
    <s v="No barrier identified"/>
    <s v="No barrier identified"/>
    <s v="No barrier identified"/>
    <s v="No barrier identified"/>
    <s v="None"/>
    <m/>
    <m/>
    <s v="TBD"/>
    <s v="TBD"/>
    <m/>
    <n v="6.9095890410958898"/>
    <s v="Yes"/>
    <s v="Maturity"/>
  </r>
  <r>
    <x v="1"/>
    <x v="11"/>
    <x v="9"/>
    <n v="120.47055208607148"/>
    <x v="1"/>
    <n v="0.77140636505360172"/>
    <s v="Manual Switch"/>
    <n v="0.83"/>
    <s v="Linear Fluorescent T-8 / Code Compliant T-12"/>
    <s v="Shut-off and occupancy"/>
    <x v="13"/>
    <s v="Daylighting"/>
    <n v="13.725304715921281"/>
    <n v="17.277871086558903"/>
    <n v="11.895264087131773"/>
    <s v="Savings are minimal if not negative"/>
    <m/>
    <s v="No barrier identified"/>
    <s v="No barrier identified"/>
    <s v="No barrier identified"/>
    <s v="No barrier identified"/>
    <s v="None"/>
    <m/>
    <m/>
    <s v="TBD"/>
    <s v="TBD"/>
    <m/>
    <n v="6.9095890410958898"/>
    <s v="Yes"/>
    <s v="Maturity"/>
  </r>
  <r>
    <x v="1"/>
    <x v="11"/>
    <x v="9"/>
    <n v="120.47055208607148"/>
    <x v="1"/>
    <n v="0.77140636505360172"/>
    <s v="Manual Switch"/>
    <n v="0.83"/>
    <s v="Linear Fluorescent T-8 / Code Compliant T-12"/>
    <s v="Shut-off and occupancy"/>
    <x v="13"/>
    <s v="Personal Tuning"/>
    <n v="13.725304715921281"/>
    <n v="19.129071560118785"/>
    <n v="11.895264087131773"/>
    <n v="4.3194677716397258"/>
    <m/>
    <s v="No barrier identified"/>
    <s v="No barrier identified"/>
    <s v="No barrier identified"/>
    <s v="No barrier identified"/>
    <s v="None"/>
    <m/>
    <m/>
    <s v="TBD"/>
    <s v="TBD"/>
    <m/>
    <n v="6.9095890410958898"/>
    <s v="Yes"/>
    <s v="Maturity"/>
  </r>
  <r>
    <x v="1"/>
    <x v="11"/>
    <x v="9"/>
    <n v="120.47055208607148"/>
    <x v="1"/>
    <n v="0.77140636505360172"/>
    <s v="Manual Switch"/>
    <n v="0.83"/>
    <s v="Linear Fluorescent T-8 / Code Compliant T-12"/>
    <s v="Shut-off and occupancy"/>
    <x v="13"/>
    <s v="Institutional Tuning"/>
    <n v="13.725304715921281"/>
    <n v="22.214405682718589"/>
    <n v="11.895264087131773"/>
    <n v="7.4048018942395304"/>
    <m/>
    <s v="No barrier identified"/>
    <s v="No barrier identified"/>
    <s v="No barrier identified"/>
    <s v="No barrier identified"/>
    <s v="None"/>
    <m/>
    <m/>
    <s v="TBD"/>
    <s v="TBD"/>
    <m/>
    <n v="6.9095890410958898"/>
    <s v="Yes"/>
    <s v="Maturity"/>
  </r>
  <r>
    <x v="1"/>
    <x v="11"/>
    <x v="9"/>
    <n v="120.47055208607148"/>
    <x v="1"/>
    <n v="0.77140636505360172"/>
    <s v="Manual Switch"/>
    <n v="0.83"/>
    <s v="Linear Fluorescent T-8 / Code Compliant T-12"/>
    <s v="Shut-off and occupancy"/>
    <x v="13"/>
    <s v="Multiple Measures"/>
    <n v="13.725304715921281"/>
    <n v="23.448539331758511"/>
    <n v="11.895264087131773"/>
    <n v="8.6389355432794517"/>
    <m/>
    <s v="No barrier identified"/>
    <s v="No barrier identified"/>
    <s v="First cost"/>
    <s v="Availability"/>
    <s v="None"/>
    <m/>
    <m/>
    <s v="TBD"/>
    <s v="TBD"/>
    <m/>
    <n v="6.9095890410958898"/>
    <s v="Yes"/>
    <s v="Maturity"/>
  </r>
  <r>
    <x v="1"/>
    <x v="11"/>
    <x v="9"/>
    <n v="120.47055208607148"/>
    <x v="1"/>
    <n v="0.77140636505360172"/>
    <s v="Manual Switch"/>
    <n v="0.83"/>
    <s v="Linear Fluorescent T-8 / Code Compliant T-12"/>
    <s v="Shut-off and occupancy"/>
    <x v="14"/>
    <s v="Occupancy"/>
    <n v="19.028882282242051"/>
    <n v="14.809603788479061"/>
    <n v="16.263056369125476"/>
    <s v="No change"/>
    <m/>
    <s v="First cost"/>
    <s v="Performance"/>
    <s v="No barrier identified"/>
    <s v="No barrier identified"/>
    <s v="None"/>
    <m/>
    <m/>
    <s v="TBD"/>
    <s v="TBD"/>
    <m/>
    <n v="6.9095890410958898"/>
    <s v="Yes"/>
    <s v="Maturity"/>
  </r>
  <r>
    <x v="1"/>
    <x v="11"/>
    <x v="9"/>
    <n v="120.47055208607148"/>
    <x v="1"/>
    <n v="0.77140636505360172"/>
    <s v="Manual Switch"/>
    <n v="0.83"/>
    <s v="Linear Fluorescent T-8 / Code Compliant T-12"/>
    <s v="Shut-off and occupancy"/>
    <x v="14"/>
    <s v="Daylighting"/>
    <n v="19.028882282242051"/>
    <n v="17.277871086558903"/>
    <n v="16.263056369125476"/>
    <s v="Savings are minimal if not negative"/>
    <m/>
    <s v="First cost"/>
    <s v="Performance"/>
    <s v="No barrier identified"/>
    <s v="No barrier identified"/>
    <s v="None"/>
    <m/>
    <m/>
    <s v="TBD"/>
    <s v="TBD"/>
    <m/>
    <n v="6.9095890410958898"/>
    <s v="Yes"/>
    <s v="Maturity"/>
  </r>
  <r>
    <x v="1"/>
    <x v="11"/>
    <x v="9"/>
    <n v="120.47055208607148"/>
    <x v="1"/>
    <n v="0.77140636505360172"/>
    <s v="Manual Switch"/>
    <n v="0.83"/>
    <s v="Linear Fluorescent T-8 / Code Compliant T-12"/>
    <s v="Shut-off and occupancy"/>
    <x v="14"/>
    <s v="Personal Tuning"/>
    <n v="19.028882282242051"/>
    <n v="19.129071560118785"/>
    <n v="16.263056369125476"/>
    <n v="4.3194677716397258"/>
    <m/>
    <s v="First cost"/>
    <s v="Performance"/>
    <s v="No barrier identified"/>
    <s v="No barrier identified"/>
    <s v="None"/>
    <m/>
    <m/>
    <s v="TBD"/>
    <s v="TBD"/>
    <m/>
    <n v="6.9095890410958898"/>
    <s v="Yes"/>
    <s v="Maturity"/>
  </r>
  <r>
    <x v="1"/>
    <x v="11"/>
    <x v="9"/>
    <n v="120.47055208607148"/>
    <x v="1"/>
    <n v="0.77140636505360172"/>
    <s v="Manual Switch"/>
    <n v="0.83"/>
    <s v="Linear Fluorescent T-8 / Code Compliant T-12"/>
    <s v="Shut-off and occupancy"/>
    <x v="14"/>
    <s v="Institutional Tuning"/>
    <n v="19.028882282242051"/>
    <n v="22.214405682718589"/>
    <n v="16.263056369125476"/>
    <n v="7.4048018942395304"/>
    <m/>
    <s v="First cost"/>
    <s v="Performance"/>
    <s v="No barrier identified"/>
    <s v="No barrier identified"/>
    <s v="None"/>
    <m/>
    <m/>
    <s v="TBD"/>
    <s v="TBD"/>
    <m/>
    <n v="6.9095890410958898"/>
    <s v="Yes"/>
    <s v="Maturity"/>
  </r>
  <r>
    <x v="1"/>
    <x v="11"/>
    <x v="9"/>
    <n v="120.47055208607148"/>
    <x v="1"/>
    <n v="0.77140636505360172"/>
    <s v="Manual Switch"/>
    <n v="0.83"/>
    <s v="Linear Fluorescent T-8 / Code Compliant T-12"/>
    <s v="Shut-off and occupancy"/>
    <x v="14"/>
    <s v="Multiple Measures"/>
    <n v="19.028882282242051"/>
    <n v="23.448539331758511"/>
    <n v="16.263056369125476"/>
    <n v="8.6389355432794517"/>
    <m/>
    <s v="First cost"/>
    <s v="Performance"/>
    <s v="First cost"/>
    <s v="Availability"/>
    <s v="None"/>
    <m/>
    <m/>
    <s v="TBD"/>
    <s v="TBD"/>
    <m/>
    <n v="6.9095890410958898"/>
    <s v="Yes"/>
    <s v="Maturity"/>
  </r>
  <r>
    <x v="1"/>
    <x v="11"/>
    <x v="9"/>
    <n v="120.47055208607148"/>
    <x v="11"/>
    <n v="0.16313589837577527"/>
    <s v="Manual Switch"/>
    <n v="0.83"/>
    <s v="PS MH"/>
    <s v="Shut-off and occupancy"/>
    <x v="14"/>
    <s v="Occupancy"/>
    <n v="8.4757556705868851"/>
    <n v="3.1319135128667765"/>
    <n v="7.9273356039594152"/>
    <s v="No change"/>
    <m/>
    <s v="First cost"/>
    <s v="Performance"/>
    <s v="No barrier identified"/>
    <s v="No barrier identified"/>
    <s v="None"/>
    <m/>
    <m/>
    <s v="TBD"/>
    <s v="TBD"/>
    <m/>
    <n v="6.9095890410958898"/>
    <s v="Yes"/>
    <s v="Maturity"/>
  </r>
  <r>
    <x v="1"/>
    <x v="11"/>
    <x v="9"/>
    <n v="120.47055208607148"/>
    <x v="11"/>
    <n v="0.16313589837577527"/>
    <s v="Manual Switch"/>
    <n v="0.83"/>
    <s v="PS MH"/>
    <s v="Shut-off and occupancy"/>
    <x v="14"/>
    <s v="Daylighting"/>
    <n v="8.4757556705868851"/>
    <n v="3.6538990983445725"/>
    <n v="7.9273356039594152"/>
    <s v="Savings are minimal if not negative"/>
    <m/>
    <s v="First cost"/>
    <s v="Performance"/>
    <s v="No barrier identified"/>
    <s v="No barrier identified"/>
    <s v="None"/>
    <m/>
    <m/>
    <s v="TBD"/>
    <s v="TBD"/>
    <m/>
    <n v="6.9095890410958898"/>
    <s v="Yes"/>
    <s v="Maturity"/>
  </r>
  <r>
    <x v="1"/>
    <x v="11"/>
    <x v="9"/>
    <n v="120.47055208607148"/>
    <x v="11"/>
    <n v="0.16313589837577527"/>
    <s v="Manual Switch"/>
    <n v="0.83"/>
    <s v="PS MH"/>
    <s v="Shut-off and occupancy"/>
    <x v="14"/>
    <s v="Personal Tuning"/>
    <n v="8.4757556705868851"/>
    <n v="4.0453882874529192"/>
    <n v="7.9273356039594152"/>
    <n v="0.91347477458614312"/>
    <m/>
    <s v="First cost"/>
    <s v="Performance"/>
    <s v="No barrier identified"/>
    <s v="No barrier identified"/>
    <s v="None"/>
    <m/>
    <m/>
    <s v="TBD"/>
    <s v="TBD"/>
    <m/>
    <n v="6.9095890410958898"/>
    <s v="Yes"/>
    <s v="Maturity"/>
  </r>
  <r>
    <x v="1"/>
    <x v="11"/>
    <x v="9"/>
    <n v="120.47055208607148"/>
    <x v="11"/>
    <n v="0.16313589837577527"/>
    <s v="Manual Switch"/>
    <n v="0.83"/>
    <s v="PS MH"/>
    <s v="Shut-off and occupancy"/>
    <x v="14"/>
    <s v="Institutional Tuning"/>
    <n v="8.4757556705868851"/>
    <n v="4.6978702693001644"/>
    <n v="7.9273356039594152"/>
    <n v="1.5659567564333883"/>
    <m/>
    <s v="First cost"/>
    <s v="Performance"/>
    <s v="No barrier identified"/>
    <s v="No barrier identified"/>
    <s v="None"/>
    <m/>
    <m/>
    <s v="TBD"/>
    <s v="TBD"/>
    <m/>
    <n v="6.9095890410958898"/>
    <s v="Yes"/>
    <s v="Maturity"/>
  </r>
  <r>
    <x v="1"/>
    <x v="11"/>
    <x v="9"/>
    <n v="120.47055208607148"/>
    <x v="11"/>
    <n v="0.16313589837577527"/>
    <s v="Manual Switch"/>
    <n v="0.83"/>
    <s v="PS MH"/>
    <s v="Shut-off and occupancy"/>
    <x v="14"/>
    <s v="Multiple Measures"/>
    <n v="8.4757556705868851"/>
    <n v="4.9588630620390619"/>
    <n v="7.9273356039594152"/>
    <n v="1.8269495491722862"/>
    <m/>
    <s v="First cost"/>
    <s v="Performance"/>
    <s v="First cost"/>
    <s v="Availability"/>
    <s v="None"/>
    <m/>
    <m/>
    <s v="TBD"/>
    <s v="TBD"/>
    <m/>
    <n v="6.9095890410958898"/>
    <s v="Yes"/>
    <s v="Maturity"/>
  </r>
  <r>
    <x v="1"/>
    <x v="11"/>
    <x v="9"/>
    <n v="120.47055208607148"/>
    <x v="11"/>
    <n v="0.16313589837577527"/>
    <s v="Manual Switch"/>
    <n v="0.83"/>
    <s v="PS MH"/>
    <s v="Shut-off and occupancy"/>
    <x v="15"/>
    <s v="Occupancy"/>
    <n v="3.8010336556704338"/>
    <n v="3.1319135128667765"/>
    <n v="3.1079276243774636"/>
    <s v="No change"/>
    <m/>
    <s v="First cost"/>
    <s v="No barrier identified"/>
    <s v="No barrier identified"/>
    <s v="No barrier identified"/>
    <s v="None"/>
    <m/>
    <m/>
    <s v="TBD"/>
    <s v="TBD"/>
    <m/>
    <n v="6.9095890410958898"/>
    <s v="Yes"/>
    <s v="Maturity"/>
  </r>
  <r>
    <x v="1"/>
    <x v="11"/>
    <x v="9"/>
    <n v="120.47055208607148"/>
    <x v="11"/>
    <n v="0.16313589837577527"/>
    <s v="Manual Switch"/>
    <n v="0.83"/>
    <s v="PS MH"/>
    <s v="Shut-off and occupancy"/>
    <x v="15"/>
    <s v="Daylighting"/>
    <n v="3.8010336556704338"/>
    <n v="3.6538990983445725"/>
    <n v="3.1079276243774636"/>
    <s v="Savings are minimal if not negative"/>
    <m/>
    <s v="First cost"/>
    <s v="No barrier identified"/>
    <s v="No barrier identified"/>
    <s v="No barrier identified"/>
    <s v="None"/>
    <m/>
    <m/>
    <s v="TBD"/>
    <s v="TBD"/>
    <m/>
    <n v="6.9095890410958898"/>
    <s v="Yes"/>
    <s v="Maturity"/>
  </r>
  <r>
    <x v="1"/>
    <x v="11"/>
    <x v="9"/>
    <n v="120.47055208607148"/>
    <x v="11"/>
    <n v="0.16313589837577527"/>
    <s v="Manual Switch"/>
    <n v="0.83"/>
    <s v="PS MH"/>
    <s v="Shut-off and occupancy"/>
    <x v="15"/>
    <s v="Personal Tuning"/>
    <n v="3.8010336556704338"/>
    <n v="4.0453882874529192"/>
    <n v="3.1079276243774636"/>
    <n v="0.91347477458614312"/>
    <m/>
    <s v="First cost"/>
    <s v="No barrier identified"/>
    <s v="No barrier identified"/>
    <s v="No barrier identified"/>
    <s v="None"/>
    <m/>
    <m/>
    <s v="TBD"/>
    <s v="TBD"/>
    <m/>
    <n v="6.9095890410958898"/>
    <s v="Yes"/>
    <s v="Maturity"/>
  </r>
  <r>
    <x v="1"/>
    <x v="11"/>
    <x v="9"/>
    <n v="120.47055208607148"/>
    <x v="11"/>
    <n v="0.16313589837577527"/>
    <s v="Manual Switch"/>
    <n v="0.83"/>
    <s v="PS MH"/>
    <s v="Shut-off and occupancy"/>
    <x v="15"/>
    <s v="Institutional Tuning"/>
    <n v="3.8010336556704338"/>
    <n v="4.6978702693001644"/>
    <n v="3.1079276243774636"/>
    <n v="1.5659567564333883"/>
    <m/>
    <s v="First cost"/>
    <s v="No barrier identified"/>
    <s v="No barrier identified"/>
    <s v="No barrier identified"/>
    <s v="None"/>
    <m/>
    <m/>
    <s v="TBD"/>
    <s v="TBD"/>
    <m/>
    <n v="6.9095890410958898"/>
    <s v="Yes"/>
    <s v="Maturity"/>
  </r>
  <r>
    <x v="1"/>
    <x v="11"/>
    <x v="9"/>
    <n v="120.47055208607148"/>
    <x v="11"/>
    <n v="0.16313589837577527"/>
    <s v="Manual Switch"/>
    <n v="0.83"/>
    <s v="PS MH"/>
    <s v="Shut-off and occupancy"/>
    <x v="15"/>
    <s v="Multiple Measures"/>
    <n v="3.8010336556704338"/>
    <n v="4.9588630620390619"/>
    <n v="3.1079276243774636"/>
    <n v="1.8269495491722862"/>
    <m/>
    <s v="First cost"/>
    <s v="No barrier identified"/>
    <s v="First cost"/>
    <s v="Availability"/>
    <s v="None"/>
    <m/>
    <m/>
    <s v="TBD"/>
    <s v="TBD"/>
    <m/>
    <n v="6.9095890410958898"/>
    <s v="Yes"/>
    <s v="Maturity"/>
  </r>
  <r>
    <x v="1"/>
    <x v="11"/>
    <x v="9"/>
    <n v="120.47055208607148"/>
    <x v="11"/>
    <n v="0.16313589837577527"/>
    <s v="Manual Switch"/>
    <n v="0.83"/>
    <s v="PS MH"/>
    <s v="Shut-off and occupancy"/>
    <x v="13"/>
    <s v="Occupancy"/>
    <n v="3.0077744579652994"/>
    <n v="3.1319135128667765"/>
    <n v="2.2770455536006882"/>
    <s v="No change"/>
    <m/>
    <s v="No barrier identified"/>
    <s v="No barrier identified"/>
    <s v="No barrier identified"/>
    <s v="No barrier identified"/>
    <s v="None"/>
    <m/>
    <m/>
    <s v="TBD"/>
    <s v="TBD"/>
    <m/>
    <n v="6.9095890410958898"/>
    <s v="Yes"/>
    <s v="Maturity"/>
  </r>
  <r>
    <x v="1"/>
    <x v="11"/>
    <x v="9"/>
    <n v="120.47055208607148"/>
    <x v="11"/>
    <n v="0.16313589837577527"/>
    <s v="Manual Switch"/>
    <n v="0.83"/>
    <s v="PS MH"/>
    <s v="Shut-off and occupancy"/>
    <x v="13"/>
    <s v="Daylighting"/>
    <n v="3.0077744579652994"/>
    <n v="3.6538990983445725"/>
    <n v="2.2770455536006882"/>
    <s v="Savings are minimal if not negative"/>
    <m/>
    <s v="No barrier identified"/>
    <s v="No barrier identified"/>
    <s v="No barrier identified"/>
    <s v="No barrier identified"/>
    <s v="None"/>
    <m/>
    <m/>
    <s v="TBD"/>
    <s v="TBD"/>
    <m/>
    <n v="6.9095890410958898"/>
    <s v="Yes"/>
    <s v="Maturity"/>
  </r>
  <r>
    <x v="1"/>
    <x v="11"/>
    <x v="9"/>
    <n v="120.47055208607148"/>
    <x v="11"/>
    <n v="0.16313589837577527"/>
    <s v="Manual Switch"/>
    <n v="0.83"/>
    <s v="PS MH"/>
    <s v="Shut-off and occupancy"/>
    <x v="13"/>
    <s v="Personal Tuning"/>
    <n v="3.0077744579652994"/>
    <n v="4.0453882874529192"/>
    <n v="2.2770455536006882"/>
    <n v="0.91347477458614312"/>
    <m/>
    <s v="No barrier identified"/>
    <s v="No barrier identified"/>
    <s v="No barrier identified"/>
    <s v="No barrier identified"/>
    <s v="None"/>
    <m/>
    <m/>
    <s v="TBD"/>
    <s v="TBD"/>
    <m/>
    <n v="6.9095890410958898"/>
    <s v="Yes"/>
    <s v="Maturity"/>
  </r>
  <r>
    <x v="1"/>
    <x v="11"/>
    <x v="9"/>
    <n v="120.47055208607148"/>
    <x v="11"/>
    <n v="0.16313589837577527"/>
    <s v="Manual Switch"/>
    <n v="0.83"/>
    <s v="PS MH"/>
    <s v="Shut-off and occupancy"/>
    <x v="13"/>
    <s v="Institutional Tuning"/>
    <n v="3.0077744579652994"/>
    <n v="4.6978702693001644"/>
    <n v="2.2770455536006882"/>
    <n v="1.5659567564333883"/>
    <m/>
    <s v="No barrier identified"/>
    <s v="No barrier identified"/>
    <s v="No barrier identified"/>
    <s v="No barrier identified"/>
    <s v="None"/>
    <m/>
    <m/>
    <s v="TBD"/>
    <s v="TBD"/>
    <m/>
    <n v="6.9095890410958898"/>
    <s v="Yes"/>
    <s v="Maturity"/>
  </r>
  <r>
    <x v="1"/>
    <x v="11"/>
    <x v="9"/>
    <n v="120.47055208607148"/>
    <x v="11"/>
    <n v="0.16313589837577527"/>
    <s v="Manual Switch"/>
    <n v="0.83"/>
    <s v="PS MH"/>
    <s v="Shut-off and occupancy"/>
    <x v="13"/>
    <s v="Multiple Measures"/>
    <n v="3.0077744579652994"/>
    <n v="4.9588630620390619"/>
    <n v="2.2770455536006882"/>
    <n v="1.8269495491722862"/>
    <m/>
    <s v="No barrier identified"/>
    <s v="No barrier identified"/>
    <s v="First cost"/>
    <s v="Availability"/>
    <s v="None"/>
    <m/>
    <m/>
    <s v="TBD"/>
    <s v="TBD"/>
    <m/>
    <n v="6.9095890410958898"/>
    <s v="Yes"/>
    <s v="Maturity"/>
  </r>
  <r>
    <x v="1"/>
    <x v="12"/>
    <x v="6"/>
    <n v="1092.12859663873"/>
    <x v="1"/>
    <n v="0.98654390340989651"/>
    <s v="Manual Switch"/>
    <n v="0.82758569308617402"/>
    <s v="Linear Fluorescent T-8 / Code Compliant T-12"/>
    <s v="Shut-off and occupancy (bi-level)"/>
    <x v="9"/>
    <s v="Occupancy"/>
    <n v="159.12853790821592"/>
    <n v="171.20025173492846"/>
    <n v="137.91139952045373"/>
    <s v="No change"/>
    <m/>
    <s v="No barrier identified"/>
    <s v="No barrier identified"/>
    <s v="No barrier identified"/>
    <s v="No barrier identified"/>
    <s v="None"/>
    <m/>
    <m/>
    <s v="TBD"/>
    <s v="TBD"/>
    <m/>
    <n v="6.6986301369863011"/>
    <s v="Yes"/>
    <s v="Maturity"/>
  </r>
  <r>
    <x v="1"/>
    <x v="12"/>
    <x v="6"/>
    <n v="1092.12859663873"/>
    <x v="1"/>
    <n v="0.98654390340989651"/>
    <s v="Manual Switch"/>
    <n v="0.82758569308617402"/>
    <s v="Linear Fluorescent T-8 / Code Compliant T-12"/>
    <s v="Shut-off and occupancy (bi-level)"/>
    <x v="9"/>
    <s v="Daylighting"/>
    <n v="159.12853790821592"/>
    <n v="199.73362702408323"/>
    <n v="137.91139952045373"/>
    <s v="Savings are minimal if not negative"/>
    <m/>
    <s v="No barrier identified"/>
    <s v="No barrier identified"/>
    <s v="No barrier identified"/>
    <s v="No barrier identified"/>
    <s v="None"/>
    <m/>
    <m/>
    <s v="TBD"/>
    <s v="TBD"/>
    <m/>
    <n v="6.6986301369863011"/>
    <s v="Yes"/>
    <s v="Maturity"/>
  </r>
  <r>
    <x v="1"/>
    <x v="12"/>
    <x v="6"/>
    <n v="1092.12859663873"/>
    <x v="1"/>
    <n v="0.98654390340989651"/>
    <s v="Manual Switch"/>
    <n v="0.82758569308617402"/>
    <s v="Linear Fluorescent T-8 / Code Compliant T-12"/>
    <s v="Shut-off and occupancy (bi-level)"/>
    <x v="9"/>
    <s v="Personal Tuning"/>
    <n v="159.12853790821592"/>
    <n v="221.13365849094927"/>
    <n v="137.91139952045373"/>
    <n v="49.933406756020808"/>
    <m/>
    <s v="No barrier identified"/>
    <s v="No barrier identified"/>
    <s v="No barrier identified"/>
    <s v="No barrier identified"/>
    <s v="None"/>
    <m/>
    <m/>
    <s v="TBD"/>
    <s v="TBD"/>
    <m/>
    <n v="6.6986301369863011"/>
    <s v="Yes"/>
    <s v="Maturity"/>
  </r>
  <r>
    <x v="1"/>
    <x v="12"/>
    <x v="6"/>
    <n v="1092.12859663873"/>
    <x v="1"/>
    <n v="0.98654390340989651"/>
    <s v="Manual Switch"/>
    <n v="0.82758569308617402"/>
    <s v="Linear Fluorescent T-8 / Code Compliant T-12"/>
    <s v="Shut-off and occupancy (bi-level)"/>
    <x v="9"/>
    <s v="Institutional Tuning"/>
    <n v="159.12853790821592"/>
    <n v="256.8003776023927"/>
    <n v="137.91139952045373"/>
    <n v="85.600125867464229"/>
    <m/>
    <s v="No barrier identified"/>
    <s v="No barrier identified"/>
    <s v="No barrier identified"/>
    <s v="No barrier identified"/>
    <s v="None"/>
    <m/>
    <m/>
    <s v="TBD"/>
    <s v="TBD"/>
    <m/>
    <n v="6.6986301369863011"/>
    <s v="Yes"/>
    <s v="Maturity"/>
  </r>
  <r>
    <x v="1"/>
    <x v="12"/>
    <x v="6"/>
    <n v="1092.12859663873"/>
    <x v="1"/>
    <n v="0.98654390340989651"/>
    <s v="Manual Switch"/>
    <n v="0.82758569308617402"/>
    <s v="Linear Fluorescent T-8 / Code Compliant T-12"/>
    <s v="Shut-off and occupancy (bi-level)"/>
    <x v="9"/>
    <s v="Multiple Measures"/>
    <n v="159.12853790821592"/>
    <n v="271.06706524697006"/>
    <n v="137.91139952045373"/>
    <n v="99.866813512041617"/>
    <m/>
    <s v="No barrier identified"/>
    <s v="No barrier identified"/>
    <s v="First cost"/>
    <s v="Availability"/>
    <s v="None"/>
    <m/>
    <m/>
    <s v="TBD"/>
    <s v="TBD"/>
    <m/>
    <n v="6.6986301369863011"/>
    <s v="Yes"/>
    <s v="Maturity"/>
  </r>
  <r>
    <x v="1"/>
    <x v="12"/>
    <x v="6"/>
    <n v="1092.12859663873"/>
    <x v="1"/>
    <n v="0.98654390340989651"/>
    <s v="Manual Switch"/>
    <n v="0.82758569308617402"/>
    <s v="Linear Fluorescent T-8 / Code Compliant T-12"/>
    <s v="Shut-off and occupancy (bi-level)"/>
    <x v="3"/>
    <s v="Occupancy"/>
    <n v="220.61719417334498"/>
    <n v="171.20025173492846"/>
    <n v="188.55074153187039"/>
    <s v="No change"/>
    <m/>
    <s v="First cost"/>
    <s v="Performance"/>
    <s v="No barrier identified"/>
    <s v="No barrier identified"/>
    <s v="None"/>
    <m/>
    <m/>
    <s v="TBD"/>
    <s v="TBD"/>
    <m/>
    <n v="6.6986301369863011"/>
    <s v="Yes"/>
    <s v="Maturity"/>
  </r>
  <r>
    <x v="1"/>
    <x v="12"/>
    <x v="6"/>
    <n v="1092.12859663873"/>
    <x v="1"/>
    <n v="0.98654390340989651"/>
    <s v="Manual Switch"/>
    <n v="0.82758569308617402"/>
    <s v="Linear Fluorescent T-8 / Code Compliant T-12"/>
    <s v="Shut-off and occupancy (bi-level)"/>
    <x v="3"/>
    <s v="Daylighting"/>
    <n v="220.61719417334498"/>
    <n v="199.73362702408323"/>
    <n v="188.55074153187039"/>
    <s v="Savings are minimal if not negative"/>
    <m/>
    <s v="First cost"/>
    <s v="Performance"/>
    <s v="No barrier identified"/>
    <s v="No barrier identified"/>
    <s v="None"/>
    <m/>
    <m/>
    <s v="TBD"/>
    <s v="TBD"/>
    <m/>
    <n v="6.6986301369863011"/>
    <s v="Yes"/>
    <s v="Maturity"/>
  </r>
  <r>
    <x v="1"/>
    <x v="12"/>
    <x v="6"/>
    <n v="1092.12859663873"/>
    <x v="1"/>
    <n v="0.98654390340989651"/>
    <s v="Manual Switch"/>
    <n v="0.82758569308617402"/>
    <s v="Linear Fluorescent T-8 / Code Compliant T-12"/>
    <s v="Shut-off and occupancy (bi-level)"/>
    <x v="3"/>
    <s v="Personal Tuning"/>
    <n v="220.61719417334498"/>
    <n v="221.13365849094927"/>
    <n v="188.55074153187039"/>
    <n v="49.933406756020808"/>
    <m/>
    <s v="First cost"/>
    <s v="Performance"/>
    <s v="No barrier identified"/>
    <s v="No barrier identified"/>
    <s v="None"/>
    <m/>
    <m/>
    <s v="TBD"/>
    <s v="TBD"/>
    <m/>
    <n v="6.6986301369863011"/>
    <s v="Yes"/>
    <s v="Maturity"/>
  </r>
  <r>
    <x v="1"/>
    <x v="12"/>
    <x v="6"/>
    <n v="1092.12859663873"/>
    <x v="1"/>
    <n v="0.98654390340989651"/>
    <s v="Manual Switch"/>
    <n v="0.82758569308617402"/>
    <s v="Linear Fluorescent T-8 / Code Compliant T-12"/>
    <s v="Shut-off and occupancy (bi-level)"/>
    <x v="3"/>
    <s v="Institutional Tuning"/>
    <n v="220.61719417334498"/>
    <n v="256.8003776023927"/>
    <n v="188.55074153187039"/>
    <n v="85.600125867464229"/>
    <m/>
    <s v="First cost"/>
    <s v="Performance"/>
    <s v="No barrier identified"/>
    <s v="No barrier identified"/>
    <s v="None"/>
    <m/>
    <m/>
    <s v="TBD"/>
    <s v="TBD"/>
    <m/>
    <n v="6.6986301369863011"/>
    <s v="Yes"/>
    <s v="Maturity"/>
  </r>
  <r>
    <x v="1"/>
    <x v="12"/>
    <x v="6"/>
    <n v="1092.12859663873"/>
    <x v="1"/>
    <n v="0.98654390340989651"/>
    <s v="Manual Switch"/>
    <n v="0.82758569308617402"/>
    <s v="Linear Fluorescent T-8 / Code Compliant T-12"/>
    <s v="Shut-off and occupancy (bi-level)"/>
    <x v="3"/>
    <s v="Multiple Measures"/>
    <n v="220.61719417334498"/>
    <n v="271.06706524697006"/>
    <n v="188.55074153187039"/>
    <n v="99.866813512041617"/>
    <m/>
    <s v="First cost"/>
    <s v="Performance"/>
    <s v="First cost"/>
    <s v="Availability"/>
    <s v="None"/>
    <m/>
    <m/>
    <s v="TBD"/>
    <s v="TBD"/>
    <m/>
    <n v="6.6986301369863011"/>
    <s v="Yes"/>
    <s v="Maturity"/>
  </r>
  <r>
    <x v="1"/>
    <x v="12"/>
    <x v="9"/>
    <n v="419.28477946906577"/>
    <x v="1"/>
    <n v="0.77140636505360172"/>
    <s v="Manual Switch"/>
    <n v="0.98415313112366065"/>
    <s v="Linear Fluorescent T-8 / Code Compliant T-12"/>
    <s v="Shut-off and occupancy"/>
    <x v="13"/>
    <s v="Occupancy"/>
    <n v="47.769444576374127"/>
    <n v="61.116182987439778"/>
    <n v="41.400185299524225"/>
    <s v="No change"/>
    <m/>
    <s v="No barrier identified"/>
    <s v="No barrier identified"/>
    <s v="No barrier identified"/>
    <s v="No barrier identified"/>
    <s v="None"/>
    <m/>
    <m/>
    <s v="TBD"/>
    <s v="TBD"/>
    <m/>
    <n v="6.6986301369863011"/>
    <s v="Yes"/>
    <s v="Maturity"/>
  </r>
  <r>
    <x v="1"/>
    <x v="12"/>
    <x v="9"/>
    <n v="419.28477946906577"/>
    <x v="1"/>
    <n v="0.77140636505360172"/>
    <s v="Manual Switch"/>
    <n v="0.98415313112366065"/>
    <s v="Linear Fluorescent T-8 / Code Compliant T-12"/>
    <s v="Shut-off and occupancy"/>
    <x v="13"/>
    <s v="Daylighting"/>
    <n v="47.769444576374127"/>
    <n v="71.302213485346414"/>
    <n v="41.400185299524225"/>
    <s v="Savings are minimal if not negative"/>
    <m/>
    <s v="No barrier identified"/>
    <s v="No barrier identified"/>
    <s v="No barrier identified"/>
    <s v="No barrier identified"/>
    <s v="None"/>
    <m/>
    <m/>
    <s v="TBD"/>
    <s v="TBD"/>
    <m/>
    <n v="6.6986301369863011"/>
    <s v="Yes"/>
    <s v="Maturity"/>
  </r>
  <r>
    <x v="1"/>
    <x v="12"/>
    <x v="9"/>
    <n v="419.28477946906577"/>
    <x v="1"/>
    <n v="0.77140636505360172"/>
    <s v="Manual Switch"/>
    <n v="0.98415313112366065"/>
    <s v="Linear Fluorescent T-8 / Code Compliant T-12"/>
    <s v="Shut-off and occupancy"/>
    <x v="13"/>
    <s v="Personal Tuning"/>
    <n v="47.769444576374127"/>
    <s v="Not Applicable"/>
    <n v="41.400185299524225"/>
    <n v="17.825553371336603"/>
    <m/>
    <s v="No barrier identified"/>
    <s v="No barrier identified"/>
    <s v="Not Applicable"/>
    <s v="Not Applicable"/>
    <s v="None"/>
    <m/>
    <m/>
    <s v="TBD"/>
    <s v="TBD"/>
    <m/>
    <n v="6.6986301369863011"/>
    <s v="Yes"/>
    <s v="Maturity"/>
  </r>
  <r>
    <x v="1"/>
    <x v="12"/>
    <x v="9"/>
    <n v="419.28477946906577"/>
    <x v="1"/>
    <n v="0.77140636505360172"/>
    <s v="Manual Switch"/>
    <n v="0.98415313112366065"/>
    <s v="Linear Fluorescent T-8 / Code Compliant T-12"/>
    <s v="Shut-off and occupancy"/>
    <x v="13"/>
    <s v="Institutional Tuning"/>
    <n v="47.769444576374127"/>
    <n v="91.674274481159671"/>
    <n v="41.400185299524225"/>
    <n v="30.558091493719889"/>
    <m/>
    <s v="No barrier identified"/>
    <s v="No barrier identified"/>
    <s v="No barrier identified"/>
    <s v="No barrier identified"/>
    <s v="None"/>
    <m/>
    <m/>
    <s v="TBD"/>
    <s v="TBD"/>
    <m/>
    <n v="6.6986301369863011"/>
    <s v="Yes"/>
    <s v="Maturity"/>
  </r>
  <r>
    <x v="1"/>
    <x v="12"/>
    <x v="9"/>
    <n v="419.28477946906577"/>
    <x v="1"/>
    <n v="0.77140636505360172"/>
    <s v="Manual Switch"/>
    <n v="0.98415313112366065"/>
    <s v="Linear Fluorescent T-8 / Code Compliant T-12"/>
    <s v="Shut-off and occupancy"/>
    <x v="13"/>
    <s v="Multiple Measures"/>
    <n v="47.769444576374127"/>
    <n v="96.767289730112978"/>
    <n v="41.400185299524225"/>
    <n v="35.651106742673207"/>
    <m/>
    <s v="No barrier identified"/>
    <s v="No barrier identified"/>
    <s v="First cost"/>
    <s v="Availability"/>
    <s v="None"/>
    <m/>
    <m/>
    <s v="TBD"/>
    <s v="TBD"/>
    <m/>
    <n v="6.6986301369863011"/>
    <s v="Yes"/>
    <s v="Maturity"/>
  </r>
  <r>
    <x v="1"/>
    <x v="12"/>
    <x v="9"/>
    <n v="419.28477946906577"/>
    <x v="1"/>
    <n v="0.77140636505360172"/>
    <s v="Manual Switch"/>
    <n v="0.98415313112366065"/>
    <s v="Linear Fluorescent T-8 / Code Compliant T-12"/>
    <s v="Shut-off and occupancy"/>
    <x v="14"/>
    <s v="Occupancy"/>
    <n v="66.227974995518693"/>
    <n v="61.116182987439778"/>
    <n v="56.601815839193286"/>
    <s v="No change"/>
    <m/>
    <s v="First cost"/>
    <s v="Performance"/>
    <s v="No barrier identified"/>
    <s v="No barrier identified"/>
    <s v="None"/>
    <m/>
    <m/>
    <s v="TBD"/>
    <s v="TBD"/>
    <m/>
    <n v="6.6986301369863011"/>
    <s v="Yes"/>
    <s v="Maturity"/>
  </r>
  <r>
    <x v="1"/>
    <x v="12"/>
    <x v="9"/>
    <n v="419.28477946906577"/>
    <x v="1"/>
    <n v="0.77140636505360172"/>
    <s v="Manual Switch"/>
    <n v="0.98415313112366065"/>
    <s v="Linear Fluorescent T-8 / Code Compliant T-12"/>
    <s v="Shut-off and occupancy"/>
    <x v="14"/>
    <s v="Daylighting"/>
    <n v="66.227974995518693"/>
    <n v="71.302213485346414"/>
    <n v="56.601815839193286"/>
    <s v="Savings are minimal if not negative"/>
    <m/>
    <s v="First cost"/>
    <s v="Performance"/>
    <s v="No barrier identified"/>
    <s v="No barrier identified"/>
    <s v="None"/>
    <m/>
    <m/>
    <s v="TBD"/>
    <s v="TBD"/>
    <m/>
    <n v="6.6986301369863011"/>
    <s v="Yes"/>
    <s v="Maturity"/>
  </r>
  <r>
    <x v="1"/>
    <x v="12"/>
    <x v="9"/>
    <n v="419.28477946906577"/>
    <x v="1"/>
    <n v="0.77140636505360172"/>
    <s v="Manual Switch"/>
    <n v="0.98415313112366065"/>
    <s v="Linear Fluorescent T-8 / Code Compliant T-12"/>
    <s v="Shut-off and occupancy"/>
    <x v="14"/>
    <s v="Personal Tuning"/>
    <n v="66.227974995518693"/>
    <s v="Not Applicable"/>
    <n v="56.601815839193286"/>
    <n v="17.825553371336603"/>
    <m/>
    <s v="First cost"/>
    <s v="Performance"/>
    <s v="Not Applicable"/>
    <s v="Not Applicable"/>
    <s v="None"/>
    <m/>
    <m/>
    <s v="TBD"/>
    <s v="TBD"/>
    <m/>
    <n v="6.6986301369863011"/>
    <s v="Yes"/>
    <s v="Maturity"/>
  </r>
  <r>
    <x v="1"/>
    <x v="12"/>
    <x v="9"/>
    <n v="419.28477946906577"/>
    <x v="1"/>
    <n v="0.77140636505360172"/>
    <s v="Manual Switch"/>
    <n v="0.98415313112366065"/>
    <s v="Linear Fluorescent T-8 / Code Compliant T-12"/>
    <s v="Shut-off and occupancy"/>
    <x v="14"/>
    <s v="Institutional Tuning"/>
    <n v="66.227974995518693"/>
    <n v="91.674274481159671"/>
    <n v="56.601815839193286"/>
    <n v="30.558091493719889"/>
    <m/>
    <s v="First cost"/>
    <s v="Performance"/>
    <s v="No barrier identified"/>
    <s v="No barrier identified"/>
    <s v="None"/>
    <m/>
    <m/>
    <s v="TBD"/>
    <s v="TBD"/>
    <m/>
    <n v="6.6986301369863011"/>
    <s v="Yes"/>
    <s v="Maturity"/>
  </r>
  <r>
    <x v="1"/>
    <x v="12"/>
    <x v="9"/>
    <n v="419.28477946906577"/>
    <x v="1"/>
    <n v="0.77140636505360172"/>
    <s v="Manual Switch"/>
    <n v="0.98415313112366065"/>
    <s v="Linear Fluorescent T-8 / Code Compliant T-12"/>
    <s v="Shut-off and occupancy"/>
    <x v="14"/>
    <s v="Multiple Measures"/>
    <n v="66.227974995518693"/>
    <n v="96.767289730112978"/>
    <n v="56.601815839193286"/>
    <n v="35.651106742673207"/>
    <m/>
    <s v="First cost"/>
    <s v="Performance"/>
    <s v="First cost"/>
    <s v="Availability"/>
    <s v="None"/>
    <m/>
    <m/>
    <s v="TBD"/>
    <s v="TBD"/>
    <m/>
    <n v="6.6986301369863011"/>
    <s v="Yes"/>
    <s v="Maturity"/>
  </r>
  <r>
    <x v="1"/>
    <x v="12"/>
    <x v="9"/>
    <n v="419.28477946906577"/>
    <x v="11"/>
    <n v="0.16313589837577527"/>
    <s v="Manual Switch"/>
    <n v="0.99318613029000236"/>
    <s v="PS MH"/>
    <s v="Shut-off and occupancy"/>
    <x v="14"/>
    <s v="Occupancy"/>
    <n v="29.498954604579939"/>
    <n v="13.04339093105118"/>
    <n v="27.590237638395351"/>
    <s v="No change"/>
    <m/>
    <s v="First cost"/>
    <s v="Performance"/>
    <s v="No barrier identified"/>
    <s v="No barrier identified"/>
    <s v="None"/>
    <m/>
    <m/>
    <s v="TBD"/>
    <s v="TBD"/>
    <m/>
    <n v="6.6986301369863011"/>
    <s v="Yes"/>
    <s v="Maturity"/>
  </r>
  <r>
    <x v="1"/>
    <x v="12"/>
    <x v="9"/>
    <n v="419.28477946906577"/>
    <x v="11"/>
    <n v="0.16313589837577527"/>
    <s v="Manual Switch"/>
    <n v="0.99318613029000236"/>
    <s v="PS MH"/>
    <s v="Shut-off and occupancy"/>
    <x v="14"/>
    <s v="Daylighting"/>
    <n v="29.498954604579939"/>
    <n v="15.217289419559714"/>
    <n v="27.590237638395351"/>
    <s v="Savings are minimal if not negative"/>
    <m/>
    <s v="First cost"/>
    <s v="Performance"/>
    <s v="No barrier identified"/>
    <s v="No barrier identified"/>
    <s v="None"/>
    <m/>
    <m/>
    <s v="TBD"/>
    <s v="TBD"/>
    <m/>
    <n v="6.6986301369863011"/>
    <s v="Yes"/>
    <s v="Maturity"/>
  </r>
  <r>
    <x v="1"/>
    <x v="12"/>
    <x v="9"/>
    <n v="419.28477946906577"/>
    <x v="11"/>
    <n v="0.16313589837577527"/>
    <s v="Manual Switch"/>
    <n v="0.99318613029000236"/>
    <s v="PS MH"/>
    <s v="Shut-off and occupancy"/>
    <x v="14"/>
    <s v="Personal Tuning"/>
    <n v="29.498954604579939"/>
    <s v="Not Applicable"/>
    <n v="27.590237638395351"/>
    <n v="3.8043223548899285"/>
    <m/>
    <s v="First cost"/>
    <s v="Performance"/>
    <s v="Not Applicable"/>
    <s v="Not Applicable"/>
    <s v="None"/>
    <m/>
    <m/>
    <s v="TBD"/>
    <s v="TBD"/>
    <m/>
    <n v="6.6986301369863011"/>
    <s v="Yes"/>
    <s v="Maturity"/>
  </r>
  <r>
    <x v="1"/>
    <x v="12"/>
    <x v="9"/>
    <n v="419.28477946906577"/>
    <x v="11"/>
    <n v="0.16313589837577527"/>
    <s v="Manual Switch"/>
    <n v="0.99318613029000236"/>
    <s v="PS MH"/>
    <s v="Shut-off and occupancy"/>
    <x v="14"/>
    <s v="Institutional Tuning"/>
    <n v="29.498954604579939"/>
    <n v="19.565086396576774"/>
    <n v="27.590237638395351"/>
    <n v="6.5216954655255899"/>
    <m/>
    <s v="First cost"/>
    <s v="Performance"/>
    <s v="No barrier identified"/>
    <s v="No barrier identified"/>
    <s v="None"/>
    <m/>
    <m/>
    <s v="TBD"/>
    <s v="TBD"/>
    <m/>
    <n v="6.6986301369863011"/>
    <s v="Yes"/>
    <s v="Maturity"/>
  </r>
  <r>
    <x v="1"/>
    <x v="12"/>
    <x v="9"/>
    <n v="419.28477946906577"/>
    <x v="11"/>
    <n v="0.16313589837577527"/>
    <s v="Manual Switch"/>
    <n v="0.99318613029000236"/>
    <s v="PS MH"/>
    <s v="Shut-off and occupancy"/>
    <x v="14"/>
    <s v="Multiple Measures"/>
    <n v="29.498954604579939"/>
    <n v="20.652035640831038"/>
    <n v="27.590237638395351"/>
    <n v="7.6086447097798571"/>
    <m/>
    <s v="First cost"/>
    <s v="Performance"/>
    <s v="First cost"/>
    <s v="Availability"/>
    <s v="None"/>
    <m/>
    <m/>
    <s v="TBD"/>
    <s v="TBD"/>
    <m/>
    <n v="6.6986301369863011"/>
    <s v="Yes"/>
    <s v="Maturity"/>
  </r>
  <r>
    <x v="1"/>
    <x v="12"/>
    <x v="9"/>
    <n v="419.28477946906577"/>
    <x v="11"/>
    <n v="0.16313589837577527"/>
    <s v="Manual Switch"/>
    <n v="0.99318613029000236"/>
    <s v="PS MH"/>
    <s v="Shut-off and occupancy"/>
    <x v="15"/>
    <s v="Occupancy"/>
    <n v="13.229088191889645"/>
    <n v="13.04339093105118"/>
    <n v="10.816807311233235"/>
    <s v="No change"/>
    <m/>
    <s v="First cost"/>
    <s v="No barrier identified"/>
    <s v="No barrier identified"/>
    <s v="No barrier identified"/>
    <s v="None"/>
    <m/>
    <m/>
    <s v="TBD"/>
    <s v="TBD"/>
    <m/>
    <n v="6.6986301369863011"/>
    <s v="Yes"/>
    <s v="Maturity"/>
  </r>
  <r>
    <x v="1"/>
    <x v="12"/>
    <x v="9"/>
    <n v="419.28477946906577"/>
    <x v="11"/>
    <n v="0.16313589837577527"/>
    <s v="Manual Switch"/>
    <n v="0.99318613029000236"/>
    <s v="PS MH"/>
    <s v="Shut-off and occupancy"/>
    <x v="15"/>
    <s v="Daylighting"/>
    <n v="13.229088191889645"/>
    <n v="15.217289419559714"/>
    <n v="10.816807311233235"/>
    <s v="Savings are minimal if not negative"/>
    <m/>
    <s v="First cost"/>
    <s v="No barrier identified"/>
    <s v="No barrier identified"/>
    <s v="No barrier identified"/>
    <s v="None"/>
    <m/>
    <m/>
    <s v="TBD"/>
    <s v="TBD"/>
    <m/>
    <n v="6.6986301369863011"/>
    <s v="Yes"/>
    <s v="Maturity"/>
  </r>
  <r>
    <x v="1"/>
    <x v="12"/>
    <x v="9"/>
    <n v="419.28477946906577"/>
    <x v="11"/>
    <n v="0.16313589837577527"/>
    <s v="Manual Switch"/>
    <n v="0.99318613029000236"/>
    <s v="PS MH"/>
    <s v="Shut-off and occupancy"/>
    <x v="15"/>
    <s v="Personal Tuning"/>
    <n v="13.229088191889645"/>
    <s v="Not Applicable"/>
    <n v="10.816807311233235"/>
    <n v="3.8043223548899285"/>
    <m/>
    <s v="First cost"/>
    <s v="No barrier identified"/>
    <s v="Not Applicable"/>
    <s v="Not Applicable"/>
    <s v="None"/>
    <m/>
    <m/>
    <s v="TBD"/>
    <s v="TBD"/>
    <m/>
    <n v="6.6986301369863011"/>
    <s v="Yes"/>
    <s v="Maturity"/>
  </r>
  <r>
    <x v="1"/>
    <x v="12"/>
    <x v="9"/>
    <n v="419.28477946906577"/>
    <x v="11"/>
    <n v="0.16313589837577527"/>
    <s v="Manual Switch"/>
    <n v="0.99318613029000236"/>
    <s v="PS MH"/>
    <s v="Shut-off and occupancy"/>
    <x v="15"/>
    <s v="Institutional Tuning"/>
    <n v="13.229088191889645"/>
    <n v="19.565086396576774"/>
    <n v="10.816807311233235"/>
    <n v="6.5216954655255899"/>
    <m/>
    <s v="First cost"/>
    <s v="No barrier identified"/>
    <s v="No barrier identified"/>
    <s v="No barrier identified"/>
    <s v="None"/>
    <m/>
    <m/>
    <s v="TBD"/>
    <s v="TBD"/>
    <m/>
    <n v="6.6986301369863011"/>
    <s v="Yes"/>
    <s v="Maturity"/>
  </r>
  <r>
    <x v="1"/>
    <x v="12"/>
    <x v="9"/>
    <n v="419.28477946906577"/>
    <x v="11"/>
    <n v="0.16313589837577527"/>
    <s v="Manual Switch"/>
    <n v="0.99318613029000236"/>
    <s v="PS MH"/>
    <s v="Shut-off and occupancy"/>
    <x v="15"/>
    <s v="Multiple Measures"/>
    <n v="13.229088191889645"/>
    <n v="20.652035640831038"/>
    <n v="10.816807311233235"/>
    <n v="7.6086447097798571"/>
    <m/>
    <s v="First cost"/>
    <s v="No barrier identified"/>
    <s v="First cost"/>
    <s v="Availability"/>
    <s v="None"/>
    <m/>
    <m/>
    <s v="TBD"/>
    <s v="TBD"/>
    <m/>
    <n v="6.6986301369863011"/>
    <s v="Yes"/>
    <s v="Maturity"/>
  </r>
  <r>
    <x v="1"/>
    <x v="12"/>
    <x v="9"/>
    <n v="419.28477946906577"/>
    <x v="11"/>
    <n v="0.16313589837577527"/>
    <s v="Manual Switch"/>
    <n v="0.99318613029000236"/>
    <s v="PS MH"/>
    <s v="Shut-off and occupancy"/>
    <x v="13"/>
    <s v="Occupancy"/>
    <n v="10.468235004017023"/>
    <n v="13.04339093105118"/>
    <n v="7.9250117663639816"/>
    <s v="No change"/>
    <m/>
    <s v="No barrier identified"/>
    <s v="No barrier identified"/>
    <s v="No barrier identified"/>
    <s v="No barrier identified"/>
    <s v="None"/>
    <m/>
    <m/>
    <s v="TBD"/>
    <s v="TBD"/>
    <m/>
    <n v="6.6986301369863011"/>
    <s v="Yes"/>
    <s v="Maturity"/>
  </r>
  <r>
    <x v="1"/>
    <x v="12"/>
    <x v="9"/>
    <n v="419.28477946906577"/>
    <x v="11"/>
    <n v="0.16313589837577527"/>
    <s v="Manual Switch"/>
    <n v="0.99318613029000236"/>
    <s v="PS MH"/>
    <s v="Shut-off and occupancy"/>
    <x v="13"/>
    <s v="Daylighting"/>
    <n v="10.468235004017023"/>
    <n v="15.217289419559714"/>
    <n v="7.9250117663639816"/>
    <s v="Savings are minimal if not negative"/>
    <m/>
    <s v="No barrier identified"/>
    <s v="No barrier identified"/>
    <s v="No barrier identified"/>
    <s v="No barrier identified"/>
    <s v="None"/>
    <m/>
    <m/>
    <s v="TBD"/>
    <s v="TBD"/>
    <m/>
    <n v="6.6986301369863011"/>
    <s v="Yes"/>
    <s v="Maturity"/>
  </r>
  <r>
    <x v="1"/>
    <x v="12"/>
    <x v="9"/>
    <n v="419.28477946906577"/>
    <x v="11"/>
    <n v="0.16313589837577527"/>
    <s v="Manual Switch"/>
    <n v="0.99318613029000236"/>
    <s v="PS MH"/>
    <s v="Shut-off and occupancy"/>
    <x v="13"/>
    <s v="Personal Tuning"/>
    <n v="10.468235004017023"/>
    <s v="Not Applicable"/>
    <n v="7.9250117663639816"/>
    <n v="3.8043223548899285"/>
    <m/>
    <s v="No barrier identified"/>
    <s v="No barrier identified"/>
    <s v="Not Applicable"/>
    <s v="Not Applicable"/>
    <s v="None"/>
    <m/>
    <m/>
    <s v="TBD"/>
    <s v="TBD"/>
    <m/>
    <n v="6.6986301369863011"/>
    <s v="Yes"/>
    <s v="Maturity"/>
  </r>
  <r>
    <x v="1"/>
    <x v="12"/>
    <x v="9"/>
    <n v="419.28477946906577"/>
    <x v="11"/>
    <n v="0.16313589837577527"/>
    <s v="Manual Switch"/>
    <n v="0.99318613029000236"/>
    <s v="PS MH"/>
    <s v="Shut-off and occupancy"/>
    <x v="13"/>
    <s v="Institutional Tuning"/>
    <n v="10.468235004017023"/>
    <n v="19.565086396576774"/>
    <n v="7.9250117663639816"/>
    <n v="6.5216954655255899"/>
    <m/>
    <s v="No barrier identified"/>
    <s v="No barrier identified"/>
    <s v="No barrier identified"/>
    <s v="No barrier identified"/>
    <s v="None"/>
    <m/>
    <m/>
    <s v="TBD"/>
    <s v="TBD"/>
    <m/>
    <n v="6.6986301369863011"/>
    <s v="Yes"/>
    <s v="Maturity"/>
  </r>
  <r>
    <x v="1"/>
    <x v="12"/>
    <x v="9"/>
    <n v="419.28477946906577"/>
    <x v="11"/>
    <n v="0.16313589837577527"/>
    <s v="Manual Switch"/>
    <n v="0.99318613029000236"/>
    <s v="PS MH"/>
    <s v="Shut-off and occupancy"/>
    <x v="13"/>
    <s v="Multiple Measures"/>
    <n v="10.468235004017023"/>
    <n v="20.652035640831038"/>
    <n v="7.9250117663639816"/>
    <n v="7.6086447097798571"/>
    <m/>
    <s v="No barrier identified"/>
    <s v="No barrier identified"/>
    <s v="First cost"/>
    <s v="Availability"/>
    <s v="None"/>
    <m/>
    <m/>
    <s v="TBD"/>
    <s v="TBD"/>
    <m/>
    <n v="6.6986301369863011"/>
    <s v="Yes"/>
    <s v="Maturity"/>
  </r>
  <r>
    <x v="1"/>
    <x v="13"/>
    <x v="9"/>
    <n v="3416.6569160000008"/>
    <x v="1"/>
    <n v="0.90425531914893609"/>
    <s v="Manual Switch"/>
    <n v="1"/>
    <s v="Linear Fluorescent T-8 / Code Compliant T-12"/>
    <s v="Shut-off and Daylighting and  Bi-level (in warehouse aisleways and open areas)"/>
    <x v="13"/>
    <s v="Occupancy"/>
    <n v="456.299843446154"/>
    <n v="766.2034871200002"/>
    <n v="395.45986432000001"/>
    <s v="Savings are minimal if not negative"/>
    <m/>
    <s v="No barrier identified"/>
    <s v="No barrier identified"/>
    <s v="No barrier identified"/>
    <s v="No barrier identified"/>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3"/>
    <s v="Daylighting"/>
    <n v="456.299843446154"/>
    <n v="692.0547625600002"/>
    <n v="395.45986432000001"/>
    <s v="No change"/>
    <m/>
    <s v="No barrier identified"/>
    <s v="No barrier identified"/>
    <s v="No barrier identified"/>
    <s v="No barrier identified"/>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3"/>
    <s v="Personal Tuning"/>
    <n v="456.299843446154"/>
    <s v="Not Applicable"/>
    <n v="395.45986432000001"/>
    <s v="Not Applicable"/>
    <m/>
    <s v="No barrier identified"/>
    <s v="No barrier identified"/>
    <s v="Not Applicable"/>
    <s v="Not Applicable"/>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3"/>
    <s v="Institutional Tuning"/>
    <n v="456.299843446154"/>
    <n v="889.78469472000018"/>
    <n v="395.45986432000001"/>
    <n v="197.72993215999995"/>
    <m/>
    <s v="No barrier identified"/>
    <s v="No barrier identified"/>
    <s v="No barrier identified"/>
    <s v="No barrier identified"/>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3"/>
    <s v="Multiple Measures"/>
    <n v="456.299843446154"/>
    <n v="939.21717776000014"/>
    <n v="395.45986432000001"/>
    <n v="247.1624152"/>
    <m/>
    <s v="No barrier identified"/>
    <s v="No barrier identified"/>
    <s v="First cost"/>
    <s v="Availability"/>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4"/>
    <s v="Occupancy"/>
    <n v="632.61808652380978"/>
    <n v="766.2034871200002"/>
    <n v="540.66778325000007"/>
    <s v="Savings are minimal if not negative"/>
    <m/>
    <s v="First cost"/>
    <s v="Performance"/>
    <s v="No barrier identified"/>
    <s v="No barrier identified"/>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4"/>
    <s v="Daylighting"/>
    <n v="632.61808652380978"/>
    <n v="692.0547625600002"/>
    <n v="540.66778325000007"/>
    <s v="No change"/>
    <m/>
    <s v="First cost"/>
    <s v="Performance"/>
    <s v="No barrier identified"/>
    <s v="No barrier identified"/>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4"/>
    <s v="Personal Tuning"/>
    <n v="632.61808652380978"/>
    <s v="Not Applicable"/>
    <n v="540.66778325000007"/>
    <s v="Not Applicable"/>
    <m/>
    <s v="First cost"/>
    <s v="Performance"/>
    <s v="Not Applicable"/>
    <s v="Not Applicable"/>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4"/>
    <s v="Institutional Tuning"/>
    <n v="632.61808652380978"/>
    <n v="889.78469472000018"/>
    <n v="540.66778325000007"/>
    <n v="197.72993215999995"/>
    <m/>
    <s v="First cost"/>
    <s v="Performance"/>
    <s v="No barrier identified"/>
    <s v="No barrier identified"/>
    <s v="None"/>
    <m/>
    <m/>
    <s v="TBD"/>
    <s v="TBD"/>
    <m/>
    <n v="13.200000000000001"/>
    <s v="Yes"/>
    <s v="Maturity"/>
  </r>
  <r>
    <x v="1"/>
    <x v="13"/>
    <x v="9"/>
    <n v="3416.6569160000008"/>
    <x v="1"/>
    <n v="0.90425531914893609"/>
    <s v="Manual Switch"/>
    <n v="1"/>
    <s v="Linear Fluorescent T-8 / Code Compliant T-12"/>
    <s v="Shut-off and Daylighting and  Bi-level (in warehouse aisleways and open areas)"/>
    <x v="14"/>
    <s v="Multiple Measures"/>
    <n v="632.61808652380978"/>
    <n v="939.21717776000014"/>
    <n v="540.66778325000007"/>
    <n v="247.1624152"/>
    <m/>
    <s v="First cost"/>
    <s v="Performance"/>
    <s v="First cost"/>
    <s v="Availability"/>
    <s v="None"/>
    <m/>
    <m/>
    <s v="TBD"/>
    <s v="TBD"/>
    <m/>
    <n v="13.200000000000001"/>
    <s v="Yes"/>
    <s v="Maturity"/>
  </r>
  <r>
    <x v="1"/>
    <x v="13"/>
    <x v="9"/>
    <n v="3416.6569160000008"/>
    <x v="11"/>
    <n v="4.2553191489361701E-2"/>
    <s v="Manual Switch"/>
    <n v="1"/>
    <s v="PS MH"/>
    <s v="Shut-off and Daylighting and  Bi-level (in warehouse aisleways and open areas)"/>
    <x v="14"/>
    <s v="Occupancy"/>
    <n v="62.702015106825911"/>
    <n v="36.05663468800001"/>
    <n v="58.644908621100484"/>
    <s v="Savings are minimal if not negative"/>
    <m/>
    <s v="First cost"/>
    <s v="Performance"/>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4"/>
    <s v="Daylighting"/>
    <n v="62.702015106825911"/>
    <n v="32.567282944000013"/>
    <n v="58.644908621100484"/>
    <s v="No change"/>
    <m/>
    <s v="First cost"/>
    <s v="Performance"/>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4"/>
    <s v="Personal Tuning"/>
    <n v="62.702015106825911"/>
    <s v="Not Applicable"/>
    <n v="58.644908621100484"/>
    <s v="Not Applicable"/>
    <m/>
    <s v="First cost"/>
    <s v="Performance"/>
    <s v="Not Applicable"/>
    <s v="Not Applicable"/>
    <s v="None"/>
    <m/>
    <m/>
    <s v="TBD"/>
    <s v="TBD"/>
    <m/>
    <n v="13.200000000000001"/>
    <s v="Yes"/>
    <s v="Maturity"/>
  </r>
  <r>
    <x v="1"/>
    <x v="13"/>
    <x v="9"/>
    <n v="3416.6569160000008"/>
    <x v="11"/>
    <n v="4.2553191489361701E-2"/>
    <s v="Manual Switch"/>
    <n v="1"/>
    <s v="PS MH"/>
    <s v="Shut-off and Daylighting and  Bi-level (in warehouse aisleways and open areas)"/>
    <x v="14"/>
    <s v="Institutional Tuning"/>
    <n v="62.702015106825911"/>
    <n v="41.872220928000011"/>
    <n v="58.644908621100484"/>
    <n v="9.3049379839999968"/>
    <m/>
    <s v="First cost"/>
    <s v="Performance"/>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4"/>
    <s v="Multiple Measures"/>
    <n v="62.702015106825911"/>
    <n v="44.198455424000009"/>
    <n v="58.644908621100484"/>
    <n v="11.63117248"/>
    <m/>
    <s v="First cost"/>
    <s v="Performance"/>
    <s v="First cost"/>
    <s v="Availability"/>
    <s v="None"/>
    <m/>
    <m/>
    <s v="TBD"/>
    <s v="TBD"/>
    <m/>
    <n v="13.200000000000001"/>
    <s v="Yes"/>
    <s v="Maturity"/>
  </r>
  <r>
    <x v="1"/>
    <x v="13"/>
    <x v="9"/>
    <n v="3416.6569160000008"/>
    <x v="11"/>
    <n v="4.2553191489361701E-2"/>
    <s v="Manual Switch"/>
    <n v="1"/>
    <s v="PS MH"/>
    <s v="Shut-off and Daylighting and  Bi-level (in warehouse aisleways and open areas)"/>
    <x v="15"/>
    <s v="Occupancy"/>
    <n v="28.119318083516493"/>
    <n v="36.05663468800001"/>
    <n v="22.991852576744193"/>
    <s v="Savings are minimal if not negative"/>
    <m/>
    <s v="First cost"/>
    <s v="No barrier identified"/>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5"/>
    <s v="Daylighting"/>
    <n v="28.119318083516493"/>
    <n v="32.567282944000013"/>
    <n v="22.991852576744193"/>
    <s v="No change"/>
    <m/>
    <s v="First cost"/>
    <s v="No barrier identified"/>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5"/>
    <s v="Personal Tuning"/>
    <n v="28.119318083516493"/>
    <s v="Not Applicable"/>
    <n v="22.991852576744193"/>
    <s v="Not Applicable"/>
    <m/>
    <s v="First cost"/>
    <s v="No barrier identified"/>
    <s v="Not Applicable"/>
    <s v="Not Applicable"/>
    <s v="None"/>
    <m/>
    <m/>
    <s v="TBD"/>
    <s v="TBD"/>
    <m/>
    <n v="13.200000000000001"/>
    <s v="Yes"/>
    <s v="Maturity"/>
  </r>
  <r>
    <x v="1"/>
    <x v="13"/>
    <x v="9"/>
    <n v="3416.6569160000008"/>
    <x v="11"/>
    <n v="4.2553191489361701E-2"/>
    <s v="Manual Switch"/>
    <n v="1"/>
    <s v="PS MH"/>
    <s v="Shut-off and Daylighting and  Bi-level (in warehouse aisleways and open areas)"/>
    <x v="15"/>
    <s v="Institutional Tuning"/>
    <n v="28.119318083516493"/>
    <n v="41.872220928000011"/>
    <n v="22.991852576744193"/>
    <n v="9.3049379839999968"/>
    <m/>
    <s v="First cost"/>
    <s v="No barrier identified"/>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5"/>
    <s v="Multiple Measures"/>
    <n v="28.119318083516493"/>
    <n v="44.198455424000009"/>
    <n v="22.991852576744193"/>
    <n v="11.63117248"/>
    <m/>
    <s v="First cost"/>
    <s v="No barrier identified"/>
    <s v="First cost"/>
    <s v="Availability"/>
    <s v="None"/>
    <m/>
    <m/>
    <s v="TBD"/>
    <s v="TBD"/>
    <m/>
    <n v="13.200000000000001"/>
    <s v="Yes"/>
    <s v="Maturity"/>
  </r>
  <r>
    <x v="1"/>
    <x v="13"/>
    <x v="9"/>
    <n v="3416.6569160000008"/>
    <x v="11"/>
    <n v="4.2553191489361701E-2"/>
    <s v="Manual Switch"/>
    <n v="1"/>
    <s v="PS MH"/>
    <s v="Shut-off and Daylighting and  Bi-level (in warehouse aisleways and open areas)"/>
    <x v="13"/>
    <s v="Occupancy"/>
    <n v="22.250938657391313"/>
    <n v="36.05663468800001"/>
    <n v="16.845146350344827"/>
    <s v="Savings are minimal if not negative"/>
    <m/>
    <s v="No barrier identified"/>
    <s v="No barrier identified"/>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3"/>
    <s v="Daylighting"/>
    <n v="22.250938657391313"/>
    <n v="32.567282944000013"/>
    <n v="16.845146350344827"/>
    <s v="No change"/>
    <m/>
    <s v="No barrier identified"/>
    <s v="No barrier identified"/>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3"/>
    <s v="Personal Tuning"/>
    <n v="22.250938657391313"/>
    <s v="Not Applicable"/>
    <n v="16.845146350344827"/>
    <s v="Not Applicable"/>
    <m/>
    <s v="No barrier identified"/>
    <s v="No barrier identified"/>
    <s v="Not Applicable"/>
    <s v="Not Applicable"/>
    <s v="None"/>
    <m/>
    <m/>
    <s v="TBD"/>
    <s v="TBD"/>
    <m/>
    <n v="13.200000000000001"/>
    <s v="Yes"/>
    <s v="Maturity"/>
  </r>
  <r>
    <x v="1"/>
    <x v="13"/>
    <x v="9"/>
    <n v="3416.6569160000008"/>
    <x v="11"/>
    <n v="4.2553191489361701E-2"/>
    <s v="Manual Switch"/>
    <n v="1"/>
    <s v="PS MH"/>
    <s v="Shut-off and Daylighting and  Bi-level (in warehouse aisleways and open areas)"/>
    <x v="13"/>
    <s v="Institutional Tuning"/>
    <n v="22.250938657391313"/>
    <n v="41.872220928000011"/>
    <n v="16.845146350344827"/>
    <n v="9.3049379839999968"/>
    <m/>
    <s v="No barrier identified"/>
    <s v="No barrier identified"/>
    <s v="No barrier identified"/>
    <s v="No barrier identified"/>
    <s v="None"/>
    <m/>
    <m/>
    <s v="TBD"/>
    <s v="TBD"/>
    <m/>
    <n v="13.200000000000001"/>
    <s v="Yes"/>
    <s v="Maturity"/>
  </r>
  <r>
    <x v="1"/>
    <x v="13"/>
    <x v="9"/>
    <n v="3416.6569160000008"/>
    <x v="11"/>
    <n v="4.2553191489361701E-2"/>
    <s v="Manual Switch"/>
    <n v="1"/>
    <s v="PS MH"/>
    <s v="Shut-off and Daylighting and  Bi-level (in warehouse aisleways and open areas)"/>
    <x v="13"/>
    <s v="Multiple Measures"/>
    <n v="22.250938657391313"/>
    <n v="44.198455424000009"/>
    <n v="16.845146350344827"/>
    <n v="11.63117248"/>
    <m/>
    <s v="No barrier identified"/>
    <s v="No barrier identified"/>
    <s v="First cost"/>
    <s v="Availability"/>
    <s v="None"/>
    <m/>
    <m/>
    <s v="TBD"/>
    <s v="TBD"/>
    <m/>
    <n v="13.200000000000001"/>
    <s v="Yes"/>
    <s v="Maturity"/>
  </r>
  <r>
    <x v="1"/>
    <x v="14"/>
    <x v="6"/>
    <n v="3383.5093556389602"/>
    <x v="1"/>
    <n v="0.86423746645293475"/>
    <s v="Manual Switch"/>
    <n v="0.82010731195288333"/>
    <s v="Linear Fluorescent T-8 / Code Compliant T-12"/>
    <s v="Shut-off AND multi-level controls"/>
    <x v="9"/>
    <s v="Occupancy"/>
    <n v="431.8752817088814"/>
    <n v="460.43929929551427"/>
    <n v="374.29191081436375"/>
    <n v="76.739883215919008"/>
    <m/>
    <s v="No barrier identified"/>
    <s v="No barrier identified"/>
    <s v="No barrier identified"/>
    <s v="No barrier identified"/>
    <s v="None"/>
    <m/>
    <m/>
    <s v="TBD"/>
    <s v="TBD"/>
    <m/>
    <n v="9.4273972602739722"/>
    <s v="Yes"/>
    <s v="Maturity"/>
  </r>
  <r>
    <x v="1"/>
    <x v="14"/>
    <x v="6"/>
    <n v="3383.5093556389602"/>
    <x v="1"/>
    <n v="0.86423746645293475"/>
    <s v="Manual Switch"/>
    <n v="0.82010731195288333"/>
    <s v="Linear Fluorescent T-8 / Code Compliant T-12"/>
    <s v="Shut-off AND multi-level controls"/>
    <x v="9"/>
    <s v="Daylighting"/>
    <n v="431.8752817088814"/>
    <n v="537.1791825114334"/>
    <n v="374.29191081436375"/>
    <n v="153.47976643183816"/>
    <m/>
    <s v="No barrier identified"/>
    <s v="No barrier identified"/>
    <s v="No barrier identified"/>
    <s v="No barrier identified"/>
    <s v="None"/>
    <m/>
    <m/>
    <s v="TBD"/>
    <s v="TBD"/>
    <m/>
    <n v="9.4273972602739722"/>
    <s v="Yes"/>
    <s v="Maturity"/>
  </r>
  <r>
    <x v="1"/>
    <x v="14"/>
    <x v="6"/>
    <n v="3383.5093556389602"/>
    <x v="1"/>
    <n v="0.86423746645293475"/>
    <s v="Manual Switch"/>
    <n v="0.82010731195288333"/>
    <s v="Linear Fluorescent T-8 / Code Compliant T-12"/>
    <s v="Shut-off AND multi-level controls"/>
    <x v="9"/>
    <s v="Personal Tuning"/>
    <n v="431.8752817088814"/>
    <n v="594.7340949233726"/>
    <n v="374.29191081436375"/>
    <n v="211.03467884377736"/>
    <m/>
    <s v="No barrier identified"/>
    <s v="No barrier identified"/>
    <s v="Not Applicable"/>
    <s v="Not Applicable"/>
    <s v="None"/>
    <m/>
    <m/>
    <s v="TBD"/>
    <s v="TBD"/>
    <m/>
    <n v="9.4273972602739722"/>
    <s v="Yes"/>
    <s v="Maturity"/>
  </r>
  <r>
    <x v="1"/>
    <x v="14"/>
    <x v="6"/>
    <n v="3383.5093556389602"/>
    <x v="1"/>
    <n v="0.86423746645293475"/>
    <s v="Manual Switch"/>
    <n v="0.82010731195288333"/>
    <s v="Linear Fluorescent T-8 / Code Compliant T-12"/>
    <s v="Shut-off AND multi-level controls"/>
    <x v="9"/>
    <s v="Institutional Tuning"/>
    <n v="431.8752817088814"/>
    <n v="690.65894894327141"/>
    <n v="374.29191081436375"/>
    <n v="306.9595328636762"/>
    <m/>
    <s v="No barrier identified"/>
    <s v="No barrier identified"/>
    <s v="No barrier identified"/>
    <s v="No barrier identified"/>
    <s v="None"/>
    <m/>
    <m/>
    <s v="TBD"/>
    <s v="TBD"/>
    <m/>
    <n v="9.4273972602739722"/>
    <s v="Yes"/>
    <s v="Maturity"/>
  </r>
  <r>
    <x v="1"/>
    <x v="14"/>
    <x v="6"/>
    <n v="3383.5093556389602"/>
    <x v="1"/>
    <n v="0.86423746645293475"/>
    <s v="Manual Switch"/>
    <n v="0.82010731195288333"/>
    <s v="Linear Fluorescent T-8 / Code Compliant T-12"/>
    <s v="Shut-off AND multi-level controls"/>
    <x v="9"/>
    <s v="Multiple Measures"/>
    <n v="431.8752817088814"/>
    <n v="729.02889055123103"/>
    <n v="374.29191081436375"/>
    <n v="345.32947447163571"/>
    <m/>
    <s v="No barrier identified"/>
    <s v="No barrier identified"/>
    <s v="First cost"/>
    <s v="Availability"/>
    <s v="None"/>
    <m/>
    <m/>
    <s v="TBD"/>
    <s v="TBD"/>
    <m/>
    <n v="9.4273972602739722"/>
    <s v="Yes"/>
    <s v="Maturity"/>
  </r>
  <r>
    <x v="1"/>
    <x v="14"/>
    <x v="6"/>
    <n v="3383.5093556389602"/>
    <x v="1"/>
    <n v="0.86423746645293475"/>
    <s v="Manual Switch"/>
    <n v="0.82010731195288333"/>
    <s v="Linear Fluorescent T-8 / Code Compliant T-12"/>
    <s v="Shut-off AND multi-level controls"/>
    <x v="3"/>
    <s v="Occupancy"/>
    <n v="598.75566090095401"/>
    <n v="460.43929929551427"/>
    <n v="511.72722181651301"/>
    <n v="76.739883215919008"/>
    <m/>
    <s v="First cost"/>
    <s v="Performance"/>
    <s v="No barrier identified"/>
    <s v="No barrier identified"/>
    <s v="None"/>
    <m/>
    <m/>
    <s v="TBD"/>
    <s v="TBD"/>
    <m/>
    <n v="9.4273972602739722"/>
    <s v="Yes"/>
    <s v="Maturity"/>
  </r>
  <r>
    <x v="1"/>
    <x v="14"/>
    <x v="6"/>
    <n v="3383.5093556389602"/>
    <x v="1"/>
    <n v="0.86423746645293475"/>
    <s v="Manual Switch"/>
    <n v="0.82010731195288333"/>
    <s v="Linear Fluorescent T-8 / Code Compliant T-12"/>
    <s v="Shut-off AND multi-level controls"/>
    <x v="3"/>
    <s v="Daylighting"/>
    <n v="598.75566090095401"/>
    <n v="537.1791825114334"/>
    <n v="511.72722181651301"/>
    <n v="153.47976643183816"/>
    <m/>
    <s v="First cost"/>
    <s v="Performance"/>
    <s v="No barrier identified"/>
    <s v="No barrier identified"/>
    <s v="None"/>
    <m/>
    <m/>
    <s v="TBD"/>
    <s v="TBD"/>
    <m/>
    <n v="9.4273972602739722"/>
    <s v="Yes"/>
    <s v="Maturity"/>
  </r>
  <r>
    <x v="1"/>
    <x v="14"/>
    <x v="6"/>
    <n v="3383.5093556389602"/>
    <x v="1"/>
    <n v="0.86423746645293475"/>
    <s v="Manual Switch"/>
    <n v="0.82010731195288333"/>
    <s v="Linear Fluorescent T-8 / Code Compliant T-12"/>
    <s v="Shut-off AND multi-level controls"/>
    <x v="3"/>
    <s v="Personal Tuning"/>
    <n v="598.75566090095401"/>
    <n v="594.7340949233726"/>
    <n v="511.72722181651301"/>
    <n v="211.03467884377736"/>
    <m/>
    <s v="First cost"/>
    <s v="Performance"/>
    <s v="Not Applicable"/>
    <s v="Not Applicable"/>
    <s v="None"/>
    <m/>
    <m/>
    <s v="TBD"/>
    <s v="TBD"/>
    <m/>
    <n v="9.4273972602739722"/>
    <s v="Yes"/>
    <s v="Maturity"/>
  </r>
  <r>
    <x v="1"/>
    <x v="14"/>
    <x v="6"/>
    <n v="3383.5093556389602"/>
    <x v="1"/>
    <n v="0.86423746645293475"/>
    <s v="Manual Switch"/>
    <n v="0.82010731195288333"/>
    <s v="Linear Fluorescent T-8 / Code Compliant T-12"/>
    <s v="Shut-off AND multi-level controls"/>
    <x v="3"/>
    <s v="Institutional Tuning"/>
    <n v="598.75566090095401"/>
    <n v="690.65894894327141"/>
    <n v="511.72722181651301"/>
    <n v="306.9595328636762"/>
    <m/>
    <s v="First cost"/>
    <s v="Performance"/>
    <s v="No barrier identified"/>
    <s v="No barrier identified"/>
    <s v="None"/>
    <m/>
    <m/>
    <s v="TBD"/>
    <s v="TBD"/>
    <m/>
    <n v="9.4273972602739722"/>
    <s v="Yes"/>
    <s v="Maturity"/>
  </r>
  <r>
    <x v="1"/>
    <x v="14"/>
    <x v="6"/>
    <n v="3383.5093556389602"/>
    <x v="1"/>
    <n v="0.86423746645293475"/>
    <s v="Manual Switch"/>
    <n v="0.82010731195288333"/>
    <s v="Linear Fluorescent T-8 / Code Compliant T-12"/>
    <s v="Shut-off AND multi-level controls"/>
    <x v="3"/>
    <s v="Multiple Measures"/>
    <n v="598.75566090095401"/>
    <n v="729.02889055123103"/>
    <n v="511.72722181651301"/>
    <n v="345.32947447163571"/>
    <m/>
    <s v="First cost"/>
    <s v="Performance"/>
    <s v="First cost"/>
    <s v="Availability"/>
    <s v="None"/>
    <m/>
    <m/>
    <s v="TBD"/>
    <s v="TBD"/>
    <m/>
    <n v="9.4273972602739722"/>
    <s v="Yes"/>
    <s v="Maturity"/>
  </r>
  <r>
    <x v="1"/>
    <x v="14"/>
    <x v="6"/>
    <n v="3383.5093556389602"/>
    <x v="9"/>
    <n v="7.2507540613082427E-2"/>
    <s v="Manual Switch"/>
    <n v="0.98702449444855689"/>
    <s v="Halogen"/>
    <s v="Shut-off AND multi-level controls"/>
    <x v="10"/>
    <s v="Occupancy"/>
    <n v="45.291681603459011"/>
    <n v="46.49215910287429"/>
    <n v="45.291681603459011"/>
    <n v="7.748693183812378"/>
    <m/>
    <s v="First cost"/>
    <s v="Performance"/>
    <s v="No barrier identified"/>
    <s v="No barrier identified"/>
    <s v="None"/>
    <m/>
    <m/>
    <s v="TBD"/>
    <s v="TBD"/>
    <m/>
    <n v="9.4273972602739722"/>
    <s v="Yes"/>
    <s v="Maturity"/>
  </r>
  <r>
    <x v="1"/>
    <x v="14"/>
    <x v="6"/>
    <n v="3383.5093556389602"/>
    <x v="9"/>
    <n v="7.2507540613082427E-2"/>
    <s v="Manual Switch"/>
    <n v="0.98702449444855689"/>
    <s v="Halogen"/>
    <s v="Shut-off AND multi-level controls"/>
    <x v="10"/>
    <s v="Daylighting"/>
    <n v="45.291681603459011"/>
    <n v="54.240852286686689"/>
    <n v="45.291681603459011"/>
    <n v="15.497386367624767"/>
    <m/>
    <s v="First cost"/>
    <s v="Performance"/>
    <s v="No barrier identified"/>
    <s v="No barrier identified"/>
    <s v="None"/>
    <m/>
    <m/>
    <s v="TBD"/>
    <s v="TBD"/>
    <m/>
    <n v="9.4273972602739722"/>
    <s v="Yes"/>
    <s v="Maturity"/>
  </r>
  <r>
    <x v="1"/>
    <x v="14"/>
    <x v="6"/>
    <n v="3383.5093556389602"/>
    <x v="9"/>
    <n v="7.2507540613082427E-2"/>
    <s v="Manual Switch"/>
    <n v="0.98702449444855689"/>
    <s v="Halogen"/>
    <s v="Shut-off AND multi-level controls"/>
    <x v="10"/>
    <s v="Personal Tuning"/>
    <n v="45.291681603459011"/>
    <n v="60.052372174545965"/>
    <n v="45.291681603459011"/>
    <n v="21.308906255484047"/>
    <m/>
    <s v="First cost"/>
    <s v="Performance"/>
    <s v="Not Applicable"/>
    <s v="Not Applicable"/>
    <s v="None"/>
    <m/>
    <m/>
    <s v="TBD"/>
    <s v="TBD"/>
    <m/>
    <n v="9.4273972602739722"/>
    <s v="Yes"/>
    <s v="Maturity"/>
  </r>
  <r>
    <x v="1"/>
    <x v="14"/>
    <x v="6"/>
    <n v="3383.5093556389602"/>
    <x v="9"/>
    <n v="7.2507540613082427E-2"/>
    <s v="Manual Switch"/>
    <n v="0.98702449444855689"/>
    <s v="Halogen"/>
    <s v="Shut-off AND multi-level controls"/>
    <x v="10"/>
    <s v="Institutional Tuning"/>
    <n v="45.291681603459011"/>
    <n v="69.738238654311431"/>
    <n v="45.291681603459011"/>
    <n v="30.994772735249523"/>
    <m/>
    <s v="First cost"/>
    <s v="Performance"/>
    <s v="No barrier identified"/>
    <s v="No barrier identified"/>
    <s v="None"/>
    <m/>
    <m/>
    <s v="TBD"/>
    <s v="TBD"/>
    <m/>
    <n v="9.4273972602739722"/>
    <s v="Yes"/>
    <s v="Maturity"/>
  </r>
  <r>
    <x v="1"/>
    <x v="14"/>
    <x v="6"/>
    <n v="3383.5093556389602"/>
    <x v="9"/>
    <n v="7.2507540613082427E-2"/>
    <s v="Manual Switch"/>
    <n v="0.98702449444855689"/>
    <s v="Halogen"/>
    <s v="Shut-off AND multi-level controls"/>
    <x v="10"/>
    <s v="Multiple Measures"/>
    <n v="45.291681603459011"/>
    <n v="73.612585246217634"/>
    <n v="45.291681603459011"/>
    <n v="34.869119327155715"/>
    <m/>
    <s v="First cost"/>
    <s v="Performance"/>
    <s v="First cost"/>
    <s v="Availability"/>
    <s v="None"/>
    <m/>
    <m/>
    <s v="TBD"/>
    <s v="TBD"/>
    <m/>
    <n v="9.4273972602739722"/>
    <s v="Yes"/>
    <s v="Maturity"/>
  </r>
  <r>
    <x v="2"/>
    <x v="15"/>
    <x v="11"/>
    <n v="1943.9497008859194"/>
    <x v="1"/>
    <n v="0.7023056986264814"/>
    <s v="Manual Switch / Schedule"/>
    <n v="0.59303679625769268"/>
    <s v="Linear Fluorescent T-8 / Code Compliant T-12"/>
    <s v="Occupancy (Bi-level) AND daylighting"/>
    <x v="3"/>
    <s v="Occupancy"/>
    <n v="392.07091977140414"/>
    <n v="142.49693549951476"/>
    <n v="364.06585407344676"/>
    <s v="No change"/>
    <m/>
    <s v="First cost"/>
    <s v="Performance"/>
    <s v="No barrier identified"/>
    <s v="No barrier identified"/>
    <s v="None"/>
    <m/>
    <m/>
    <s v="TBD"/>
    <s v="TBD"/>
    <m/>
    <n v="15.712499999999999"/>
    <s v="Yes"/>
    <s v="Maturity"/>
  </r>
  <r>
    <x v="2"/>
    <x v="15"/>
    <x v="11"/>
    <n v="1943.9497008859194"/>
    <x v="1"/>
    <n v="0.7023056986264814"/>
    <s v="Manual Switch / Schedule"/>
    <n v="0.59303679625769268"/>
    <s v="Linear Fluorescent T-8 / Code Compliant T-12"/>
    <s v="Occupancy (Bi-level) AND daylighting"/>
    <x v="3"/>
    <s v="Daylighting"/>
    <n v="392.07091977140414"/>
    <n v="123.06553520412638"/>
    <n v="364.06585407344676"/>
    <s v="No change"/>
    <m/>
    <s v="First cost"/>
    <s v="Performance"/>
    <s v="No barrier identified"/>
    <s v="No barrier identified"/>
    <s v="None"/>
    <m/>
    <m/>
    <s v="TBD"/>
    <s v="TBD"/>
    <m/>
    <n v="15.712499999999999"/>
    <s v="Yes"/>
    <s v="Maturity"/>
  </r>
  <r>
    <x v="2"/>
    <x v="15"/>
    <x v="11"/>
    <n v="1943.9497008859194"/>
    <x v="1"/>
    <n v="0.7023056986264814"/>
    <s v="Manual Switch / Schedule"/>
    <n v="0.59303679625769268"/>
    <s v="Linear Fluorescent T-8 / Code Compliant T-12"/>
    <s v="Occupancy (Bi-level) AND daylighting"/>
    <x v="3"/>
    <s v="Personal Tuning"/>
    <n v="392.07091977140414"/>
    <s v="Not Applicable"/>
    <n v="364.06585407344676"/>
    <s v="Not Applicable"/>
    <m/>
    <s v="First cost"/>
    <s v="Performance"/>
    <s v="Not Applicable"/>
    <s v="Not Applicable"/>
    <s v="None"/>
    <m/>
    <m/>
    <s v="TBD"/>
    <s v="TBD"/>
    <m/>
    <n v="15.712499999999999"/>
    <s v="Yes"/>
    <s v="Maturity"/>
  </r>
  <r>
    <x v="2"/>
    <x v="15"/>
    <x v="11"/>
    <n v="1943.9497008859194"/>
    <x v="1"/>
    <n v="0.7023056986264814"/>
    <s v="Manual Switch / Schedule"/>
    <n v="0.59303679625769268"/>
    <s v="Linear Fluorescent T-8 / Code Compliant T-12"/>
    <s v="Occupancy (Bi-level) AND daylighting"/>
    <x v="3"/>
    <s v="Institutional Tuning"/>
    <n v="392.07091977140414"/>
    <n v="233.17680354466052"/>
    <n v="364.06585407344676"/>
    <s v="Insufficient Data to Estimate"/>
    <m/>
    <s v="First cost"/>
    <s v="Performance"/>
    <s v="No barrier identified"/>
    <s v="No barrier identified"/>
    <s v="None"/>
    <m/>
    <m/>
    <s v="TBD"/>
    <s v="TBD"/>
    <m/>
    <n v="15.712499999999999"/>
    <s v="Yes"/>
    <s v="Maturity"/>
  </r>
  <r>
    <x v="2"/>
    <x v="15"/>
    <x v="11"/>
    <n v="1943.9497008859194"/>
    <x v="1"/>
    <n v="0.7023056986264814"/>
    <s v="Manual Switch / Schedule"/>
    <n v="0.59303679625769268"/>
    <s v="Linear Fluorescent T-8 / Code Compliant T-12"/>
    <s v="Occupancy (Bi-level) AND daylighting"/>
    <x v="3"/>
    <s v="Multiple Measures"/>
    <n v="392.07091977140414"/>
    <n v="265.56247070364111"/>
    <n v="364.06585407344676"/>
    <s v="No change"/>
    <m/>
    <s v="First cost"/>
    <s v="Performance"/>
    <s v="First cost"/>
    <s v="Availability"/>
    <s v="None"/>
    <m/>
    <m/>
    <s v="TBD"/>
    <s v="TBD"/>
    <m/>
    <n v="15.712499999999999"/>
    <s v="Yes"/>
    <s v="Maturity"/>
  </r>
  <r>
    <x v="2"/>
    <x v="15"/>
    <x v="11"/>
    <n v="1943.9497008859194"/>
    <x v="1"/>
    <n v="0.7023056986264814"/>
    <s v="Manual Switch / Schedule"/>
    <n v="0.59303679625769268"/>
    <s v="Linear Fluorescent T-8 / Code Compliant T-12"/>
    <s v="Occupancy (Bi-level) AND daylighting"/>
    <x v="9"/>
    <s v="Occupancy"/>
    <n v="160.73850915695573"/>
    <n v="142.49693549951476"/>
    <n v="131.06370746644077"/>
    <s v="No change"/>
    <m/>
    <s v="No barrier identified"/>
    <s v="No barrier identified"/>
    <s v="No barrier identified"/>
    <s v="No barrier identified"/>
    <s v="None"/>
    <m/>
    <m/>
    <s v="TBD"/>
    <s v="TBD"/>
    <m/>
    <n v="15.712499999999999"/>
    <s v="Yes"/>
    <s v="Maturity"/>
  </r>
  <r>
    <x v="2"/>
    <x v="15"/>
    <x v="11"/>
    <n v="1943.9497008859194"/>
    <x v="1"/>
    <n v="0.7023056986264814"/>
    <s v="Manual Switch / Schedule"/>
    <n v="0.59303679625769268"/>
    <s v="Linear Fluorescent T-8 / Code Compliant T-12"/>
    <s v="Occupancy (Bi-level) AND daylighting"/>
    <x v="9"/>
    <s v="Daylighting"/>
    <n v="160.73850915695573"/>
    <n v="123.06553520412638"/>
    <n v="131.06370746644077"/>
    <s v="No change"/>
    <m/>
    <s v="No barrier identified"/>
    <s v="No barrier identified"/>
    <s v="No barrier identified"/>
    <s v="No barrier identified"/>
    <s v="None"/>
    <m/>
    <m/>
    <s v="TBD"/>
    <s v="TBD"/>
    <m/>
    <n v="15.712499999999999"/>
    <s v="Yes"/>
    <s v="Maturity"/>
  </r>
  <r>
    <x v="2"/>
    <x v="15"/>
    <x v="11"/>
    <n v="1943.9497008859194"/>
    <x v="1"/>
    <n v="0.7023056986264814"/>
    <s v="Manual Switch / Schedule"/>
    <n v="0.59303679625769268"/>
    <s v="Linear Fluorescent T-8 / Code Compliant T-12"/>
    <s v="Occupancy (Bi-level) AND daylighting"/>
    <x v="9"/>
    <s v="Personal Tuning"/>
    <n v="160.73850915695573"/>
    <s v="Not Applicable"/>
    <n v="131.06370746644077"/>
    <s v="Not Applicable"/>
    <m/>
    <s v="No barrier identified"/>
    <s v="No barrier identified"/>
    <s v="Not Applicable"/>
    <s v="Not Applicable"/>
    <s v="None"/>
    <m/>
    <m/>
    <s v="TBD"/>
    <s v="TBD"/>
    <m/>
    <n v="15.712499999999999"/>
    <s v="Yes"/>
    <s v="Maturity"/>
  </r>
  <r>
    <x v="2"/>
    <x v="15"/>
    <x v="11"/>
    <n v="1943.9497008859194"/>
    <x v="1"/>
    <n v="0.7023056986264814"/>
    <s v="Manual Switch / Schedule"/>
    <n v="0.59303679625769268"/>
    <s v="Linear Fluorescent T-8 / Code Compliant T-12"/>
    <s v="Occupancy (Bi-level) AND daylighting"/>
    <x v="9"/>
    <s v="Institutional Tuning"/>
    <n v="160.73850915695573"/>
    <n v="233.17680354466052"/>
    <n v="131.06370746644077"/>
    <s v="Insufficient Data to Estimate"/>
    <m/>
    <s v="No barrier identified"/>
    <s v="No barrier identified"/>
    <s v="No barrier identified"/>
    <s v="No barrier identified"/>
    <s v="None"/>
    <m/>
    <m/>
    <s v="TBD"/>
    <s v="TBD"/>
    <m/>
    <n v="15.712499999999999"/>
    <s v="Yes"/>
    <s v="Maturity"/>
  </r>
  <r>
    <x v="2"/>
    <x v="15"/>
    <x v="11"/>
    <n v="1943.9497008859194"/>
    <x v="1"/>
    <n v="0.7023056986264814"/>
    <s v="Manual Switch / Schedule"/>
    <n v="0.59303679625769268"/>
    <s v="Linear Fluorescent T-8 / Code Compliant T-12"/>
    <s v="Occupancy (Bi-level) AND daylighting"/>
    <x v="9"/>
    <s v="Multiple Measures"/>
    <n v="160.73850915695573"/>
    <n v="265.56247070364111"/>
    <n v="131.06370746644077"/>
    <s v="No change"/>
    <m/>
    <s v="No barrier identified"/>
    <s v="No barrier identified"/>
    <s v="First cost"/>
    <s v="Availability"/>
    <s v="None"/>
    <m/>
    <m/>
    <s v="TBD"/>
    <s v="TBD"/>
    <m/>
    <n v="15.712499999999999"/>
    <s v="Yes"/>
    <s v="Maturity"/>
  </r>
  <r>
    <x v="2"/>
    <x v="15"/>
    <x v="11"/>
    <n v="1943.9497008859194"/>
    <x v="9"/>
    <n v="0.18551852338336328"/>
    <s v="Manual Switch / Schedule"/>
    <n v="0.81566302642684119"/>
    <s v="Halogen"/>
    <s v="Occupancy (Bi-level) AND daylighting"/>
    <x v="10"/>
    <s v="Occupancy"/>
    <n v="66.579448253517512"/>
    <n v="51.772095861479663"/>
    <n v="66.579448253517512"/>
    <s v="No change"/>
    <m/>
    <m/>
    <m/>
    <m/>
    <m/>
    <m/>
    <m/>
    <m/>
    <s v="TBD"/>
    <s v="TBD"/>
    <m/>
    <n v="15.712499999999999"/>
    <s v="Yes"/>
    <s v="Maturity"/>
  </r>
  <r>
    <x v="2"/>
    <x v="15"/>
    <x v="11"/>
    <n v="1943.9497008859194"/>
    <x v="9"/>
    <n v="0.18551852338336328"/>
    <s v="Manual Switch / Schedule"/>
    <n v="0.81566302642684119"/>
    <s v="Halogen"/>
    <s v="Occupancy (Bi-level) AND daylighting"/>
    <x v="10"/>
    <s v="Daylighting"/>
    <n v="66.579448253517512"/>
    <n v="44.712264607641536"/>
    <n v="66.579448253517512"/>
    <s v="No change"/>
    <m/>
    <m/>
    <m/>
    <m/>
    <m/>
    <m/>
    <m/>
    <m/>
    <s v="TBD"/>
    <s v="TBD"/>
    <m/>
    <n v="15.712499999999999"/>
    <s v="Yes"/>
    <s v="Maturity"/>
  </r>
  <r>
    <x v="2"/>
    <x v="15"/>
    <x v="11"/>
    <n v="1943.9497008859194"/>
    <x v="9"/>
    <n v="0.18551852338336328"/>
    <s v="Manual Switch / Schedule"/>
    <n v="0.81566302642684119"/>
    <s v="Halogen"/>
    <s v="Occupancy (Bi-level) AND daylighting"/>
    <x v="10"/>
    <s v="Personal Tuning"/>
    <n v="66.579448253517512"/>
    <s v="Not Applicable"/>
    <n v="66.579448253517512"/>
    <s v="Not Applicable"/>
    <m/>
    <m/>
    <m/>
    <m/>
    <m/>
    <m/>
    <m/>
    <m/>
    <s v="TBD"/>
    <s v="TBD"/>
    <m/>
    <n v="15.712499999999999"/>
    <s v="Yes"/>
    <s v="Maturity"/>
  </r>
  <r>
    <x v="2"/>
    <x v="15"/>
    <x v="11"/>
    <n v="1943.9497008859194"/>
    <x v="9"/>
    <n v="0.18551852338336328"/>
    <s v="Manual Switch / Schedule"/>
    <n v="0.81566302642684119"/>
    <s v="Halogen"/>
    <s v="Occupancy (Bi-level) AND daylighting"/>
    <x v="10"/>
    <s v="Institutional Tuning"/>
    <n v="66.579448253517512"/>
    <n v="84.717975046057646"/>
    <n v="66.579448253517512"/>
    <s v="Insufficient Data to Estimate"/>
    <m/>
    <m/>
    <m/>
    <m/>
    <m/>
    <m/>
    <m/>
    <m/>
    <s v="TBD"/>
    <s v="TBD"/>
    <m/>
    <n v="15.712499999999999"/>
    <s v="Yes"/>
    <s v="Maturity"/>
  </r>
  <r>
    <x v="2"/>
    <x v="15"/>
    <x v="11"/>
    <n v="1943.9497008859194"/>
    <x v="9"/>
    <n v="0.18551852338336328"/>
    <s v="Manual Switch / Schedule"/>
    <n v="0.81566302642684119"/>
    <s v="Halogen"/>
    <s v="Occupancy (Bi-level) AND daylighting"/>
    <x v="10"/>
    <s v="Multiple Measures"/>
    <n v="66.579448253517512"/>
    <n v="96.484360469121199"/>
    <n v="66.579448253517512"/>
    <s v="No change"/>
    <m/>
    <m/>
    <m/>
    <m/>
    <m/>
    <m/>
    <m/>
    <m/>
    <s v="TBD"/>
    <s v="TBD"/>
    <m/>
    <n v="15.712499999999999"/>
    <s v="Yes"/>
    <s v="Maturity"/>
  </r>
  <r>
    <x v="2"/>
    <x v="15"/>
    <x v="12"/>
    <n v="2459.6914582638165"/>
    <x v="1"/>
    <n v="5.1757584804418277E-2"/>
    <s v="Photocell"/>
    <n v="0.94971461823496628"/>
    <s v="Linear Fluorescent T-8 / Code Compliant T-12"/>
    <s v="Photocontrol/Astronomical Time-switch, and Bi-level for pole mounted luminaires less than 24 feet high"/>
    <x v="20"/>
    <s v="Occupancy"/>
    <n v="36.560156911037915"/>
    <n v="21.279451333983804"/>
    <n v="33.948717131678073"/>
    <n v="14.895615933788662"/>
    <m/>
    <s v="First cost"/>
    <s v="Performance"/>
    <s v="No barrier identified"/>
    <s v="No barrier identified"/>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20"/>
    <s v="Daylighting"/>
    <n v="36.560156911037915"/>
    <s v="No change"/>
    <n v="33.948717131678073"/>
    <s v="No change"/>
    <m/>
    <s v="First cost"/>
    <s v="Performance"/>
    <s v="No barrier identified"/>
    <s v="No barrier identified"/>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20"/>
    <s v="Personal Tuning"/>
    <n v="36.560156911037915"/>
    <s v="Not Applicable"/>
    <n v="33.948717131678073"/>
    <s v="Not Applicable"/>
    <m/>
    <s v="First cost"/>
    <s v="Performance"/>
    <s v="Not Applicable"/>
    <s v="Not Applicable"/>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20"/>
    <s v="Institutional Tuning"/>
    <n v="36.560156911037915"/>
    <n v="34.820920364700768"/>
    <n v="33.948717131678073"/>
    <n v="19.925304430912107"/>
    <m/>
    <s v="First cost"/>
    <s v="Performance"/>
    <s v="No barrier identified"/>
    <s v="No barrier identified"/>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20"/>
    <s v="Multiple Measures"/>
    <n v="36.560156911037915"/>
    <n v="39.657159304242548"/>
    <n v="33.948717131678073"/>
    <n v="24.761543370453882"/>
    <m/>
    <s v="First cost"/>
    <s v="Performance"/>
    <s v="First cost"/>
    <s v="Availability"/>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9"/>
    <s v="Occupancy"/>
    <n v="14.988678884552201"/>
    <n v="21.279451333983804"/>
    <n v="12.2215381674041"/>
    <n v="21.279451333983804"/>
    <m/>
    <s v="No barrier identified"/>
    <s v="No barrier identified"/>
    <s v="No barrier identified"/>
    <s v="No barrier identified"/>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9"/>
    <s v="Daylighting"/>
    <n v="14.988678884552201"/>
    <s v="No change"/>
    <n v="12.2215381674041"/>
    <s v="No change"/>
    <m/>
    <s v="No barrier identified"/>
    <s v="No barrier identified"/>
    <s v="No barrier identified"/>
    <s v="No barrier identified"/>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9"/>
    <s v="Personal Tuning"/>
    <n v="14.988678884552201"/>
    <s v="Not Applicable"/>
    <n v="12.2215381674041"/>
    <s v="Not Applicable"/>
    <m/>
    <s v="No barrier identified"/>
    <s v="No barrier identified"/>
    <s v="Not Applicable"/>
    <s v="Not Applicable"/>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9"/>
    <s v="Institutional Tuning"/>
    <n v="14.988678884552201"/>
    <n v="34.820920364700768"/>
    <n v="12.2215381674041"/>
    <n v="19.925304430912107"/>
    <m/>
    <s v="No barrier identified"/>
    <s v="No barrier identified"/>
    <s v="No barrier identified"/>
    <s v="No barrier identified"/>
    <s v="None"/>
    <m/>
    <m/>
    <s v="TBD"/>
    <s v="TBD"/>
    <m/>
    <n v="15.712499999999999"/>
    <s v="No"/>
    <s v="Maturity"/>
  </r>
  <r>
    <x v="2"/>
    <x v="15"/>
    <x v="12"/>
    <n v="2459.6914582638165"/>
    <x v="1"/>
    <n v="5.1757584804418277E-2"/>
    <s v="Photocell"/>
    <n v="0.94971461823496628"/>
    <s v="Linear Fluorescent T-8 / Code Compliant T-12"/>
    <s v="Photocontrol/Astronomical Time-switch, and Bi-level for pole mounted luminaires less than 24 feet high"/>
    <x v="9"/>
    <s v="Multiple Measures"/>
    <n v="14.988678884552201"/>
    <n v="39.657159304242548"/>
    <n v="12.2215381674041"/>
    <n v="24.761543370453882"/>
    <m/>
    <s v="No barrier identified"/>
    <s v="No barrier identified"/>
    <s v="First cost"/>
    <s v="Availability"/>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20"/>
    <s v="Occupancy"/>
    <n v="718.44752025376283"/>
    <n v="96.901822568826631"/>
    <n v="671.96068742855152"/>
    <n v="96.901822568826631"/>
    <m/>
    <s v="First cost"/>
    <s v="Performance"/>
    <s v="No barrier identified"/>
    <s v="No barrier identified"/>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20"/>
    <s v="Daylighting"/>
    <n v="718.44752025376283"/>
    <s v="No change"/>
    <n v="671.96068742855152"/>
    <s v="No change"/>
    <m/>
    <s v="First cost"/>
    <s v="Performance"/>
    <s v="No barrier identified"/>
    <s v="No barrier identified"/>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20"/>
    <s v="Personal Tuning"/>
    <n v="718.44752025376283"/>
    <s v="Not Applicable"/>
    <n v="671.96068742855152"/>
    <s v="Not Applicable"/>
    <m/>
    <s v="First cost"/>
    <s v="Performance"/>
    <s v="Not Applicable"/>
    <s v="Not Applicable"/>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20"/>
    <s v="Institutional Tuning"/>
    <n v="718.44752025376283"/>
    <n v="158.56661874898904"/>
    <n v="671.96068742855152"/>
    <n v="90.735342950810406"/>
    <m/>
    <s v="First cost"/>
    <s v="Performance"/>
    <s v="No barrier identified"/>
    <s v="No barrier identified"/>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20"/>
    <s v="Multiple Measures"/>
    <n v="718.44752025376283"/>
    <n v="180.5897602419042"/>
    <n v="671.96068742855152"/>
    <n v="112.75848444372555"/>
    <m/>
    <s v="First cost"/>
    <s v="Performance"/>
    <s v="First cost"/>
    <s v="Availability"/>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17"/>
    <s v="Occupancy"/>
    <n v="182.48540012508693"/>
    <n v="96.901822568826631"/>
    <n v="182.48540012508693"/>
    <n v="96.901822568826631"/>
    <m/>
    <s v="Reliability"/>
    <s v="Performance"/>
    <s v="No barrier identified"/>
    <s v="No barrier identified"/>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17"/>
    <s v="Daylighting"/>
    <n v="182.48540012508693"/>
    <s v="No Change"/>
    <n v="182.48540012508693"/>
    <s v="No change"/>
    <m/>
    <s v="Reliability"/>
    <s v="Performance"/>
    <s v="No barrier identified"/>
    <s v="No barrier identified"/>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17"/>
    <s v="Personal Tuning"/>
    <n v="182.48540012508693"/>
    <s v="Not Applicable"/>
    <n v="182.48540012508693"/>
    <s v="Not Applicable"/>
    <m/>
    <s v="Reliability"/>
    <s v="Performance"/>
    <s v="No barrier identified"/>
    <s v="No barrier identified"/>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17"/>
    <s v="Institutional Tuning"/>
    <n v="182.48540012508693"/>
    <n v="158.56661874898904"/>
    <n v="182.48540012508693"/>
    <n v="90.735342950810406"/>
    <m/>
    <s v="Reliability"/>
    <s v="Performance"/>
    <s v="No barrier identified"/>
    <s v="No barrier identified"/>
    <s v="None"/>
    <m/>
    <m/>
    <s v="TBD"/>
    <s v="TBD"/>
    <m/>
    <n v="15.712499999999999"/>
    <s v="No"/>
    <s v="Maturity"/>
  </r>
  <r>
    <x v="2"/>
    <x v="15"/>
    <x v="12"/>
    <n v="2459.6914582638165"/>
    <x v="11"/>
    <n v="0.67727715656069643"/>
    <s v="Photocell"/>
    <n v="0.33050057310858838"/>
    <s v="PS MH"/>
    <s v="Photocontrol/Astronomical Time-switch, and Bi-level for pole mounted luminaires less than 24 feet high"/>
    <x v="17"/>
    <s v="Multiple Measures"/>
    <n v="182.48540012508693"/>
    <n v="180.5897602419042"/>
    <n v="182.48540012508693"/>
    <n v="112.75848444372555"/>
    <m/>
    <s v="Reliability"/>
    <s v="Performance"/>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20"/>
    <s v="Occupancy"/>
    <n v="198.91383831205064"/>
    <n v="57.866885748303311"/>
    <n v="198.91383831205064"/>
    <n v="57.866885748303311"/>
    <m/>
    <s v="First cost"/>
    <s v="Performance"/>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20"/>
    <s v="Daylighting"/>
    <n v="198.91383831205064"/>
    <s v="No change"/>
    <n v="198.91383831205064"/>
    <s v="No change"/>
    <m/>
    <s v="First cost"/>
    <s v="Performance"/>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20"/>
    <s v="Personal Tuning"/>
    <n v="198.91383831205064"/>
    <s v="Not Applicable"/>
    <n v="198.91383831205064"/>
    <s v="Not Applicable"/>
    <m/>
    <s v="First cost"/>
    <s v="Performance"/>
    <s v="Not Applicable"/>
    <s v="Not Applicable"/>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20"/>
    <s v="Institutional Tuning"/>
    <n v="198.91383831205064"/>
    <n v="94.691267588132689"/>
    <n v="198.91383831205064"/>
    <n v="54.184447564320379"/>
    <m/>
    <s v="First cost"/>
    <s v="Performance"/>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20"/>
    <s v="Multiple Measures"/>
    <n v="198.91383831205064"/>
    <n v="107.84283253092892"/>
    <n v="198.91383831205064"/>
    <n v="67.336012507116592"/>
    <m/>
    <s v="First cost"/>
    <s v="Performance"/>
    <s v="First cost"/>
    <s v="Availability"/>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5"/>
    <s v="Occupancy"/>
    <n v="86.955892023551925"/>
    <n v="57.866885748303311"/>
    <n v="86.955892023551925"/>
    <n v="57.866885748303311"/>
    <m/>
    <s v="First cost"/>
    <s v="No barrier identified"/>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5"/>
    <s v="Daylighting"/>
    <n v="86.955892023551925"/>
    <s v="No change"/>
    <n v="86.955892023551925"/>
    <s v="No change"/>
    <m/>
    <s v="First cost"/>
    <s v="No barrier identified"/>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5"/>
    <s v="Personal Tuning"/>
    <n v="86.955892023551925"/>
    <s v="Not Applicable"/>
    <n v="86.955892023551925"/>
    <s v="Not Applicable"/>
    <m/>
    <s v="First cost"/>
    <s v="No barrier identified"/>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5"/>
    <s v="Institutional Tuning"/>
    <n v="86.955892023551925"/>
    <n v="94.691267588132689"/>
    <n v="86.955892023551925"/>
    <n v="54.184447564320379"/>
    <m/>
    <s v="First cost"/>
    <s v="No barrier identified"/>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5"/>
    <s v="Multiple Measures"/>
    <n v="86.955892023551925"/>
    <n v="107.84283253092892"/>
    <n v="86.955892023551925"/>
    <n v="67.336012507116592"/>
    <m/>
    <s v="First cost"/>
    <s v="No barrier identified"/>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7"/>
    <s v="Occupancy"/>
    <n v="110.70016904852906"/>
    <n v="57.866885748303311"/>
    <n v="110.70016904852906"/>
    <n v="57.866885748303311"/>
    <m/>
    <s v="Reliability"/>
    <s v="Performance"/>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7"/>
    <s v="Daylighting"/>
    <n v="110.70016904852906"/>
    <s v="No Change"/>
    <n v="110.70016904852906"/>
    <s v="No change"/>
    <m/>
    <s v="Reliability"/>
    <s v="Performance"/>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7"/>
    <s v="Personal Tuning"/>
    <n v="110.70016904852906"/>
    <s v="Not Applicable"/>
    <n v="110.70016904852906"/>
    <s v="Not Applicable"/>
    <m/>
    <s v="Reliability"/>
    <s v="Performance"/>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7"/>
    <s v="Institutional Tuning"/>
    <n v="110.70016904852906"/>
    <n v="94.691267588132689"/>
    <n v="110.70016904852906"/>
    <n v="54.184447564320379"/>
    <m/>
    <s v="Reliability"/>
    <s v="Performance"/>
    <s v="No barrier identified"/>
    <s v="No barrier identified"/>
    <s v="None"/>
    <m/>
    <m/>
    <s v="TBD"/>
    <s v="TBD"/>
    <m/>
    <n v="15.712499999999999"/>
    <s v="No"/>
    <s v="Maturity"/>
  </r>
  <r>
    <x v="2"/>
    <x v="15"/>
    <x v="12"/>
    <n v="2459.6914582638165"/>
    <x v="14"/>
    <n v="0.13764237591009837"/>
    <s v="Photocell"/>
    <n v="0.97114627565951095"/>
    <s v="HPS"/>
    <s v="Photocontrol/Astronomical Time-switch, and Bi-level for pole mounted luminaires less than 24 feet high"/>
    <x v="17"/>
    <s v="Multiple Measures"/>
    <n v="110.70016904852906"/>
    <n v="107.84283253092892"/>
    <n v="110.70016904852906"/>
    <n v="67.336012507116592"/>
    <m/>
    <s v="Reliability"/>
    <s v="Performance"/>
    <s v="No barrier identified"/>
    <s v="No barrier identified"/>
    <s v="None"/>
    <m/>
    <m/>
    <s v="TBD"/>
    <s v="TBD"/>
    <m/>
    <n v="15.712499999999999"/>
    <s v="No"/>
    <s v="Maturity"/>
  </r>
  <r>
    <x v="2"/>
    <x v="15"/>
    <x v="13"/>
    <n v="1030.2872247506953"/>
    <x v="1"/>
    <n v="7.8508223668573393E-2"/>
    <s v="Photocell"/>
    <n v="0.94387211177801444"/>
    <s v="Linear Fluorescent T-8 / Code Compliant T-12"/>
    <s v="Photocontrol/Astronomical Time-switch AND Bi-level "/>
    <x v="20"/>
    <s v="Occupancy"/>
    <n v="16.562375499975513"/>
    <n v="13.436906278550175"/>
    <n v="14.155053479630235"/>
    <s v="No change"/>
    <m/>
    <s v="First cost"/>
    <s v="Performance"/>
    <s v="No barrier identified"/>
    <s v="No barrier identified"/>
    <s v="None"/>
    <m/>
    <m/>
    <s v="TBD"/>
    <s v="TBD"/>
    <m/>
    <n v="8.7800000000000011"/>
    <s v="No"/>
    <s v="Maturity"/>
  </r>
  <r>
    <x v="2"/>
    <x v="15"/>
    <x v="13"/>
    <n v="1030.2872247506953"/>
    <x v="1"/>
    <n v="7.8508223668573393E-2"/>
    <s v="Photocell"/>
    <n v="0.94387211177801444"/>
    <s v="Linear Fluorescent T-8 / Code Compliant T-12"/>
    <s v="Photocontrol/Astronomical Time-switch AND Bi-level "/>
    <x v="20"/>
    <s v="Daylighting"/>
    <n v="16.562375499975513"/>
    <s v="No change"/>
    <n v="14.155053479630235"/>
    <s v="No change"/>
    <m/>
    <s v="First cost"/>
    <s v="Performance"/>
    <s v="No barrier identified"/>
    <s v="No barrier identified"/>
    <s v="None"/>
    <m/>
    <m/>
    <s v="TBD"/>
    <s v="TBD"/>
    <m/>
    <n v="8.7800000000000011"/>
    <s v="No"/>
    <s v="Maturity"/>
  </r>
  <r>
    <x v="2"/>
    <x v="15"/>
    <x v="13"/>
    <n v="1030.2872247506953"/>
    <x v="1"/>
    <n v="7.8508223668573393E-2"/>
    <s v="Photocell"/>
    <n v="0.94387211177801444"/>
    <s v="Linear Fluorescent T-8 / Code Compliant T-12"/>
    <s v="Photocontrol/Astronomical Time-switch AND Bi-level "/>
    <x v="20"/>
    <s v="Personal Tuning"/>
    <n v="16.562375499975513"/>
    <s v="Not Applicable"/>
    <n v="14.155053479630235"/>
    <s v="Not Applicable"/>
    <m/>
    <s v="First cost"/>
    <s v="Performance"/>
    <s v="Not Applicable"/>
    <s v="Not Applicable"/>
    <s v="None"/>
    <m/>
    <m/>
    <s v="TBD"/>
    <s v="TBD"/>
    <m/>
    <n v="8.7800000000000011"/>
    <s v="No"/>
    <s v="Maturity"/>
  </r>
  <r>
    <x v="2"/>
    <x v="15"/>
    <x v="13"/>
    <n v="1030.2872247506953"/>
    <x v="1"/>
    <n v="7.8508223668573393E-2"/>
    <s v="Photocell"/>
    <n v="0.94387211177801444"/>
    <s v="Linear Fluorescent T-8 / Code Compliant T-12"/>
    <s v="Photocontrol/Astronomical Time-switch AND Bi-level "/>
    <x v="20"/>
    <s v="Institutional Tuning"/>
    <n v="16.562375499975513"/>
    <n v="21.98766481944574"/>
    <n v="14.155053479630235"/>
    <n v="8.5507585408955649"/>
    <m/>
    <s v="First cost"/>
    <s v="Performance"/>
    <s v="No barrier identified"/>
    <s v="No barrier identified"/>
    <s v="None"/>
    <m/>
    <m/>
    <s v="TBD"/>
    <s v="TBD"/>
    <m/>
    <n v="8.7800000000000011"/>
    <s v="No"/>
    <s v="Maturity"/>
  </r>
  <r>
    <x v="2"/>
    <x v="15"/>
    <x v="13"/>
    <n v="1030.2872247506953"/>
    <x v="1"/>
    <n v="7.8508223668573393E-2"/>
    <s v="Photocell"/>
    <n v="0.94387211177801444"/>
    <s v="Linear Fluorescent T-8 / Code Compliant T-12"/>
    <s v="Photocontrol/Astronomical Time-switch AND Bi-level "/>
    <x v="20"/>
    <s v="Multiple Measures"/>
    <n v="16.562375499975513"/>
    <n v="23.209201753859393"/>
    <n v="14.155053479630235"/>
    <n v="9.7722954753092175"/>
    <m/>
    <s v="First cost"/>
    <s v="Performance"/>
    <s v="First cost"/>
    <s v="Availability"/>
    <s v="None"/>
    <m/>
    <m/>
    <s v="TBD"/>
    <s v="TBD"/>
    <m/>
    <n v="8.7800000000000011"/>
    <s v="No"/>
    <s v="Maturity"/>
  </r>
  <r>
    <x v="2"/>
    <x v="15"/>
    <x v="13"/>
    <n v="1030.2872247506953"/>
    <x v="1"/>
    <n v="7.8508223668573393E-2"/>
    <s v="Photocell"/>
    <n v="0.94387211177801444"/>
    <s v="Linear Fluorescent T-8 / Code Compliant T-12"/>
    <s v="Photocontrol/Astronomical Time-switch AND Bi-level "/>
    <x v="9"/>
    <s v="Occupancy"/>
    <n v="34.8836126324736"/>
    <n v="13.436906278550175"/>
    <n v="32.626483721773965"/>
    <s v="No change"/>
    <m/>
    <s v="No barrier identified"/>
    <s v="No barrier identified"/>
    <s v="No barrier identified"/>
    <s v="No barrier identified"/>
    <s v="None"/>
    <m/>
    <m/>
    <s v="TBD"/>
    <s v="TBD"/>
    <m/>
    <n v="8.7800000000000011"/>
    <s v="No"/>
    <s v="Maturity"/>
  </r>
  <r>
    <x v="2"/>
    <x v="15"/>
    <x v="13"/>
    <n v="1030.2872247506953"/>
    <x v="1"/>
    <n v="7.8508223668573393E-2"/>
    <s v="Photocell"/>
    <n v="0.94387211177801444"/>
    <s v="Linear Fluorescent T-8 / Code Compliant T-12"/>
    <s v="Photocontrol/Astronomical Time-switch AND Bi-level "/>
    <x v="9"/>
    <s v="Daylighting"/>
    <n v="34.8836126324736"/>
    <s v="No change"/>
    <n v="32.626483721773965"/>
    <s v="No change"/>
    <m/>
    <s v="No barrier identified"/>
    <s v="No barrier identified"/>
    <s v="No barrier identified"/>
    <s v="No barrier identified"/>
    <s v="None"/>
    <m/>
    <m/>
    <s v="TBD"/>
    <s v="TBD"/>
    <m/>
    <n v="8.7800000000000011"/>
    <s v="No"/>
    <s v="Maturity"/>
  </r>
  <r>
    <x v="2"/>
    <x v="15"/>
    <x v="13"/>
    <n v="1030.2872247506953"/>
    <x v="1"/>
    <n v="7.8508223668573393E-2"/>
    <s v="Photocell"/>
    <n v="0.94387211177801444"/>
    <s v="Linear Fluorescent T-8 / Code Compliant T-12"/>
    <s v="Photocontrol/Astronomical Time-switch AND Bi-level "/>
    <x v="9"/>
    <s v="Personal Tuning"/>
    <n v="34.8836126324736"/>
    <s v="Not Applicable"/>
    <n v="32.626483721773965"/>
    <s v="Not Applicable"/>
    <m/>
    <s v="No barrier identified"/>
    <s v="No barrier identified"/>
    <s v="Not Applicable"/>
    <s v="Not Applicable"/>
    <s v="None"/>
    <m/>
    <m/>
    <s v="TBD"/>
    <s v="TBD"/>
    <m/>
    <n v="8.7800000000000011"/>
    <s v="No"/>
    <s v="Maturity"/>
  </r>
  <r>
    <x v="2"/>
    <x v="15"/>
    <x v="13"/>
    <n v="1030.2872247506953"/>
    <x v="1"/>
    <n v="7.8508223668573393E-2"/>
    <s v="Photocell"/>
    <n v="0.94387211177801444"/>
    <s v="Linear Fluorescent T-8 / Code Compliant T-12"/>
    <s v="Photocontrol/Astronomical Time-switch AND Bi-level "/>
    <x v="9"/>
    <s v="Institutional Tuning"/>
    <n v="34.8836126324736"/>
    <n v="21.98766481944574"/>
    <n v="32.626483721773965"/>
    <n v="8.5507585408955649"/>
    <m/>
    <s v="No barrier identified"/>
    <s v="No barrier identified"/>
    <s v="No barrier identified"/>
    <s v="No barrier identified"/>
    <s v="None"/>
    <m/>
    <m/>
    <s v="TBD"/>
    <s v="TBD"/>
    <m/>
    <n v="8.7800000000000011"/>
    <s v="No"/>
    <s v="Maturity"/>
  </r>
  <r>
    <x v="2"/>
    <x v="15"/>
    <x v="13"/>
    <n v="1030.2872247506953"/>
    <x v="1"/>
    <n v="7.8508223668573393E-2"/>
    <s v="Photocell"/>
    <n v="0.94387211177801444"/>
    <s v="Linear Fluorescent T-8 / Code Compliant T-12"/>
    <s v="Photocontrol/Astronomical Time-switch AND Bi-level "/>
    <x v="9"/>
    <s v="Multiple Measures"/>
    <n v="34.8836126324736"/>
    <n v="23.209201753859393"/>
    <n v="32.626483721773965"/>
    <n v="9.7722954753092175"/>
    <m/>
    <s v="No barrier identified"/>
    <s v="No barrier identified"/>
    <s v="First cost"/>
    <s v="Availability"/>
    <s v="None"/>
    <m/>
    <m/>
    <s v="TBD"/>
    <s v="TBD"/>
    <m/>
    <n v="8.7800000000000011"/>
    <s v="No"/>
    <s v="Maturity"/>
  </r>
  <r>
    <x v="2"/>
    <x v="15"/>
    <x v="13"/>
    <n v="1030.2872247506953"/>
    <x v="10"/>
    <n v="9.300176094017075E-2"/>
    <s v="Photocell"/>
    <n v="0.91808838242670321"/>
    <s v="Halogen"/>
    <s v="Photocontrol/Astronomical Time-switch AND Bi-level "/>
    <x v="20"/>
    <s v="Occupancy"/>
    <n v="60.68506657811821"/>
    <n v="15.482698123800628"/>
    <n v="60.68506657811821"/>
    <s v="No change"/>
    <m/>
    <s v="First cost"/>
    <s v="Performance"/>
    <s v="No barrier identified"/>
    <s v="No barrier identified"/>
    <s v="None"/>
    <m/>
    <m/>
    <s v="TBD"/>
    <s v="TBD"/>
    <m/>
    <n v="8.7800000000000011"/>
    <s v="No"/>
    <s v="Maturity"/>
  </r>
  <r>
    <x v="2"/>
    <x v="15"/>
    <x v="13"/>
    <n v="1030.2872247506953"/>
    <x v="10"/>
    <n v="9.300176094017075E-2"/>
    <s v="Photocell"/>
    <n v="0.91808838242670321"/>
    <s v="Halogen"/>
    <s v="Photocontrol/Astronomical Time-switch AND Bi-level "/>
    <x v="20"/>
    <s v="Daylighting"/>
    <n v="60.68506657811821"/>
    <s v="No change"/>
    <n v="60.68506657811821"/>
    <s v="No change"/>
    <m/>
    <s v="First cost"/>
    <s v="Performance"/>
    <s v="No barrier identified"/>
    <s v="No barrier identified"/>
    <s v="None"/>
    <m/>
    <m/>
    <s v="TBD"/>
    <s v="TBD"/>
    <m/>
    <n v="8.7800000000000011"/>
    <s v="No"/>
    <s v="Maturity"/>
  </r>
  <r>
    <x v="2"/>
    <x v="15"/>
    <x v="13"/>
    <n v="1030.2872247506953"/>
    <x v="10"/>
    <n v="9.300176094017075E-2"/>
    <s v="Photocell"/>
    <n v="0.91808838242670321"/>
    <s v="Halogen"/>
    <s v="Photocontrol/Astronomical Time-switch AND Bi-level "/>
    <x v="20"/>
    <s v="Personal Tuning"/>
    <n v="60.68506657811821"/>
    <s v="Not Applicable"/>
    <n v="60.68506657811821"/>
    <s v="Not Applicable"/>
    <m/>
    <s v="First cost"/>
    <s v="Performance"/>
    <s v="Not Applicable"/>
    <s v="Not Applicable"/>
    <s v="None"/>
    <m/>
    <m/>
    <s v="TBD"/>
    <s v="TBD"/>
    <m/>
    <n v="8.7800000000000011"/>
    <s v="No"/>
    <s v="Maturity"/>
  </r>
  <r>
    <x v="2"/>
    <x v="15"/>
    <x v="13"/>
    <n v="1030.2872247506953"/>
    <x v="10"/>
    <n v="9.300176094017075E-2"/>
    <s v="Photocell"/>
    <n v="0.91808838242670321"/>
    <s v="Halogen"/>
    <s v="Photocontrol/Astronomical Time-switch AND Bi-level "/>
    <x v="20"/>
    <s v="Institutional Tuning"/>
    <n v="60.68506657811821"/>
    <n v="25.335324202582843"/>
    <n v="60.68506657811821"/>
    <n v="9.8526260787822171"/>
    <m/>
    <s v="First cost"/>
    <s v="Performance"/>
    <s v="No barrier identified"/>
    <s v="No barrier identified"/>
    <s v="None"/>
    <m/>
    <m/>
    <s v="TBD"/>
    <s v="TBD"/>
    <m/>
    <n v="8.7800000000000011"/>
    <s v="No"/>
    <s v="Maturity"/>
  </r>
  <r>
    <x v="2"/>
    <x v="15"/>
    <x v="13"/>
    <n v="1030.2872247506953"/>
    <x v="10"/>
    <n v="9.300176094017075E-2"/>
    <s v="Photocell"/>
    <n v="0.91808838242670321"/>
    <s v="Halogen"/>
    <s v="Photocontrol/Astronomical Time-switch AND Bi-level "/>
    <x v="20"/>
    <s v="Multiple Measures"/>
    <n v="60.68506657811821"/>
    <n v="26.742842213837445"/>
    <n v="60.68506657811821"/>
    <n v="11.260144090036819"/>
    <m/>
    <s v="First cost"/>
    <s v="Performance"/>
    <s v="First cost"/>
    <s v="Availability"/>
    <s v="None"/>
    <m/>
    <m/>
    <s v="TBD"/>
    <s v="TBD"/>
    <m/>
    <n v="8.7800000000000011"/>
    <s v="No"/>
    <s v="Maturity"/>
  </r>
  <r>
    <x v="2"/>
    <x v="15"/>
    <x v="13"/>
    <n v="1030.2872247506953"/>
    <x v="10"/>
    <n v="9.300176094017075E-2"/>
    <s v="Photocell"/>
    <n v="0.91808838242670321"/>
    <s v="Halogen"/>
    <s v="Photocontrol/Astronomical Time-switch AND Bi-level "/>
    <x v="16"/>
    <s v="Occupancy"/>
    <n v="55.894140269319408"/>
    <n v="15.482698123800628"/>
    <n v="55.894140269319408"/>
    <s v="No change"/>
    <m/>
    <s v="Reliability"/>
    <s v="Performance"/>
    <s v="No barrier identified"/>
    <s v="No barrier identified"/>
    <s v="Lighting reliability - non dimming CFL on dimmer"/>
    <m/>
    <m/>
    <s v="TBD"/>
    <s v="TBD"/>
    <m/>
    <n v="8.7800000000000011"/>
    <s v="No"/>
    <s v="Maturity"/>
  </r>
  <r>
    <x v="2"/>
    <x v="15"/>
    <x v="13"/>
    <n v="1030.2872247506953"/>
    <x v="10"/>
    <n v="9.300176094017075E-2"/>
    <s v="Photocell"/>
    <n v="0.91808838242670321"/>
    <s v="Halogen"/>
    <s v="Photocontrol/Astronomical Time-switch AND Bi-level "/>
    <x v="16"/>
    <s v="Daylighting"/>
    <n v="55.894140269319408"/>
    <s v="No change"/>
    <n v="55.894140269319408"/>
    <s v="No change"/>
    <m/>
    <s v="Reliability"/>
    <s v="Performance"/>
    <s v="No barrier identified"/>
    <s v="No barrier identified"/>
    <s v="Lighting reliability - non dimming CFL on dimmer"/>
    <m/>
    <m/>
    <s v="TBD"/>
    <s v="TBD"/>
    <m/>
    <n v="8.7800000000000011"/>
    <s v="No"/>
    <s v="Maturity"/>
  </r>
  <r>
    <x v="2"/>
    <x v="15"/>
    <x v="13"/>
    <n v="1030.2872247506953"/>
    <x v="10"/>
    <n v="9.300176094017075E-2"/>
    <s v="Photocell"/>
    <n v="0.91808838242670321"/>
    <s v="Halogen"/>
    <s v="Photocontrol/Astronomical Time-switch AND Bi-level "/>
    <x v="16"/>
    <s v="Personal Tuning"/>
    <n v="55.894140269319408"/>
    <s v="Not Applicable"/>
    <n v="55.894140269319408"/>
    <s v="Not Applicable"/>
    <m/>
    <s v="Reliability"/>
    <s v="Performance"/>
    <s v="No barrier identified"/>
    <s v="No barrier identified"/>
    <s v="Lighting reliability - non dimming CFL on dimmer"/>
    <m/>
    <m/>
    <s v="TBD"/>
    <s v="TBD"/>
    <m/>
    <n v="8.7800000000000011"/>
    <s v="No"/>
    <s v="Maturity"/>
  </r>
  <r>
    <x v="2"/>
    <x v="15"/>
    <x v="13"/>
    <n v="1030.2872247506953"/>
    <x v="10"/>
    <n v="9.300176094017075E-2"/>
    <s v="Photocell"/>
    <n v="0.91808838242670321"/>
    <s v="Halogen"/>
    <s v="Photocontrol/Astronomical Time-switch AND Bi-level "/>
    <x v="16"/>
    <s v="Institutional Tuning"/>
    <n v="55.894140269319408"/>
    <n v="25.335324202582843"/>
    <n v="55.894140269319408"/>
    <n v="9.8526260787822171"/>
    <m/>
    <s v="Reliability"/>
    <s v="Performance"/>
    <s v="No barrier identified"/>
    <s v="No barrier identified"/>
    <s v="Lighting reliability - non dimming CFL on dimmer"/>
    <m/>
    <m/>
    <s v="TBD"/>
    <s v="TBD"/>
    <m/>
    <n v="8.7800000000000011"/>
    <s v="No"/>
    <s v="Maturity"/>
  </r>
  <r>
    <x v="2"/>
    <x v="15"/>
    <x v="13"/>
    <n v="1030.2872247506953"/>
    <x v="10"/>
    <n v="9.300176094017075E-2"/>
    <s v="Photocell"/>
    <n v="0.91808838242670321"/>
    <s v="Halogen"/>
    <s v="Photocontrol/Astronomical Time-switch AND Bi-level "/>
    <x v="16"/>
    <s v="Multiple Measures"/>
    <n v="55.894140269319408"/>
    <n v="26.742842213837445"/>
    <n v="55.894140269319408"/>
    <n v="11.260144090036819"/>
    <m/>
    <s v="Reliability"/>
    <s v="Performance"/>
    <s v="First cost"/>
    <s v="Availability"/>
    <s v="Lighting reliability - non dimming CFL on dimmer"/>
    <m/>
    <m/>
    <s v="TBD"/>
    <s v="TBD"/>
    <m/>
    <n v="8.7800000000000011"/>
    <s v="No"/>
    <s v="Maturity"/>
  </r>
  <r>
    <x v="2"/>
    <x v="15"/>
    <x v="13"/>
    <n v="1030.2872247506953"/>
    <x v="11"/>
    <n v="0.36969734435650309"/>
    <s v="Photocell"/>
    <n v="0.74541194796715438"/>
    <s v="PS MH"/>
    <s v="Photocontrol/Astronomical Time-switch AND Bi-level "/>
    <x v="20"/>
    <s v="Occupancy"/>
    <n v="164.26787346799742"/>
    <n v="49.970496334220648"/>
    <n v="153.63899250288176"/>
    <s v="No change"/>
    <m/>
    <s v="First cost"/>
    <s v="Performance"/>
    <s v="No barrier identified"/>
    <s v="No barrier identified"/>
    <s v="None"/>
    <m/>
    <m/>
    <s v="TBD"/>
    <s v="TBD"/>
    <m/>
    <n v="8.7800000000000011"/>
    <s v="No"/>
    <s v="Maturity"/>
  </r>
  <r>
    <x v="2"/>
    <x v="15"/>
    <x v="13"/>
    <n v="1030.2872247506953"/>
    <x v="11"/>
    <n v="0.36969734435650309"/>
    <s v="Photocell"/>
    <n v="0.74541194796715438"/>
    <s v="PS MH"/>
    <s v="Photocontrol/Astronomical Time-switch AND Bi-level "/>
    <x v="20"/>
    <s v="Daylighting"/>
    <n v="164.26787346799742"/>
    <s v="No change"/>
    <n v="153.63899250288176"/>
    <s v="No change"/>
    <m/>
    <s v="First cost"/>
    <s v="Performance"/>
    <s v="No barrier identified"/>
    <s v="No barrier identified"/>
    <s v="None"/>
    <m/>
    <m/>
    <s v="TBD"/>
    <s v="TBD"/>
    <m/>
    <n v="8.7800000000000011"/>
    <s v="No"/>
    <s v="Maturity"/>
  </r>
  <r>
    <x v="2"/>
    <x v="15"/>
    <x v="13"/>
    <n v="1030.2872247506953"/>
    <x v="11"/>
    <n v="0.36969734435650309"/>
    <s v="Photocell"/>
    <n v="0.74541194796715438"/>
    <s v="PS MH"/>
    <s v="Photocontrol/Astronomical Time-switch AND Bi-level "/>
    <x v="20"/>
    <s v="Personal Tuning"/>
    <n v="164.26787346799742"/>
    <s v="Not Applicable"/>
    <n v="153.63899250288176"/>
    <s v="Not Applicable"/>
    <m/>
    <s v="First cost"/>
    <s v="Performance"/>
    <s v="Not Applicable"/>
    <s v="Not Applicable"/>
    <s v="None"/>
    <m/>
    <m/>
    <s v="TBD"/>
    <s v="TBD"/>
    <m/>
    <n v="8.7800000000000011"/>
    <s v="No"/>
    <s v="Maturity"/>
  </r>
  <r>
    <x v="2"/>
    <x v="15"/>
    <x v="13"/>
    <n v="1030.2872247506953"/>
    <x v="11"/>
    <n v="0.36969734435650309"/>
    <s v="Photocell"/>
    <n v="0.74541194796715438"/>
    <s v="PS MH"/>
    <s v="Photocontrol/Astronomical Time-switch AND Bi-level "/>
    <x v="20"/>
    <s v="Institutional Tuning"/>
    <n v="164.26787346799742"/>
    <n v="81.769903092361062"/>
    <n v="153.63899250288176"/>
    <n v="31.79940675814041"/>
    <m/>
    <s v="First cost"/>
    <s v="Performance"/>
    <s v="No barrier identified"/>
    <s v="No barrier identified"/>
    <s v="None"/>
    <m/>
    <m/>
    <s v="TBD"/>
    <s v="TBD"/>
    <m/>
    <n v="8.7800000000000011"/>
    <s v="No"/>
    <s v="Maturity"/>
  </r>
  <r>
    <x v="2"/>
    <x v="15"/>
    <x v="13"/>
    <n v="1030.2872247506953"/>
    <x v="11"/>
    <n v="0.36969734435650309"/>
    <s v="Photocell"/>
    <n v="0.74541194796715438"/>
    <s v="PS MH"/>
    <s v="Photocontrol/Astronomical Time-switch AND Bi-level "/>
    <x v="20"/>
    <s v="Multiple Measures"/>
    <n v="164.26787346799742"/>
    <n v="86.312675486381124"/>
    <n v="153.63899250288176"/>
    <n v="36.342179152160469"/>
    <m/>
    <s v="First cost"/>
    <s v="Performance"/>
    <s v="First cost"/>
    <s v="Availability"/>
    <s v="None"/>
    <m/>
    <m/>
    <s v="TBD"/>
    <s v="TBD"/>
    <m/>
    <n v="8.7800000000000011"/>
    <s v="No"/>
    <s v="Maturity"/>
  </r>
  <r>
    <x v="2"/>
    <x v="15"/>
    <x v="13"/>
    <n v="1030.2872247506953"/>
    <x v="11"/>
    <n v="0.36969734435650309"/>
    <s v="Photocell"/>
    <n v="0.74541194796715438"/>
    <s v="PS MH"/>
    <s v="Photocontrol/Astronomical Time-switch AND Bi-level "/>
    <x v="17"/>
    <s v="Occupancy"/>
    <n v="164.26787346799742"/>
    <n v="49.970496334220648"/>
    <n v="153.63899250288176"/>
    <s v="No change"/>
    <m/>
    <s v="Reliability"/>
    <s v="Performance"/>
    <s v="No barrier identified"/>
    <s v="No barrier identified"/>
    <s v="None"/>
    <m/>
    <m/>
    <s v="TBD"/>
    <s v="TBD"/>
    <m/>
    <n v="8.7800000000000011"/>
    <s v="No"/>
    <s v="Maturity"/>
  </r>
  <r>
    <x v="2"/>
    <x v="15"/>
    <x v="13"/>
    <n v="1030.2872247506953"/>
    <x v="11"/>
    <n v="0.36969734435650309"/>
    <s v="Photocell"/>
    <n v="0.74541194796715438"/>
    <s v="PS MH"/>
    <s v="Photocontrol/Astronomical Time-switch AND Bi-level "/>
    <x v="17"/>
    <s v="Daylighting"/>
    <n v="164.26787346799742"/>
    <s v="No change"/>
    <n v="153.63899250288176"/>
    <s v="No change"/>
    <m/>
    <s v="Reliability"/>
    <s v="Performance"/>
    <s v="No barrier identified"/>
    <s v="No barrier identified"/>
    <s v="None"/>
    <m/>
    <m/>
    <s v="TBD"/>
    <s v="TBD"/>
    <m/>
    <n v="8.7800000000000011"/>
    <s v="No"/>
    <s v="Maturity"/>
  </r>
  <r>
    <x v="2"/>
    <x v="15"/>
    <x v="13"/>
    <n v="1030.2872247506953"/>
    <x v="11"/>
    <n v="0.36969734435650309"/>
    <s v="Photocell"/>
    <n v="0.74541194796715438"/>
    <s v="PS MH"/>
    <s v="Photocontrol/Astronomical Time-switch AND Bi-level "/>
    <x v="17"/>
    <s v="Personal Tuning"/>
    <n v="164.26787346799742"/>
    <s v="Not Applicable"/>
    <n v="153.63899250288176"/>
    <s v="Not Applicable"/>
    <m/>
    <s v="Reliability"/>
    <s v="Performance"/>
    <s v="No barrier identified"/>
    <s v="No barrier identified"/>
    <s v="None"/>
    <m/>
    <m/>
    <s v="TBD"/>
    <s v="TBD"/>
    <m/>
    <n v="8.7800000000000011"/>
    <s v="No"/>
    <s v="Maturity"/>
  </r>
  <r>
    <x v="2"/>
    <x v="15"/>
    <x v="13"/>
    <n v="1030.2872247506953"/>
    <x v="11"/>
    <n v="0.36969734435650309"/>
    <s v="Photocell"/>
    <n v="0.74541194796715438"/>
    <s v="PS MH"/>
    <s v="Photocontrol/Astronomical Time-switch AND Bi-level "/>
    <x v="17"/>
    <s v="Institutional Tuning"/>
    <n v="164.26787346799742"/>
    <n v="81.769903092361062"/>
    <n v="153.63899250288176"/>
    <n v="31.79940675814041"/>
    <m/>
    <s v="Reliability"/>
    <s v="Performance"/>
    <s v="No barrier identified"/>
    <s v="No barrier identified"/>
    <s v="None"/>
    <m/>
    <m/>
    <s v="TBD"/>
    <s v="TBD"/>
    <m/>
    <n v="8.7800000000000011"/>
    <s v="No"/>
    <s v="Maturity"/>
  </r>
  <r>
    <x v="2"/>
    <x v="15"/>
    <x v="13"/>
    <n v="1030.2872247506953"/>
    <x v="11"/>
    <n v="0.36969734435650309"/>
    <s v="Photocell"/>
    <n v="0.74541194796715438"/>
    <s v="PS MH"/>
    <s v="Photocontrol/Astronomical Time-switch AND Bi-level "/>
    <x v="17"/>
    <s v="Multiple Measures"/>
    <n v="164.26787346799742"/>
    <n v="86.312675486381124"/>
    <n v="153.63899250288176"/>
    <n v="36.342179152160469"/>
    <m/>
    <s v="Reliability"/>
    <s v="Performance"/>
    <s v="First cost"/>
    <s v="Availability"/>
    <s v="None"/>
    <m/>
    <m/>
    <s v="TBD"/>
    <s v="TBD"/>
    <m/>
    <n v="8.7800000000000011"/>
    <s v="No"/>
    <s v="Maturity"/>
  </r>
  <r>
    <x v="2"/>
    <x v="15"/>
    <x v="13"/>
    <n v="1030.2872247506953"/>
    <x v="14"/>
    <n v="8.4309483145483866E-2"/>
    <s v="Photocell"/>
    <n v="0.92133700443216204"/>
    <s v="HPS"/>
    <s v="Photocontrol/Astronomical Time-switch AND Bi-level "/>
    <x v="20"/>
    <s v="Occupancy"/>
    <n v="51.034862129267538"/>
    <n v="14.085294243878204"/>
    <n v="51.034862129267538"/>
    <s v="No change"/>
    <m/>
    <s v="First cost"/>
    <s v="Performance"/>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20"/>
    <s v="Daylighting"/>
    <n v="51.034862129267538"/>
    <s v="No change"/>
    <n v="51.034862129267538"/>
    <s v="No change"/>
    <m/>
    <s v="First cost"/>
    <s v="Performance"/>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20"/>
    <s v="Personal Tuning"/>
    <n v="51.034862129267538"/>
    <s v="Not Applicable"/>
    <n v="51.034862129267538"/>
    <s v="Not Applicable"/>
    <m/>
    <s v="First cost"/>
    <s v="Performance"/>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20"/>
    <s v="Institutional Tuning"/>
    <n v="51.034862129267538"/>
    <n v="23.048663308164336"/>
    <n v="51.034862129267538"/>
    <n v="8.9633690642861303"/>
    <m/>
    <s v="First cost"/>
    <s v="Performance"/>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20"/>
    <s v="Multiple Measures"/>
    <n v="51.034862129267538"/>
    <n v="24.329144603062353"/>
    <n v="51.034862129267538"/>
    <n v="10.243850359184151"/>
    <m/>
    <s v="First cost"/>
    <s v="Performance"/>
    <s v="First cost"/>
    <s v="Availability"/>
    <s v="None"/>
    <m/>
    <m/>
    <s v="TBD"/>
    <s v="TBD"/>
    <m/>
    <n v="8.7800000000000011"/>
    <s v="No"/>
    <s v="Maturity"/>
  </r>
  <r>
    <x v="2"/>
    <x v="15"/>
    <x v="13"/>
    <n v="1030.2872247506953"/>
    <x v="14"/>
    <n v="8.4309483145483866E-2"/>
    <s v="Photocell"/>
    <n v="0.92133700443216204"/>
    <s v="HPS"/>
    <s v="Photocontrol/Astronomical Time-switch AND Bi-level "/>
    <x v="15"/>
    <s v="Occupancy"/>
    <n v="22.310071528495545"/>
    <n v="14.085294243878204"/>
    <n v="22.310071528495545"/>
    <s v="No change"/>
    <m/>
    <s v="First cost"/>
    <s v="No barrier identified"/>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5"/>
    <s v="Daylighting"/>
    <n v="22.310071528495545"/>
    <s v="No change"/>
    <n v="22.310071528495545"/>
    <s v="No change"/>
    <m/>
    <s v="First cost"/>
    <s v="No barrier identified"/>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5"/>
    <s v="Personal Tuning"/>
    <n v="22.310071528495545"/>
    <s v="Not Applicable"/>
    <n v="22.310071528495545"/>
    <s v="Not Applicable"/>
    <m/>
    <s v="First cost"/>
    <s v="No barrier identified"/>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5"/>
    <s v="Institutional Tuning"/>
    <n v="22.310071528495545"/>
    <n v="23.048663308164336"/>
    <n v="22.310071528495545"/>
    <n v="8.9633690642861303"/>
    <m/>
    <s v="First cost"/>
    <s v="No barrier identified"/>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5"/>
    <s v="Multiple Measures"/>
    <n v="22.310071528495545"/>
    <n v="24.329144603062353"/>
    <n v="22.310071528495545"/>
    <n v="10.243850359184151"/>
    <m/>
    <s v="First cost"/>
    <s v="No barrier identified"/>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7"/>
    <s v="Occupancy"/>
    <n v="28.402085611637542"/>
    <n v="14.085294243878204"/>
    <n v="28.402085611637542"/>
    <s v="No change"/>
    <m/>
    <s v="Reliability"/>
    <s v="Performance"/>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7"/>
    <s v="Daylighting"/>
    <n v="28.402085611637542"/>
    <s v="No change"/>
    <n v="28.402085611637542"/>
    <s v="No change"/>
    <m/>
    <s v="Reliability"/>
    <s v="Performance"/>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7"/>
    <s v="Personal Tuning"/>
    <n v="28.402085611637542"/>
    <s v="Not Applicable"/>
    <n v="28.402085611637542"/>
    <s v="Not Applicable"/>
    <m/>
    <s v="Reliability"/>
    <s v="Performance"/>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7"/>
    <s v="Institutional Tuning"/>
    <n v="28.402085611637542"/>
    <n v="23.048663308164336"/>
    <n v="28.402085611637542"/>
    <n v="8.9633690642861303"/>
    <m/>
    <s v="Reliability"/>
    <s v="Performance"/>
    <s v="No barrier identified"/>
    <s v="No barrier identified"/>
    <s v="None"/>
    <m/>
    <m/>
    <s v="TBD"/>
    <s v="TBD"/>
    <m/>
    <n v="8.7800000000000011"/>
    <s v="No"/>
    <s v="Maturity"/>
  </r>
  <r>
    <x v="2"/>
    <x v="15"/>
    <x v="13"/>
    <n v="1030.2872247506953"/>
    <x v="14"/>
    <n v="8.4309483145483866E-2"/>
    <s v="Photocell"/>
    <n v="0.92133700443216204"/>
    <s v="HPS"/>
    <s v="Photocontrol/Astronomical Time-switch AND Bi-level "/>
    <x v="17"/>
    <s v="Multiple Measures"/>
    <n v="28.402085611637542"/>
    <n v="24.329144603062353"/>
    <n v="28.402085611637542"/>
    <n v="10.243850359184151"/>
    <m/>
    <s v="Reliability"/>
    <s v="Performance"/>
    <s v="First cost"/>
    <s v="Availability"/>
    <s v="None"/>
    <m/>
    <m/>
    <s v="TBD"/>
    <s v="TBD"/>
    <m/>
    <n v="8.7800000000000011"/>
    <s v="No"/>
    <s v="Maturity"/>
  </r>
  <r>
    <x v="2"/>
    <x v="15"/>
    <x v="13"/>
    <n v="1030.2872247506953"/>
    <x v="7"/>
    <n v="7.8815955307006094E-2"/>
    <s v="Photocell"/>
    <n v="0.93767754464295872"/>
    <s v="Halogen"/>
    <s v="Photocontrol/Astronomical Time-switch AND Bi-level "/>
    <x v="10"/>
    <s v="Occupancy"/>
    <n v="54.135381239553432"/>
    <n v="13.401044278779947"/>
    <n v="51.428612177575751"/>
    <s v="No change"/>
    <m/>
    <s v="First cost"/>
    <s v="Performance"/>
    <s v="No barrier identified"/>
    <s v="No barrier identified"/>
    <s v="None"/>
    <m/>
    <m/>
    <s v="TBD"/>
    <s v="TBD"/>
    <m/>
    <n v="8.7800000000000011"/>
    <s v="No"/>
    <s v="Maturity"/>
  </r>
  <r>
    <x v="2"/>
    <x v="15"/>
    <x v="13"/>
    <n v="1030.2872247506953"/>
    <x v="7"/>
    <n v="7.8815955307006094E-2"/>
    <s v="Photocell"/>
    <n v="0.93767754464295872"/>
    <s v="Halogen"/>
    <s v="Photocontrol/Astronomical Time-switch AND Bi-level "/>
    <x v="10"/>
    <s v="Daylighting"/>
    <n v="54.135381239553432"/>
    <s v="No change"/>
    <n v="51.428612177575751"/>
    <s v="No change"/>
    <m/>
    <s v="First cost"/>
    <s v="Performance"/>
    <s v="No barrier identified"/>
    <s v="No barrier identified"/>
    <s v="None"/>
    <m/>
    <m/>
    <s v="TBD"/>
    <s v="TBD"/>
    <m/>
    <n v="8.7800000000000011"/>
    <s v="No"/>
    <s v="Maturity"/>
  </r>
  <r>
    <x v="2"/>
    <x v="15"/>
    <x v="13"/>
    <n v="1030.2872247506953"/>
    <x v="7"/>
    <n v="7.8815955307006094E-2"/>
    <s v="Photocell"/>
    <n v="0.93767754464295872"/>
    <s v="Halogen"/>
    <s v="Photocontrol/Astronomical Time-switch AND Bi-level "/>
    <x v="10"/>
    <s v="Personal Tuning"/>
    <n v="54.135381239553432"/>
    <s v="Not Applicable"/>
    <n v="51.428612177575751"/>
    <s v="Not Applicable"/>
    <m/>
    <s v="First cost"/>
    <s v="Performance"/>
    <s v="Not Applicable"/>
    <s v="Not Applicable"/>
    <s v="None"/>
    <m/>
    <m/>
    <s v="TBD"/>
    <s v="TBD"/>
    <m/>
    <n v="8.7800000000000011"/>
    <s v="No"/>
    <s v="Maturity"/>
  </r>
  <r>
    <x v="2"/>
    <x v="15"/>
    <x v="13"/>
    <n v="1030.2872247506953"/>
    <x v="7"/>
    <n v="7.8815955307006094E-2"/>
    <s v="Photocell"/>
    <n v="0.93767754464295872"/>
    <s v="Halogen"/>
    <s v="Photocontrol/Astronomical Time-switch AND Bi-level "/>
    <x v="10"/>
    <s v="Institutional Tuning"/>
    <n v="54.135381239553432"/>
    <n v="21.928981547094459"/>
    <n v="51.428612177575751"/>
    <n v="8.5279372683145098"/>
    <m/>
    <s v="First cost"/>
    <s v="Performance"/>
    <s v="No barrier identified"/>
    <s v="No barrier identified"/>
    <s v="None"/>
    <m/>
    <m/>
    <s v="TBD"/>
    <s v="TBD"/>
    <m/>
    <n v="8.7800000000000011"/>
    <s v="No"/>
    <s v="Maturity"/>
  </r>
  <r>
    <x v="2"/>
    <x v="15"/>
    <x v="13"/>
    <n v="1030.2872247506953"/>
    <x v="7"/>
    <n v="7.8815955307006094E-2"/>
    <s v="Photocell"/>
    <n v="0.93767754464295872"/>
    <s v="Halogen"/>
    <s v="Photocontrol/Astronomical Time-switch AND Bi-level "/>
    <x v="10"/>
    <s v="Multiple Measures"/>
    <n v="54.135381239553432"/>
    <n v="23.147258299710817"/>
    <n v="51.428612177575751"/>
    <n v="9.7462140209308696"/>
    <m/>
    <s v="First cost"/>
    <s v="Performance"/>
    <s v="First cost"/>
    <s v="Availability"/>
    <s v="None"/>
    <m/>
    <m/>
    <s v="TBD"/>
    <s v="TBD"/>
    <m/>
    <n v="8.7800000000000011"/>
    <s v="No"/>
    <s v="Maturity"/>
  </r>
  <r>
    <x v="2"/>
    <x v="15"/>
    <x v="13"/>
    <n v="1030.2872247506953"/>
    <x v="7"/>
    <n v="7.8815955307006094E-2"/>
    <s v="Photocell"/>
    <n v="0.93767754464295872"/>
    <s v="Halogen"/>
    <s v="Photocontrol/Astronomical Time-switch AND Bi-level "/>
    <x v="16"/>
    <s v="Occupancy"/>
    <n v="50.887258365180223"/>
    <n v="13.401044278779947"/>
    <n v="47.368458584609243"/>
    <s v="No change"/>
    <m/>
    <s v="Reliability"/>
    <s v="Performance"/>
    <s v="No barrier identified"/>
    <s v="No barrier identified"/>
    <s v="Lighting reliability - non dimming CFL on dimmer"/>
    <m/>
    <m/>
    <s v="TBD"/>
    <s v="TBD"/>
    <m/>
    <n v="8.7800000000000011"/>
    <s v="No"/>
    <s v="Maturity"/>
  </r>
  <r>
    <x v="2"/>
    <x v="15"/>
    <x v="13"/>
    <n v="1030.2872247506953"/>
    <x v="7"/>
    <n v="7.8815955307006094E-2"/>
    <s v="Photocell"/>
    <n v="0.93767754464295872"/>
    <s v="Halogen"/>
    <s v="Photocontrol/Astronomical Time-switch AND Bi-level "/>
    <x v="16"/>
    <s v="Daylighting"/>
    <n v="35.020347241514813"/>
    <s v="No change"/>
    <n v="32.754370977692325"/>
    <s v="No change"/>
    <m/>
    <s v="Reliability"/>
    <s v="Performance"/>
    <s v="No barrier identified"/>
    <s v="No barrier identified"/>
    <s v="Lighting reliability - non dimming CFL on dimmer"/>
    <m/>
    <m/>
    <s v="TBD"/>
    <s v="TBD"/>
    <m/>
    <n v="8.7800000000000011"/>
    <s v="No"/>
    <s v="Maturity"/>
  </r>
  <r>
    <x v="2"/>
    <x v="15"/>
    <x v="13"/>
    <n v="1030.2872247506953"/>
    <x v="7"/>
    <n v="7.8815955307006094E-2"/>
    <s v="Photocell"/>
    <n v="0.93767754464295872"/>
    <s v="Halogen"/>
    <s v="Photocontrol/Astronomical Time-switch AND Bi-level "/>
    <x v="16"/>
    <s v="Personal Tuning"/>
    <n v="35.020347241514813"/>
    <s v="Not Applicable"/>
    <n v="32.754370977692325"/>
    <s v="Not Applicable"/>
    <m/>
    <s v="Reliability"/>
    <s v="Performance"/>
    <s v="No barrier identified"/>
    <s v="No barrier identified"/>
    <s v="Lighting reliability - non dimming CFL on dimmer"/>
    <m/>
    <m/>
    <s v="TBD"/>
    <s v="TBD"/>
    <m/>
    <n v="8.7800000000000011"/>
    <s v="No"/>
    <s v="Maturity"/>
  </r>
  <r>
    <x v="2"/>
    <x v="15"/>
    <x v="13"/>
    <n v="1030.2872247506953"/>
    <x v="7"/>
    <n v="7.8815955307006094E-2"/>
    <s v="Photocell"/>
    <n v="0.93767754464295872"/>
    <s v="Halogen"/>
    <s v="Photocontrol/Astronomical Time-switch AND Bi-level "/>
    <x v="16"/>
    <s v="Institutional Tuning"/>
    <n v="35.020347241514813"/>
    <n v="21.928981547094459"/>
    <n v="32.754370977692325"/>
    <n v="8.5279372683145098"/>
    <m/>
    <s v="Reliability"/>
    <s v="Performance"/>
    <s v="No barrier identified"/>
    <s v="No barrier identified"/>
    <s v="Lighting reliability - non dimming CFL on dimmer"/>
    <m/>
    <m/>
    <s v="TBD"/>
    <s v="TBD"/>
    <m/>
    <n v="8.7800000000000011"/>
    <s v="No"/>
    <s v="Maturity"/>
  </r>
  <r>
    <x v="2"/>
    <x v="15"/>
    <x v="13"/>
    <n v="1030.2872247506953"/>
    <x v="7"/>
    <n v="7.8815955307006094E-2"/>
    <s v="Photocell"/>
    <n v="0.93767754464295872"/>
    <s v="Halogen"/>
    <s v="Photocontrol/Astronomical Time-switch AND Bi-level "/>
    <x v="16"/>
    <s v="Multiple Measures"/>
    <n v="35.020347241514813"/>
    <n v="23.147258299710817"/>
    <n v="32.754370977692325"/>
    <n v="9.7462140209308696"/>
    <m/>
    <s v="Reliability"/>
    <s v="Performance"/>
    <s v="First cost"/>
    <s v="Availability"/>
    <s v="Lighting reliability - non dimming CFL on dimmer"/>
    <m/>
    <m/>
    <s v="TBD"/>
    <s v="TBD"/>
    <m/>
    <n v="8.7800000000000011"/>
    <s v="No"/>
    <s v="Maturity"/>
  </r>
  <r>
    <x v="2"/>
    <x v="15"/>
    <x v="13"/>
    <n v="1030.2872247506953"/>
    <x v="9"/>
    <n v="0.26136866221368937"/>
    <s v="Photocell"/>
    <n v="0.75230806402488315"/>
    <s v="Halogen"/>
    <s v="Photocontrol/Astronomical Time-switch AND Bi-level "/>
    <x v="10"/>
    <s v="Occupancy"/>
    <n v="49.714115746881959"/>
    <n v="35.654981430874258"/>
    <n v="49.714115746881959"/>
    <s v="No change"/>
    <m/>
    <m/>
    <m/>
    <m/>
    <m/>
    <m/>
    <m/>
    <m/>
    <s v="TBD"/>
    <s v="TBD"/>
    <m/>
    <n v="8.7800000000000011"/>
    <s v="No"/>
    <s v="Growth"/>
  </r>
  <r>
    <x v="2"/>
    <x v="15"/>
    <x v="13"/>
    <n v="1030.2872247506953"/>
    <x v="9"/>
    <n v="0.26136866221368937"/>
    <s v="Photocell"/>
    <n v="0.75230806402488315"/>
    <s v="Halogen"/>
    <s v="Photocontrol/Astronomical Time-switch AND Bi-level "/>
    <x v="10"/>
    <s v="Daylighting"/>
    <n v="49.714115746881959"/>
    <s v="No change"/>
    <n v="49.714115746881959"/>
    <s v="No change"/>
    <m/>
    <m/>
    <m/>
    <m/>
    <m/>
    <m/>
    <m/>
    <m/>
    <s v="TBD"/>
    <s v="TBD"/>
    <m/>
    <n v="8.7800000000000011"/>
    <s v="No"/>
    <s v="Growth"/>
  </r>
  <r>
    <x v="2"/>
    <x v="15"/>
    <x v="13"/>
    <n v="1030.2872247506953"/>
    <x v="9"/>
    <n v="0.26136866221368937"/>
    <s v="Photocell"/>
    <n v="0.75230806402488315"/>
    <s v="Halogen"/>
    <s v="Photocontrol/Astronomical Time-switch AND Bi-level "/>
    <x v="10"/>
    <s v="Personal Tuning"/>
    <n v="49.714115746881959"/>
    <s v="Not Applicable"/>
    <n v="49.714115746881959"/>
    <s v="Not Applicable"/>
    <m/>
    <m/>
    <m/>
    <m/>
    <m/>
    <m/>
    <m/>
    <m/>
    <s v="TBD"/>
    <s v="TBD"/>
    <m/>
    <n v="8.7800000000000011"/>
    <s v="No"/>
    <s v="Growth"/>
  </r>
  <r>
    <x v="2"/>
    <x v="15"/>
    <x v="13"/>
    <n v="1030.2872247506953"/>
    <x v="9"/>
    <n v="0.26136866221368937"/>
    <s v="Photocell"/>
    <n v="0.75230806402488315"/>
    <s v="Halogen"/>
    <s v="Photocontrol/Astronomical Time-switch AND Bi-level "/>
    <x v="10"/>
    <s v="Institutional Tuning"/>
    <n v="49.714115746881959"/>
    <n v="58.34451506870333"/>
    <n v="49.714115746881959"/>
    <n v="22.689533637829069"/>
    <m/>
    <m/>
    <m/>
    <m/>
    <m/>
    <m/>
    <m/>
    <m/>
    <s v="TBD"/>
    <s v="TBD"/>
    <m/>
    <n v="8.7800000000000011"/>
    <s v="No"/>
    <s v="Growth"/>
  </r>
  <r>
    <x v="2"/>
    <x v="15"/>
    <x v="13"/>
    <n v="1030.2872247506953"/>
    <x v="9"/>
    <n v="0.26136866221368937"/>
    <s v="Photocell"/>
    <n v="0.75230806402488315"/>
    <s v="Halogen"/>
    <s v="Photocontrol/Astronomical Time-switch AND Bi-level "/>
    <x v="10"/>
    <s v="Multiple Measures"/>
    <n v="49.714115746881959"/>
    <n v="61.585877016964623"/>
    <n v="49.714115746881959"/>
    <n v="25.930895586090365"/>
    <m/>
    <m/>
    <m/>
    <m/>
    <m/>
    <m/>
    <m/>
    <m/>
    <s v="TBD"/>
    <s v="TBD"/>
    <m/>
    <n v="8.7800000000000011"/>
    <s v="No"/>
    <s v="Growth"/>
  </r>
  <r>
    <x v="2"/>
    <x v="16"/>
    <x v="14"/>
    <n v="1172.6465212572155"/>
    <x v="14"/>
    <n v="0.82938969822302078"/>
    <s v="Photocell"/>
    <n v="1"/>
    <s v="HPS"/>
    <s v="Photocell"/>
    <x v="15"/>
    <s v="Occupancy"/>
    <n v="249.79973729539208"/>
    <s v="Not Applicable"/>
    <n v="249.79973729539208"/>
    <s v="Not Applicable"/>
    <m/>
    <s v="First cost"/>
    <s v="No barrier identified"/>
    <s v="No barrier identified"/>
    <s v="No barrier identified"/>
    <s v="None"/>
    <m/>
    <m/>
    <s v="TBD"/>
    <s v="TBD"/>
    <m/>
    <n v="12"/>
    <s v="No"/>
    <s v="Growth"/>
  </r>
  <r>
    <x v="2"/>
    <x v="16"/>
    <x v="14"/>
    <n v="1172.6465212572155"/>
    <x v="14"/>
    <n v="0.82938969822302078"/>
    <s v="Photocell"/>
    <n v="1"/>
    <s v="HPS"/>
    <s v="Photocell"/>
    <x v="15"/>
    <s v="Daylighting"/>
    <n v="249.79973729539208"/>
    <s v="No change"/>
    <n v="249.79973729539208"/>
    <s v="No change"/>
    <m/>
    <s v="First cost"/>
    <s v="No barrier identified"/>
    <s v="No barrier identified"/>
    <s v="No barrier identified"/>
    <s v="None"/>
    <m/>
    <m/>
    <s v="TBD"/>
    <s v="TBD"/>
    <m/>
    <n v="12"/>
    <s v="No"/>
    <s v="Growth"/>
  </r>
  <r>
    <x v="2"/>
    <x v="16"/>
    <x v="14"/>
    <n v="1172.6465212572155"/>
    <x v="14"/>
    <n v="0.82938969822302078"/>
    <s v="Photocell"/>
    <n v="1"/>
    <s v="HPS"/>
    <s v="Photocell"/>
    <x v="15"/>
    <s v="Personal Tuning"/>
    <n v="249.79973729539208"/>
    <s v="Not Applicable"/>
    <n v="249.79973729539208"/>
    <s v="Not Applicable"/>
    <m/>
    <s v="First cost"/>
    <s v="No barrier identified"/>
    <s v="No barrier identified"/>
    <s v="No barrier identified"/>
    <s v="None"/>
    <m/>
    <m/>
    <s v="TBD"/>
    <s v="TBD"/>
    <m/>
    <n v="12"/>
    <s v="No"/>
    <s v="Growth"/>
  </r>
  <r>
    <x v="2"/>
    <x v="16"/>
    <x v="14"/>
    <n v="1172.6465212572155"/>
    <x v="14"/>
    <n v="0.82938969822302078"/>
    <s v="Photocell"/>
    <n v="1"/>
    <s v="HPS"/>
    <s v="Photocell"/>
    <x v="15"/>
    <s v="Institutional Tuning"/>
    <n v="249.79973729539208"/>
    <n v="280.10331198368556"/>
    <n v="249.79973729539208"/>
    <n v="280.10331198368556"/>
    <m/>
    <s v="First cost"/>
    <s v="No barrier identified"/>
    <s v="No barrier identified"/>
    <s v="No barrier identified"/>
    <s v="None"/>
    <m/>
    <m/>
    <s v="TBD"/>
    <s v="TBD"/>
    <m/>
    <n v="12"/>
    <s v="No"/>
    <s v="Growth"/>
  </r>
  <r>
    <x v="2"/>
    <x v="16"/>
    <x v="14"/>
    <n v="1172.6465212572155"/>
    <x v="14"/>
    <n v="0.82938969822302078"/>
    <s v="Photocell"/>
    <n v="1"/>
    <s v="HPS"/>
    <s v="Photocell"/>
    <x v="15"/>
    <s v="Multiple Measures"/>
    <n v="249.79973729539208"/>
    <n v="295.66460709389031"/>
    <n v="249.79973729539208"/>
    <n v="295.66460709389031"/>
    <m/>
    <s v="First cost"/>
    <s v="No barrier identified"/>
    <s v="No barrier identified"/>
    <s v="No barrier identified"/>
    <s v="None"/>
    <m/>
    <m/>
    <s v="TBD"/>
    <s v="TBD"/>
    <m/>
    <n v="12"/>
    <s v="No"/>
    <s v="Growth"/>
  </r>
  <r>
    <x v="2"/>
    <x v="16"/>
    <x v="14"/>
    <n v="1172.6465212572155"/>
    <x v="14"/>
    <n v="0.82938969822302078"/>
    <s v="Photocell"/>
    <n v="1"/>
    <s v="HPS"/>
    <s v="Photocell"/>
    <x v="17"/>
    <s v="Occupancy"/>
    <n v="318.01034413387765"/>
    <s v="Not Applicable"/>
    <n v="318.01034413387765"/>
    <s v="Not Applicable"/>
    <m/>
    <s v="Reliability"/>
    <s v="Performance"/>
    <s v="No barrier identified"/>
    <s v="No barrier identified"/>
    <s v="None"/>
    <m/>
    <m/>
    <s v="TBD"/>
    <s v="TBD"/>
    <m/>
    <n v="12"/>
    <s v="No"/>
    <s v="Growth"/>
  </r>
  <r>
    <x v="2"/>
    <x v="16"/>
    <x v="14"/>
    <n v="1172.6465212572155"/>
    <x v="14"/>
    <n v="0.82938969822302078"/>
    <s v="Photocell"/>
    <n v="1"/>
    <s v="HPS"/>
    <s v="Photocell"/>
    <x v="17"/>
    <s v="Daylighting"/>
    <n v="318.01034413387765"/>
    <s v="No change"/>
    <n v="318.01034413387765"/>
    <s v="No change"/>
    <m/>
    <s v="Reliability"/>
    <s v="Performance"/>
    <s v="No barrier identified"/>
    <s v="No barrier identified"/>
    <s v="None"/>
    <m/>
    <m/>
    <s v="TBD"/>
    <s v="TBD"/>
    <m/>
    <n v="12"/>
    <s v="No"/>
    <s v="Growth"/>
  </r>
  <r>
    <x v="2"/>
    <x v="16"/>
    <x v="14"/>
    <n v="1172.6465212572155"/>
    <x v="14"/>
    <n v="0.82938969822302078"/>
    <s v="Photocell"/>
    <n v="1"/>
    <s v="HPS"/>
    <s v="Photocell"/>
    <x v="17"/>
    <s v="Personal Tuning"/>
    <n v="318.01034413387765"/>
    <s v="Not Applicable"/>
    <n v="318.01034413387765"/>
    <s v="Not Applicable"/>
    <m/>
    <s v="Reliability"/>
    <s v="Performance"/>
    <s v="No barrier identified"/>
    <s v="No barrier identified"/>
    <s v="None"/>
    <m/>
    <m/>
    <s v="TBD"/>
    <s v="TBD"/>
    <m/>
    <n v="12"/>
    <s v="No"/>
    <s v="Growth"/>
  </r>
  <r>
    <x v="2"/>
    <x v="16"/>
    <x v="14"/>
    <n v="1172.6465212572155"/>
    <x v="14"/>
    <n v="0.82938969822302078"/>
    <s v="Photocell"/>
    <n v="1"/>
    <s v="HPS"/>
    <s v="Photocell"/>
    <x v="17"/>
    <s v="Institutional Tuning"/>
    <n v="318.01034413387765"/>
    <n v="280.10331198368556"/>
    <n v="318.01034413387765"/>
    <n v="280.10331198368556"/>
    <m/>
    <s v="Reliability"/>
    <s v="Performance"/>
    <s v="No barrier identified"/>
    <s v="No barrier identified"/>
    <s v="None"/>
    <m/>
    <m/>
    <s v="TBD"/>
    <s v="TBD"/>
    <m/>
    <n v="12"/>
    <s v="No"/>
    <s v="Growth"/>
  </r>
  <r>
    <x v="2"/>
    <x v="16"/>
    <x v="14"/>
    <n v="1172.6465212572155"/>
    <x v="14"/>
    <n v="0.82938969822302078"/>
    <s v="Photocell"/>
    <n v="1"/>
    <s v="HPS"/>
    <s v="Photocell"/>
    <x v="17"/>
    <s v="Multiple Measures"/>
    <n v="318.01034413387765"/>
    <n v="295.66460709389031"/>
    <n v="318.01034413387765"/>
    <n v="295.66460709389031"/>
    <m/>
    <s v="Reliability"/>
    <s v="Performance"/>
    <s v="No barrier identified"/>
    <s v="No barrier identified"/>
    <s v="None"/>
    <m/>
    <m/>
    <s v="TBD"/>
    <s v="TBD"/>
    <m/>
    <n v="12"/>
    <s v="No"/>
    <s v="Growth"/>
  </r>
  <r>
    <x v="2"/>
    <x v="16"/>
    <x v="14"/>
    <n v="1172.6465212572155"/>
    <x v="14"/>
    <n v="0.82938969822302078"/>
    <s v="Photocell"/>
    <n v="1"/>
    <s v="HPS"/>
    <s v="Photocell"/>
    <x v="10"/>
    <s v="Occupancy"/>
    <n v="571.42332047275454"/>
    <s v="Not Applicable"/>
    <n v="571.42332047275454"/>
    <s v="Not Applicable"/>
    <m/>
    <s v="First cost"/>
    <s v="Availability"/>
    <s v="No barrier identified"/>
    <s v="No barrier identified"/>
    <s v="None"/>
    <m/>
    <m/>
    <s v="TBD"/>
    <s v="TBD"/>
    <m/>
    <n v="12"/>
    <s v="No"/>
    <s v="Growth"/>
  </r>
  <r>
    <x v="2"/>
    <x v="16"/>
    <x v="14"/>
    <n v="1172.6465212572155"/>
    <x v="14"/>
    <n v="0.82938969822302078"/>
    <s v="Photocell"/>
    <n v="1"/>
    <s v="HPS"/>
    <s v="Photocell"/>
    <x v="10"/>
    <s v="Daylighting"/>
    <n v="571.42332047275454"/>
    <s v="No change"/>
    <n v="571.42332047275454"/>
    <s v="No change"/>
    <m/>
    <s v="First cost"/>
    <s v="Availability"/>
    <s v="No barrier identified"/>
    <s v="No barrier identified"/>
    <s v="None"/>
    <m/>
    <m/>
    <s v="TBD"/>
    <s v="TBD"/>
    <m/>
    <n v="12"/>
    <s v="No"/>
    <s v="Growth"/>
  </r>
  <r>
    <x v="2"/>
    <x v="16"/>
    <x v="14"/>
    <n v="1172.6465212572155"/>
    <x v="14"/>
    <n v="0.82938969822302078"/>
    <s v="Photocell"/>
    <n v="1"/>
    <s v="HPS"/>
    <s v="Photocell"/>
    <x v="10"/>
    <s v="Personal Tuning"/>
    <n v="571.42332047275454"/>
    <s v="Not Applicable"/>
    <n v="571.42332047275454"/>
    <s v="Not Applicable"/>
    <m/>
    <s v="First cost"/>
    <s v="Availability"/>
    <s v="No barrier identified"/>
    <s v="No barrier identified"/>
    <s v="None"/>
    <m/>
    <m/>
    <s v="TBD"/>
    <s v="TBD"/>
    <m/>
    <n v="12"/>
    <s v="No"/>
    <s v="Growth"/>
  </r>
  <r>
    <x v="2"/>
    <x v="16"/>
    <x v="14"/>
    <n v="1172.6465212572155"/>
    <x v="14"/>
    <n v="0.82938969822302078"/>
    <s v="Photocell"/>
    <n v="1"/>
    <s v="HPS"/>
    <s v="Photocell"/>
    <x v="10"/>
    <s v="Institutional Tuning"/>
    <n v="571.42332047275454"/>
    <n v="280.10331198368556"/>
    <n v="571.42332047275454"/>
    <n v="280.10331198368556"/>
    <m/>
    <s v="First cost"/>
    <s v="Availability"/>
    <s v="No barrier identified"/>
    <s v="No barrier identified"/>
    <s v="None"/>
    <m/>
    <m/>
    <s v="TBD"/>
    <s v="TBD"/>
    <m/>
    <n v="12"/>
    <s v="No"/>
    <s v="Growth"/>
  </r>
  <r>
    <x v="2"/>
    <x v="16"/>
    <x v="14"/>
    <n v="1172.6465212572155"/>
    <x v="14"/>
    <n v="0.82938969822302078"/>
    <s v="Photocell"/>
    <n v="1"/>
    <s v="HPS"/>
    <s v="Photocell"/>
    <x v="10"/>
    <s v="Multiple Measures"/>
    <n v="571.42332047275454"/>
    <n v="295.66460709389031"/>
    <n v="571.42332047275454"/>
    <n v="295.66460709389031"/>
    <m/>
    <s v="First cost"/>
    <s v="Availability"/>
    <s v="No barrier identified"/>
    <s v="No barrier identified"/>
    <s v="None"/>
    <m/>
    <m/>
    <s v="TBD"/>
    <s v="TBD"/>
    <m/>
    <n v="12"/>
    <s v="No"/>
    <s v="Growth"/>
  </r>
  <r>
    <x v="2"/>
    <x v="16"/>
    <x v="14"/>
    <n v="1172.6465212572155"/>
    <x v="11"/>
    <n v="9.687644704336465E-2"/>
    <s v="Photocell"/>
    <n v="1"/>
    <s v="PS MH"/>
    <s v="Photocell"/>
    <x v="15"/>
    <s v="Occupancy"/>
    <n v="21.971342677604653"/>
    <s v="Not Applicable"/>
    <n v="17.964940339457925"/>
    <s v="Not Applicable"/>
    <m/>
    <s v="Performance"/>
    <s v="No barrier identified"/>
    <s v="No barrier identified"/>
    <s v="No barrier identified"/>
    <s v="no control retro"/>
    <m/>
    <m/>
    <s v="TBD"/>
    <s v="TBD"/>
    <m/>
    <n v="12"/>
    <s v="No"/>
    <s v="Growth"/>
  </r>
  <r>
    <x v="2"/>
    <x v="16"/>
    <x v="14"/>
    <n v="1172.6465212572155"/>
    <x v="11"/>
    <n v="9.687644704336465E-2"/>
    <s v="Photocell"/>
    <n v="1"/>
    <s v="PS MH"/>
    <s v="Photocell"/>
    <x v="15"/>
    <s v="Daylighting"/>
    <n v="21.971342677604653"/>
    <s v="No change"/>
    <n v="17.964940339457925"/>
    <s v="No change"/>
    <m/>
    <s v="Performance"/>
    <s v="No barrier identified"/>
    <s v="No barrier identified"/>
    <s v="No barrier identified"/>
    <s v="no control retro"/>
    <m/>
    <m/>
    <s v="TBD"/>
    <s v="TBD"/>
    <m/>
    <n v="12"/>
    <s v="No"/>
    <s v="Growth"/>
  </r>
  <r>
    <x v="2"/>
    <x v="16"/>
    <x v="14"/>
    <n v="1172.6465212572155"/>
    <x v="11"/>
    <n v="9.687644704336465E-2"/>
    <s v="Photocell"/>
    <n v="1"/>
    <s v="PS MH"/>
    <s v="Photocell"/>
    <x v="15"/>
    <s v="Personal Tuning"/>
    <n v="21.971342677604653"/>
    <s v="Not Applicable"/>
    <n v="17.964940339457925"/>
    <s v="Not Applicable"/>
    <m/>
    <s v="Performance"/>
    <s v="No barrier identified"/>
    <s v="No barrier identified"/>
    <s v="No barrier identified"/>
    <s v="no control retro"/>
    <m/>
    <m/>
    <s v="TBD"/>
    <s v="TBD"/>
    <m/>
    <n v="12"/>
    <s v="No"/>
    <s v="Growth"/>
  </r>
  <r>
    <x v="2"/>
    <x v="16"/>
    <x v="14"/>
    <n v="1172.6465212572155"/>
    <x v="11"/>
    <n v="9.687644704336465E-2"/>
    <s v="Photocell"/>
    <n v="1"/>
    <s v="PS MH"/>
    <s v="Photocell"/>
    <x v="15"/>
    <s v="Institutional Tuning"/>
    <n v="21.971342677604653"/>
    <n v="32.717326641742197"/>
    <n v="17.964940339457925"/>
    <n v="32.717326641742197"/>
    <m/>
    <s v="Performance"/>
    <s v="No barrier identified"/>
    <s v="No barrier identified"/>
    <s v="No barrier identified"/>
    <s v="no control retro"/>
    <m/>
    <m/>
    <s v="TBD"/>
    <s v="TBD"/>
    <m/>
    <n v="12"/>
    <s v="No"/>
    <s v="Growth"/>
  </r>
  <r>
    <x v="2"/>
    <x v="16"/>
    <x v="14"/>
    <n v="1172.6465212572155"/>
    <x v="11"/>
    <n v="9.687644704336465E-2"/>
    <s v="Photocell"/>
    <n v="1"/>
    <s v="PS MH"/>
    <s v="Photocell"/>
    <x v="15"/>
    <s v="Multiple Measures"/>
    <n v="21.971342677604653"/>
    <n v="34.534955899616762"/>
    <n v="17.964940339457925"/>
    <n v="34.534955899616762"/>
    <m/>
    <s v="Performance"/>
    <s v="No barrier identified"/>
    <s v="No barrier identified"/>
    <s v="No barrier identified"/>
    <s v="no control retro"/>
    <m/>
    <m/>
    <s v="TBD"/>
    <s v="TBD"/>
    <m/>
    <n v="12"/>
    <s v="No"/>
    <s v="Growth"/>
  </r>
  <r>
    <x v="2"/>
    <x v="16"/>
    <x v="14"/>
    <n v="1172.6465212572155"/>
    <x v="11"/>
    <n v="9.687644704336465E-2"/>
    <s v="Photocell"/>
    <n v="1"/>
    <s v="PS MH"/>
    <s v="Photocell"/>
    <x v="17"/>
    <s v="Occupancy"/>
    <n v="12.444182897802689"/>
    <s v="Not Applicable"/>
    <n v="12.444182897802689"/>
    <s v="Not Applicable"/>
    <m/>
    <s v="Reliability"/>
    <s v="Performance"/>
    <s v="No barrier identified"/>
    <s v="No barrier identified"/>
    <s v="None"/>
    <m/>
    <m/>
    <s v="TBD"/>
    <s v="TBD"/>
    <m/>
    <n v="12"/>
    <s v="No"/>
    <s v="Growth"/>
  </r>
  <r>
    <x v="2"/>
    <x v="16"/>
    <x v="14"/>
    <n v="1172.6465212572155"/>
    <x v="11"/>
    <n v="9.687644704336465E-2"/>
    <s v="Photocell"/>
    <n v="1"/>
    <s v="PS MH"/>
    <s v="Photocell"/>
    <x v="17"/>
    <s v="Daylighting"/>
    <n v="12.444182897802689"/>
    <s v="No change"/>
    <n v="12.444182897802689"/>
    <s v="No change"/>
    <m/>
    <s v="Reliability"/>
    <s v="Performance"/>
    <s v="No barrier identified"/>
    <s v="No barrier identified"/>
    <s v="None"/>
    <m/>
    <m/>
    <s v="TBD"/>
    <s v="TBD"/>
    <m/>
    <n v="12"/>
    <s v="No"/>
    <s v="Growth"/>
  </r>
  <r>
    <x v="2"/>
    <x v="16"/>
    <x v="14"/>
    <n v="1172.6465212572155"/>
    <x v="11"/>
    <n v="9.687644704336465E-2"/>
    <s v="Photocell"/>
    <n v="1"/>
    <s v="PS MH"/>
    <s v="Photocell"/>
    <x v="17"/>
    <s v="Personal Tuning"/>
    <n v="12.444182897802689"/>
    <s v="Not Applicable"/>
    <n v="12.444182897802689"/>
    <s v="Not Applicable"/>
    <m/>
    <s v="Reliability"/>
    <s v="Performance"/>
    <s v="No barrier identified"/>
    <s v="No barrier identified"/>
    <s v="None"/>
    <m/>
    <m/>
    <s v="TBD"/>
    <s v="TBD"/>
    <m/>
    <n v="12"/>
    <s v="No"/>
    <s v="Growth"/>
  </r>
  <r>
    <x v="2"/>
    <x v="16"/>
    <x v="14"/>
    <n v="1172.6465212572155"/>
    <x v="11"/>
    <n v="9.687644704336465E-2"/>
    <s v="Photocell"/>
    <n v="1"/>
    <s v="PS MH"/>
    <s v="Photocell"/>
    <x v="17"/>
    <s v="Institutional Tuning"/>
    <n v="12.444182897802689"/>
    <n v="32.717326641742197"/>
    <n v="12.444182897802689"/>
    <n v="32.717326641742197"/>
    <m/>
    <s v="Reliability"/>
    <s v="Performance"/>
    <s v="No barrier identified"/>
    <s v="No barrier identified"/>
    <s v="None"/>
    <m/>
    <m/>
    <s v="TBD"/>
    <s v="TBD"/>
    <m/>
    <n v="12"/>
    <s v="No"/>
    <s v="Growth"/>
  </r>
  <r>
    <x v="2"/>
    <x v="16"/>
    <x v="14"/>
    <n v="1172.6465212572155"/>
    <x v="11"/>
    <n v="9.687644704336465E-2"/>
    <s v="Photocell"/>
    <n v="1"/>
    <s v="PS MH"/>
    <s v="Photocell"/>
    <x v="17"/>
    <s v="Multiple Measures"/>
    <n v="12.444182897802689"/>
    <n v="34.534955899616762"/>
    <n v="12.444182897802689"/>
    <n v="34.534955899616762"/>
    <m/>
    <s v="Reliability"/>
    <s v="Performance"/>
    <s v="First cost"/>
    <s v="Availability"/>
    <s v="None"/>
    <m/>
    <m/>
    <s v="TBD"/>
    <s v="TBD"/>
    <m/>
    <n v="12"/>
    <s v="No"/>
    <s v="Growth"/>
  </r>
  <r>
    <x v="2"/>
    <x v="16"/>
    <x v="14"/>
    <n v="1172.6465212572155"/>
    <x v="11"/>
    <n v="9.687644704336465E-2"/>
    <s v="Photocell"/>
    <n v="1"/>
    <s v="PS MH"/>
    <s v="Photocell"/>
    <x v="21"/>
    <s v="Occupancy"/>
    <n v="48.992918547907145"/>
    <s v="Not Applicable"/>
    <n v="45.822853163936841"/>
    <s v="Not Applicable"/>
    <m/>
    <s v="First cost"/>
    <s v="Availability"/>
    <s v="No barrier identified"/>
    <s v="No barrier identified"/>
    <s v="no control retro"/>
    <m/>
    <m/>
    <s v="TBD"/>
    <s v="TBD"/>
    <m/>
    <n v="12"/>
    <s v="No"/>
    <s v="Growth"/>
  </r>
  <r>
    <x v="2"/>
    <x v="16"/>
    <x v="14"/>
    <n v="1172.6465212572155"/>
    <x v="11"/>
    <n v="9.687644704336465E-2"/>
    <s v="Photocell"/>
    <n v="1"/>
    <s v="PS MH"/>
    <s v="Photocell"/>
    <x v="21"/>
    <s v="Daylighting"/>
    <n v="48.992918547907145"/>
    <s v="No change"/>
    <n v="45.822853163936841"/>
    <s v="No change"/>
    <m/>
    <s v="First cost"/>
    <s v="Availability"/>
    <s v="No barrier identified"/>
    <s v="No barrier identified"/>
    <s v="no control retro"/>
    <m/>
    <m/>
    <s v="TBD"/>
    <s v="TBD"/>
    <m/>
    <n v="12"/>
    <s v="No"/>
    <s v="Growth"/>
  </r>
  <r>
    <x v="2"/>
    <x v="16"/>
    <x v="14"/>
    <n v="1172.6465212572155"/>
    <x v="11"/>
    <n v="9.687644704336465E-2"/>
    <s v="Photocell"/>
    <n v="1"/>
    <s v="PS MH"/>
    <s v="Photocell"/>
    <x v="21"/>
    <s v="Personal Tuning"/>
    <n v="48.992918547907145"/>
    <s v="Not Applicable"/>
    <n v="45.822853163936841"/>
    <s v="Not Applicable"/>
    <m/>
    <s v="First cost"/>
    <s v="Availability"/>
    <s v="No barrier identified"/>
    <s v="No barrier identified"/>
    <s v="no control retro"/>
    <m/>
    <m/>
    <s v="TBD"/>
    <s v="TBD"/>
    <m/>
    <n v="12"/>
    <s v="No"/>
    <s v="Growth"/>
  </r>
  <r>
    <x v="2"/>
    <x v="16"/>
    <x v="14"/>
    <n v="1172.6465212572155"/>
    <x v="11"/>
    <n v="9.687644704336465E-2"/>
    <s v="Photocell"/>
    <n v="1"/>
    <s v="PS MH"/>
    <s v="Photocell"/>
    <x v="21"/>
    <s v="Institutional Tuning"/>
    <n v="48.992918547907145"/>
    <n v="32.717326641742197"/>
    <n v="45.822853163936841"/>
    <n v="32.717326641742197"/>
    <m/>
    <s v="First cost"/>
    <s v="Availability"/>
    <s v="No barrier identified"/>
    <s v="No barrier identified"/>
    <s v="no control retro"/>
    <m/>
    <m/>
    <s v="TBD"/>
    <s v="TBD"/>
    <m/>
    <n v="12"/>
    <s v="No"/>
    <s v="Growth"/>
  </r>
  <r>
    <x v="2"/>
    <x v="16"/>
    <x v="14"/>
    <n v="1172.6465212572155"/>
    <x v="11"/>
    <n v="9.687644704336465E-2"/>
    <s v="Photocell"/>
    <n v="1"/>
    <s v="PS MH"/>
    <s v="Photocell"/>
    <x v="21"/>
    <s v="Multiple Measures"/>
    <n v="48.992918547907145"/>
    <n v="34.534955899616762"/>
    <n v="45.822853163936841"/>
    <n v="34.534955899616762"/>
    <m/>
    <s v="First cost"/>
    <s v="Availability"/>
    <s v="No barrier identified"/>
    <s v="No barrier identified"/>
    <s v="no control retro"/>
    <m/>
    <m/>
    <s v="TBD"/>
    <s v="TBD"/>
    <m/>
    <n v="12"/>
    <s v="No"/>
    <s v="Growth"/>
  </r>
  <r>
    <x v="2"/>
    <x v="16"/>
    <x v="15"/>
    <n v="18.654478742784612"/>
    <x v="15"/>
    <n v="0.35"/>
    <s v="Not Controlled"/>
    <n v="0.99"/>
    <s v="LED Traffic Signals"/>
    <s v="Not Controlled"/>
    <x v="22"/>
    <s v="Not Controlled"/>
    <n v="4.3527117066497425"/>
    <s v="Not Applicable"/>
    <n v="0"/>
    <s v="Not Applicable"/>
    <m/>
    <s v="First cost"/>
    <s v="No barrier identified"/>
    <s v="No barrier identified"/>
    <s v="No barrier identified"/>
    <s v="None"/>
    <m/>
    <m/>
    <s v="TBD"/>
    <s v="TBD"/>
    <m/>
    <n v="24"/>
    <s v="Yes"/>
    <s v="Growth"/>
  </r>
  <r>
    <x v="2"/>
    <x v="16"/>
    <x v="16"/>
    <n v="86.066523995226561"/>
    <x v="16"/>
    <n v="0.52104664391353805"/>
    <s v="Manual Switch / Schedule"/>
    <n v="1"/>
    <s v="Fluorescent Signs"/>
    <s v="Photocell / timeswitch"/>
    <x v="23"/>
    <s v="Occupancy"/>
    <n v="9.1824807603986773"/>
    <s v="Not Applicable"/>
    <n v="9.1824807603986773"/>
    <s v="Not Applicable"/>
    <m/>
    <s v="No barrier identified"/>
    <s v="No barrier identified"/>
    <s v="No barrier identified"/>
    <s v="No barrier identified"/>
    <s v="None"/>
    <m/>
    <m/>
    <s v="TBD"/>
    <s v="TBD"/>
    <m/>
    <n v="12"/>
    <s v="No"/>
    <s v="Growth"/>
  </r>
  <r>
    <x v="2"/>
    <x v="16"/>
    <x v="16"/>
    <n v="86.066523995226561"/>
    <x v="16"/>
    <n v="0.52104664391353805"/>
    <s v="Manual Switch / Schedule"/>
    <n v="1"/>
    <s v="Fluorescent Signs"/>
    <s v="Photocell / timeswitch"/>
    <x v="23"/>
    <s v="Daylighting"/>
    <n v="9.1824807603986773"/>
    <s v="No change"/>
    <n v="9.1824807603986773"/>
    <s v="No change"/>
    <m/>
    <s v="No barrier identified"/>
    <s v="No barrier identified"/>
    <s v="No barrier identified"/>
    <s v="No barrier identified"/>
    <s v="None"/>
    <m/>
    <m/>
    <s v="TBD"/>
    <s v="TBD"/>
    <m/>
    <n v="12"/>
    <s v="No"/>
    <s v="Growth"/>
  </r>
  <r>
    <x v="2"/>
    <x v="16"/>
    <x v="16"/>
    <n v="86.066523995226561"/>
    <x v="16"/>
    <n v="0.52104664391353805"/>
    <s v="Manual Switch / Schedule"/>
    <n v="1"/>
    <s v="Fluorescent Signs"/>
    <s v="Photocell / timeswitch"/>
    <x v="23"/>
    <s v="Personal Tuning"/>
    <n v="9.1824807603986773"/>
    <s v="Not Applicable"/>
    <n v="9.1824807603986773"/>
    <s v="Not Applicable"/>
    <m/>
    <s v="No barrier identified"/>
    <s v="No barrier identified"/>
    <s v="No barrier identified"/>
    <s v="No barrier identified"/>
    <s v="None"/>
    <m/>
    <m/>
    <s v="TBD"/>
    <s v="TBD"/>
    <m/>
    <n v="12"/>
    <s v="No"/>
    <s v="Growth"/>
  </r>
  <r>
    <x v="2"/>
    <x v="16"/>
    <x v="16"/>
    <n v="86.066523995226561"/>
    <x v="16"/>
    <n v="0.52104664391353805"/>
    <s v="Manual Switch / Schedule"/>
    <n v="1"/>
    <s v="Fluorescent Signs"/>
    <s v="Photocell / timeswitch"/>
    <x v="23"/>
    <s v="Institutional Tuning"/>
    <n v="9.1824807603986773"/>
    <n v="12.915265962532835"/>
    <n v="9.1824807603986773"/>
    <n v="12.915265962532835"/>
    <m/>
    <s v="No barrier identified"/>
    <s v="No barrier identified"/>
    <s v="No barrier identified"/>
    <s v="No barrier identified"/>
    <s v="None"/>
    <m/>
    <m/>
    <s v="TBD"/>
    <s v="TBD"/>
    <m/>
    <n v="12"/>
    <s v="No"/>
    <s v="Growth"/>
  </r>
  <r>
    <x v="2"/>
    <x v="16"/>
    <x v="16"/>
    <n v="86.066523995226561"/>
    <x v="16"/>
    <n v="0.52104664391353805"/>
    <s v="Manual Switch / Schedule"/>
    <n v="1"/>
    <s v="Fluorescent Signs"/>
    <s v="Photocell / timeswitch"/>
    <x v="23"/>
    <s v="Multiple Measures"/>
    <n v="9.1824807603986773"/>
    <n v="13.632780738229105"/>
    <n v="9.1824807603986773"/>
    <n v="13.632780738229105"/>
    <m/>
    <s v="No barrier identified"/>
    <s v="No barrier identified"/>
    <s v="No barrier identified"/>
    <s v="No barrier identified"/>
    <s v="None"/>
    <m/>
    <m/>
    <s v="TBD"/>
    <s v="TBD"/>
    <m/>
    <n v="12"/>
    <s v="No"/>
    <s v="Growth"/>
  </r>
  <r>
    <x v="2"/>
    <x v="16"/>
    <x v="16"/>
    <n v="86.066523995226561"/>
    <x v="17"/>
    <n v="0.47895335608646189"/>
    <s v="Manual Switch / Schedule"/>
    <n v="1"/>
    <s v="Neon Signs"/>
    <s v="Photocell / timeswitch"/>
    <x v="23"/>
    <s v="Occupancy"/>
    <n v="8.4406646291000964"/>
    <s v="Not Applicable"/>
    <n v="8.4406646291000964"/>
    <s v="Not Applicable"/>
    <m/>
    <s v="No barrier identified"/>
    <s v="No barrier identified"/>
    <s v="No barrier identified"/>
    <s v="No barrier identified"/>
    <s v="None"/>
    <m/>
    <m/>
    <s v="TBD"/>
    <s v="TBD"/>
    <m/>
    <n v="12"/>
    <s v="No"/>
    <s v="Growth"/>
  </r>
  <r>
    <x v="2"/>
    <x v="16"/>
    <x v="16"/>
    <n v="86.066523995226561"/>
    <x v="17"/>
    <n v="0.47895335608646189"/>
    <s v="Manual Switch / Schedule"/>
    <n v="1"/>
    <s v="Neon Signs"/>
    <s v="Photocell / timeswitch"/>
    <x v="23"/>
    <s v="Daylighting"/>
    <n v="8.4406646291000964"/>
    <s v="No change"/>
    <n v="8.4406646291000964"/>
    <s v="No change"/>
    <m/>
    <s v="No barrier identified"/>
    <s v="No barrier identified"/>
    <s v="No barrier identified"/>
    <s v="No barrier identified"/>
    <s v="None"/>
    <m/>
    <m/>
    <s v="TBD"/>
    <s v="TBD"/>
    <m/>
    <n v="12"/>
    <s v="No"/>
    <s v="Growth"/>
  </r>
  <r>
    <x v="2"/>
    <x v="16"/>
    <x v="16"/>
    <n v="86.066523995226561"/>
    <x v="17"/>
    <n v="0.47895335608646189"/>
    <s v="Manual Switch / Schedule"/>
    <n v="1"/>
    <s v="Neon Signs"/>
    <s v="Photocell / timeswitch"/>
    <x v="23"/>
    <s v="Personal Tuning"/>
    <n v="8.4406646291000964"/>
    <s v="Not Applicable"/>
    <n v="8.4406646291000964"/>
    <s v="Not Applicable"/>
    <m/>
    <s v="No barrier identified"/>
    <s v="No barrier identified"/>
    <s v="No barrier identified"/>
    <s v="No barrier identified"/>
    <s v="None"/>
    <m/>
    <m/>
    <s v="TBD"/>
    <s v="TBD"/>
    <m/>
    <n v="12"/>
    <s v="No"/>
    <s v="Growth"/>
  </r>
  <r>
    <x v="2"/>
    <x v="16"/>
    <x v="16"/>
    <n v="86.066523995226561"/>
    <x v="17"/>
    <n v="0.47895335608646189"/>
    <s v="Manual Switch / Schedule"/>
    <n v="1"/>
    <s v="Neon Signs"/>
    <s v="Photocell / timeswitch"/>
    <x v="23"/>
    <s v="Institutional Tuning"/>
    <n v="8.4406646291000964"/>
    <n v="11.871892948092412"/>
    <n v="8.4406646291000964"/>
    <n v="11.871892948092412"/>
    <m/>
    <s v="No barrier identified"/>
    <s v="No barrier identified"/>
    <s v="No barrier identified"/>
    <s v="No barrier identified"/>
    <s v="None"/>
    <m/>
    <m/>
    <s v="TBD"/>
    <s v="TBD"/>
    <m/>
    <n v="12"/>
    <s v="No"/>
    <s v="Growth"/>
  </r>
  <r>
    <x v="2"/>
    <x v="16"/>
    <x v="16"/>
    <n v="86.066523995226561"/>
    <x v="17"/>
    <n v="0.47895335608646189"/>
    <s v="Manual Switch / Schedule"/>
    <n v="1"/>
    <s v="Neon Signs"/>
    <s v="Photocell / timeswitch"/>
    <x v="23"/>
    <s v="Multiple Measures"/>
    <n v="8.4406646291000964"/>
    <n v="12.531442556319767"/>
    <n v="8.4406646291000964"/>
    <n v="12.531442556319767"/>
    <m/>
    <s v="No barrier identified"/>
    <s v="No barrier identified"/>
    <s v="No barrier identified"/>
    <s v="No barrier identified"/>
    <s v="None"/>
    <m/>
    <m/>
    <s v="TBD"/>
    <s v="TBD"/>
    <m/>
    <n v="12"/>
    <s v="No"/>
    <s v="Growth"/>
  </r>
</pivotCacheRecords>
</file>

<file path=xl/pivotCache/pivotCacheRecords6.xml><?xml version="1.0" encoding="utf-8"?>
<pivotCacheRecords xmlns="http://schemas.openxmlformats.org/spreadsheetml/2006/main" xmlns:r="http://schemas.openxmlformats.org/officeDocument/2006/relationships" count="130">
  <r>
    <x v="0"/>
    <x v="0"/>
    <s v="Building Sub-Sector"/>
    <n v="0"/>
    <n v="0"/>
  </r>
  <r>
    <x v="0"/>
    <x v="1"/>
    <s v="Building Sub-Sector"/>
    <n v="0"/>
    <n v="0"/>
  </r>
  <r>
    <x v="0"/>
    <x v="1"/>
    <s v="Roadway"/>
    <n v="9.1824807603986773"/>
    <n v="13.632780738229105"/>
  </r>
  <r>
    <x v="0"/>
    <x v="2"/>
    <s v="Roadway"/>
    <n v="0"/>
    <n v="0"/>
  </r>
  <r>
    <x v="0"/>
    <x v="2"/>
    <s v="Roadway"/>
    <n v="8.4406646291000964"/>
    <n v="12.531442556319767"/>
  </r>
  <r>
    <x v="1"/>
    <x v="2"/>
    <s v="Roadway"/>
    <n v="0"/>
    <n v="0"/>
  </r>
  <r>
    <x v="1"/>
    <x v="3"/>
    <s v="Roadway"/>
    <n v="0"/>
    <n v="0"/>
  </r>
  <r>
    <x v="1"/>
    <x v="3"/>
    <s v="Roadway"/>
    <n v="48.992918547907145"/>
    <n v="34.534955899616762"/>
  </r>
  <r>
    <x v="1"/>
    <x v="4"/>
    <s v="Roadway"/>
    <n v="0"/>
    <n v="0"/>
  </r>
  <r>
    <x v="1"/>
    <x v="4"/>
    <s v="Roadway"/>
    <n v="571.42332047275454"/>
    <n v="295.66460709389031"/>
  </r>
  <r>
    <x v="2"/>
    <x v="4"/>
    <s v="Roadway"/>
    <n v="0"/>
    <n v="0"/>
  </r>
  <r>
    <x v="2"/>
    <x v="5"/>
    <s v="Roadway"/>
    <n v="0"/>
    <n v="0"/>
  </r>
  <r>
    <x v="2"/>
    <x v="5"/>
    <s v="Roadway"/>
    <n v="4.3527117066497425"/>
    <n v="0"/>
  </r>
  <r>
    <x v="3"/>
    <x v="5"/>
    <s v="Roadway"/>
    <n v="0"/>
    <n v="0"/>
  </r>
  <r>
    <x v="3"/>
    <x v="6"/>
    <s v="Roadway"/>
    <n v="0"/>
    <n v="0"/>
  </r>
  <r>
    <x v="3"/>
    <x v="6"/>
    <s v="Outdoor Lighting"/>
    <n v="66.579448253517512"/>
    <n v="96.484360469121199"/>
  </r>
  <r>
    <x v="3"/>
    <x v="7"/>
    <s v="Outdoor Lighting"/>
    <n v="0"/>
    <n v="0"/>
  </r>
  <r>
    <x v="3"/>
    <x v="7"/>
    <s v="Outdoor Lighting"/>
    <n v="392.07091977140414"/>
    <n v="265.56247070364111"/>
  </r>
  <r>
    <x v="4"/>
    <x v="7"/>
    <s v="Outdoor Lighting"/>
    <n v="0"/>
    <n v="0"/>
  </r>
  <r>
    <x v="4"/>
    <x v="7"/>
    <s v="Outdoor Lighting"/>
    <n v="0"/>
    <n v="0"/>
  </r>
  <r>
    <x v="4"/>
    <x v="7"/>
    <s v="Outdoor Lighting"/>
    <n v="36.560156911037915"/>
    <n v="39.657159304242548"/>
  </r>
  <r>
    <x v="4"/>
    <x v="3"/>
    <s v="Outdoor Lighting"/>
    <n v="0"/>
    <n v="0"/>
  </r>
  <r>
    <x v="4"/>
    <x v="3"/>
    <s v="Outdoor Lighting"/>
    <n v="718.44752025376283"/>
    <n v="180.5897602419042"/>
  </r>
  <r>
    <x v="4"/>
    <x v="4"/>
    <s v="Outdoor Lighting"/>
    <n v="0"/>
    <n v="0"/>
  </r>
  <r>
    <x v="4"/>
    <x v="4"/>
    <s v="Outdoor Lighting"/>
    <n v="198.91383831205064"/>
    <n v="107.84283253092892"/>
  </r>
  <r>
    <x v="5"/>
    <x v="4"/>
    <s v="Outdoor Lighting"/>
    <n v="0"/>
    <n v="0"/>
  </r>
  <r>
    <x v="5"/>
    <x v="6"/>
    <s v="Outdoor Lighting"/>
    <n v="0"/>
    <n v="0"/>
  </r>
  <r>
    <x v="5"/>
    <x v="6"/>
    <s v="Outdoor Lighting"/>
    <n v="49.714115746881959"/>
    <n v="61.585877016964623"/>
  </r>
  <r>
    <x v="5"/>
    <x v="8"/>
    <s v="Outdoor Lighting"/>
    <n v="0"/>
    <n v="0"/>
  </r>
  <r>
    <x v="5"/>
    <x v="8"/>
    <s v="Outdoor Lighting"/>
    <n v="54.135381239553432"/>
    <n v="23.147258299710817"/>
  </r>
  <r>
    <x v="5"/>
    <x v="7"/>
    <s v="Outdoor Lighting"/>
    <n v="0"/>
    <n v="0"/>
  </r>
  <r>
    <x v="5"/>
    <x v="7"/>
    <s v="Outdoor Lighting"/>
    <n v="34.8836126324736"/>
    <n v="23.209201753859393"/>
  </r>
  <r>
    <x v="5"/>
    <x v="9"/>
    <s v="Outdoor Lighting"/>
    <n v="0"/>
    <n v="0"/>
  </r>
  <r>
    <x v="5"/>
    <x v="9"/>
    <s v="Outdoor Lighting"/>
    <n v="60.68506657811821"/>
    <n v="26.742842213837445"/>
  </r>
  <r>
    <x v="5"/>
    <x v="3"/>
    <s v="Outdoor Lighting"/>
    <n v="0"/>
    <n v="0"/>
  </r>
  <r>
    <x v="5"/>
    <x v="3"/>
    <s v="Outdoor Lighting"/>
    <n v="164.26787346799742"/>
    <n v="86.312675486381124"/>
  </r>
  <r>
    <x v="5"/>
    <x v="4"/>
    <s v="Outdoor Lighting"/>
    <n v="0"/>
    <n v="0"/>
  </r>
  <r>
    <x v="5"/>
    <x v="4"/>
    <s v="Outdoor Lighting"/>
    <n v="51.034862129267538"/>
    <n v="24.329144603062353"/>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r>
    <x v="5"/>
    <x v="4"/>
    <s v="Outdoor Lighting"/>
    <n v="0"/>
    <n v="0"/>
  </r>
</pivotCacheRecords>
</file>

<file path=xl/pivotCache/pivotCacheRecords7.xml><?xml version="1.0" encoding="utf-8"?>
<pivotCacheRecords xmlns="http://schemas.openxmlformats.org/spreadsheetml/2006/main" xmlns:r="http://schemas.openxmlformats.org/officeDocument/2006/relationships" count="174">
  <r>
    <x v="0"/>
    <x v="0"/>
    <s v="Building Sub-Sector"/>
    <s v="Baseline Lighting"/>
    <n v="0"/>
    <n v="0"/>
  </r>
  <r>
    <x v="0"/>
    <x v="1"/>
    <s v="Building Sub-Sector"/>
    <s v="Baseline Lighting"/>
    <n v="0"/>
    <n v="0"/>
  </r>
  <r>
    <x v="0"/>
    <x v="1"/>
    <s v="Outdoor Lighting"/>
    <s v="Baseline Lighting"/>
    <n v="0"/>
    <n v="0"/>
  </r>
  <r>
    <x v="0"/>
    <x v="1"/>
    <s v="Outdoor Lighting"/>
    <s v="Incandescent"/>
    <n v="50.887258365180223"/>
    <n v="23.147258299710817"/>
  </r>
  <r>
    <x v="0"/>
    <x v="1"/>
    <s v="Outdoor Lighting"/>
    <s v="Halogen "/>
    <n v="55.894140269319408"/>
    <n v="26.742842213837445"/>
  </r>
  <r>
    <x v="1"/>
    <x v="1"/>
    <s v="Outdoor Lighting"/>
    <s v="Halogen "/>
    <n v="0"/>
    <n v="0"/>
  </r>
  <r>
    <x v="1"/>
    <x v="2"/>
    <s v="Outdoor Lighting"/>
    <s v="Halogen "/>
    <n v="0"/>
    <n v="0"/>
  </r>
  <r>
    <x v="1"/>
    <x v="2"/>
    <s v="Roadway"/>
    <s v="Halogen "/>
    <n v="0"/>
    <n v="0"/>
  </r>
  <r>
    <x v="1"/>
    <x v="2"/>
    <s v="Roadway"/>
    <s v="MH (Std, PS, CMH)"/>
    <n v="12.444182897802689"/>
    <n v="34.534955899616762"/>
  </r>
  <r>
    <x v="1"/>
    <x v="2"/>
    <s v="Roadway"/>
    <s v="HPS/MV"/>
    <n v="318.01034413387765"/>
    <n v="295.66460709389031"/>
  </r>
  <r>
    <x v="1"/>
    <x v="3"/>
    <s v="Roadway"/>
    <s v="HPS/MV"/>
    <n v="0"/>
    <n v="0"/>
  </r>
  <r>
    <x v="1"/>
    <x v="3"/>
    <s v="Outdoor Lighting"/>
    <s v="HPS/MV"/>
    <n v="0"/>
    <n v="0"/>
  </r>
  <r>
    <x v="1"/>
    <x v="3"/>
    <s v="Outdoor Lighting"/>
    <s v="MH (Std, PS, CMH)"/>
    <n v="182.48540012508693"/>
    <n v="180.5897602419042"/>
  </r>
  <r>
    <x v="1"/>
    <x v="3"/>
    <s v="Outdoor Lighting"/>
    <s v="HPS/MV"/>
    <n v="110.70016904852906"/>
    <n v="107.84283253092892"/>
  </r>
  <r>
    <x v="1"/>
    <x v="1"/>
    <s v="Outdoor Lighting"/>
    <s v="HPS/MV"/>
    <n v="0"/>
    <n v="0"/>
  </r>
  <r>
    <x v="1"/>
    <x v="1"/>
    <s v="Outdoor Lighting"/>
    <s v="HPS/MV"/>
    <n v="0"/>
    <n v="0"/>
  </r>
  <r>
    <x v="1"/>
    <x v="1"/>
    <s v="Outdoor Lighting"/>
    <s v="MH (Std, PS, CMH)"/>
    <n v="164.26787346799742"/>
    <n v="86.312675486381124"/>
  </r>
  <r>
    <x v="1"/>
    <x v="1"/>
    <s v="Outdoor Lighting"/>
    <s v="HPS/MV"/>
    <n v="28.402085611637542"/>
    <n v="24.329144603062353"/>
  </r>
  <r>
    <x v="2"/>
    <x v="1"/>
    <s v="Outdoor Lighting"/>
    <s v="HPS/MV"/>
    <n v="0"/>
    <n v="0"/>
  </r>
  <r>
    <x v="2"/>
    <x v="2"/>
    <s v="Outdoor Lighting"/>
    <s v="HPS/MV"/>
    <n v="0"/>
    <n v="0"/>
  </r>
  <r>
    <x v="2"/>
    <x v="2"/>
    <s v="Roadway"/>
    <s v="HPS/MV"/>
    <n v="0"/>
    <n v="0"/>
  </r>
  <r>
    <x v="2"/>
    <x v="2"/>
    <s v="Roadway"/>
    <s v="HPS/MV"/>
    <n v="571.42332047275454"/>
    <n v="295.66460709389031"/>
  </r>
  <r>
    <x v="2"/>
    <x v="4"/>
    <s v="Roadway"/>
    <s v="HPS/MV"/>
    <n v="0"/>
    <n v="0"/>
  </r>
  <r>
    <x v="2"/>
    <x v="4"/>
    <s v="Outdoor Lighting"/>
    <s v="HPS/MV"/>
    <n v="0"/>
    <n v="0"/>
  </r>
  <r>
    <x v="2"/>
    <x v="4"/>
    <s v="Outdoor Lighting"/>
    <s v="CFL"/>
    <n v="66.579448253517512"/>
    <n v="96.484360469121199"/>
  </r>
  <r>
    <x v="2"/>
    <x v="1"/>
    <s v="Outdoor Lighting"/>
    <s v="CFL"/>
    <n v="0"/>
    <n v="0"/>
  </r>
  <r>
    <x v="2"/>
    <x v="1"/>
    <s v="Outdoor Lighting"/>
    <s v="CFL"/>
    <n v="0"/>
    <n v="0"/>
  </r>
  <r>
    <x v="2"/>
    <x v="1"/>
    <s v="Outdoor Lighting"/>
    <s v="CFL"/>
    <n v="49.714115746881959"/>
    <n v="61.585877016964623"/>
  </r>
  <r>
    <x v="2"/>
    <x v="1"/>
    <s v="Outdoor Lighting"/>
    <s v="Incandescent"/>
    <n v="54.135381239553432"/>
    <n v="23.147258299710817"/>
  </r>
  <r>
    <x v="3"/>
    <x v="1"/>
    <s v="Outdoor Lighting"/>
    <s v="Incandescent"/>
    <n v="0"/>
    <n v="0"/>
  </r>
  <r>
    <x v="3"/>
    <x v="4"/>
    <s v="Outdoor Lighting"/>
    <s v="Incandescent"/>
    <n v="0"/>
    <n v="0"/>
  </r>
  <r>
    <x v="3"/>
    <x v="4"/>
    <s v="Outdoor Lighting"/>
    <s v="Incandescent"/>
    <n v="0"/>
    <n v="0"/>
  </r>
  <r>
    <x v="3"/>
    <x v="4"/>
    <s v="Outdoor Lighting"/>
    <s v="Linear Fluorescent"/>
    <n v="392.07091977140414"/>
    <n v="265.56247070364111"/>
  </r>
  <r>
    <x v="4"/>
    <x v="4"/>
    <s v="Outdoor Lighting"/>
    <s v="Linear Fluorescent"/>
    <n v="0"/>
    <n v="0"/>
  </r>
  <r>
    <x v="4"/>
    <x v="5"/>
    <s v="Outdoor Lighting"/>
    <s v="Linear Fluorescent"/>
    <n v="0"/>
    <n v="0"/>
  </r>
  <r>
    <x v="4"/>
    <x v="5"/>
    <s v="Roadway"/>
    <s v="Linear Fluorescent"/>
    <n v="0"/>
    <n v="0"/>
  </r>
  <r>
    <x v="4"/>
    <x v="5"/>
    <s v="Roadway"/>
    <s v="Fluorescent Signs"/>
    <n v="9.1824807603986773"/>
    <n v="13.632780738229105"/>
  </r>
  <r>
    <x v="4"/>
    <x v="5"/>
    <s v="Roadway"/>
    <s v="Neon Signs"/>
    <n v="8.4406646291000964"/>
    <n v="12.531442556319767"/>
  </r>
  <r>
    <x v="5"/>
    <x v="5"/>
    <s v="Roadway"/>
    <s v="Neon Signs"/>
    <n v="0"/>
    <n v="0"/>
  </r>
  <r>
    <x v="5"/>
    <x v="4"/>
    <s v="Roadway"/>
    <s v="Neon Signs"/>
    <n v="0"/>
    <n v="0"/>
  </r>
  <r>
    <x v="5"/>
    <x v="4"/>
    <s v="Outdoor Lighting"/>
    <s v="Neon Signs"/>
    <n v="0"/>
    <n v="0"/>
  </r>
  <r>
    <x v="5"/>
    <x v="4"/>
    <s v="Outdoor Lighting"/>
    <s v="Linear Fluorescent"/>
    <n v="160.73850915695573"/>
    <n v="265.56247070364111"/>
  </r>
  <r>
    <x v="5"/>
    <x v="3"/>
    <s v="Outdoor Lighting"/>
    <s v="Linear Fluorescent"/>
    <n v="0"/>
    <n v="0"/>
  </r>
  <r>
    <x v="5"/>
    <x v="3"/>
    <s v="Outdoor Lighting"/>
    <s v="Linear Fluorescent"/>
    <n v="0"/>
    <n v="0"/>
  </r>
  <r>
    <x v="5"/>
    <x v="3"/>
    <s v="Outdoor Lighting"/>
    <s v="Linear Fluorescent"/>
    <n v="14.988678884552201"/>
    <n v="39.657159304242548"/>
  </r>
  <r>
    <x v="5"/>
    <x v="1"/>
    <s v="Outdoor Lighting"/>
    <s v="Linear Fluorescent"/>
    <n v="0"/>
    <n v="0"/>
  </r>
  <r>
    <x v="5"/>
    <x v="1"/>
    <s v="Outdoor Lighting"/>
    <s v="Linear Fluorescent"/>
    <n v="0"/>
    <n v="0"/>
  </r>
  <r>
    <x v="5"/>
    <x v="1"/>
    <s v="Outdoor Lighting"/>
    <s v="Linear Fluorescent"/>
    <n v="34.8836126324736"/>
    <n v="23.209201753859393"/>
  </r>
  <r>
    <x v="6"/>
    <x v="1"/>
    <s v="Outdoor Lighting"/>
    <s v="Linear Fluorescent"/>
    <n v="0"/>
    <n v="0"/>
  </r>
  <r>
    <x v="6"/>
    <x v="2"/>
    <s v="Outdoor Lighting"/>
    <s v="Linear Fluorescent"/>
    <n v="0"/>
    <n v="0"/>
  </r>
  <r>
    <x v="6"/>
    <x v="2"/>
    <s v="Roadway"/>
    <s v="Linear Fluorescent"/>
    <n v="0"/>
    <n v="0"/>
  </r>
  <r>
    <x v="6"/>
    <x v="2"/>
    <s v="Roadway"/>
    <s v="MH (Std, PS, CMH)"/>
    <n v="21.971342677604653"/>
    <n v="34.534955899616762"/>
  </r>
  <r>
    <x v="6"/>
    <x v="2"/>
    <s v="Roadway"/>
    <s v="HPS/MV"/>
    <n v="249.79973729539208"/>
    <n v="295.66460709389031"/>
  </r>
  <r>
    <x v="6"/>
    <x v="3"/>
    <s v="Roadway"/>
    <s v="HPS/MV"/>
    <n v="0"/>
    <n v="0"/>
  </r>
  <r>
    <x v="6"/>
    <x v="3"/>
    <s v="Outdoor Lighting"/>
    <s v="HPS/MV"/>
    <n v="0"/>
    <n v="0"/>
  </r>
  <r>
    <x v="6"/>
    <x v="3"/>
    <s v="Outdoor Lighting"/>
    <s v="HPS/MV"/>
    <n v="86.955892023551925"/>
    <n v="107.84283253092892"/>
  </r>
  <r>
    <x v="6"/>
    <x v="1"/>
    <s v="Outdoor Lighting"/>
    <s v="HPS/MV"/>
    <n v="0"/>
    <n v="0"/>
  </r>
  <r>
    <x v="6"/>
    <x v="1"/>
    <s v="Outdoor Lighting"/>
    <s v="HPS/MV"/>
    <n v="0"/>
    <n v="0"/>
  </r>
  <r>
    <x v="6"/>
    <x v="1"/>
    <s v="Outdoor Lighting"/>
    <s v="HPS/MV"/>
    <n v="22.310071528495545"/>
    <n v="24.329144603062353"/>
  </r>
  <r>
    <x v="7"/>
    <x v="1"/>
    <s v="Outdoor Lighting"/>
    <s v="HPS/MV"/>
    <n v="0"/>
    <n v="0"/>
  </r>
  <r>
    <x v="7"/>
    <x v="6"/>
    <s v="Outdoor Lighting"/>
    <s v="HPS/MV"/>
    <n v="0"/>
    <n v="0"/>
  </r>
  <r>
    <x v="7"/>
    <x v="6"/>
    <s v="Roadway"/>
    <s v="HPS/MV"/>
    <n v="0"/>
    <n v="0"/>
  </r>
  <r>
    <x v="7"/>
    <x v="6"/>
    <s v="Roadway"/>
    <s v="Incandescent Signals"/>
    <n v="4.3527117066497425"/>
    <n v="0"/>
  </r>
  <r>
    <x v="8"/>
    <x v="6"/>
    <s v="Roadway"/>
    <s v="Incandescent Signals"/>
    <n v="0"/>
    <n v="0"/>
  </r>
  <r>
    <x v="8"/>
    <x v="3"/>
    <s v="Roadway"/>
    <s v="Incandescent Signals"/>
    <n v="0"/>
    <n v="0"/>
  </r>
  <r>
    <x v="8"/>
    <x v="3"/>
    <s v="Outdoor Lighting"/>
    <s v="Incandescent Signals"/>
    <n v="0"/>
    <n v="0"/>
  </r>
  <r>
    <x v="8"/>
    <x v="3"/>
    <s v="Outdoor Lighting"/>
    <s v="Linear Fluorescent"/>
    <n v="36.560156911037915"/>
    <n v="39.657159304242548"/>
  </r>
  <r>
    <x v="8"/>
    <x v="3"/>
    <s v="Outdoor Lighting"/>
    <s v="MH (Std, PS, CMH)"/>
    <n v="718.44752025376283"/>
    <n v="180.5897602419042"/>
  </r>
  <r>
    <x v="8"/>
    <x v="3"/>
    <s v="Outdoor Lighting"/>
    <s v="HPS/MV"/>
    <n v="198.91383831205064"/>
    <n v="107.84283253092892"/>
  </r>
  <r>
    <x v="8"/>
    <x v="1"/>
    <s v="Outdoor Lighting"/>
    <s v="HPS/MV"/>
    <n v="0"/>
    <n v="0"/>
  </r>
  <r>
    <x v="8"/>
    <x v="1"/>
    <s v="Outdoor Lighting"/>
    <s v="HPS/MV"/>
    <n v="0"/>
    <n v="0"/>
  </r>
  <r>
    <x v="8"/>
    <x v="1"/>
    <s v="Outdoor Lighting"/>
    <s v="Linear Fluorescent"/>
    <n v="16.562375499975513"/>
    <n v="23.209201753859393"/>
  </r>
  <r>
    <x v="8"/>
    <x v="1"/>
    <s v="Outdoor Lighting"/>
    <s v="Halogen "/>
    <n v="60.68506657811821"/>
    <n v="26.742842213837445"/>
  </r>
  <r>
    <x v="8"/>
    <x v="1"/>
    <s v="Outdoor Lighting"/>
    <s v="MH (Std, PS, CMH)"/>
    <n v="164.26787346799742"/>
    <n v="86.312675486381124"/>
  </r>
  <r>
    <x v="8"/>
    <x v="1"/>
    <s v="Outdoor Lighting"/>
    <s v="HPS/MV"/>
    <n v="51.034862129267538"/>
    <n v="24.329144603062353"/>
  </r>
  <r>
    <x v="9"/>
    <x v="1"/>
    <s v="Outdoor Lighting"/>
    <s v="HPS/MV"/>
    <n v="0"/>
    <n v="0"/>
  </r>
  <r>
    <x v="9"/>
    <x v="2"/>
    <s v="Outdoor Lighting"/>
    <s v="HPS/MV"/>
    <n v="0"/>
    <n v="0"/>
  </r>
  <r>
    <x v="9"/>
    <x v="2"/>
    <s v="Roadway"/>
    <s v="HPS/MV"/>
    <n v="0"/>
    <n v="0"/>
  </r>
  <r>
    <x v="9"/>
    <x v="2"/>
    <s v="Roadway"/>
    <s v="MH (Std, PS, CMH)"/>
    <n v="48.992918547907145"/>
    <n v="34.534955899616762"/>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r>
    <x v="9"/>
    <x v="2"/>
    <s v="Roadway"/>
    <s v="MH (Std, PS, CMH)"/>
    <n v="0"/>
    <n v="0"/>
  </r>
</pivotCacheRecords>
</file>

<file path=xl/pivotCache/pivotCacheRecords8.xml><?xml version="1.0" encoding="utf-8"?>
<pivotCacheRecords xmlns="http://schemas.openxmlformats.org/spreadsheetml/2006/main" xmlns:r="http://schemas.openxmlformats.org/officeDocument/2006/relationships" count="679">
  <r>
    <x v="0"/>
    <x v="0"/>
    <n v="3309.4202638916172"/>
  </r>
  <r>
    <x v="0"/>
    <x v="0"/>
    <n v="3309.4202638916172"/>
  </r>
  <r>
    <x v="0"/>
    <x v="0"/>
    <n v="3309.4202638916172"/>
  </r>
  <r>
    <x v="0"/>
    <x v="0"/>
    <n v="3309.4202638916172"/>
  </r>
  <r>
    <x v="0"/>
    <x v="0"/>
    <n v="3309.4202638916172"/>
  </r>
  <r>
    <x v="0"/>
    <x v="0"/>
    <n v="3309.4202638916172"/>
  </r>
  <r>
    <x v="0"/>
    <x v="0"/>
    <n v="3309.4202638916172"/>
  </r>
  <r>
    <x v="0"/>
    <x v="0"/>
    <n v="3309.4202638916172"/>
  </r>
  <r>
    <x v="0"/>
    <x v="0"/>
    <n v="3309.4202638916172"/>
  </r>
  <r>
    <x v="0"/>
    <x v="0"/>
    <n v="3309.4202638916172"/>
  </r>
  <r>
    <x v="0"/>
    <x v="0"/>
    <n v="3309.4202638916172"/>
  </r>
  <r>
    <x v="0"/>
    <x v="1"/>
    <n v="4365.0457202778744"/>
  </r>
  <r>
    <x v="0"/>
    <x v="1"/>
    <n v="4365.0457202778744"/>
  </r>
  <r>
    <x v="0"/>
    <x v="1"/>
    <n v="4365.0457202778744"/>
  </r>
  <r>
    <x v="0"/>
    <x v="1"/>
    <n v="4365.0457202778744"/>
  </r>
  <r>
    <x v="0"/>
    <x v="1"/>
    <n v="4365.0457202778744"/>
  </r>
  <r>
    <x v="0"/>
    <x v="1"/>
    <n v="4365.0457202778744"/>
  </r>
  <r>
    <x v="0"/>
    <x v="1"/>
    <n v="4365.0457202778744"/>
  </r>
  <r>
    <x v="0"/>
    <x v="1"/>
    <n v="4365.0457202778744"/>
  </r>
  <r>
    <x v="0"/>
    <x v="1"/>
    <n v="4365.0457202778744"/>
  </r>
  <r>
    <x v="0"/>
    <x v="1"/>
    <n v="4365.0457202778744"/>
  </r>
  <r>
    <x v="0"/>
    <x v="1"/>
    <n v="4365.0457202778744"/>
  </r>
  <r>
    <x v="0"/>
    <x v="2"/>
    <n v="2115.3347415816575"/>
  </r>
  <r>
    <x v="0"/>
    <x v="2"/>
    <n v="2115.3347415816575"/>
  </r>
  <r>
    <x v="0"/>
    <x v="2"/>
    <n v="2115.3347415816575"/>
  </r>
  <r>
    <x v="0"/>
    <x v="2"/>
    <n v="2115.3347415816575"/>
  </r>
  <r>
    <x v="0"/>
    <x v="2"/>
    <n v="2115.3347415816575"/>
  </r>
  <r>
    <x v="0"/>
    <x v="2"/>
    <n v="2115.3347415816575"/>
  </r>
  <r>
    <x v="0"/>
    <x v="2"/>
    <n v="2115.3347415816575"/>
  </r>
  <r>
    <x v="0"/>
    <x v="2"/>
    <n v="2115.3347415816575"/>
  </r>
  <r>
    <x v="0"/>
    <x v="2"/>
    <n v="2115.3347415816575"/>
  </r>
  <r>
    <x v="0"/>
    <x v="2"/>
    <n v="2115.3347415816575"/>
  </r>
  <r>
    <x v="0"/>
    <x v="2"/>
    <n v="2115.3347415816575"/>
  </r>
  <r>
    <x v="0"/>
    <x v="2"/>
    <n v="2115.3347415816575"/>
  </r>
  <r>
    <x v="1"/>
    <x v="3"/>
    <n v="144.19587705503386"/>
  </r>
  <r>
    <x v="1"/>
    <x v="3"/>
    <n v="144.19587705503386"/>
  </r>
  <r>
    <x v="1"/>
    <x v="4"/>
    <n v="3778.4809172207592"/>
  </r>
  <r>
    <x v="1"/>
    <x v="4"/>
    <n v="3778.4809172207592"/>
  </r>
  <r>
    <x v="1"/>
    <x v="4"/>
    <n v="3778.4809172207592"/>
  </r>
  <r>
    <x v="1"/>
    <x v="4"/>
    <n v="3778.4809172207592"/>
  </r>
  <r>
    <x v="1"/>
    <x v="4"/>
    <n v="3778.4809172207592"/>
  </r>
  <r>
    <x v="1"/>
    <x v="4"/>
    <n v="3778.4809172207592"/>
  </r>
  <r>
    <x v="1"/>
    <x v="4"/>
    <n v="3778.4809172207592"/>
  </r>
  <r>
    <x v="1"/>
    <x v="4"/>
    <n v="3778.4809172207592"/>
  </r>
  <r>
    <x v="1"/>
    <x v="4"/>
    <n v="3778.4809172207592"/>
  </r>
  <r>
    <x v="1"/>
    <x v="5"/>
    <n v="417.69372083632197"/>
  </r>
  <r>
    <x v="1"/>
    <x v="5"/>
    <n v="417.69372083632197"/>
  </r>
  <r>
    <x v="1"/>
    <x v="5"/>
    <n v="417.69372083632197"/>
  </r>
  <r>
    <x v="1"/>
    <x v="5"/>
    <n v="417.69372083632197"/>
  </r>
  <r>
    <x v="1"/>
    <x v="5"/>
    <n v="417.69372083632197"/>
  </r>
  <r>
    <x v="1"/>
    <x v="5"/>
    <n v="417.69372083632197"/>
  </r>
  <r>
    <x v="1"/>
    <x v="5"/>
    <n v="417.69372083632197"/>
  </r>
  <r>
    <x v="1"/>
    <x v="5"/>
    <n v="417.69372083632197"/>
  </r>
  <r>
    <x v="1"/>
    <x v="5"/>
    <n v="417.69372083632197"/>
  </r>
  <r>
    <x v="2"/>
    <x v="6"/>
    <n v="4282.1979731819274"/>
  </r>
  <r>
    <x v="2"/>
    <x v="6"/>
    <n v="4282.1979731819274"/>
  </r>
  <r>
    <x v="2"/>
    <x v="6"/>
    <n v="4282.1979731819274"/>
  </r>
  <r>
    <x v="2"/>
    <x v="6"/>
    <n v="4282.1979731819274"/>
  </r>
  <r>
    <x v="2"/>
    <x v="6"/>
    <n v="4282.1979731819274"/>
  </r>
  <r>
    <x v="2"/>
    <x v="6"/>
    <n v="4282.1979731819274"/>
  </r>
  <r>
    <x v="2"/>
    <x v="6"/>
    <n v="4282.1979731819274"/>
  </r>
  <r>
    <x v="2"/>
    <x v="6"/>
    <n v="4282.1979731819274"/>
  </r>
  <r>
    <x v="2"/>
    <x v="6"/>
    <n v="4282.1979731819274"/>
  </r>
  <r>
    <x v="2"/>
    <x v="6"/>
    <n v="4282.1979731819274"/>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7"/>
    <n v="594.25379854162532"/>
  </r>
  <r>
    <x v="2"/>
    <x v="8"/>
    <n v="193.8338570350366"/>
  </r>
  <r>
    <x v="2"/>
    <x v="8"/>
    <n v="193.8338570350366"/>
  </r>
  <r>
    <x v="2"/>
    <x v="8"/>
    <n v="193.8338570350366"/>
  </r>
  <r>
    <x v="2"/>
    <x v="8"/>
    <n v="193.8338570350366"/>
  </r>
  <r>
    <x v="2"/>
    <x v="8"/>
    <n v="193.8338570350366"/>
  </r>
  <r>
    <x v="2"/>
    <x v="8"/>
    <n v="193.8338570350366"/>
  </r>
  <r>
    <x v="2"/>
    <x v="8"/>
    <n v="193.8338570350366"/>
  </r>
  <r>
    <x v="2"/>
    <x v="8"/>
    <n v="193.8338570350366"/>
  </r>
  <r>
    <x v="2"/>
    <x v="8"/>
    <n v="193.8338570350366"/>
  </r>
  <r>
    <x v="2"/>
    <x v="8"/>
    <n v="193.8338570350366"/>
  </r>
  <r>
    <x v="2"/>
    <x v="8"/>
    <n v="193.8338570350366"/>
  </r>
  <r>
    <x v="2"/>
    <x v="8"/>
    <n v="193.8338570350366"/>
  </r>
  <r>
    <x v="2"/>
    <x v="8"/>
    <n v="193.8338570350366"/>
  </r>
  <r>
    <x v="2"/>
    <x v="8"/>
    <n v="193.8338570350366"/>
  </r>
  <r>
    <x v="2"/>
    <x v="8"/>
    <n v="193.8338570350366"/>
  </r>
  <r>
    <x v="3"/>
    <x v="6"/>
    <n v="758.78476960128171"/>
  </r>
  <r>
    <x v="3"/>
    <x v="6"/>
    <n v="758.78476960128171"/>
  </r>
  <r>
    <x v="3"/>
    <x v="6"/>
    <n v="758.78476960128171"/>
  </r>
  <r>
    <x v="3"/>
    <x v="6"/>
    <n v="758.78476960128171"/>
  </r>
  <r>
    <x v="3"/>
    <x v="6"/>
    <n v="758.78476960128171"/>
  </r>
  <r>
    <x v="3"/>
    <x v="6"/>
    <n v="758.78476960128171"/>
  </r>
  <r>
    <x v="3"/>
    <x v="6"/>
    <n v="758.78476960128171"/>
  </r>
  <r>
    <x v="3"/>
    <x v="6"/>
    <n v="758.78476960128171"/>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9"/>
    <n v="3705.1477049846249"/>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3"/>
    <x v="10"/>
    <n v="551.08209536163713"/>
  </r>
  <r>
    <x v="4"/>
    <x v="6"/>
    <n v="358.49365031662199"/>
  </r>
  <r>
    <x v="4"/>
    <x v="6"/>
    <n v="358.49365031662199"/>
  </r>
  <r>
    <x v="4"/>
    <x v="6"/>
    <n v="358.49365031662199"/>
  </r>
  <r>
    <x v="4"/>
    <x v="6"/>
    <n v="358.49365031662199"/>
  </r>
  <r>
    <x v="4"/>
    <x v="6"/>
    <n v="358.49365031662199"/>
  </r>
  <r>
    <x v="4"/>
    <x v="6"/>
    <n v="358.49365031662199"/>
  </r>
  <r>
    <x v="4"/>
    <x v="6"/>
    <n v="358.49365031662199"/>
  </r>
  <r>
    <x v="4"/>
    <x v="6"/>
    <n v="358.49365031662199"/>
  </r>
  <r>
    <x v="4"/>
    <x v="6"/>
    <n v="358.49365031662199"/>
  </r>
  <r>
    <x v="4"/>
    <x v="6"/>
    <n v="358.49365031662199"/>
  </r>
  <r>
    <x v="4"/>
    <x v="6"/>
    <n v="358.49365031662199"/>
  </r>
  <r>
    <x v="4"/>
    <x v="6"/>
    <n v="358.49365031662199"/>
  </r>
  <r>
    <x v="4"/>
    <x v="6"/>
    <n v="358.49365031662199"/>
  </r>
  <r>
    <x v="4"/>
    <x v="6"/>
    <n v="358.49365031662199"/>
  </r>
  <r>
    <x v="4"/>
    <x v="6"/>
    <n v="358.49365031662199"/>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4"/>
    <x v="9"/>
    <n v="1384.7695904387162"/>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9"/>
    <n v="536.81628000000001"/>
  </r>
  <r>
    <x v="5"/>
    <x v="6"/>
    <n v="536.81628000000001"/>
  </r>
  <r>
    <x v="5"/>
    <x v="6"/>
    <n v="536.81628000000001"/>
  </r>
  <r>
    <x v="5"/>
    <x v="6"/>
    <n v="536.81628000000001"/>
  </r>
  <r>
    <x v="5"/>
    <x v="6"/>
    <n v="536.81628000000001"/>
  </r>
  <r>
    <x v="5"/>
    <x v="6"/>
    <n v="536.81628000000001"/>
  </r>
  <r>
    <x v="5"/>
    <x v="6"/>
    <n v="536.81628000000001"/>
  </r>
  <r>
    <x v="5"/>
    <x v="6"/>
    <n v="536.81628000000001"/>
  </r>
  <r>
    <x v="5"/>
    <x v="6"/>
    <n v="536.81628000000001"/>
  </r>
  <r>
    <x v="5"/>
    <x v="6"/>
    <n v="536.81628000000001"/>
  </r>
  <r>
    <x v="5"/>
    <x v="6"/>
    <n v="536.81628000000001"/>
  </r>
  <r>
    <x v="6"/>
    <x v="6"/>
    <n v="328.32750217054399"/>
  </r>
  <r>
    <x v="6"/>
    <x v="6"/>
    <n v="328.32750217054399"/>
  </r>
  <r>
    <x v="6"/>
    <x v="6"/>
    <n v="328.32750217054399"/>
  </r>
  <r>
    <x v="6"/>
    <x v="6"/>
    <n v="328.32750217054399"/>
  </r>
  <r>
    <x v="6"/>
    <x v="6"/>
    <n v="328.32750217054399"/>
  </r>
  <r>
    <x v="6"/>
    <x v="6"/>
    <n v="328.32750217054399"/>
  </r>
  <r>
    <x v="6"/>
    <x v="6"/>
    <n v="328.32750217054399"/>
  </r>
  <r>
    <x v="6"/>
    <x v="6"/>
    <n v="328.32750217054399"/>
  </r>
  <r>
    <x v="6"/>
    <x v="6"/>
    <n v="328.32750217054399"/>
  </r>
  <r>
    <x v="6"/>
    <x v="6"/>
    <n v="328.32750217054399"/>
  </r>
  <r>
    <x v="6"/>
    <x v="9"/>
    <n v="1091.5065405491862"/>
  </r>
  <r>
    <x v="6"/>
    <x v="9"/>
    <n v="1091.5065405491862"/>
  </r>
  <r>
    <x v="6"/>
    <x v="9"/>
    <n v="1091.5065405491862"/>
  </r>
  <r>
    <x v="6"/>
    <x v="9"/>
    <n v="1091.5065405491862"/>
  </r>
  <r>
    <x v="6"/>
    <x v="9"/>
    <n v="1091.5065405491862"/>
  </r>
  <r>
    <x v="6"/>
    <x v="9"/>
    <n v="1091.5065405491862"/>
  </r>
  <r>
    <x v="6"/>
    <x v="9"/>
    <n v="1091.5065405491862"/>
  </r>
  <r>
    <x v="6"/>
    <x v="9"/>
    <n v="1091.5065405491862"/>
  </r>
  <r>
    <x v="6"/>
    <x v="9"/>
    <n v="1091.5065405491862"/>
  </r>
  <r>
    <x v="6"/>
    <x v="9"/>
    <n v="1091.5065405491862"/>
  </r>
  <r>
    <x v="6"/>
    <x v="10"/>
    <n v="36.480833574504885"/>
  </r>
  <r>
    <x v="6"/>
    <x v="10"/>
    <n v="36.480833574504885"/>
  </r>
  <r>
    <x v="6"/>
    <x v="10"/>
    <n v="36.480833574504885"/>
  </r>
  <r>
    <x v="6"/>
    <x v="10"/>
    <n v="36.480833574504885"/>
  </r>
  <r>
    <x v="6"/>
    <x v="10"/>
    <n v="36.480833574504885"/>
  </r>
  <r>
    <x v="7"/>
    <x v="7"/>
    <n v="949.02748923351123"/>
  </r>
  <r>
    <x v="7"/>
    <x v="7"/>
    <n v="949.02748923351123"/>
  </r>
  <r>
    <x v="7"/>
    <x v="7"/>
    <n v="949.02748923351123"/>
  </r>
  <r>
    <x v="7"/>
    <x v="7"/>
    <n v="949.02748923351123"/>
  </r>
  <r>
    <x v="7"/>
    <x v="7"/>
    <n v="949.02748923351123"/>
  </r>
  <r>
    <x v="7"/>
    <x v="7"/>
    <n v="949.02748923351123"/>
  </r>
  <r>
    <x v="7"/>
    <x v="7"/>
    <n v="949.02748923351123"/>
  </r>
  <r>
    <x v="7"/>
    <x v="7"/>
    <n v="949.02748923351123"/>
  </r>
  <r>
    <x v="7"/>
    <x v="7"/>
    <n v="949.02748923351123"/>
  </r>
  <r>
    <x v="7"/>
    <x v="7"/>
    <n v="949.02748923351123"/>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7"/>
    <x v="6"/>
    <n v="158.98048972032714"/>
  </r>
  <r>
    <x v="8"/>
    <x v="6"/>
    <n v="446.00405151407574"/>
  </r>
  <r>
    <x v="8"/>
    <x v="6"/>
    <n v="446.00405151407574"/>
  </r>
  <r>
    <x v="8"/>
    <x v="6"/>
    <n v="446.00405151407574"/>
  </r>
  <r>
    <x v="8"/>
    <x v="6"/>
    <n v="446.00405151407574"/>
  </r>
  <r>
    <x v="8"/>
    <x v="6"/>
    <n v="446.00405151407574"/>
  </r>
  <r>
    <x v="8"/>
    <x v="6"/>
    <n v="446.00405151407574"/>
  </r>
  <r>
    <x v="8"/>
    <x v="6"/>
    <n v="446.00405151407574"/>
  </r>
  <r>
    <x v="8"/>
    <x v="6"/>
    <n v="446.00405151407574"/>
  </r>
  <r>
    <x v="8"/>
    <x v="6"/>
    <n v="446.00405151407574"/>
  </r>
  <r>
    <x v="8"/>
    <x v="6"/>
    <n v="446.00405151407574"/>
  </r>
  <r>
    <x v="8"/>
    <x v="6"/>
    <n v="446.00405151407574"/>
  </r>
  <r>
    <x v="8"/>
    <x v="6"/>
    <n v="446.00405151407574"/>
  </r>
  <r>
    <x v="8"/>
    <x v="6"/>
    <n v="446.00405151407574"/>
  </r>
  <r>
    <x v="8"/>
    <x v="6"/>
    <n v="446.00405151407574"/>
  </r>
  <r>
    <x v="8"/>
    <x v="6"/>
    <n v="446.00405151407574"/>
  </r>
  <r>
    <x v="9"/>
    <x v="6"/>
    <n v="847.73737352200237"/>
  </r>
  <r>
    <x v="9"/>
    <x v="6"/>
    <n v="847.73737352200237"/>
  </r>
  <r>
    <x v="9"/>
    <x v="6"/>
    <n v="847.73737352200237"/>
  </r>
  <r>
    <x v="9"/>
    <x v="6"/>
    <n v="847.73737352200237"/>
  </r>
  <r>
    <x v="9"/>
    <x v="6"/>
    <n v="847.73737352200237"/>
  </r>
  <r>
    <x v="9"/>
    <x v="6"/>
    <n v="847.73737352200237"/>
  </r>
  <r>
    <x v="9"/>
    <x v="6"/>
    <n v="847.73737352200237"/>
  </r>
  <r>
    <x v="9"/>
    <x v="6"/>
    <n v="847.73737352200237"/>
  </r>
  <r>
    <x v="9"/>
    <x v="6"/>
    <n v="847.73737352200237"/>
  </r>
  <r>
    <x v="9"/>
    <x v="6"/>
    <n v="847.73737352200237"/>
  </r>
  <r>
    <x v="9"/>
    <x v="6"/>
    <n v="847.73737352200237"/>
  </r>
  <r>
    <x v="9"/>
    <x v="6"/>
    <n v="847.73737352200237"/>
  </r>
  <r>
    <x v="9"/>
    <x v="6"/>
    <n v="847.73737352200237"/>
  </r>
  <r>
    <x v="9"/>
    <x v="6"/>
    <n v="847.73737352200237"/>
  </r>
  <r>
    <x v="9"/>
    <x v="6"/>
    <n v="847.73737352200237"/>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6"/>
    <n v="476.27033903997773"/>
  </r>
  <r>
    <x v="10"/>
    <x v="8"/>
    <n v="611.35212104600316"/>
  </r>
  <r>
    <x v="10"/>
    <x v="8"/>
    <n v="611.35212104600316"/>
  </r>
  <r>
    <x v="10"/>
    <x v="8"/>
    <n v="611.35212104600316"/>
  </r>
  <r>
    <x v="10"/>
    <x v="8"/>
    <n v="611.35212104600316"/>
  </r>
  <r>
    <x v="10"/>
    <x v="8"/>
    <n v="611.35212104600316"/>
  </r>
  <r>
    <x v="10"/>
    <x v="8"/>
    <n v="611.35212104600316"/>
  </r>
  <r>
    <x v="10"/>
    <x v="8"/>
    <n v="611.35212104600316"/>
  </r>
  <r>
    <x v="10"/>
    <x v="8"/>
    <n v="611.35212104600316"/>
  </r>
  <r>
    <x v="10"/>
    <x v="8"/>
    <n v="611.35212104600316"/>
  </r>
  <r>
    <x v="10"/>
    <x v="8"/>
    <n v="611.35212104600316"/>
  </r>
  <r>
    <x v="10"/>
    <x v="8"/>
    <n v="611.35212104600316"/>
  </r>
  <r>
    <x v="10"/>
    <x v="8"/>
    <n v="611.35212104600316"/>
  </r>
  <r>
    <x v="10"/>
    <x v="8"/>
    <n v="611.35212104600316"/>
  </r>
  <r>
    <x v="10"/>
    <x v="8"/>
    <n v="611.35212104600316"/>
  </r>
  <r>
    <x v="10"/>
    <x v="8"/>
    <n v="611.35212104600316"/>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0"/>
    <x v="10"/>
    <n v="36.33310217997353"/>
  </r>
  <r>
    <x v="11"/>
    <x v="6"/>
    <n v="812.7364084091281"/>
  </r>
  <r>
    <x v="11"/>
    <x v="6"/>
    <n v="812.7364084091281"/>
  </r>
  <r>
    <x v="11"/>
    <x v="6"/>
    <n v="812.7364084091281"/>
  </r>
  <r>
    <x v="11"/>
    <x v="6"/>
    <n v="812.7364084091281"/>
  </r>
  <r>
    <x v="11"/>
    <x v="6"/>
    <n v="812.7364084091281"/>
  </r>
  <r>
    <x v="11"/>
    <x v="6"/>
    <n v="812.7364084091281"/>
  </r>
  <r>
    <x v="11"/>
    <x v="6"/>
    <n v="812.7364084091281"/>
  </r>
  <r>
    <x v="11"/>
    <x v="6"/>
    <n v="812.7364084091281"/>
  </r>
  <r>
    <x v="11"/>
    <x v="6"/>
    <n v="812.7364084091281"/>
  </r>
  <r>
    <x v="11"/>
    <x v="6"/>
    <n v="812.7364084091281"/>
  </r>
  <r>
    <x v="11"/>
    <x v="6"/>
    <n v="812.7364084091281"/>
  </r>
  <r>
    <x v="11"/>
    <x v="6"/>
    <n v="812.7364084091281"/>
  </r>
  <r>
    <x v="11"/>
    <x v="6"/>
    <n v="812.7364084091281"/>
  </r>
  <r>
    <x v="11"/>
    <x v="6"/>
    <n v="812.7364084091281"/>
  </r>
  <r>
    <x v="11"/>
    <x v="6"/>
    <n v="812.7364084091281"/>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1"/>
    <x v="9"/>
    <n v="120.47055208607148"/>
  </r>
  <r>
    <x v="12"/>
    <x v="6"/>
    <n v="1092.12859663873"/>
  </r>
  <r>
    <x v="12"/>
    <x v="6"/>
    <n v="1092.12859663873"/>
  </r>
  <r>
    <x v="12"/>
    <x v="6"/>
    <n v="1092.12859663873"/>
  </r>
  <r>
    <x v="12"/>
    <x v="6"/>
    <n v="1092.12859663873"/>
  </r>
  <r>
    <x v="12"/>
    <x v="6"/>
    <n v="1092.12859663873"/>
  </r>
  <r>
    <x v="12"/>
    <x v="6"/>
    <n v="1092.12859663873"/>
  </r>
  <r>
    <x v="12"/>
    <x v="6"/>
    <n v="1092.12859663873"/>
  </r>
  <r>
    <x v="12"/>
    <x v="6"/>
    <n v="1092.12859663873"/>
  </r>
  <r>
    <x v="12"/>
    <x v="6"/>
    <n v="1092.12859663873"/>
  </r>
  <r>
    <x v="12"/>
    <x v="6"/>
    <n v="1092.12859663873"/>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2"/>
    <x v="9"/>
    <n v="419.28477946906577"/>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3"/>
    <x v="9"/>
    <n v="3416.6569160000008"/>
  </r>
  <r>
    <x v="14"/>
    <x v="6"/>
    <n v="3383.5093556389602"/>
  </r>
  <r>
    <x v="14"/>
    <x v="6"/>
    <n v="3383.5093556389602"/>
  </r>
  <r>
    <x v="14"/>
    <x v="6"/>
    <n v="3383.5093556389602"/>
  </r>
  <r>
    <x v="14"/>
    <x v="6"/>
    <n v="3383.5093556389602"/>
  </r>
  <r>
    <x v="14"/>
    <x v="6"/>
    <n v="3383.5093556389602"/>
  </r>
  <r>
    <x v="14"/>
    <x v="6"/>
    <n v="3383.5093556389602"/>
  </r>
  <r>
    <x v="14"/>
    <x v="6"/>
    <n v="3383.5093556389602"/>
  </r>
  <r>
    <x v="14"/>
    <x v="6"/>
    <n v="3383.5093556389602"/>
  </r>
  <r>
    <x v="14"/>
    <x v="6"/>
    <n v="3383.5093556389602"/>
  </r>
  <r>
    <x v="14"/>
    <x v="6"/>
    <n v="3383.5093556389602"/>
  </r>
  <r>
    <x v="14"/>
    <x v="6"/>
    <n v="3383.5093556389602"/>
  </r>
  <r>
    <x v="14"/>
    <x v="6"/>
    <n v="3383.5093556389602"/>
  </r>
  <r>
    <x v="14"/>
    <x v="6"/>
    <n v="3383.5093556389602"/>
  </r>
  <r>
    <x v="14"/>
    <x v="6"/>
    <n v="3383.5093556389602"/>
  </r>
  <r>
    <x v="14"/>
    <x v="6"/>
    <n v="3383.5093556389602"/>
  </r>
  <r>
    <x v="15"/>
    <x v="11"/>
    <n v="1943.9497008859194"/>
  </r>
  <r>
    <x v="15"/>
    <x v="11"/>
    <n v="1943.9497008859194"/>
  </r>
  <r>
    <x v="15"/>
    <x v="11"/>
    <n v="1943.9497008859194"/>
  </r>
  <r>
    <x v="15"/>
    <x v="11"/>
    <n v="1943.9497008859194"/>
  </r>
  <r>
    <x v="15"/>
    <x v="11"/>
    <n v="1943.9497008859194"/>
  </r>
  <r>
    <x v="15"/>
    <x v="11"/>
    <n v="1943.9497008859194"/>
  </r>
  <r>
    <x v="15"/>
    <x v="11"/>
    <n v="1943.9497008859194"/>
  </r>
  <r>
    <x v="15"/>
    <x v="11"/>
    <n v="1943.9497008859194"/>
  </r>
  <r>
    <x v="15"/>
    <x v="11"/>
    <n v="1943.9497008859194"/>
  </r>
  <r>
    <x v="15"/>
    <x v="11"/>
    <n v="1943.9497008859194"/>
  </r>
  <r>
    <x v="15"/>
    <x v="11"/>
    <n v="1943.9497008859194"/>
  </r>
  <r>
    <x v="15"/>
    <x v="11"/>
    <n v="1943.9497008859194"/>
  </r>
  <r>
    <x v="15"/>
    <x v="11"/>
    <n v="1943.9497008859194"/>
  </r>
  <r>
    <x v="15"/>
    <x v="11"/>
    <n v="1943.9497008859194"/>
  </r>
  <r>
    <x v="15"/>
    <x v="11"/>
    <n v="1943.9497008859194"/>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2"/>
    <n v="2459.6914582638165"/>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5"/>
    <x v="13"/>
    <n v="1030.2872247506953"/>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4"/>
    <n v="1172.6465212572155"/>
  </r>
  <r>
    <x v="16"/>
    <x v="15"/>
    <n v="18.654478742784612"/>
  </r>
  <r>
    <x v="16"/>
    <x v="16"/>
    <n v="86.066523995226561"/>
  </r>
  <r>
    <x v="16"/>
    <x v="16"/>
    <n v="86.066523995226561"/>
  </r>
  <r>
    <x v="16"/>
    <x v="16"/>
    <n v="86.066523995226561"/>
  </r>
  <r>
    <x v="16"/>
    <x v="16"/>
    <n v="86.066523995226561"/>
  </r>
  <r>
    <x v="16"/>
    <x v="16"/>
    <n v="86.066523995226561"/>
  </r>
  <r>
    <x v="16"/>
    <x v="16"/>
    <n v="86.066523995226561"/>
  </r>
  <r>
    <x v="16"/>
    <x v="16"/>
    <n v="86.066523995226561"/>
  </r>
  <r>
    <x v="16"/>
    <x v="16"/>
    <n v="86.066523995226561"/>
  </r>
  <r>
    <x v="16"/>
    <x v="16"/>
    <n v="86.066523995226561"/>
  </r>
  <r>
    <x v="16"/>
    <x v="16"/>
    <n v="86.0665239952265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useAutoFormatting="1" rowGrandTotals="0" colGrandTotals="0" itemPrintTitles="1" createdVersion="4" indent="0" compact="0" outline="1" outlineData="1" compactData="0" multipleFieldFilters="0" chartFormat="16">
  <location ref="C200:G241" firstHeaderRow="0" firstDataRow="1" firstDataCol="3" rowPageCount="1" colPageCount="1"/>
  <pivotFields count="30">
    <pivotField axis="axisPage" compact="0" multipleItemSelectionAllowed="1" showAll="0" defaultSubtotal="0">
      <items count="4">
        <item h="1" x="2"/>
        <item h="1" x="1"/>
        <item x="0"/>
        <item h="1" m="1" x="3"/>
      </items>
    </pivotField>
    <pivotField axis="axisRow" compact="0" showAll="0" defaultSubtotal="0">
      <items count="29">
        <item x="5"/>
        <item m="1" x="18"/>
        <item m="1" x="20"/>
        <item m="1" x="23"/>
        <item m="1" x="19"/>
        <item x="7"/>
        <item m="1" x="24"/>
        <item m="1" x="28"/>
        <item m="1" x="25"/>
        <item m="1" x="26"/>
        <item m="1" x="21"/>
        <item x="16"/>
        <item m="1" x="17"/>
        <item x="11"/>
        <item m="1" x="22"/>
        <item m="1" x="27"/>
        <item x="2"/>
        <item x="3"/>
        <item x="4"/>
        <item x="6"/>
        <item x="8"/>
        <item x="10"/>
        <item x="12"/>
        <item x="14"/>
        <item x="1"/>
        <item x="9"/>
        <item x="13"/>
        <item x="15"/>
        <item x="0"/>
      </items>
    </pivotField>
    <pivotField axis="axisRow" compact="0" showAll="0" defaultSubtotal="0">
      <items count="42">
        <item m="1" x="22"/>
        <item m="1" x="18"/>
        <item m="1" x="28"/>
        <item m="1" x="41"/>
        <item m="1" x="25"/>
        <item x="2"/>
        <item m="1" x="23"/>
        <item m="1" x="19"/>
        <item m="1" x="37"/>
        <item m="1" x="32"/>
        <item m="1" x="36"/>
        <item x="1"/>
        <item x="0"/>
        <item m="1" x="26"/>
        <item m="1" x="24"/>
        <item m="1" x="17"/>
        <item m="1" x="30"/>
        <item m="1" x="29"/>
        <item m="1" x="31"/>
        <item m="1" x="33"/>
        <item m="1" x="39"/>
        <item x="16"/>
        <item x="14"/>
        <item x="7"/>
        <item x="15"/>
        <item x="3"/>
        <item m="1" x="34"/>
        <item m="1" x="27"/>
        <item x="8"/>
        <item m="1" x="40"/>
        <item m="1" x="38"/>
        <item m="1" x="20"/>
        <item m="1" x="21"/>
        <item m="1" x="35"/>
        <item x="10"/>
        <item x="11"/>
        <item x="12"/>
        <item x="13"/>
        <item x="4"/>
        <item x="5"/>
        <item x="6"/>
        <item x="9"/>
      </items>
    </pivotField>
    <pivotField compact="0" showAll="0" defaultSubtotal="0"/>
    <pivotField axis="axisRow" compact="0" showAll="0" defaultSubtotal="0">
      <items count="32">
        <item x="9"/>
        <item x="2"/>
        <item m="1" x="23"/>
        <item x="16"/>
        <item x="13"/>
        <item m="1" x="30"/>
        <item x="5"/>
        <item x="4"/>
        <item m="1" x="24"/>
        <item m="1" x="29"/>
        <item m="1" x="28"/>
        <item m="1" x="18"/>
        <item m="1" x="20"/>
        <item m="1" x="22"/>
        <item x="7"/>
        <item m="1" x="21"/>
        <item x="0"/>
        <item x="15"/>
        <item x="3"/>
        <item m="1" x="19"/>
        <item x="1"/>
        <item x="12"/>
        <item m="1" x="26"/>
        <item x="17"/>
        <item x="8"/>
        <item x="10"/>
        <item m="1" x="31"/>
        <item m="1" x="27"/>
        <item x="11"/>
        <item x="14"/>
        <item m="1" x="25"/>
        <item x="6"/>
      </items>
    </pivotField>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dataField="1" compact="0" showAll="0" defaultSubtotal="0"/>
    <pivotField dataField="1"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s>
  <rowFields count="3">
    <field x="2"/>
    <field x="4"/>
    <field x="1"/>
  </rowFields>
  <rowItems count="41">
    <i>
      <x v="5"/>
    </i>
    <i r="1">
      <x v="1"/>
    </i>
    <i r="2">
      <x v="28"/>
    </i>
    <i r="1">
      <x v="6"/>
    </i>
    <i r="2">
      <x v="28"/>
    </i>
    <i r="1">
      <x v="7"/>
    </i>
    <i r="2">
      <x v="28"/>
    </i>
    <i r="1">
      <x v="16"/>
    </i>
    <i r="2">
      <x v="28"/>
    </i>
    <i r="1">
      <x v="18"/>
    </i>
    <i r="2">
      <x v="28"/>
    </i>
    <i r="1">
      <x v="20"/>
    </i>
    <i r="2">
      <x v="28"/>
    </i>
    <i r="1">
      <x v="31"/>
    </i>
    <i r="2">
      <x v="28"/>
    </i>
    <i>
      <x v="11"/>
    </i>
    <i r="1">
      <x v="1"/>
    </i>
    <i r="2">
      <x v="28"/>
    </i>
    <i r="1">
      <x v="6"/>
    </i>
    <i r="2">
      <x v="28"/>
    </i>
    <i r="1">
      <x v="7"/>
    </i>
    <i r="2">
      <x v="28"/>
    </i>
    <i r="1">
      <x v="16"/>
    </i>
    <i r="2">
      <x v="28"/>
    </i>
    <i r="1">
      <x v="18"/>
    </i>
    <i r="2">
      <x v="28"/>
    </i>
    <i r="1">
      <x v="20"/>
    </i>
    <i r="2">
      <x v="28"/>
    </i>
    <i>
      <x v="12"/>
    </i>
    <i r="1">
      <x v="1"/>
    </i>
    <i r="2">
      <x v="28"/>
    </i>
    <i r="1">
      <x v="6"/>
    </i>
    <i r="2">
      <x v="28"/>
    </i>
    <i r="1">
      <x v="7"/>
    </i>
    <i r="2">
      <x v="28"/>
    </i>
    <i r="1">
      <x v="16"/>
    </i>
    <i r="2">
      <x v="28"/>
    </i>
    <i r="1">
      <x v="18"/>
    </i>
    <i r="2">
      <x v="28"/>
    </i>
    <i r="1">
      <x v="20"/>
    </i>
    <i r="2">
      <x v="28"/>
    </i>
  </rowItems>
  <colFields count="1">
    <field x="-2"/>
  </colFields>
  <colItems count="2">
    <i>
      <x/>
    </i>
    <i i="1">
      <x v="1"/>
    </i>
  </colItems>
  <pageFields count="1">
    <pageField fld="0" hier="-1"/>
  </pageFields>
  <dataFields count="2">
    <dataField name="Max of Lighting Savings" fld="12" subtotal="max" baseField="2" baseItem="0"/>
    <dataField name="Max of Control Savings" fld="13" subtotal="max" baseField="2" baseItem="0"/>
  </dataFields>
  <formats count="1">
    <format dxfId="69">
      <pivotArea outline="0" collapsedLevelsAreSubtotals="1" fieldPosition="0"/>
    </format>
  </formats>
  <chartFormats count="8">
    <chartFormat chart="0"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 format="1" series="1">
      <pivotArea type="data" outline="0" fieldPosition="0">
        <references count="1">
          <reference field="4294967294" count="1" selected="0">
            <x v="1"/>
          </reference>
        </references>
      </pivotArea>
    </chartFormat>
    <chartFormat chart="12" format="8"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1"/>
          </reference>
        </references>
      </pivotArea>
    </chartFormat>
    <chartFormat chart="14" format="12" series="1">
      <pivotArea type="data" outline="0" fieldPosition="0">
        <references count="1">
          <reference field="4294967294" count="1" selected="0">
            <x v="0"/>
          </reference>
        </references>
      </pivotArea>
    </chartFormat>
    <chartFormat chart="14" format="1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rowGrandTotals="0" colGrandTotals="0" itemPrintTitles="1" createdVersion="4" indent="0" compact="0" outline="1" outlineData="1" compactData="0" multipleFieldFilters="0" chartFormat="19">
  <location ref="C6:H85" firstHeaderRow="0" firstDataRow="1" firstDataCol="4" rowPageCount="1" colPageCount="1"/>
  <pivotFields count="30">
    <pivotField axis="axisPage" compact="0" multipleItemSelectionAllowed="1" showAll="0" defaultSubtotal="0">
      <items count="4">
        <item h="1" x="1"/>
        <item h="1" x="0"/>
        <item x="2"/>
        <item h="1" m="1" x="3"/>
      </items>
    </pivotField>
    <pivotField axis="axisRow" compact="0" multipleItemSelectionAllowed="1" showAll="0" defaultSubtotal="0">
      <items count="29">
        <item x="5"/>
        <item m="1" x="18"/>
        <item m="1" x="20"/>
        <item m="1" x="23"/>
        <item m="1" x="19"/>
        <item m="1" x="24"/>
        <item m="1" x="28"/>
        <item m="1" x="26"/>
        <item m="1" x="21"/>
        <item x="16"/>
        <item m="1" x="17"/>
        <item x="11"/>
        <item m="1" x="22"/>
        <item m="1" x="25"/>
        <item x="7"/>
        <item m="1" x="27"/>
        <item x="2"/>
        <item x="3"/>
        <item x="4"/>
        <item x="6"/>
        <item x="8"/>
        <item x="10"/>
        <item x="12"/>
        <item x="14"/>
        <item x="1"/>
        <item x="9"/>
        <item x="13"/>
        <item x="15"/>
        <item x="0"/>
      </items>
    </pivotField>
    <pivotField axis="axisRow" compact="0" showAll="0" defaultSubtotal="0">
      <items count="42">
        <item m="1" x="22"/>
        <item m="1" x="18"/>
        <item m="1" x="28"/>
        <item m="1" x="41"/>
        <item m="1" x="25"/>
        <item x="2"/>
        <item m="1" x="23"/>
        <item m="1" x="19"/>
        <item m="1" x="37"/>
        <item m="1" x="32"/>
        <item m="1" x="36"/>
        <item x="1"/>
        <item x="0"/>
        <item m="1" x="26"/>
        <item m="1" x="24"/>
        <item m="1" x="17"/>
        <item m="1" x="30"/>
        <item m="1" x="29"/>
        <item m="1" x="31"/>
        <item m="1" x="33"/>
        <item m="1" x="39"/>
        <item x="16"/>
        <item x="14"/>
        <item x="7"/>
        <item x="15"/>
        <item x="3"/>
        <item m="1" x="34"/>
        <item m="1" x="27"/>
        <item x="8"/>
        <item m="1" x="40"/>
        <item m="1" x="38"/>
        <item m="1" x="20"/>
        <item m="1" x="21"/>
        <item m="1" x="35"/>
        <item x="10"/>
        <item x="11"/>
        <item x="12"/>
        <item x="13"/>
        <item x="4"/>
        <item x="5"/>
        <item x="6"/>
        <item x="9"/>
      </items>
    </pivotField>
    <pivotField compact="0" showAll="0" defaultSubtotal="0"/>
    <pivotField axis="axisRow" compact="0" showAll="0" defaultSubtotal="0">
      <items count="32">
        <item x="9"/>
        <item x="2"/>
        <item m="1" x="23"/>
        <item x="16"/>
        <item x="13"/>
        <item m="1" x="30"/>
        <item x="5"/>
        <item x="4"/>
        <item m="1" x="24"/>
        <item m="1" x="29"/>
        <item m="1" x="28"/>
        <item m="1" x="18"/>
        <item m="1" x="20"/>
        <item m="1" x="22"/>
        <item x="7"/>
        <item m="1" x="21"/>
        <item x="0"/>
        <item x="15"/>
        <item x="3"/>
        <item m="1" x="19"/>
        <item x="1"/>
        <item x="12"/>
        <item m="1" x="26"/>
        <item x="17"/>
        <item x="8"/>
        <item x="10"/>
        <item m="1" x="31"/>
        <item m="1" x="27"/>
        <item x="11"/>
        <item x="14"/>
        <item m="1" x="25"/>
        <item x="6"/>
      </items>
    </pivotField>
    <pivotField compact="0" showAll="0" defaultSubtotal="0"/>
    <pivotField compact="0" showAll="0" defaultSubtotal="0"/>
    <pivotField compact="0" showAll="0" defaultSubtotal="0"/>
    <pivotField compact="0" showAll="0" defaultSubtotal="0"/>
    <pivotField compact="0" showAll="0" defaultSubtotal="0"/>
    <pivotField axis="axisRow" compact="0" showAll="0" defaultSubtotal="0">
      <items count="33">
        <item x="16"/>
        <item m="1" x="29"/>
        <item x="0"/>
        <item m="1" x="26"/>
        <item x="2"/>
        <item x="17"/>
        <item x="10"/>
        <item x="18"/>
        <item m="1" x="32"/>
        <item m="1" x="31"/>
        <item m="1" x="25"/>
        <item x="1"/>
        <item x="3"/>
        <item x="6"/>
        <item x="23"/>
        <item x="4"/>
        <item x="11"/>
        <item x="12"/>
        <item m="1" x="24"/>
        <item x="9"/>
        <item m="1" x="27"/>
        <item x="15"/>
        <item x="8"/>
        <item x="22"/>
        <item m="1" x="28"/>
        <item m="1" x="30"/>
        <item x="13"/>
        <item x="14"/>
        <item x="20"/>
        <item x="21"/>
        <item x="5"/>
        <item x="7"/>
        <item x="19"/>
      </items>
    </pivotField>
    <pivotField compact="0" showAll="0" defaultSubtotal="0"/>
    <pivotField dataField="1" compact="0" showAll="0" defaultSubtotal="0"/>
    <pivotField dataField="1"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s>
  <rowFields count="4">
    <field x="10"/>
    <field x="2"/>
    <field x="1"/>
    <field x="4"/>
  </rowFields>
  <rowItems count="79">
    <i>
      <x/>
    </i>
    <i r="1">
      <x v="37"/>
    </i>
    <i r="2">
      <x v="27"/>
    </i>
    <i r="3">
      <x v="14"/>
    </i>
    <i r="3">
      <x v="25"/>
    </i>
    <i>
      <x v="5"/>
    </i>
    <i r="1">
      <x v="22"/>
    </i>
    <i r="2">
      <x v="9"/>
    </i>
    <i r="3">
      <x v="28"/>
    </i>
    <i r="3">
      <x v="29"/>
    </i>
    <i r="1">
      <x v="36"/>
    </i>
    <i r="2">
      <x v="27"/>
    </i>
    <i r="3">
      <x v="28"/>
    </i>
    <i r="3">
      <x v="29"/>
    </i>
    <i r="1">
      <x v="37"/>
    </i>
    <i r="2">
      <x v="27"/>
    </i>
    <i r="3">
      <x v="28"/>
    </i>
    <i r="3">
      <x v="29"/>
    </i>
    <i>
      <x v="6"/>
    </i>
    <i r="1">
      <x v="22"/>
    </i>
    <i r="2">
      <x v="9"/>
    </i>
    <i r="3">
      <x v="29"/>
    </i>
    <i r="1">
      <x v="35"/>
    </i>
    <i r="2">
      <x v="27"/>
    </i>
    <i r="3">
      <x/>
    </i>
    <i r="1">
      <x v="37"/>
    </i>
    <i r="2">
      <x v="27"/>
    </i>
    <i r="3">
      <x/>
    </i>
    <i r="3">
      <x v="14"/>
    </i>
    <i>
      <x v="12"/>
    </i>
    <i r="1">
      <x v="35"/>
    </i>
    <i r="2">
      <x v="27"/>
    </i>
    <i r="3">
      <x v="20"/>
    </i>
    <i>
      <x v="14"/>
    </i>
    <i r="1">
      <x v="21"/>
    </i>
    <i r="2">
      <x v="9"/>
    </i>
    <i r="3">
      <x v="3"/>
    </i>
    <i r="3">
      <x v="23"/>
    </i>
    <i>
      <x v="19"/>
    </i>
    <i r="1">
      <x v="35"/>
    </i>
    <i r="2">
      <x v="27"/>
    </i>
    <i r="3">
      <x v="20"/>
    </i>
    <i r="1">
      <x v="36"/>
    </i>
    <i r="2">
      <x v="27"/>
    </i>
    <i r="3">
      <x v="20"/>
    </i>
    <i r="1">
      <x v="37"/>
    </i>
    <i r="2">
      <x v="27"/>
    </i>
    <i r="3">
      <x v="20"/>
    </i>
    <i>
      <x v="21"/>
    </i>
    <i r="1">
      <x v="22"/>
    </i>
    <i r="2">
      <x v="9"/>
    </i>
    <i r="3">
      <x v="28"/>
    </i>
    <i r="3">
      <x v="29"/>
    </i>
    <i r="1">
      <x v="36"/>
    </i>
    <i r="2">
      <x v="27"/>
    </i>
    <i r="3">
      <x v="29"/>
    </i>
    <i r="1">
      <x v="37"/>
    </i>
    <i r="2">
      <x v="27"/>
    </i>
    <i r="3">
      <x v="29"/>
    </i>
    <i>
      <x v="23"/>
    </i>
    <i r="1">
      <x v="24"/>
    </i>
    <i r="2">
      <x v="9"/>
    </i>
    <i r="3">
      <x v="17"/>
    </i>
    <i>
      <x v="28"/>
    </i>
    <i r="1">
      <x v="36"/>
    </i>
    <i r="2">
      <x v="27"/>
    </i>
    <i r="3">
      <x v="20"/>
    </i>
    <i r="3">
      <x v="28"/>
    </i>
    <i r="3">
      <x v="29"/>
    </i>
    <i r="1">
      <x v="37"/>
    </i>
    <i r="2">
      <x v="27"/>
    </i>
    <i r="3">
      <x v="20"/>
    </i>
    <i r="3">
      <x v="25"/>
    </i>
    <i r="3">
      <x v="28"/>
    </i>
    <i r="3">
      <x v="29"/>
    </i>
    <i>
      <x v="29"/>
    </i>
    <i r="1">
      <x v="22"/>
    </i>
    <i r="2">
      <x v="9"/>
    </i>
    <i r="3">
      <x v="28"/>
    </i>
  </rowItems>
  <colFields count="1">
    <field x="-2"/>
  </colFields>
  <colItems count="2">
    <i>
      <x/>
    </i>
    <i i="1">
      <x v="1"/>
    </i>
  </colItems>
  <pageFields count="1">
    <pageField fld="0" hier="-1"/>
  </pageFields>
  <dataFields count="2">
    <dataField name="Max of Lighting Savings" fld="12" subtotal="max" baseField="4" baseItem="19"/>
    <dataField name="Max of Control Savings" fld="13" subtotal="max" baseField="4" baseItem="19"/>
  </dataFields>
  <formats count="12">
    <format dxfId="31">
      <pivotArea outline="0" collapsedLevelsAreSubtotals="1" fieldPosition="0"/>
    </format>
    <format dxfId="30">
      <pivotArea dataOnly="0" labelOnly="1" outline="0" fieldPosition="0">
        <references count="1">
          <reference field="4294967294" count="2">
            <x v="0"/>
            <x v="1"/>
          </reference>
        </references>
      </pivotArea>
    </format>
    <format dxfId="29">
      <pivotArea field="10" type="button" dataOnly="0" labelOnly="1" outline="0" axis="axisRow" fieldPosition="0"/>
    </format>
    <format dxfId="28">
      <pivotArea field="2" type="button" dataOnly="0" labelOnly="1" outline="0" axis="axisRow" fieldPosition="1"/>
    </format>
    <format dxfId="27">
      <pivotArea field="1" type="button" dataOnly="0" labelOnly="1" outline="0" axis="axisRow" fieldPosition="2"/>
    </format>
    <format dxfId="26">
      <pivotArea field="4" type="button" dataOnly="0" labelOnly="1" outline="0" axis="axisRow" fieldPosition="3"/>
    </format>
    <format dxfId="25">
      <pivotArea dataOnly="0" labelOnly="1" outline="0" fieldPosition="0">
        <references count="1">
          <reference field="4294967294" count="1">
            <x v="0"/>
          </reference>
        </references>
      </pivotArea>
    </format>
    <format dxfId="24">
      <pivotArea field="10" type="button" dataOnly="0" labelOnly="1" outline="0" axis="axisRow" fieldPosition="0"/>
    </format>
    <format dxfId="23">
      <pivotArea field="2" type="button" dataOnly="0" labelOnly="1" outline="0" axis="axisRow" fieldPosition="1"/>
    </format>
    <format dxfId="22">
      <pivotArea field="1" type="button" dataOnly="0" labelOnly="1" outline="0" axis="axisRow" fieldPosition="2"/>
    </format>
    <format dxfId="21">
      <pivotArea field="4" type="button" dataOnly="0" labelOnly="1" outline="0" axis="axisRow" fieldPosition="3"/>
    </format>
    <format dxfId="20">
      <pivotArea dataOnly="0" labelOnly="1" outline="0" fieldPosition="0">
        <references count="1">
          <reference field="4294967294" count="1">
            <x v="0"/>
          </reference>
        </references>
      </pivotArea>
    </format>
  </formats>
  <chartFormats count="4">
    <chartFormat chart="2" format="4"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S200:U207" firstHeaderRow="0" firstDataRow="1" firstDataCol="1"/>
  <pivotFields count="5">
    <pivotField axis="axisRow" showAll="0">
      <items count="10">
        <item sd="0" m="1" x="6"/>
        <item sd="0" m="1" x="7"/>
        <item sd="0" m="1" x="8"/>
        <item sd="0" x="0"/>
        <item sd="0" x="1"/>
        <item sd="0" x="2"/>
        <item sd="0" x="3"/>
        <item sd="0" x="4"/>
        <item sd="0" x="5"/>
        <item t="default" sd="0"/>
      </items>
    </pivotField>
    <pivotField axis="axisRow" showAll="0">
      <items count="17">
        <item x="7"/>
        <item x="0"/>
        <item m="1" x="11"/>
        <item m="1" x="10"/>
        <item x="1"/>
        <item x="2"/>
        <item m="1" x="14"/>
        <item m="1" x="13"/>
        <item x="5"/>
        <item m="1" x="15"/>
        <item m="1" x="12"/>
        <item x="8"/>
        <item x="9"/>
        <item x="3"/>
        <item x="4"/>
        <item x="6"/>
        <item t="default"/>
      </items>
    </pivotField>
    <pivotField showAll="0"/>
    <pivotField dataField="1" showAll="0"/>
    <pivotField dataField="1" showAll="0"/>
  </pivotFields>
  <rowFields count="2">
    <field x="0"/>
    <field x="1"/>
  </rowFields>
  <rowItems count="7">
    <i>
      <x v="3"/>
    </i>
    <i>
      <x v="4"/>
    </i>
    <i>
      <x v="5"/>
    </i>
    <i>
      <x v="6"/>
    </i>
    <i>
      <x v="7"/>
    </i>
    <i>
      <x v="8"/>
    </i>
    <i t="grand">
      <x/>
    </i>
  </rowItems>
  <colFields count="1">
    <field x="-2"/>
  </colFields>
  <colItems count="2">
    <i>
      <x/>
    </i>
    <i i="1">
      <x v="1"/>
    </i>
  </colItems>
  <dataFields count="2">
    <dataField name="Maximum Lighting Application Potential" fld="3" baseField="0" baseItem="0"/>
    <dataField name="Maximum Controls Application Potential" fld="4" baseField="0" baseItem="0"/>
  </dataFields>
  <formats count="1">
    <format dxfId="32">
      <pivotArea outline="0" collapsedLevelsAreSubtotals="1" fieldPosition="0"/>
    </format>
  </format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 chart="3"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4"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7">
  <location ref="S6:U17" firstHeaderRow="0" firstDataRow="1" firstDataCol="1"/>
  <pivotFields count="6">
    <pivotField axis="axisRow" showAll="0">
      <items count="14">
        <item sd="0" x="1"/>
        <item sd="0" x="2"/>
        <item sd="0" m="1" x="12"/>
        <item sd="0" x="4"/>
        <item sd="0" m="1" x="10"/>
        <item sd="0" x="5"/>
        <item sd="0" m="1" x="11"/>
        <item sd="0" x="7"/>
        <item sd="0" x="0"/>
        <item sd="0" x="3"/>
        <item sd="0" x="6"/>
        <item sd="0" x="8"/>
        <item sd="0" x="9"/>
        <item t="default" sd="0"/>
      </items>
    </pivotField>
    <pivotField axis="axisRow" multipleItemSelectionAllowed="1" showAll="0">
      <items count="11">
        <item x="0"/>
        <item m="1" x="8"/>
        <item m="1" x="9"/>
        <item x="2"/>
        <item m="1" x="7"/>
        <item x="5"/>
        <item x="6"/>
        <item x="3"/>
        <item x="1"/>
        <item x="4"/>
        <item t="default"/>
      </items>
    </pivotField>
    <pivotField showAll="0"/>
    <pivotField showAll="0" defaultSubtotal="0"/>
    <pivotField dataField="1" showAll="0" defaultSubtotal="0"/>
    <pivotField dataField="1" showAll="0"/>
  </pivotFields>
  <rowFields count="2">
    <field x="0"/>
    <field x="1"/>
  </rowFields>
  <rowItems count="11">
    <i>
      <x/>
    </i>
    <i>
      <x v="1"/>
    </i>
    <i>
      <x v="3"/>
    </i>
    <i>
      <x v="5"/>
    </i>
    <i>
      <x v="7"/>
    </i>
    <i>
      <x v="8"/>
    </i>
    <i>
      <x v="9"/>
    </i>
    <i>
      <x v="10"/>
    </i>
    <i>
      <x v="11"/>
    </i>
    <i>
      <x v="12"/>
    </i>
    <i t="grand">
      <x/>
    </i>
  </rowItems>
  <colFields count="1">
    <field x="-2"/>
  </colFields>
  <colItems count="2">
    <i>
      <x/>
    </i>
    <i i="1">
      <x v="1"/>
    </i>
  </colItems>
  <dataFields count="2">
    <dataField name="Total Lighting Technology Potential" fld="4" baseField="0" baseItem="0"/>
    <dataField name="Total Control Technology Potential" fld="5" baseField="0" baseItem="0"/>
  </dataFields>
  <formats count="1">
    <format dxfId="33">
      <pivotArea outline="0" collapsedLevelsAreSubtotals="1" fieldPosition="0"/>
    </format>
  </formats>
  <chartFormats count="16">
    <chartFormat chart="0" format="1"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1"/>
          </reference>
        </references>
      </pivotArea>
    </chartFormat>
    <chartFormat chart="2" format="7"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6" format="10"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1"/>
          </reference>
        </references>
      </pivotArea>
    </chartFormat>
    <chartFormat chart="7" format="8"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1"/>
          </reference>
        </references>
      </pivotArea>
    </chartFormat>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C6:D19" firstHeaderRow="1" firstDataRow="1" firstDataCol="1" rowPageCount="1" colPageCount="1"/>
  <pivotFields count="3">
    <pivotField axis="axisRow" showAll="0">
      <items count="18">
        <item x="5"/>
        <item x="1"/>
        <item x="0"/>
        <item x="6"/>
        <item x="8"/>
        <item x="9"/>
        <item x="7"/>
        <item x="13"/>
        <item x="14"/>
        <item x="2"/>
        <item x="15"/>
        <item x="10"/>
        <item x="3"/>
        <item x="16"/>
        <item x="12"/>
        <item x="11"/>
        <item x="4"/>
        <item t="default"/>
      </items>
    </pivotField>
    <pivotField axis="axisPage" showAll="0">
      <items count="18">
        <item x="9"/>
        <item x="6"/>
        <item x="4"/>
        <item x="5"/>
        <item x="13"/>
        <item x="10"/>
        <item x="3"/>
        <item x="2"/>
        <item x="1"/>
        <item x="0"/>
        <item x="11"/>
        <item x="12"/>
        <item x="16"/>
        <item x="14"/>
        <item x="7"/>
        <item x="8"/>
        <item x="15"/>
        <item t="default"/>
      </items>
    </pivotField>
    <pivotField dataField="1" showAll="0"/>
  </pivotFields>
  <rowFields count="1">
    <field x="0"/>
  </rowFields>
  <rowItems count="13">
    <i>
      <x/>
    </i>
    <i>
      <x v="3"/>
    </i>
    <i>
      <x v="4"/>
    </i>
    <i>
      <x v="5"/>
    </i>
    <i>
      <x v="6"/>
    </i>
    <i>
      <x v="8"/>
    </i>
    <i>
      <x v="9"/>
    </i>
    <i>
      <x v="11"/>
    </i>
    <i>
      <x v="12"/>
    </i>
    <i>
      <x v="14"/>
    </i>
    <i>
      <x v="15"/>
    </i>
    <i>
      <x v="16"/>
    </i>
    <i t="grand">
      <x/>
    </i>
  </rowItems>
  <colItems count="1">
    <i/>
  </colItems>
  <pageFields count="1">
    <pageField fld="1" item="1" hier="-1"/>
  </pageFields>
  <dataFields count="1">
    <dataField name="Average of Application Energy Consumption Across California (IOU Territory)" fld="2" subtotal="average" baseField="0" baseItem="0" numFmtId="1"/>
  </dataFields>
  <formats count="1">
    <format dxfId="9">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rowGrandTotals="0" colGrandTotals="0" itemPrintTitles="1" createdVersion="4" indent="0" compact="0" outline="1" outlineData="1" compactData="0" multipleFieldFilters="0" chartFormat="19">
  <location ref="C6:H96" firstHeaderRow="0" firstDataRow="1" firstDataCol="4" rowPageCount="1" colPageCount="1"/>
  <pivotFields count="30">
    <pivotField axis="axisPage" compact="0" multipleItemSelectionAllowed="1" showAll="0" defaultSubtotal="0">
      <items count="4">
        <item h="1" x="1"/>
        <item x="0"/>
        <item h="1" x="2"/>
        <item h="1" m="1" x="3"/>
      </items>
    </pivotField>
    <pivotField axis="axisRow" compact="0" multipleItemSelectionAllowed="1" showAll="0" defaultSubtotal="0">
      <items count="29">
        <item x="5"/>
        <item m="1" x="18"/>
        <item m="1" x="20"/>
        <item m="1" x="23"/>
        <item m="1" x="19"/>
        <item m="1" x="24"/>
        <item m="1" x="28"/>
        <item m="1" x="26"/>
        <item m="1" x="21"/>
        <item x="16"/>
        <item m="1" x="17"/>
        <item x="11"/>
        <item m="1" x="22"/>
        <item m="1" x="25"/>
        <item x="7"/>
        <item m="1" x="27"/>
        <item x="2"/>
        <item x="3"/>
        <item x="4"/>
        <item x="6"/>
        <item x="8"/>
        <item x="10"/>
        <item x="12"/>
        <item x="14"/>
        <item x="1"/>
        <item x="9"/>
        <item x="13"/>
        <item x="15"/>
        <item x="0"/>
      </items>
    </pivotField>
    <pivotField axis="axisRow" compact="0" showAll="0" defaultSubtotal="0">
      <items count="42">
        <item m="1" x="22"/>
        <item m="1" x="18"/>
        <item m="1" x="28"/>
        <item m="1" x="41"/>
        <item m="1" x="25"/>
        <item x="2"/>
        <item m="1" x="23"/>
        <item m="1" x="19"/>
        <item m="1" x="37"/>
        <item m="1" x="32"/>
        <item m="1" x="36"/>
        <item x="1"/>
        <item x="0"/>
        <item m="1" x="26"/>
        <item m="1" x="24"/>
        <item m="1" x="17"/>
        <item m="1" x="30"/>
        <item m="1" x="29"/>
        <item m="1" x="31"/>
        <item m="1" x="33"/>
        <item m="1" x="39"/>
        <item x="16"/>
        <item x="14"/>
        <item x="7"/>
        <item x="15"/>
        <item x="3"/>
        <item m="1" x="34"/>
        <item m="1" x="27"/>
        <item x="8"/>
        <item m="1" x="40"/>
        <item m="1" x="38"/>
        <item m="1" x="20"/>
        <item m="1" x="21"/>
        <item m="1" x="35"/>
        <item x="10"/>
        <item x="11"/>
        <item x="12"/>
        <item x="13"/>
        <item x="4"/>
        <item x="5"/>
        <item x="6"/>
        <item x="9"/>
      </items>
    </pivotField>
    <pivotField compact="0" showAll="0" defaultSubtotal="0"/>
    <pivotField axis="axisRow" compact="0" showAll="0" defaultSubtotal="0">
      <items count="32">
        <item x="9"/>
        <item x="2"/>
        <item m="1" x="23"/>
        <item x="16"/>
        <item x="13"/>
        <item m="1" x="30"/>
        <item x="5"/>
        <item x="4"/>
        <item m="1" x="24"/>
        <item m="1" x="29"/>
        <item m="1" x="28"/>
        <item m="1" x="18"/>
        <item m="1" x="20"/>
        <item m="1" x="22"/>
        <item x="7"/>
        <item m="1" x="21"/>
        <item x="0"/>
        <item x="15"/>
        <item x="3"/>
        <item m="1" x="19"/>
        <item x="1"/>
        <item x="12"/>
        <item m="1" x="26"/>
        <item x="17"/>
        <item x="8"/>
        <item x="10"/>
        <item m="1" x="31"/>
        <item m="1" x="27"/>
        <item x="11"/>
        <item x="14"/>
        <item m="1" x="25"/>
        <item x="6"/>
      </items>
    </pivotField>
    <pivotField compact="0" showAll="0" defaultSubtotal="0"/>
    <pivotField compact="0" showAll="0" defaultSubtotal="0"/>
    <pivotField compact="0" showAll="0" defaultSubtotal="0"/>
    <pivotField compact="0" showAll="0" defaultSubtotal="0"/>
    <pivotField compact="0" showAll="0" defaultSubtotal="0"/>
    <pivotField axis="axisRow" compact="0" showAll="0" defaultSubtotal="0">
      <items count="33">
        <item x="16"/>
        <item m="1" x="29"/>
        <item x="0"/>
        <item m="1" x="26"/>
        <item x="2"/>
        <item x="17"/>
        <item x="10"/>
        <item x="18"/>
        <item m="1" x="32"/>
        <item m="1" x="31"/>
        <item m="1" x="25"/>
        <item x="1"/>
        <item x="3"/>
        <item x="6"/>
        <item x="23"/>
        <item x="4"/>
        <item x="11"/>
        <item x="12"/>
        <item m="1" x="24"/>
        <item x="9"/>
        <item m="1" x="27"/>
        <item x="15"/>
        <item x="8"/>
        <item x="22"/>
        <item m="1" x="28"/>
        <item m="1" x="30"/>
        <item x="13"/>
        <item x="14"/>
        <item x="20"/>
        <item x="21"/>
        <item x="5"/>
        <item x="7"/>
        <item x="19"/>
      </items>
    </pivotField>
    <pivotField compact="0" showAll="0" defaultSubtotal="0"/>
    <pivotField dataField="1" compact="0" showAll="0" defaultSubtotal="0"/>
    <pivotField dataField="1"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s>
  <rowFields count="4">
    <field x="10"/>
    <field x="2"/>
    <field x="1"/>
    <field x="4"/>
  </rowFields>
  <rowItems count="90">
    <i>
      <x v="2"/>
    </i>
    <i r="1">
      <x v="5"/>
    </i>
    <i r="2">
      <x v="28"/>
    </i>
    <i r="3">
      <x v="6"/>
    </i>
    <i r="3">
      <x v="16"/>
    </i>
    <i r="1">
      <x v="11"/>
    </i>
    <i r="2">
      <x v="28"/>
    </i>
    <i r="3">
      <x v="6"/>
    </i>
    <i r="3">
      <x v="16"/>
    </i>
    <i r="1">
      <x v="12"/>
    </i>
    <i r="2">
      <x v="28"/>
    </i>
    <i r="3">
      <x v="6"/>
    </i>
    <i r="3">
      <x v="16"/>
    </i>
    <i>
      <x v="4"/>
    </i>
    <i r="1">
      <x v="5"/>
    </i>
    <i r="2">
      <x v="28"/>
    </i>
    <i r="3">
      <x v="20"/>
    </i>
    <i r="1">
      <x v="11"/>
    </i>
    <i r="2">
      <x v="28"/>
    </i>
    <i r="3">
      <x v="20"/>
    </i>
    <i r="1">
      <x v="12"/>
    </i>
    <i r="2">
      <x v="28"/>
    </i>
    <i r="3">
      <x v="20"/>
    </i>
    <i>
      <x v="11"/>
    </i>
    <i r="1">
      <x v="5"/>
    </i>
    <i r="2">
      <x v="28"/>
    </i>
    <i r="3">
      <x v="1"/>
    </i>
    <i r="3">
      <x v="6"/>
    </i>
    <i r="3">
      <x v="16"/>
    </i>
    <i r="3">
      <x v="31"/>
    </i>
    <i r="1">
      <x v="11"/>
    </i>
    <i r="2">
      <x v="28"/>
    </i>
    <i r="3">
      <x v="1"/>
    </i>
    <i r="3">
      <x v="6"/>
    </i>
    <i r="3">
      <x v="16"/>
    </i>
    <i r="1">
      <x v="12"/>
    </i>
    <i r="2">
      <x v="28"/>
    </i>
    <i r="3">
      <x v="1"/>
    </i>
    <i r="3">
      <x v="6"/>
    </i>
    <i r="3">
      <x v="16"/>
    </i>
    <i>
      <x v="12"/>
    </i>
    <i r="1">
      <x v="5"/>
    </i>
    <i r="2">
      <x v="28"/>
    </i>
    <i r="3">
      <x v="20"/>
    </i>
    <i r="1">
      <x v="11"/>
    </i>
    <i r="2">
      <x v="28"/>
    </i>
    <i r="3">
      <x v="20"/>
    </i>
    <i r="1">
      <x v="12"/>
    </i>
    <i r="2">
      <x v="28"/>
    </i>
    <i r="3">
      <x v="20"/>
    </i>
    <i>
      <x v="13"/>
    </i>
    <i r="1">
      <x v="5"/>
    </i>
    <i r="2">
      <x v="28"/>
    </i>
    <i r="3">
      <x v="7"/>
    </i>
    <i r="1">
      <x v="11"/>
    </i>
    <i r="2">
      <x v="28"/>
    </i>
    <i r="3">
      <x v="7"/>
    </i>
    <i r="1">
      <x v="12"/>
    </i>
    <i r="2">
      <x v="28"/>
    </i>
    <i r="3">
      <x v="7"/>
    </i>
    <i>
      <x v="15"/>
    </i>
    <i r="1">
      <x v="5"/>
    </i>
    <i r="2">
      <x v="28"/>
    </i>
    <i r="3">
      <x v="18"/>
    </i>
    <i r="1">
      <x v="11"/>
    </i>
    <i r="2">
      <x v="28"/>
    </i>
    <i r="3">
      <x v="18"/>
    </i>
    <i r="1">
      <x v="12"/>
    </i>
    <i r="2">
      <x v="28"/>
    </i>
    <i r="3">
      <x v="18"/>
    </i>
    <i>
      <x v="30"/>
    </i>
    <i r="1">
      <x v="5"/>
    </i>
    <i r="2">
      <x v="28"/>
    </i>
    <i r="3">
      <x v="18"/>
    </i>
    <i r="1">
      <x v="11"/>
    </i>
    <i r="2">
      <x v="28"/>
    </i>
    <i r="3">
      <x v="18"/>
    </i>
    <i r="1">
      <x v="12"/>
    </i>
    <i r="2">
      <x v="28"/>
    </i>
    <i r="3">
      <x v="18"/>
    </i>
    <i>
      <x v="31"/>
    </i>
    <i r="1">
      <x v="5"/>
    </i>
    <i r="2">
      <x v="28"/>
    </i>
    <i r="3">
      <x v="7"/>
    </i>
    <i r="1">
      <x v="11"/>
    </i>
    <i r="2">
      <x v="28"/>
    </i>
    <i r="3">
      <x v="7"/>
    </i>
    <i r="1">
      <x v="12"/>
    </i>
    <i r="2">
      <x v="28"/>
    </i>
    <i r="3">
      <x v="7"/>
    </i>
  </rowItems>
  <colFields count="1">
    <field x="-2"/>
  </colFields>
  <colItems count="2">
    <i>
      <x/>
    </i>
    <i i="1">
      <x v="1"/>
    </i>
  </colItems>
  <pageFields count="1">
    <pageField fld="0" hier="-1"/>
  </pageFields>
  <dataFields count="2">
    <dataField name="Max of Lighting Savings" fld="12" subtotal="max" baseField="4" baseItem="19"/>
    <dataField name="Max of Control Savings" fld="13" subtotal="max" baseField="4" baseItem="19"/>
  </dataFields>
  <formats count="9">
    <format dxfId="78">
      <pivotArea outline="0" collapsedLevelsAreSubtotals="1" fieldPosition="0"/>
    </format>
    <format dxfId="77">
      <pivotArea dataOnly="0" labelOnly="1" outline="0" fieldPosition="0">
        <references count="1">
          <reference field="4294967294" count="2">
            <x v="0"/>
            <x v="1"/>
          </reference>
        </references>
      </pivotArea>
    </format>
    <format dxfId="76">
      <pivotArea field="10" type="button" dataOnly="0" labelOnly="1" outline="0" axis="axisRow" fieldPosition="0"/>
    </format>
    <format dxfId="75">
      <pivotArea dataOnly="0" labelOnly="1" outline="0" fieldPosition="0">
        <references count="1">
          <reference field="4294967294" count="1">
            <x v="0"/>
          </reference>
        </references>
      </pivotArea>
    </format>
    <format dxfId="74">
      <pivotArea field="10" type="button" dataOnly="0" labelOnly="1" outline="0" axis="axisRow" fieldPosition="0"/>
    </format>
    <format dxfId="73">
      <pivotArea field="2" type="button" dataOnly="0" labelOnly="1" outline="0" axis="axisRow" fieldPosition="1"/>
    </format>
    <format dxfId="72">
      <pivotArea field="1" type="button" dataOnly="0" labelOnly="1" outline="0" axis="axisRow" fieldPosition="2"/>
    </format>
    <format dxfId="71">
      <pivotArea field="4" type="button" dataOnly="0" labelOnly="1" outline="0" axis="axisRow" fieldPosition="3"/>
    </format>
    <format dxfId="70">
      <pivotArea dataOnly="0" labelOnly="1" outline="0" fieldPosition="0">
        <references count="1">
          <reference field="4294967294" count="1">
            <x v="0"/>
          </reference>
        </references>
      </pivotArea>
    </format>
  </formats>
  <chartFormats count="4">
    <chartFormat chart="2" format="4"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S200:U204" firstHeaderRow="0" firstDataRow="1" firstDataCol="1"/>
  <pivotFields count="5">
    <pivotField axis="axisRow" showAll="0">
      <items count="4">
        <item sd="0" x="0"/>
        <item sd="0" x="1"/>
        <item sd="0" x="2"/>
        <item t="default" sd="0"/>
      </items>
    </pivotField>
    <pivotField axis="axisRow" showAll="0">
      <items count="11">
        <item x="6"/>
        <item x="0"/>
        <item m="1" x="9"/>
        <item m="1" x="8"/>
        <item x="1"/>
        <item x="2"/>
        <item x="3"/>
        <item x="4"/>
        <item x="5"/>
        <item x="7"/>
        <item t="default"/>
      </items>
    </pivotField>
    <pivotField showAll="0"/>
    <pivotField dataField="1" showAll="0"/>
    <pivotField dataField="1" showAll="0"/>
  </pivotFields>
  <rowFields count="2">
    <field x="0"/>
    <field x="1"/>
  </rowFields>
  <rowItems count="4">
    <i>
      <x/>
    </i>
    <i>
      <x v="1"/>
    </i>
    <i>
      <x v="2"/>
    </i>
    <i t="grand">
      <x/>
    </i>
  </rowItems>
  <colFields count="1">
    <field x="-2"/>
  </colFields>
  <colItems count="2">
    <i>
      <x/>
    </i>
    <i i="1">
      <x v="1"/>
    </i>
  </colItems>
  <dataFields count="2">
    <dataField name="Maximum Lighting Saving Potential" fld="3" baseField="0" baseItem="0"/>
    <dataField name="Maximum Controls Saving Potential" fld="4" baseField="0" baseItem="0"/>
  </dataFields>
  <formats count="1">
    <format dxfId="79">
      <pivotArea outline="0" collapsedLevelsAreSubtotals="1" fieldPosition="0"/>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3"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S6:U15" firstHeaderRow="0" firstDataRow="1" firstDataCol="1"/>
  <pivotFields count="6">
    <pivotField axis="axisRow" showAll="0">
      <items count="12">
        <item sd="0" x="3"/>
        <item sd="0" m="1" x="9"/>
        <item sd="0" x="0"/>
        <item sd="0" m="1" x="8"/>
        <item sd="0" x="1"/>
        <item sd="0" m="1" x="10"/>
        <item sd="0" x="2"/>
        <item sd="0" x="4"/>
        <item sd="0" x="5"/>
        <item sd="0" x="6"/>
        <item sd="0" x="7"/>
        <item t="default" sd="0"/>
      </items>
    </pivotField>
    <pivotField axis="axisRow" multipleItemSelectionAllowed="1" showAll="0">
      <items count="5">
        <item x="0"/>
        <item x="1"/>
        <item x="2"/>
        <item x="3"/>
        <item t="default"/>
      </items>
    </pivotField>
    <pivotField showAll="0"/>
    <pivotField showAll="0" defaultSubtotal="0"/>
    <pivotField dataField="1" showAll="0" defaultSubtotal="0"/>
    <pivotField dataField="1" showAll="0"/>
  </pivotFields>
  <rowFields count="2">
    <field x="0"/>
    <field x="1"/>
  </rowFields>
  <rowItems count="9">
    <i>
      <x/>
    </i>
    <i>
      <x v="2"/>
    </i>
    <i>
      <x v="4"/>
    </i>
    <i>
      <x v="6"/>
    </i>
    <i>
      <x v="7"/>
    </i>
    <i>
      <x v="8"/>
    </i>
    <i>
      <x v="9"/>
    </i>
    <i>
      <x v="10"/>
    </i>
    <i t="grand">
      <x/>
    </i>
  </rowItems>
  <colFields count="1">
    <field x="-2"/>
  </colFields>
  <colItems count="2">
    <i>
      <x/>
    </i>
    <i i="1">
      <x v="1"/>
    </i>
  </colItems>
  <dataFields count="2">
    <dataField name="Total Lighting Technology Potential" fld="4" baseField="0" baseItem="0"/>
    <dataField name="Total Control Technology Potential" fld="5" baseField="0" baseItem="0"/>
  </dataFields>
  <formats count="5">
    <format dxfId="84">
      <pivotArea outline="0" collapsedLevelsAreSubtotals="1" fieldPosition="0"/>
    </format>
    <format dxfId="83">
      <pivotArea field="0" type="button" dataOnly="0" labelOnly="1" outline="0" axis="axisRow" fieldPosition="0"/>
    </format>
    <format dxfId="82">
      <pivotArea dataOnly="0" labelOnly="1" outline="0" fieldPosition="0">
        <references count="1">
          <reference field="4294967294" count="2">
            <x v="0"/>
            <x v="1"/>
          </reference>
        </references>
      </pivotArea>
    </format>
    <format dxfId="81">
      <pivotArea field="0" type="button" dataOnly="0" labelOnly="1" outline="0" axis="axisRow" fieldPosition="0"/>
    </format>
    <format dxfId="80">
      <pivotArea dataOnly="0" labelOnly="1" outline="0" fieldPosition="0">
        <references count="1">
          <reference field="4294967294" count="2">
            <x v="0"/>
            <x v="1"/>
          </reference>
        </references>
      </pivotArea>
    </format>
  </formats>
  <chartFormats count="8">
    <chartFormat chart="0" format="1"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1"/>
          </reference>
        </references>
      </pivotArea>
    </chartFormat>
    <chartFormat chart="2" format="7"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rowGrandTotals="0" colGrandTotals="0" itemPrintTitles="1" createdVersion="4" indent="0" compact="0" outline="1" outlineData="1" compactData="0" multipleFieldFilters="0" chartFormat="19">
  <location ref="C6:H216" firstHeaderRow="0" firstDataRow="1" firstDataCol="4" rowPageCount="1" colPageCount="1"/>
  <pivotFields count="30">
    <pivotField axis="axisPage" compact="0" multipleItemSelectionAllowed="1" showAll="0" defaultSubtotal="0">
      <items count="4">
        <item x="1"/>
        <item h="1" x="0"/>
        <item h="1" x="2"/>
        <item h="1" m="1" x="3"/>
      </items>
    </pivotField>
    <pivotField axis="axisRow" compact="0" multipleItemSelectionAllowed="1" showAll="0" defaultSubtotal="0">
      <items count="29">
        <item h="1" x="5"/>
        <item m="1" x="18"/>
        <item m="1" x="20"/>
        <item m="1" x="23"/>
        <item m="1" x="19"/>
        <item m="1" x="24"/>
        <item m="1" x="28"/>
        <item m="1" x="26"/>
        <item m="1" x="21"/>
        <item x="16"/>
        <item m="1" x="17"/>
        <item x="11"/>
        <item m="1" x="22"/>
        <item m="1" x="25"/>
        <item x="7"/>
        <item m="1" x="27"/>
        <item x="2"/>
        <item x="3"/>
        <item x="4"/>
        <item x="6"/>
        <item x="8"/>
        <item x="10"/>
        <item x="12"/>
        <item x="14"/>
        <item x="1"/>
        <item x="9"/>
        <item x="13"/>
        <item x="15"/>
        <item h="1" x="0"/>
      </items>
    </pivotField>
    <pivotField axis="axisRow" compact="0" showAll="0" defaultSubtotal="0">
      <items count="42">
        <item m="1" x="22"/>
        <item m="1" x="18"/>
        <item m="1" x="28"/>
        <item m="1" x="41"/>
        <item m="1" x="25"/>
        <item x="2"/>
        <item m="1" x="23"/>
        <item m="1" x="19"/>
        <item m="1" x="37"/>
        <item m="1" x="32"/>
        <item m="1" x="36"/>
        <item x="1"/>
        <item x="0"/>
        <item m="1" x="26"/>
        <item m="1" x="24"/>
        <item m="1" x="17"/>
        <item m="1" x="30"/>
        <item m="1" x="29"/>
        <item m="1" x="31"/>
        <item m="1" x="33"/>
        <item m="1" x="39"/>
        <item x="16"/>
        <item x="14"/>
        <item x="7"/>
        <item x="15"/>
        <item x="3"/>
        <item m="1" x="34"/>
        <item m="1" x="27"/>
        <item x="8"/>
        <item m="1" x="40"/>
        <item m="1" x="38"/>
        <item m="1" x="20"/>
        <item m="1" x="21"/>
        <item m="1" x="35"/>
        <item x="10"/>
        <item x="11"/>
        <item x="12"/>
        <item x="13"/>
        <item x="4"/>
        <item x="5"/>
        <item x="6"/>
        <item x="9"/>
      </items>
    </pivotField>
    <pivotField compact="0" showAll="0" defaultSubtotal="0"/>
    <pivotField axis="axisRow" compact="0" showAll="0" defaultSubtotal="0">
      <items count="32">
        <item x="9"/>
        <item x="2"/>
        <item m="1" x="23"/>
        <item x="16"/>
        <item x="13"/>
        <item m="1" x="30"/>
        <item x="5"/>
        <item x="4"/>
        <item m="1" x="24"/>
        <item m="1" x="29"/>
        <item m="1" x="28"/>
        <item m="1" x="18"/>
        <item m="1" x="20"/>
        <item m="1" x="22"/>
        <item x="7"/>
        <item m="1" x="21"/>
        <item x="0"/>
        <item x="15"/>
        <item x="3"/>
        <item m="1" x="19"/>
        <item x="1"/>
        <item x="12"/>
        <item m="1" x="26"/>
        <item x="17"/>
        <item x="8"/>
        <item x="10"/>
        <item m="1" x="31"/>
        <item m="1" x="27"/>
        <item x="11"/>
        <item x="14"/>
        <item m="1" x="25"/>
        <item x="6"/>
      </items>
    </pivotField>
    <pivotField compact="0" showAll="0" defaultSubtotal="0"/>
    <pivotField compact="0" showAll="0" defaultSubtotal="0"/>
    <pivotField compact="0" showAll="0" defaultSubtotal="0"/>
    <pivotField compact="0" showAll="0" defaultSubtotal="0"/>
    <pivotField compact="0" showAll="0" defaultSubtotal="0"/>
    <pivotField axis="axisRow" compact="0" showAll="0" defaultSubtotal="0">
      <items count="33">
        <item x="16"/>
        <item m="1" x="29"/>
        <item x="0"/>
        <item m="1" x="26"/>
        <item x="2"/>
        <item x="17"/>
        <item x="10"/>
        <item x="18"/>
        <item m="1" x="32"/>
        <item m="1" x="31"/>
        <item m="1" x="25"/>
        <item x="1"/>
        <item x="3"/>
        <item x="6"/>
        <item x="23"/>
        <item x="4"/>
        <item x="11"/>
        <item x="12"/>
        <item m="1" x="24"/>
        <item x="9"/>
        <item m="1" x="27"/>
        <item x="15"/>
        <item x="8"/>
        <item x="22"/>
        <item m="1" x="28"/>
        <item m="1" x="30"/>
        <item x="13"/>
        <item x="14"/>
        <item x="20"/>
        <item x="21"/>
        <item x="5"/>
        <item x="7"/>
        <item x="19"/>
      </items>
    </pivotField>
    <pivotField compact="0" showAll="0" defaultSubtotal="0"/>
    <pivotField dataField="1" compact="0" showAll="0" defaultSubtotal="0"/>
    <pivotField dataField="1"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s>
  <rowFields count="4">
    <field x="10"/>
    <field x="2"/>
    <field x="1"/>
    <field x="4"/>
  </rowFields>
  <rowItems count="210">
    <i>
      <x/>
    </i>
    <i r="1">
      <x v="34"/>
    </i>
    <i r="2">
      <x v="17"/>
    </i>
    <i r="3">
      <x v="14"/>
    </i>
    <i r="3">
      <x v="25"/>
    </i>
    <i r="2">
      <x v="21"/>
    </i>
    <i r="3">
      <x v="25"/>
    </i>
    <i r="1">
      <x v="40"/>
    </i>
    <i r="2">
      <x v="14"/>
    </i>
    <i r="3">
      <x v="4"/>
    </i>
    <i r="3">
      <x v="14"/>
    </i>
    <i r="2">
      <x v="21"/>
    </i>
    <i r="3">
      <x v="14"/>
    </i>
    <i r="3">
      <x v="25"/>
    </i>
    <i>
      <x v="5"/>
    </i>
    <i r="1">
      <x v="41"/>
    </i>
    <i r="2">
      <x v="18"/>
    </i>
    <i r="3">
      <x v="28"/>
    </i>
    <i>
      <x v="6"/>
    </i>
    <i r="1">
      <x v="34"/>
    </i>
    <i r="2">
      <x v="17"/>
    </i>
    <i r="3">
      <x/>
    </i>
    <i r="3">
      <x v="14"/>
    </i>
    <i r="3">
      <x v="24"/>
    </i>
    <i r="3">
      <x v="25"/>
    </i>
    <i r="2">
      <x v="21"/>
    </i>
    <i r="3">
      <x/>
    </i>
    <i r="3">
      <x v="24"/>
    </i>
    <i r="3">
      <x v="25"/>
    </i>
    <i r="1">
      <x v="38"/>
    </i>
    <i r="2">
      <x v="24"/>
    </i>
    <i r="3">
      <x/>
    </i>
    <i r="1">
      <x v="39"/>
    </i>
    <i r="2">
      <x v="24"/>
    </i>
    <i r="3">
      <x/>
    </i>
    <i r="1">
      <x v="40"/>
    </i>
    <i r="2">
      <x v="11"/>
    </i>
    <i r="3">
      <x/>
    </i>
    <i r="2">
      <x v="14"/>
    </i>
    <i r="3">
      <x v="4"/>
    </i>
    <i r="3">
      <x v="14"/>
    </i>
    <i r="2">
      <x v="18"/>
    </i>
    <i r="3">
      <x/>
    </i>
    <i r="2">
      <x v="20"/>
    </i>
    <i r="3">
      <x/>
    </i>
    <i r="2">
      <x v="21"/>
    </i>
    <i r="3">
      <x/>
    </i>
    <i r="3">
      <x v="14"/>
    </i>
    <i r="3">
      <x v="25"/>
    </i>
    <i r="2">
      <x v="23"/>
    </i>
    <i r="3">
      <x/>
    </i>
    <i r="2">
      <x v="25"/>
    </i>
    <i r="3">
      <x/>
    </i>
    <i>
      <x v="7"/>
    </i>
    <i r="1">
      <x v="34"/>
    </i>
    <i r="2">
      <x v="19"/>
    </i>
    <i r="3">
      <x v="21"/>
    </i>
    <i>
      <x v="12"/>
    </i>
    <i r="1">
      <x v="23"/>
    </i>
    <i r="2">
      <x v="16"/>
    </i>
    <i r="3">
      <x v="20"/>
    </i>
    <i r="1">
      <x v="34"/>
    </i>
    <i r="2">
      <x v="17"/>
    </i>
    <i r="3">
      <x v="20"/>
    </i>
    <i r="2">
      <x v="21"/>
    </i>
    <i r="3">
      <x v="20"/>
    </i>
    <i r="1">
      <x v="38"/>
    </i>
    <i r="2">
      <x v="24"/>
    </i>
    <i r="3">
      <x v="20"/>
    </i>
    <i r="1">
      <x v="39"/>
    </i>
    <i r="2">
      <x v="24"/>
    </i>
    <i r="3">
      <x v="20"/>
    </i>
    <i r="1">
      <x v="40"/>
    </i>
    <i r="2">
      <x v="11"/>
    </i>
    <i r="3">
      <x v="20"/>
    </i>
    <i r="2">
      <x v="14"/>
    </i>
    <i r="3">
      <x v="20"/>
    </i>
    <i r="2">
      <x v="16"/>
    </i>
    <i r="3">
      <x v="20"/>
    </i>
    <i r="2">
      <x v="17"/>
    </i>
    <i r="3">
      <x v="20"/>
    </i>
    <i r="2">
      <x v="18"/>
    </i>
    <i r="3">
      <x v="20"/>
    </i>
    <i r="2">
      <x v="19"/>
    </i>
    <i r="3">
      <x v="20"/>
    </i>
    <i r="2">
      <x v="20"/>
    </i>
    <i r="3">
      <x v="20"/>
    </i>
    <i r="2">
      <x v="21"/>
    </i>
    <i r="3">
      <x v="20"/>
    </i>
    <i r="2">
      <x v="22"/>
    </i>
    <i r="3">
      <x v="20"/>
    </i>
    <i r="2">
      <x v="23"/>
    </i>
    <i r="3">
      <x v="20"/>
    </i>
    <i r="2">
      <x v="25"/>
    </i>
    <i r="3">
      <x v="20"/>
    </i>
    <i>
      <x v="16"/>
    </i>
    <i r="1">
      <x v="23"/>
    </i>
    <i r="2">
      <x v="14"/>
    </i>
    <i r="3">
      <x/>
    </i>
    <i r="3">
      <x v="14"/>
    </i>
    <i r="2">
      <x v="16"/>
    </i>
    <i r="3">
      <x/>
    </i>
    <i r="3">
      <x v="14"/>
    </i>
    <i>
      <x v="17"/>
    </i>
    <i r="1">
      <x v="28"/>
    </i>
    <i r="2">
      <x v="16"/>
    </i>
    <i r="3">
      <x/>
    </i>
    <i r="3">
      <x v="14"/>
    </i>
    <i r="3">
      <x v="25"/>
    </i>
    <i r="2">
      <x v="21"/>
    </i>
    <i r="3">
      <x v="14"/>
    </i>
    <i r="3">
      <x v="25"/>
    </i>
    <i>
      <x v="19"/>
    </i>
    <i r="1">
      <x v="23"/>
    </i>
    <i r="2">
      <x v="16"/>
    </i>
    <i r="3">
      <x v="20"/>
    </i>
    <i r="1">
      <x v="34"/>
    </i>
    <i r="2">
      <x v="17"/>
    </i>
    <i r="3">
      <x v="20"/>
    </i>
    <i r="2">
      <x v="21"/>
    </i>
    <i r="3">
      <x v="20"/>
    </i>
    <i r="1">
      <x v="38"/>
    </i>
    <i r="2">
      <x v="24"/>
    </i>
    <i r="3">
      <x v="20"/>
    </i>
    <i r="1">
      <x v="39"/>
    </i>
    <i r="2">
      <x v="24"/>
    </i>
    <i r="3">
      <x v="20"/>
    </i>
    <i r="1">
      <x v="40"/>
    </i>
    <i r="2">
      <x v="11"/>
    </i>
    <i r="3">
      <x v="20"/>
    </i>
    <i r="2">
      <x v="14"/>
    </i>
    <i r="3">
      <x v="20"/>
    </i>
    <i r="2">
      <x v="16"/>
    </i>
    <i r="3">
      <x v="20"/>
    </i>
    <i r="2">
      <x v="17"/>
    </i>
    <i r="3">
      <x v="20"/>
    </i>
    <i r="2">
      <x v="18"/>
    </i>
    <i r="3">
      <x v="20"/>
    </i>
    <i r="2">
      <x v="19"/>
    </i>
    <i r="3">
      <x v="20"/>
    </i>
    <i r="2">
      <x v="20"/>
    </i>
    <i r="3">
      <x v="20"/>
    </i>
    <i r="2">
      <x v="21"/>
    </i>
    <i r="3">
      <x v="20"/>
    </i>
    <i r="2">
      <x v="22"/>
    </i>
    <i r="3">
      <x v="20"/>
    </i>
    <i r="2">
      <x v="23"/>
    </i>
    <i r="3">
      <x v="20"/>
    </i>
    <i r="2">
      <x v="25"/>
    </i>
    <i r="3">
      <x v="20"/>
    </i>
    <i>
      <x v="21"/>
    </i>
    <i r="1">
      <x v="41"/>
    </i>
    <i r="2">
      <x v="11"/>
    </i>
    <i r="3">
      <x v="28"/>
    </i>
    <i r="2">
      <x v="17"/>
    </i>
    <i r="3">
      <x v="28"/>
    </i>
    <i r="2">
      <x v="18"/>
    </i>
    <i r="3">
      <x v="28"/>
    </i>
    <i r="2">
      <x v="22"/>
    </i>
    <i r="3">
      <x v="28"/>
    </i>
    <i r="2">
      <x v="26"/>
    </i>
    <i r="3">
      <x v="28"/>
    </i>
    <i>
      <x v="22"/>
    </i>
    <i r="1">
      <x v="25"/>
    </i>
    <i r="2">
      <x v="24"/>
    </i>
    <i r="3">
      <x v="14"/>
    </i>
    <i r="3">
      <x v="24"/>
    </i>
    <i>
      <x v="26"/>
    </i>
    <i r="1">
      <x v="41"/>
    </i>
    <i r="2">
      <x v="11"/>
    </i>
    <i r="3">
      <x v="20"/>
    </i>
    <i r="3">
      <x v="28"/>
    </i>
    <i r="2">
      <x v="17"/>
    </i>
    <i r="3">
      <x v="20"/>
    </i>
    <i r="3">
      <x v="28"/>
    </i>
    <i r="2">
      <x v="18"/>
    </i>
    <i r="3">
      <x v="20"/>
    </i>
    <i r="3">
      <x v="28"/>
    </i>
    <i r="2">
      <x v="19"/>
    </i>
    <i r="3">
      <x v="20"/>
    </i>
    <i r="2">
      <x v="22"/>
    </i>
    <i r="3">
      <x v="20"/>
    </i>
    <i r="3">
      <x v="28"/>
    </i>
    <i r="2">
      <x v="26"/>
    </i>
    <i r="3">
      <x v="20"/>
    </i>
    <i r="3">
      <x v="28"/>
    </i>
    <i>
      <x v="27"/>
    </i>
    <i r="1">
      <x v="41"/>
    </i>
    <i r="2">
      <x v="11"/>
    </i>
    <i r="3">
      <x v="20"/>
    </i>
    <i r="3">
      <x v="28"/>
    </i>
    <i r="2">
      <x v="17"/>
    </i>
    <i r="3">
      <x/>
    </i>
    <i r="3">
      <x v="20"/>
    </i>
    <i r="3">
      <x v="28"/>
    </i>
    <i r="2">
      <x v="18"/>
    </i>
    <i r="3">
      <x v="20"/>
    </i>
    <i r="3">
      <x v="28"/>
    </i>
    <i r="2">
      <x v="19"/>
    </i>
    <i r="3">
      <x v="20"/>
    </i>
    <i r="2">
      <x v="22"/>
    </i>
    <i r="3">
      <x v="20"/>
    </i>
    <i r="3">
      <x v="28"/>
    </i>
    <i r="2">
      <x v="26"/>
    </i>
    <i r="3">
      <x v="20"/>
    </i>
    <i r="3">
      <x v="28"/>
    </i>
    <i>
      <x v="32"/>
    </i>
    <i r="1">
      <x v="28"/>
    </i>
    <i r="2">
      <x v="21"/>
    </i>
    <i r="3">
      <x v="25"/>
    </i>
  </rowItems>
  <colFields count="1">
    <field x="-2"/>
  </colFields>
  <colItems count="2">
    <i>
      <x/>
    </i>
    <i i="1">
      <x v="1"/>
    </i>
  </colItems>
  <pageFields count="1">
    <pageField fld="0" hier="-1"/>
  </pageFields>
  <dataFields count="2">
    <dataField name="Max of Lighting Savings" fld="12" subtotal="max" baseField="4" baseItem="19"/>
    <dataField name="Max of Control Savings" fld="13" subtotal="max" baseField="4" baseItem="19"/>
  </dataFields>
  <formats count="4">
    <format dxfId="45">
      <pivotArea outline="0" collapsedLevelsAreSubtotals="1" fieldPosition="0"/>
    </format>
    <format dxfId="44">
      <pivotArea dataOnly="0" labelOnly="1" outline="0" fieldPosition="0">
        <references count="1">
          <reference field="4294967294" count="2">
            <x v="0"/>
            <x v="1"/>
          </reference>
        </references>
      </pivotArea>
    </format>
    <format dxfId="43">
      <pivotArea field="10" type="button" dataOnly="0" labelOnly="1" outline="0" axis="axisRow" fieldPosition="0"/>
    </format>
    <format dxfId="42">
      <pivotArea dataOnly="0" labelOnly="1" outline="0" fieldPosition="0">
        <references count="1">
          <reference field="4294967294" count="1">
            <x v="0"/>
          </reference>
        </references>
      </pivotArea>
    </format>
  </formats>
  <chartFormats count="4">
    <chartFormat chart="2" format="4"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useAutoFormatting="1" rowGrandTotals="0" colGrandTotals="0" itemPrintTitles="1" createdVersion="4" indent="0" compact="0" outline="1" outlineData="1" compactData="0" multipleFieldFilters="0" chartFormat="16">
  <location ref="C387:G480" firstHeaderRow="0" firstDataRow="1" firstDataCol="3" rowPageCount="1" colPageCount="1"/>
  <pivotFields count="30">
    <pivotField axis="axisPage" compact="0" multipleItemSelectionAllowed="1" showAll="0" defaultSubtotal="0">
      <items count="4">
        <item h="1" x="2"/>
        <item x="1"/>
        <item h="1" x="0"/>
        <item h="1" m="1" x="3"/>
      </items>
    </pivotField>
    <pivotField axis="axisRow" compact="0" showAll="0" defaultSubtotal="0">
      <items count="29">
        <item h="1" x="5"/>
        <item m="1" x="18"/>
        <item m="1" x="20"/>
        <item m="1" x="23"/>
        <item m="1" x="19"/>
        <item x="7"/>
        <item m="1" x="24"/>
        <item m="1" x="28"/>
        <item m="1" x="25"/>
        <item m="1" x="26"/>
        <item m="1" x="21"/>
        <item x="16"/>
        <item m="1" x="17"/>
        <item x="11"/>
        <item m="1" x="22"/>
        <item m="1" x="27"/>
        <item x="2"/>
        <item x="3"/>
        <item x="4"/>
        <item x="6"/>
        <item x="8"/>
        <item x="10"/>
        <item x="12"/>
        <item x="14"/>
        <item x="1"/>
        <item x="9"/>
        <item x="13"/>
        <item x="15"/>
        <item h="1" x="0"/>
      </items>
    </pivotField>
    <pivotField axis="axisRow" compact="0" showAll="0" defaultSubtotal="0">
      <items count="42">
        <item m="1" x="22"/>
        <item m="1" x="18"/>
        <item m="1" x="28"/>
        <item m="1" x="41"/>
        <item m="1" x="25"/>
        <item x="2"/>
        <item m="1" x="23"/>
        <item m="1" x="19"/>
        <item m="1" x="37"/>
        <item m="1" x="32"/>
        <item m="1" x="36"/>
        <item x="1"/>
        <item x="0"/>
        <item m="1" x="26"/>
        <item m="1" x="24"/>
        <item m="1" x="17"/>
        <item m="1" x="30"/>
        <item m="1" x="29"/>
        <item m="1" x="31"/>
        <item m="1" x="33"/>
        <item m="1" x="39"/>
        <item x="16"/>
        <item x="14"/>
        <item x="7"/>
        <item x="15"/>
        <item x="3"/>
        <item m="1" x="34"/>
        <item m="1" x="27"/>
        <item x="8"/>
        <item m="1" x="40"/>
        <item m="1" x="38"/>
        <item m="1" x="20"/>
        <item m="1" x="21"/>
        <item m="1" x="35"/>
        <item x="10"/>
        <item x="11"/>
        <item x="12"/>
        <item x="13"/>
        <item x="4"/>
        <item x="5"/>
        <item x="6"/>
        <item x="9"/>
      </items>
    </pivotField>
    <pivotField compact="0" showAll="0" defaultSubtotal="0"/>
    <pivotField axis="axisRow" compact="0" showAll="0" defaultSubtotal="0">
      <items count="32">
        <item x="9"/>
        <item x="2"/>
        <item m="1" x="23"/>
        <item x="16"/>
        <item x="13"/>
        <item m="1" x="30"/>
        <item x="5"/>
        <item x="4"/>
        <item m="1" x="24"/>
        <item m="1" x="29"/>
        <item m="1" x="28"/>
        <item m="1" x="18"/>
        <item m="1" x="20"/>
        <item m="1" x="22"/>
        <item x="7"/>
        <item m="1" x="21"/>
        <item x="0"/>
        <item x="15"/>
        <item x="3"/>
        <item m="1" x="19"/>
        <item x="1"/>
        <item x="12"/>
        <item m="1" x="26"/>
        <item x="17"/>
        <item x="8"/>
        <item x="10"/>
        <item m="1" x="31"/>
        <item m="1" x="27"/>
        <item x="11"/>
        <item x="14"/>
        <item m="1" x="25"/>
        <item x="6"/>
      </items>
    </pivotField>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dataField="1" compact="0" showAll="0" defaultSubtotal="0"/>
    <pivotField dataField="1"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s>
  <rowFields count="3">
    <field x="2"/>
    <field x="4"/>
    <field x="1"/>
  </rowFields>
  <rowItems count="93">
    <i>
      <x v="23"/>
    </i>
    <i r="1">
      <x/>
    </i>
    <i r="2">
      <x v="5"/>
    </i>
    <i r="2">
      <x v="16"/>
    </i>
    <i r="1">
      <x v="14"/>
    </i>
    <i r="2">
      <x v="5"/>
    </i>
    <i r="2">
      <x v="16"/>
    </i>
    <i r="1">
      <x v="20"/>
    </i>
    <i r="2">
      <x v="16"/>
    </i>
    <i>
      <x v="25"/>
    </i>
    <i r="1">
      <x v="14"/>
    </i>
    <i r="2">
      <x v="24"/>
    </i>
    <i r="1">
      <x v="24"/>
    </i>
    <i r="2">
      <x v="24"/>
    </i>
    <i>
      <x v="28"/>
    </i>
    <i r="1">
      <x/>
    </i>
    <i r="2">
      <x v="16"/>
    </i>
    <i r="1">
      <x v="14"/>
    </i>
    <i r="2">
      <x v="16"/>
    </i>
    <i r="2">
      <x v="21"/>
    </i>
    <i r="1">
      <x v="25"/>
    </i>
    <i r="2">
      <x v="16"/>
    </i>
    <i r="2">
      <x v="21"/>
    </i>
    <i>
      <x v="34"/>
    </i>
    <i r="1">
      <x/>
    </i>
    <i r="2">
      <x v="17"/>
    </i>
    <i r="2">
      <x v="21"/>
    </i>
    <i r="1">
      <x v="14"/>
    </i>
    <i r="2">
      <x v="17"/>
    </i>
    <i r="1">
      <x v="20"/>
    </i>
    <i r="2">
      <x v="17"/>
    </i>
    <i r="2">
      <x v="21"/>
    </i>
    <i r="1">
      <x v="21"/>
    </i>
    <i r="2">
      <x v="19"/>
    </i>
    <i r="1">
      <x v="24"/>
    </i>
    <i r="2">
      <x v="17"/>
    </i>
    <i r="2">
      <x v="21"/>
    </i>
    <i r="1">
      <x v="25"/>
    </i>
    <i r="2">
      <x v="17"/>
    </i>
    <i r="2">
      <x v="21"/>
    </i>
    <i>
      <x v="38"/>
    </i>
    <i r="1">
      <x/>
    </i>
    <i r="2">
      <x v="24"/>
    </i>
    <i r="1">
      <x v="20"/>
    </i>
    <i r="2">
      <x v="24"/>
    </i>
    <i>
      <x v="39"/>
    </i>
    <i r="1">
      <x/>
    </i>
    <i r="2">
      <x v="24"/>
    </i>
    <i r="1">
      <x v="20"/>
    </i>
    <i r="2">
      <x v="24"/>
    </i>
    <i>
      <x v="40"/>
    </i>
    <i r="1">
      <x/>
    </i>
    <i r="2">
      <x v="13"/>
    </i>
    <i r="2">
      <x v="18"/>
    </i>
    <i r="2">
      <x v="20"/>
    </i>
    <i r="2">
      <x v="21"/>
    </i>
    <i r="2">
      <x v="23"/>
    </i>
    <i r="2">
      <x v="25"/>
    </i>
    <i r="1">
      <x v="4"/>
    </i>
    <i r="2">
      <x v="5"/>
    </i>
    <i r="1">
      <x v="14"/>
    </i>
    <i r="2">
      <x v="5"/>
    </i>
    <i r="2">
      <x v="21"/>
    </i>
    <i r="1">
      <x v="20"/>
    </i>
    <i r="2">
      <x v="5"/>
    </i>
    <i r="2">
      <x v="13"/>
    </i>
    <i r="2">
      <x v="16"/>
    </i>
    <i r="2">
      <x v="17"/>
    </i>
    <i r="2">
      <x v="18"/>
    </i>
    <i r="2">
      <x v="19"/>
    </i>
    <i r="2">
      <x v="20"/>
    </i>
    <i r="2">
      <x v="21"/>
    </i>
    <i r="2">
      <x v="22"/>
    </i>
    <i r="2">
      <x v="23"/>
    </i>
    <i r="2">
      <x v="25"/>
    </i>
    <i r="1">
      <x v="25"/>
    </i>
    <i r="2">
      <x v="21"/>
    </i>
    <i>
      <x v="41"/>
    </i>
    <i r="1">
      <x/>
    </i>
    <i r="2">
      <x v="17"/>
    </i>
    <i r="1">
      <x v="20"/>
    </i>
    <i r="2">
      <x v="13"/>
    </i>
    <i r="2">
      <x v="17"/>
    </i>
    <i r="2">
      <x v="18"/>
    </i>
    <i r="2">
      <x v="19"/>
    </i>
    <i r="2">
      <x v="22"/>
    </i>
    <i r="2">
      <x v="26"/>
    </i>
    <i r="1">
      <x v="28"/>
    </i>
    <i r="2">
      <x v="13"/>
    </i>
    <i r="2">
      <x v="17"/>
    </i>
    <i r="2">
      <x v="18"/>
    </i>
    <i r="2">
      <x v="22"/>
    </i>
    <i r="2">
      <x v="26"/>
    </i>
  </rowItems>
  <colFields count="1">
    <field x="-2"/>
  </colFields>
  <colItems count="2">
    <i>
      <x/>
    </i>
    <i i="1">
      <x v="1"/>
    </i>
  </colItems>
  <pageFields count="1">
    <pageField fld="0" hier="-1"/>
  </pageFields>
  <dataFields count="2">
    <dataField name="Max of Lighting Savings" fld="12" subtotal="max" baseField="2" baseItem="0"/>
    <dataField name="Max of Control Savings" fld="13" subtotal="max" baseField="2" baseItem="0"/>
  </dataFields>
  <formats count="1">
    <format dxfId="46">
      <pivotArea outline="0" collapsedLevelsAreSubtotals="1" fieldPosition="0"/>
    </format>
  </formats>
  <chartFormats count="10">
    <chartFormat chart="0"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 format="1" series="1">
      <pivotArea type="data" outline="0" fieldPosition="0">
        <references count="1">
          <reference field="4294967294" count="1" selected="0">
            <x v="1"/>
          </reference>
        </references>
      </pivotArea>
    </chartFormat>
    <chartFormat chart="12" format="8"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1"/>
          </reference>
        </references>
      </pivotArea>
    </chartFormat>
    <chartFormat chart="14" format="12" series="1">
      <pivotArea type="data" outline="0" fieldPosition="0">
        <references count="1">
          <reference field="4294967294" count="1" selected="0">
            <x v="0"/>
          </reference>
        </references>
      </pivotArea>
    </chartFormat>
    <chartFormat chart="14" format="13" series="1">
      <pivotArea type="data" outline="0" fieldPosition="0">
        <references count="1">
          <reference field="4294967294" count="1" selected="0">
            <x v="1"/>
          </reference>
        </references>
      </pivotArea>
    </chartFormat>
    <chartFormat chart="15" format="14" series="1">
      <pivotArea type="data" outline="0" fieldPosition="0">
        <references count="1">
          <reference field="4294967294" count="1" selected="0">
            <x v="0"/>
          </reference>
        </references>
      </pivotArea>
    </chartFormat>
    <chartFormat chart="15" format="1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S6:U20" firstHeaderRow="0" firstDataRow="1" firstDataCol="1"/>
  <pivotFields count="6">
    <pivotField axis="axisRow" showAll="0">
      <items count="20">
        <item sd="0" x="4"/>
        <item sd="0" x="0"/>
        <item sd="0" x="1"/>
        <item sd="0" x="2"/>
        <item sd="0" x="3"/>
        <item sd="0" m="1" x="18"/>
        <item sd="0" m="1" x="14"/>
        <item sd="0" x="5"/>
        <item sd="0" x="6"/>
        <item sd="0" m="1" x="13"/>
        <item sd="0" x="7"/>
        <item sd="0" m="1" x="15"/>
        <item sd="0" x="8"/>
        <item sd="0" x="9"/>
        <item m="1" x="16"/>
        <item m="1" x="17"/>
        <item sd="0" x="10"/>
        <item sd="0" x="11"/>
        <item sd="0" x="12"/>
        <item t="default" sd="0"/>
      </items>
    </pivotField>
    <pivotField axis="axisRow" multipleItemSelectionAllowed="1" showAll="0">
      <items count="32">
        <item x="0"/>
        <item m="1" x="30"/>
        <item m="1" x="15"/>
        <item m="1" x="16"/>
        <item m="1" x="9"/>
        <item m="1" x="21"/>
        <item m="1" x="28"/>
        <item m="1" x="25"/>
        <item m="1" x="14"/>
        <item m="1" x="22"/>
        <item m="1" x="20"/>
        <item m="1" x="10"/>
        <item m="1" x="11"/>
        <item m="1" x="26"/>
        <item m="1" x="18"/>
        <item x="6"/>
        <item m="1" x="17"/>
        <item m="1" x="19"/>
        <item m="1" x="13"/>
        <item m="1" x="24"/>
        <item x="1"/>
        <item m="1" x="27"/>
        <item m="1" x="23"/>
        <item m="1" x="29"/>
        <item x="7"/>
        <item m="1" x="12"/>
        <item x="2"/>
        <item x="3"/>
        <item x="4"/>
        <item x="5"/>
        <item x="8"/>
        <item t="default"/>
      </items>
    </pivotField>
    <pivotField showAll="0"/>
    <pivotField showAll="0" defaultSubtotal="0"/>
    <pivotField dataField="1" showAll="0" defaultSubtotal="0"/>
    <pivotField dataField="1" showAll="0"/>
  </pivotFields>
  <rowFields count="2">
    <field x="0"/>
    <field x="1"/>
  </rowFields>
  <rowItems count="14">
    <i>
      <x/>
    </i>
    <i>
      <x v="1"/>
    </i>
    <i>
      <x v="2"/>
    </i>
    <i>
      <x v="3"/>
    </i>
    <i>
      <x v="4"/>
    </i>
    <i>
      <x v="7"/>
    </i>
    <i>
      <x v="8"/>
    </i>
    <i>
      <x v="10"/>
    </i>
    <i>
      <x v="12"/>
    </i>
    <i>
      <x v="13"/>
    </i>
    <i>
      <x v="16"/>
    </i>
    <i>
      <x v="17"/>
    </i>
    <i>
      <x v="18"/>
    </i>
    <i t="grand">
      <x/>
    </i>
  </rowItems>
  <colFields count="1">
    <field x="-2"/>
  </colFields>
  <colItems count="2">
    <i>
      <x/>
    </i>
    <i i="1">
      <x v="1"/>
    </i>
  </colItems>
  <dataFields count="2">
    <dataField name="Total Lighting Technology Potential" fld="4" baseField="0" baseItem="0"/>
    <dataField name="Total Control Technology Potential" fld="5" baseField="0" baseItem="0"/>
  </dataFields>
  <formats count="7">
    <format dxfId="53">
      <pivotArea outline="0" collapsedLevelsAreSubtotals="1" fieldPosition="0"/>
    </format>
    <format dxfId="52">
      <pivotArea field="0" type="button" dataOnly="0" labelOnly="1" outline="0" axis="axisRow" fieldPosition="0"/>
    </format>
    <format dxfId="51">
      <pivotArea dataOnly="0" labelOnly="1" outline="0" fieldPosition="0">
        <references count="1">
          <reference field="4294967294" count="2">
            <x v="0"/>
            <x v="1"/>
          </reference>
        </references>
      </pivotArea>
    </format>
    <format dxfId="50">
      <pivotArea field="0" type="button" dataOnly="0" labelOnly="1" outline="0" axis="axisRow" fieldPosition="0"/>
    </format>
    <format dxfId="49">
      <pivotArea dataOnly="0" labelOnly="1" outline="0" fieldPosition="0">
        <references count="1">
          <reference field="4294967294" count="2">
            <x v="0"/>
            <x v="1"/>
          </reference>
        </references>
      </pivotArea>
    </format>
    <format dxfId="48">
      <pivotArea field="0" type="button" dataOnly="0" labelOnly="1" outline="0" axis="axisRow" fieldPosition="0"/>
    </format>
    <format dxfId="47">
      <pivotArea dataOnly="0" labelOnly="1" outline="0" fieldPosition="0">
        <references count="1">
          <reference field="4294967294" count="2">
            <x v="0"/>
            <x v="1"/>
          </reference>
        </references>
      </pivotArea>
    </format>
  </formats>
  <chartFormats count="15">
    <chartFormat chart="0" format="1"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1"/>
          </reference>
        </references>
      </pivotArea>
    </chartFormat>
    <chartFormat chart="2" format="7"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6" format="10"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0"/>
          </reference>
        </references>
      </pivotArea>
    </chartFormat>
    <chartFormat chart="8" format="11" series="1">
      <pivotArea type="data" outline="0" fieldPosition="0">
        <references count="1">
          <reference field="4294967294" count="1" selected="0">
            <x v="1"/>
          </reference>
        </references>
      </pivotArea>
    </chartFormat>
    <chartFormat chart="8" format="12">
      <pivotArea type="data" outline="0" fieldPosition="0">
        <references count="2">
          <reference field="4294967294" count="1" selected="0">
            <x v="0"/>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S387:U396" firstHeaderRow="0" firstDataRow="1" firstDataCol="1"/>
  <pivotFields count="5">
    <pivotField axis="axisRow" showAll="0">
      <items count="28">
        <item sd="0" m="1" x="11"/>
        <item sd="0" m="1" x="9"/>
        <item sd="0" m="1" x="26"/>
        <item sd="0" m="1" x="14"/>
        <item sd="0" m="1" x="12"/>
        <item sd="0" m="1" x="10"/>
        <item sd="0" m="1" x="22"/>
        <item sd="0" m="1" x="19"/>
        <item sd="0" m="1" x="21"/>
        <item sd="0" m="1" x="15"/>
        <item sd="0" m="1" x="13"/>
        <item sd="0" m="1" x="8"/>
        <item sd="0" m="1" x="17"/>
        <item sd="0" m="1" x="18"/>
        <item sd="0" m="1" x="24"/>
        <item sd="0" x="0"/>
        <item sd="0" x="1"/>
        <item sd="0" m="1" x="20"/>
        <item sd="0" m="1" x="16"/>
        <item sd="0" x="2"/>
        <item sd="0" m="1" x="25"/>
        <item sd="0" m="1" x="23"/>
        <item sd="0" x="3"/>
        <item sd="0" x="4"/>
        <item sd="0" x="5"/>
        <item sd="0" x="6"/>
        <item sd="0" x="7"/>
        <item t="default" sd="0"/>
      </items>
    </pivotField>
    <pivotField axis="axisRow" showAll="0">
      <items count="17">
        <item x="3"/>
        <item x="0"/>
        <item x="6"/>
        <item m="1" x="10"/>
        <item x="1"/>
        <item x="2"/>
        <item m="1" x="13"/>
        <item m="1" x="14"/>
        <item m="1" x="9"/>
        <item m="1" x="11"/>
        <item m="1" x="12"/>
        <item x="7"/>
        <item x="4"/>
        <item x="5"/>
        <item m="1" x="15"/>
        <item x="8"/>
        <item t="default"/>
      </items>
    </pivotField>
    <pivotField showAll="0"/>
    <pivotField dataField="1" showAll="0"/>
    <pivotField dataField="1" showAll="0"/>
  </pivotFields>
  <rowFields count="2">
    <field x="0"/>
    <field x="1"/>
  </rowFields>
  <rowItems count="9">
    <i>
      <x v="15"/>
    </i>
    <i>
      <x v="16"/>
    </i>
    <i>
      <x v="19"/>
    </i>
    <i>
      <x v="22"/>
    </i>
    <i>
      <x v="23"/>
    </i>
    <i>
      <x v="24"/>
    </i>
    <i>
      <x v="25"/>
    </i>
    <i>
      <x v="26"/>
    </i>
    <i t="grand">
      <x/>
    </i>
  </rowItems>
  <colFields count="1">
    <field x="-2"/>
  </colFields>
  <colItems count="2">
    <i>
      <x/>
    </i>
    <i i="1">
      <x v="1"/>
    </i>
  </colItems>
  <dataFields count="2">
    <dataField name="Maximum Lighting Application Potential" fld="3" baseField="0" baseItem="0"/>
    <dataField name="Maximum Controls Application Potential" fld="4" baseField="0" baseItem="0"/>
  </dataFields>
  <formats count="7">
    <format dxfId="60">
      <pivotArea outline="0" collapsedLevelsAreSubtotals="1" fieldPosition="0"/>
    </format>
    <format dxfId="59">
      <pivotArea field="0" type="button" dataOnly="0" labelOnly="1" outline="0" axis="axisRow" fieldPosition="0"/>
    </format>
    <format dxfId="58">
      <pivotArea dataOnly="0" labelOnly="1" outline="0" fieldPosition="0">
        <references count="1">
          <reference field="4294967294" count="2">
            <x v="0"/>
            <x v="1"/>
          </reference>
        </references>
      </pivotArea>
    </format>
    <format dxfId="57">
      <pivotArea field="0" type="button" dataOnly="0" labelOnly="1" outline="0" axis="axisRow" fieldPosition="0"/>
    </format>
    <format dxfId="56">
      <pivotArea dataOnly="0" labelOnly="1" outline="0" fieldPosition="0">
        <references count="1">
          <reference field="4294967294" count="2">
            <x v="0"/>
            <x v="1"/>
          </reference>
        </references>
      </pivotArea>
    </format>
    <format dxfId="55">
      <pivotArea field="0" type="button" dataOnly="0" labelOnly="1" outline="0" axis="axisRow" fieldPosition="0"/>
    </format>
    <format dxfId="54">
      <pivotArea dataOnly="0" labelOnly="1" outline="0" fieldPosition="0">
        <references count="1">
          <reference field="4294967294" count="2">
            <x v="0"/>
            <x v="1"/>
          </reference>
        </references>
      </pivotArea>
    </format>
  </format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useAutoFormatting="1" rowGrandTotals="0" colGrandTotals="0" itemPrintTitles="1" createdVersion="4" indent="0" compact="0" outline="1" outlineData="1" compactData="0" multipleFieldFilters="0" chartFormat="16">
  <location ref="C200:G238" firstHeaderRow="0" firstDataRow="1" firstDataCol="3" rowPageCount="1" colPageCount="1"/>
  <pivotFields count="30">
    <pivotField axis="axisPage" compact="0" multipleItemSelectionAllowed="1" showAll="0" defaultSubtotal="0">
      <items count="4">
        <item x="2"/>
        <item h="1" x="1"/>
        <item h="1" x="0"/>
        <item h="1" m="1" x="3"/>
      </items>
    </pivotField>
    <pivotField axis="axisRow" compact="0" showAll="0" defaultSubtotal="0">
      <items count="29">
        <item x="5"/>
        <item m="1" x="18"/>
        <item m="1" x="20"/>
        <item m="1" x="23"/>
        <item m="1" x="19"/>
        <item x="7"/>
        <item m="1" x="24"/>
        <item m="1" x="28"/>
        <item m="1" x="25"/>
        <item m="1" x="26"/>
        <item m="1" x="21"/>
        <item x="16"/>
        <item m="1" x="17"/>
        <item x="11"/>
        <item m="1" x="22"/>
        <item m="1" x="27"/>
        <item x="2"/>
        <item x="3"/>
        <item x="4"/>
        <item x="6"/>
        <item x="8"/>
        <item x="10"/>
        <item x="12"/>
        <item x="14"/>
        <item x="1"/>
        <item x="9"/>
        <item x="13"/>
        <item x="15"/>
        <item x="0"/>
      </items>
    </pivotField>
    <pivotField axis="axisRow" compact="0" showAll="0" defaultSubtotal="0">
      <items count="42">
        <item m="1" x="22"/>
        <item m="1" x="18"/>
        <item m="1" x="28"/>
        <item m="1" x="41"/>
        <item m="1" x="25"/>
        <item x="2"/>
        <item m="1" x="23"/>
        <item m="1" x="19"/>
        <item m="1" x="37"/>
        <item m="1" x="32"/>
        <item m="1" x="36"/>
        <item x="1"/>
        <item x="0"/>
        <item m="1" x="26"/>
        <item m="1" x="24"/>
        <item m="1" x="17"/>
        <item m="1" x="30"/>
        <item m="1" x="29"/>
        <item m="1" x="31"/>
        <item m="1" x="33"/>
        <item m="1" x="39"/>
        <item x="16"/>
        <item x="14"/>
        <item x="7"/>
        <item x="15"/>
        <item x="3"/>
        <item m="1" x="34"/>
        <item m="1" x="27"/>
        <item x="8"/>
        <item m="1" x="40"/>
        <item m="1" x="38"/>
        <item m="1" x="20"/>
        <item m="1" x="21"/>
        <item m="1" x="35"/>
        <item x="10"/>
        <item x="11"/>
        <item x="12"/>
        <item x="13"/>
        <item x="4"/>
        <item x="5"/>
        <item x="6"/>
        <item x="9"/>
      </items>
    </pivotField>
    <pivotField compact="0" showAll="0" defaultSubtotal="0"/>
    <pivotField axis="axisRow" compact="0" showAll="0" defaultSubtotal="0">
      <items count="32">
        <item x="9"/>
        <item x="2"/>
        <item m="1" x="23"/>
        <item x="16"/>
        <item x="13"/>
        <item m="1" x="30"/>
        <item x="5"/>
        <item x="4"/>
        <item m="1" x="24"/>
        <item m="1" x="29"/>
        <item m="1" x="28"/>
        <item m="1" x="18"/>
        <item m="1" x="20"/>
        <item m="1" x="22"/>
        <item x="7"/>
        <item m="1" x="21"/>
        <item x="0"/>
        <item x="15"/>
        <item x="3"/>
        <item m="1" x="19"/>
        <item x="1"/>
        <item x="12"/>
        <item m="1" x="26"/>
        <item x="17"/>
        <item x="8"/>
        <item x="10"/>
        <item m="1" x="31"/>
        <item m="1" x="27"/>
        <item x="11"/>
        <item x="14"/>
        <item m="1" x="25"/>
        <item x="6"/>
      </items>
    </pivotField>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dataField="1" compact="0" showAll="0" defaultSubtotal="0"/>
    <pivotField dataField="1"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s>
  <rowFields count="3">
    <field x="2"/>
    <field x="4"/>
    <field x="1"/>
  </rowFields>
  <rowItems count="38">
    <i>
      <x v="21"/>
    </i>
    <i r="1">
      <x v="3"/>
    </i>
    <i r="2">
      <x v="11"/>
    </i>
    <i r="1">
      <x v="23"/>
    </i>
    <i r="2">
      <x v="11"/>
    </i>
    <i>
      <x v="22"/>
    </i>
    <i r="1">
      <x v="28"/>
    </i>
    <i r="2">
      <x v="11"/>
    </i>
    <i r="1">
      <x v="29"/>
    </i>
    <i r="2">
      <x v="11"/>
    </i>
    <i>
      <x v="24"/>
    </i>
    <i r="1">
      <x v="17"/>
    </i>
    <i r="2">
      <x v="11"/>
    </i>
    <i>
      <x v="35"/>
    </i>
    <i r="1">
      <x/>
    </i>
    <i r="2">
      <x v="27"/>
    </i>
    <i r="1">
      <x v="20"/>
    </i>
    <i r="2">
      <x v="27"/>
    </i>
    <i>
      <x v="36"/>
    </i>
    <i r="1">
      <x v="20"/>
    </i>
    <i r="2">
      <x v="27"/>
    </i>
    <i r="1">
      <x v="28"/>
    </i>
    <i r="2">
      <x v="27"/>
    </i>
    <i r="1">
      <x v="29"/>
    </i>
    <i r="2">
      <x v="27"/>
    </i>
    <i>
      <x v="37"/>
    </i>
    <i r="1">
      <x/>
    </i>
    <i r="2">
      <x v="27"/>
    </i>
    <i r="1">
      <x v="14"/>
    </i>
    <i r="2">
      <x v="27"/>
    </i>
    <i r="1">
      <x v="20"/>
    </i>
    <i r="2">
      <x v="27"/>
    </i>
    <i r="1">
      <x v="25"/>
    </i>
    <i r="2">
      <x v="27"/>
    </i>
    <i r="1">
      <x v="28"/>
    </i>
    <i r="2">
      <x v="27"/>
    </i>
    <i r="1">
      <x v="29"/>
    </i>
    <i r="2">
      <x v="27"/>
    </i>
  </rowItems>
  <colFields count="1">
    <field x="-2"/>
  </colFields>
  <colItems count="2">
    <i>
      <x/>
    </i>
    <i i="1">
      <x v="1"/>
    </i>
  </colItems>
  <pageFields count="1">
    <pageField fld="0" hier="-1"/>
  </pageFields>
  <dataFields count="2">
    <dataField name="Max of Lighting Savings" fld="12" subtotal="max" baseField="2" baseItem="0"/>
    <dataField name="Max of Control Savings" fld="13" subtotal="max" baseField="2" baseItem="0"/>
  </dataFields>
  <formats count="1">
    <format dxfId="19">
      <pivotArea outline="0" collapsedLevelsAreSubtotals="1" fieldPosition="0"/>
    </format>
  </formats>
  <chartFormats count="10">
    <chartFormat chart="0"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 format="1" series="1">
      <pivotArea type="data" outline="0" fieldPosition="0">
        <references count="1">
          <reference field="4294967294" count="1" selected="0">
            <x v="1"/>
          </reference>
        </references>
      </pivotArea>
    </chartFormat>
    <chartFormat chart="12" format="8"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1"/>
          </reference>
        </references>
      </pivotArea>
    </chartFormat>
    <chartFormat chart="14" format="12" series="1">
      <pivotArea type="data" outline="0" fieldPosition="0">
        <references count="1">
          <reference field="4294967294" count="1" selected="0">
            <x v="0"/>
          </reference>
        </references>
      </pivotArea>
    </chartFormat>
    <chartFormat chart="14" format="13" series="1">
      <pivotArea type="data" outline="0" fieldPosition="0">
        <references count="1">
          <reference field="4294967294" count="1" selected="0">
            <x v="1"/>
          </reference>
        </references>
      </pivotArea>
    </chartFormat>
    <chartFormat chart="15" format="14" series="1">
      <pivotArea type="data" outline="0" fieldPosition="0">
        <references count="1">
          <reference field="4294967294" count="1" selected="0">
            <x v="0"/>
          </reference>
        </references>
      </pivotArea>
    </chartFormat>
    <chartFormat chart="15" format="1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6" name="rMarketSolutions" displayName="rMarketSolutions" ref="B5:AE684" totalsRowShown="0" headerRowDxfId="116" dataDxfId="115" headerRowCellStyle="Accent1">
  <autoFilter ref="B5:AE684"/>
  <tableColumns count="30">
    <tableColumn id="1" name="Building Sector" dataDxfId="114"/>
    <tableColumn id="2" name="Building Sub-Sector" dataDxfId="113"/>
    <tableColumn id="3" name="Lighting Application" dataDxfId="112"/>
    <tableColumn id="4" name="Application Energy Consumption Across California (IOU Territory)" dataDxfId="111">
      <calculatedColumnFormula>'Ref-ComSources'!$W$44</calculatedColumnFormula>
    </tableColumn>
    <tableColumn id="5" name="Baseline Lighting" dataDxfId="110"/>
    <tableColumn id="6" name="Lighting Saturation" dataDxfId="109">
      <calculatedColumnFormula>'Ref-ExteriorSources'!$G$8</calculatedColumnFormula>
    </tableColumn>
    <tableColumn id="7" name="Baseline Control" dataDxfId="108"/>
    <tableColumn id="8" name="Control Saturation" dataDxfId="107" dataCellStyle="Percent">
      <calculatedColumnFormula>'Ref-BaselineControls'!$E$8</calculatedColumnFormula>
    </tableColumn>
    <tableColumn id="9" name="Compliant Lighting" dataDxfId="106"/>
    <tableColumn id="10" name="Compliant Control" dataDxfId="105"/>
    <tableColumn id="11" name="Efficient Lighting" dataDxfId="104"/>
    <tableColumn id="12" name="Efficient Control" dataDxfId="103"/>
    <tableColumn id="13" name="Lighting Savings_x000a_(lamp and/or ballast)" dataDxfId="102">
      <calculatedColumnFormula>E6*G6*'Ref-Savings Calculations'!$E$39*Applicability</calculatedColumnFormula>
    </tableColumn>
    <tableColumn id="14" name="Control Savings" dataDxfId="101"/>
    <tableColumn id="15" name="Lighting Savings _x000a_(lamp and/or ballast)" dataDxfId="100">
      <calculatedColumnFormula>E6*G6*'Ref-Savings Calculations'!$E$39*Applicability</calculatedColumnFormula>
    </tableColumn>
    <tableColumn id="16" name="Control Savings2" dataDxfId="99"/>
    <tableColumn id="17" name="-" dataDxfId="98"/>
    <tableColumn id="18" name="Lighting Primary" dataDxfId="97"/>
    <tableColumn id="19" name="Lighting Secondary" dataDxfId="96"/>
    <tableColumn id="20" name="Controls Primary" dataDxfId="95"/>
    <tableColumn id="21" name="Controls Secondary" dataDxfId="94"/>
    <tableColumn id="22" name="Comments" dataDxfId="93"/>
    <tableColumn id="23" name="Column1" dataDxfId="92"/>
    <tableColumn id="26" name="Column2" dataDxfId="91"/>
    <tableColumn id="27" name="Program Action" dataDxfId="90"/>
    <tableColumn id="28" name="LMT Ranking" dataDxfId="89"/>
    <tableColumn id="29" name="Column3" dataDxfId="88"/>
    <tableColumn id="30" name="Average Daily Hours of Operation" dataDxfId="87"/>
    <tableColumn id="31" name="Active During Peak Period" dataDxfId="86"/>
    <tableColumn id="32" name="Efficient Lighting Product Life Cycle Stage" dataDxfId="85"/>
  </tableColumns>
  <tableStyleInfo name="Table Style 1 - Blank" showFirstColumn="0" showLastColumn="0" showRowStripes="1" showColumnStripes="0"/>
</table>
</file>

<file path=xl/tables/table2.xml><?xml version="1.0" encoding="utf-8"?>
<table xmlns="http://schemas.openxmlformats.org/spreadsheetml/2006/main" id="8" name="ResByTechnology" displayName="ResByTechnology" ref="K6:P180" totalsRowShown="0" headerRowDxfId="68" headerRowBorderDxfId="67" headerRowCellStyle="Linked Cell" dataCellStyle="Calculation">
  <autoFilter ref="K6:P180"/>
  <tableColumns count="6">
    <tableColumn id="1" name="Efficient Lighting" dataCellStyle="Calculation">
      <calculatedColumnFormula>IF(C7=0,K6,C7)</calculatedColumnFormula>
    </tableColumn>
    <tableColumn id="2" name="Lighting Application" dataCellStyle="Calculation">
      <calculatedColumnFormula>IF(D7=0,L6,D7)</calculatedColumnFormula>
    </tableColumn>
    <tableColumn id="3" name="Building Sub-Sector" dataCellStyle="Calculation">
      <calculatedColumnFormula>IF(E7=0,M6,E7)</calculatedColumnFormula>
    </tableColumn>
    <tableColumn id="6" name="Baseline Lighting" dataCellStyle="Calculation"/>
    <tableColumn id="4" name="Max of Lighting Savings" dataDxfId="66" dataCellStyle="Linked Cell">
      <calculatedColumnFormula>G7</calculatedColumnFormula>
    </tableColumn>
    <tableColumn id="5" name="Max of Control Savings" dataDxfId="65" dataCellStyle="Linked Cell">
      <calculatedColumnFormula>H7</calculatedColumnFormula>
    </tableColumn>
  </tableColumns>
  <tableStyleInfo name="Table Style 1 - Blank" showFirstColumn="0" showLastColumn="0" showRowStripes="1" showColumnStripes="0"/>
</table>
</file>

<file path=xl/tables/table3.xml><?xml version="1.0" encoding="utf-8"?>
<table xmlns="http://schemas.openxmlformats.org/spreadsheetml/2006/main" id="10" name="ResByApplication" displayName="ResByApplication" ref="K200:O330" totalsRowShown="0" headerRowDxfId="64" headerRowBorderDxfId="63" headerRowCellStyle="Linked Cell" dataCellStyle="Calculation">
  <autoFilter ref="K200:O330"/>
  <tableColumns count="5">
    <tableColumn id="1" name="Lighting Application" dataCellStyle="Calculation">
      <calculatedColumnFormula>IF(C201=0,K200,C201)</calculatedColumnFormula>
    </tableColumn>
    <tableColumn id="2" name="Baseline Lighting" dataCellStyle="Calculation">
      <calculatedColumnFormula>IF(D201=0,L200,D201)</calculatedColumnFormula>
    </tableColumn>
    <tableColumn id="3" name="Building Sub-Sector" dataCellStyle="Calculation">
      <calculatedColumnFormula>IF(E201=0,M200,E201)</calculatedColumnFormula>
    </tableColumn>
    <tableColumn id="4" name="Max of Lighting Savings" dataDxfId="62" dataCellStyle="Linked Cell">
      <calculatedColumnFormula>F201</calculatedColumnFormula>
    </tableColumn>
    <tableColumn id="5" name="Max of Control Savings" dataDxfId="61" dataCellStyle="Linked Cell">
      <calculatedColumnFormula>G201</calculatedColumnFormula>
    </tableColumn>
  </tableColumns>
  <tableStyleInfo name="Table Style 1 - Blank" showFirstColumn="0" showLastColumn="0" showRowStripes="1" showColumnStripes="0"/>
</table>
</file>

<file path=xl/tables/table4.xml><?xml version="1.0" encoding="utf-8"?>
<table xmlns="http://schemas.openxmlformats.org/spreadsheetml/2006/main" id="11" name="NonResIntByTechnology" displayName="NonResIntByTechnology" ref="K6:P276" totalsRowShown="0" headerRowDxfId="41" headerRowBorderDxfId="40" headerRowCellStyle="Linked Cell" dataCellStyle="Calculation">
  <autoFilter ref="K6:P276"/>
  <tableColumns count="6">
    <tableColumn id="1" name="Efficient Lighting" dataCellStyle="Calculation">
      <calculatedColumnFormula>IF(C7=0,K6,C7)</calculatedColumnFormula>
    </tableColumn>
    <tableColumn id="2" name="Lighting Application" dataCellStyle="Calculation">
      <calculatedColumnFormula>IF(D7=0,L6,D7)</calculatedColumnFormula>
    </tableColumn>
    <tableColumn id="3" name="Building Sub-Sector" dataCellStyle="Calculation">
      <calculatedColumnFormula>IF(E7=0,M6,E7)</calculatedColumnFormula>
    </tableColumn>
    <tableColumn id="6" name="Baseline Lighting" dataCellStyle="Calculation"/>
    <tableColumn id="4" name="Max of Lighting Savings" dataDxfId="39" dataCellStyle="Linked Cell">
      <calculatedColumnFormula>G7</calculatedColumnFormula>
    </tableColumn>
    <tableColumn id="5" name="Max of Control Savings" dataDxfId="38" dataCellStyle="Linked Cell">
      <calculatedColumnFormula>H7</calculatedColumnFormula>
    </tableColumn>
  </tableColumns>
  <tableStyleInfo name="Table Style 1 - Blank" showFirstColumn="0" showLastColumn="0" showRowStripes="1" showColumnStripes="0"/>
</table>
</file>

<file path=xl/tables/table5.xml><?xml version="1.0" encoding="utf-8"?>
<table xmlns="http://schemas.openxmlformats.org/spreadsheetml/2006/main" id="12" name="NonResIntByApplication" displayName="NonResIntByApplication" ref="K387:O517" totalsRowShown="0" headerRowDxfId="37" headerRowBorderDxfId="36" headerRowCellStyle="Linked Cell" dataCellStyle="Calculation">
  <autoFilter ref="K387:O517"/>
  <tableColumns count="5">
    <tableColumn id="1" name="Lighting Application" dataCellStyle="Calculation">
      <calculatedColumnFormula>IF(C388=0,K387,C388)</calculatedColumnFormula>
    </tableColumn>
    <tableColumn id="2" name="Baseline Lighting" dataCellStyle="Calculation">
      <calculatedColumnFormula>IF(D388=0,L387,D388)</calculatedColumnFormula>
    </tableColumn>
    <tableColumn id="3" name="Building Sub-Sector" dataCellStyle="Calculation">
      <calculatedColumnFormula>IF(E388=0,M387,E388)</calculatedColumnFormula>
    </tableColumn>
    <tableColumn id="4" name="Max of Lighting Savings" dataDxfId="35" dataCellStyle="Linked Cell">
      <calculatedColumnFormula>F388</calculatedColumnFormula>
    </tableColumn>
    <tableColumn id="5" name="Max of Control Savings" dataDxfId="34" dataCellStyle="Linked Cell">
      <calculatedColumnFormula>G388</calculatedColumnFormula>
    </tableColumn>
  </tableColumns>
  <tableStyleInfo name="Table Style 1 - Blank" showFirstColumn="0" showLastColumn="0" showRowStripes="1" showColumnStripes="0"/>
</table>
</file>

<file path=xl/tables/table6.xml><?xml version="1.0" encoding="utf-8"?>
<table xmlns="http://schemas.openxmlformats.org/spreadsheetml/2006/main" id="13" name="NonResExtByTechnology" displayName="NonResExtByTechnology" ref="K6:P180" totalsRowShown="0" headerRowDxfId="18" headerRowBorderDxfId="17" headerRowCellStyle="Linked Cell" dataCellStyle="Calculation">
  <autoFilter ref="K6:P180"/>
  <tableColumns count="6">
    <tableColumn id="1" name="Efficient Lighting" dataCellStyle="Calculation">
      <calculatedColumnFormula>IF(C7=0,K6,C7)</calculatedColumnFormula>
    </tableColumn>
    <tableColumn id="2" name="Lighting Application" dataCellStyle="Calculation">
      <calculatedColumnFormula>IF(D7=0,L6,D7)</calculatedColumnFormula>
    </tableColumn>
    <tableColumn id="3" name="Building Sub-Sector" dataCellStyle="Calculation">
      <calculatedColumnFormula>IF(E7=0,M6,E7)</calculatedColumnFormula>
    </tableColumn>
    <tableColumn id="6" name="Baseline Lighting" dataDxfId="16" dataCellStyle="Calculation">
      <calculatedColumnFormula>IF(F7=0,N6,F7)</calculatedColumnFormula>
    </tableColumn>
    <tableColumn id="4" name="Max of Lighting Savings" dataDxfId="15" dataCellStyle="Linked Cell">
      <calculatedColumnFormula>G7</calculatedColumnFormula>
    </tableColumn>
    <tableColumn id="5" name="Max of Control Savings" dataDxfId="14" dataCellStyle="Linked Cell">
      <calculatedColumnFormula>H7</calculatedColumnFormula>
    </tableColumn>
  </tableColumns>
  <tableStyleInfo name="Table Style 1 - Blank" showFirstColumn="0" showLastColumn="0" showRowStripes="1" showColumnStripes="0"/>
</table>
</file>

<file path=xl/tables/table7.xml><?xml version="1.0" encoding="utf-8"?>
<table xmlns="http://schemas.openxmlformats.org/spreadsheetml/2006/main" id="14" name="NonResExtByApplication" displayName="NonResExtByApplication" ref="K200:O330" totalsRowShown="0" headerRowDxfId="13" headerRowBorderDxfId="12" headerRowCellStyle="Linked Cell" dataCellStyle="Calculation">
  <autoFilter ref="K200:O330"/>
  <tableColumns count="5">
    <tableColumn id="1" name="Lighting Application" dataCellStyle="Calculation">
      <calculatedColumnFormula>IF(C201=0,K200,C201)</calculatedColumnFormula>
    </tableColumn>
    <tableColumn id="2" name="Baseline Lighting" dataCellStyle="Calculation">
      <calculatedColumnFormula>IF(D201=0,L200,D201)</calculatedColumnFormula>
    </tableColumn>
    <tableColumn id="3" name="Building Sub-Sector" dataCellStyle="Calculation">
      <calculatedColumnFormula>IF(E201=0,M200,E201)</calculatedColumnFormula>
    </tableColumn>
    <tableColumn id="4" name="Max of Lighting Savings" dataDxfId="11" dataCellStyle="Linked Cell">
      <calculatedColumnFormula>F201</calculatedColumnFormula>
    </tableColumn>
    <tableColumn id="5" name="Max of Control Savings" dataDxfId="10" dataCellStyle="Linked Cell">
      <calculatedColumnFormula>G201</calculatedColumnFormula>
    </tableColumn>
  </tableColumns>
  <tableStyleInfo name="Table Style 1 - Blank"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nergyalmanac.ca.gov/electricity/electricity_stats/index.html"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energy.ca.gov/2005publications/CEC-400-2005-003/CEC-400-2005-003.PDF"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apps1.eere.energy.gov/buildings/publications/pdfs/ssl/2010-lmc-final-jan-2012.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wisconsinpublicservice.com/business/pdf/efficient_equipment_longdaylighting.pdf"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appliance-standards.org/node/6815" TargetMode="External"/><Relationship Id="rId13" Type="http://schemas.openxmlformats.org/officeDocument/2006/relationships/hyperlink" Target="http://www.appliance-standards.org/node/6812" TargetMode="External"/><Relationship Id="rId18" Type="http://schemas.openxmlformats.org/officeDocument/2006/relationships/hyperlink" Target="http://www.energy.ca.gov/lightbulbs/lightbulb_faqs.html" TargetMode="External"/><Relationship Id="rId3" Type="http://schemas.openxmlformats.org/officeDocument/2006/relationships/hyperlink" Target="http://www.appliance-standards.org/node/6811" TargetMode="External"/><Relationship Id="rId7" Type="http://schemas.openxmlformats.org/officeDocument/2006/relationships/hyperlink" Target="http://www.appliance-standards.org/node/6801" TargetMode="External"/><Relationship Id="rId12" Type="http://schemas.openxmlformats.org/officeDocument/2006/relationships/hyperlink" Target="http://www.appliance-standards.org/node/6805" TargetMode="External"/><Relationship Id="rId17" Type="http://schemas.openxmlformats.org/officeDocument/2006/relationships/hyperlink" Target="http://buildingsdatabook.eere.energy.gov/TableView.aspx?table=7.7.5" TargetMode="External"/><Relationship Id="rId2" Type="http://schemas.openxmlformats.org/officeDocument/2006/relationships/hyperlink" Target="http://www.appliance-standards.org/node/6809" TargetMode="External"/><Relationship Id="rId16" Type="http://schemas.openxmlformats.org/officeDocument/2006/relationships/hyperlink" Target="http://www.energy.ca.gov/2005publications/CEC-400-2005-035/CD_to-legislature_content/section06.pdf" TargetMode="External"/><Relationship Id="rId20" Type="http://schemas.openxmlformats.org/officeDocument/2006/relationships/printerSettings" Target="../printerSettings/printerSettings11.bin"/><Relationship Id="rId1" Type="http://schemas.openxmlformats.org/officeDocument/2006/relationships/hyperlink" Target="http://www.appliance-standards.org/node/6814" TargetMode="External"/><Relationship Id="rId6" Type="http://schemas.openxmlformats.org/officeDocument/2006/relationships/hyperlink" Target="http://www.appliance-standards.org/node/6799" TargetMode="External"/><Relationship Id="rId11" Type="http://schemas.openxmlformats.org/officeDocument/2006/relationships/hyperlink" Target="http://www.appliance-standards.org/node/6804" TargetMode="External"/><Relationship Id="rId5" Type="http://schemas.openxmlformats.org/officeDocument/2006/relationships/hyperlink" Target="http://www.appliance-standards.org/node/6800" TargetMode="External"/><Relationship Id="rId15" Type="http://schemas.openxmlformats.org/officeDocument/2006/relationships/hyperlink" Target="http://www.appliance-standards.org/national" TargetMode="External"/><Relationship Id="rId10" Type="http://schemas.openxmlformats.org/officeDocument/2006/relationships/hyperlink" Target="http://www.appliance-standards.org/node/6803" TargetMode="External"/><Relationship Id="rId19" Type="http://schemas.openxmlformats.org/officeDocument/2006/relationships/hyperlink" Target="http://www.appliance-standards.org/node/6802" TargetMode="External"/><Relationship Id="rId4" Type="http://schemas.openxmlformats.org/officeDocument/2006/relationships/hyperlink" Target="http://www.appliance-standards.org/node/6810" TargetMode="External"/><Relationship Id="rId9" Type="http://schemas.openxmlformats.org/officeDocument/2006/relationships/hyperlink" Target="http://www.appliance-standards.org/node/6802" TargetMode="External"/><Relationship Id="rId14" Type="http://schemas.openxmlformats.org/officeDocument/2006/relationships/hyperlink" Target="http://www.appliance-standards.org/node/6813"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apps1.eere.energy.gov/buildings/publications/pdfs/ssl/ssl_mypp2014_web.pdf" TargetMode="External"/><Relationship Id="rId1" Type="http://schemas.openxmlformats.org/officeDocument/2006/relationships/hyperlink" Target="http://apps1.eere.energy.gov/buildings/publications/pdfs/ssl/2010-lmc-final-jan-2012.pdf"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pivotTable" Target="../pivotTables/pivotTable3.xml"/><Relationship Id="rId7" Type="http://schemas.openxmlformats.org/officeDocument/2006/relationships/table" Target="../tables/table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pivotTable" Target="../pivotTables/pivotTable7.xml"/><Relationship Id="rId7" Type="http://schemas.openxmlformats.org/officeDocument/2006/relationships/table" Target="../tables/table4.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pivotTable" Target="../pivotTables/pivotTable8.xml"/></Relationships>
</file>

<file path=xl/worksheets/_rels/sheet5.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pivotTable" Target="../pivotTables/pivotTable11.xml"/><Relationship Id="rId7" Type="http://schemas.openxmlformats.org/officeDocument/2006/relationships/table" Target="../tables/table6.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pivotTable" Target="../pivotTables/pivotTable1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13.xml"/></Relationships>
</file>

<file path=xl/worksheets/_rels/sheet8.xml.rels><?xml version="1.0" encoding="UTF-8" standalone="yes"?>
<Relationships xmlns="http://schemas.openxmlformats.org/package/2006/relationships"><Relationship Id="rId8" Type="http://schemas.openxmlformats.org/officeDocument/2006/relationships/hyperlink" Target="http://www.energy.ca.gov/lightbulbs/lightbulb_faqs.html" TargetMode="External"/><Relationship Id="rId13" Type="http://schemas.openxmlformats.org/officeDocument/2006/relationships/hyperlink" Target="http://www.nstar.com/docs3/application_forms/retro-codes.pdf" TargetMode="External"/><Relationship Id="rId18" Type="http://schemas.openxmlformats.org/officeDocument/2006/relationships/hyperlink" Target="http://www.nema.org/gov/energy/efficiency/upload/2012_Standards_for_General_Service_Flr_Lps.pdf" TargetMode="External"/><Relationship Id="rId26" Type="http://schemas.openxmlformats.org/officeDocument/2006/relationships/hyperlink" Target="http://www.energy.ca.gov/title24/2013standards/prerulemaking/documents/current/Reports/Nonresidential/Lighting_Controls_Bldg_Power/2013_CASE_NR_Lighting_in_Warehouses_and_Libraries_Oct_2011.pdf" TargetMode="External"/><Relationship Id="rId39" Type="http://schemas.openxmlformats.org/officeDocument/2006/relationships/printerSettings" Target="../printerSettings/printerSettings7.bin"/><Relationship Id="rId3" Type="http://schemas.openxmlformats.org/officeDocument/2006/relationships/hyperlink" Target="http://www.nstar.com/docs3/application_forms/retro-codes.pdf" TargetMode="External"/><Relationship Id="rId21" Type="http://schemas.openxmlformats.org/officeDocument/2006/relationships/hyperlink" Target="http://www.nstar.com/docs3/application_forms/retro-codes.pdf" TargetMode="External"/><Relationship Id="rId34" Type="http://schemas.openxmlformats.org/officeDocument/2006/relationships/hyperlink" Target="http://www.nstar.com/docs3/application_forms/retro-codes.pdf" TargetMode="External"/><Relationship Id="rId42" Type="http://schemas.openxmlformats.org/officeDocument/2006/relationships/comments" Target="../comments2.xml"/><Relationship Id="rId7" Type="http://schemas.openxmlformats.org/officeDocument/2006/relationships/hyperlink" Target="http://www.nstar.com/docs3/application_forms/retro-codes.pdf" TargetMode="External"/><Relationship Id="rId12" Type="http://schemas.openxmlformats.org/officeDocument/2006/relationships/hyperlink" Target="http://www.nstar.com/docs3/application_forms/retro-codes.pdf" TargetMode="External"/><Relationship Id="rId17" Type="http://schemas.openxmlformats.org/officeDocument/2006/relationships/hyperlink" Target="http://www.nstar.com/docs3/application_forms/retro-codes.pdf" TargetMode="External"/><Relationship Id="rId25" Type="http://schemas.openxmlformats.org/officeDocument/2006/relationships/hyperlink" Target="http://www.energystar.gov/ia/business/small_business/led_exitsigns_techsheet.pdf" TargetMode="External"/><Relationship Id="rId33" Type="http://schemas.openxmlformats.org/officeDocument/2006/relationships/hyperlink" Target="http://www.nstar.com/docs3/application_forms/retro-codes.pdf" TargetMode="External"/><Relationship Id="rId38" Type="http://schemas.openxmlformats.org/officeDocument/2006/relationships/hyperlink" Target="http://www.gelighting.com/LightingWeb/na/images/79452_ConstantColor_CMH_Family_Brochure_tcm201-20764.pdf" TargetMode="External"/><Relationship Id="rId2" Type="http://schemas.openxmlformats.org/officeDocument/2006/relationships/hyperlink" Target="http://www.rabweb.com/upload/LED%20Quad%20Fold%20Brochure/flyer.pdf" TargetMode="External"/><Relationship Id="rId16" Type="http://schemas.openxmlformats.org/officeDocument/2006/relationships/hyperlink" Target="http://www.nstar.com/docs3/application_forms/retro-codes.pdf" TargetMode="External"/><Relationship Id="rId20" Type="http://schemas.openxmlformats.org/officeDocument/2006/relationships/hyperlink" Target="http://www.nstar.com/docs3/application_forms/retro-codes.pdf" TargetMode="External"/><Relationship Id="rId29" Type="http://schemas.openxmlformats.org/officeDocument/2006/relationships/hyperlink" Target="http://www.optimumlighting.com/services/faq/" TargetMode="External"/><Relationship Id="rId41" Type="http://schemas.openxmlformats.org/officeDocument/2006/relationships/vmlDrawing" Target="../drawings/vmlDrawing2.vml"/><Relationship Id="rId1" Type="http://schemas.openxmlformats.org/officeDocument/2006/relationships/hyperlink" Target="http://apps1.eere.energy.gov/buildings/publications/pdfs/ssl/gateway_freezer-case.pdf" TargetMode="External"/><Relationship Id="rId6" Type="http://schemas.openxmlformats.org/officeDocument/2006/relationships/hyperlink" Target="http://assets.sylvania.com/assets/Documents/fl_pib13.efe83fca-6fea-4556-b7b2-9ccfe7107a3d.pdf" TargetMode="External"/><Relationship Id="rId11" Type="http://schemas.openxmlformats.org/officeDocument/2006/relationships/hyperlink" Target="http://www.energystar.gov/ia/business/small_business/led_exitsigns_techsheet.pdf" TargetMode="External"/><Relationship Id="rId24" Type="http://schemas.openxmlformats.org/officeDocument/2006/relationships/hyperlink" Target="http://limelite.com/exit-lites" TargetMode="External"/><Relationship Id="rId32" Type="http://schemas.openxmlformats.org/officeDocument/2006/relationships/hyperlink" Target="http://www.p-2.com/cutsheet/technical/tables_of_wattages.pdf" TargetMode="External"/><Relationship Id="rId37" Type="http://schemas.openxmlformats.org/officeDocument/2006/relationships/hyperlink" Target="http://assets.sylvania.com/assets/Documents/fl_pib13.efe83fca-6fea-4556-b7b2-9ccfe7107a3d.pdf" TargetMode="External"/><Relationship Id="rId40" Type="http://schemas.openxmlformats.org/officeDocument/2006/relationships/drawing" Target="../drawings/drawing6.xml"/><Relationship Id="rId5" Type="http://schemas.openxmlformats.org/officeDocument/2006/relationships/hyperlink" Target="http://synergylightingusa.com/wp-content/uploads/2011/07/Optec-LED-Lighting-Area-Light-C0820-Cut-Sheet-11-0705.pdf" TargetMode="External"/><Relationship Id="rId15" Type="http://schemas.openxmlformats.org/officeDocument/2006/relationships/hyperlink" Target="http://www.nstar.com/docs3/application_forms/retro-codes.pdf" TargetMode="External"/><Relationship Id="rId23" Type="http://schemas.openxmlformats.org/officeDocument/2006/relationships/hyperlink" Target="http://limelite.com/exit-lites" TargetMode="External"/><Relationship Id="rId28" Type="http://schemas.openxmlformats.org/officeDocument/2006/relationships/hyperlink" Target="http://www.energy.ca.gov/title24/2013standards/prerulemaking/documents/current/Reports/Nonresidential/Lighting_Controls_Bldg_Power/2013_CASE_NR_Controllable_Lighting.pdf" TargetMode="External"/><Relationship Id="rId36" Type="http://schemas.openxmlformats.org/officeDocument/2006/relationships/hyperlink" Target="http://www.gelighting.com/LightingWeb/na/images/81176_ConstantColor_CMH_Lamps_SellSheet_tcm201-20765.pdf" TargetMode="External"/><Relationship Id="rId10" Type="http://schemas.openxmlformats.org/officeDocument/2006/relationships/hyperlink" Target="http://www.nema.org/gov/energy/efficiency/upload/2012_Standards_for_General_Service_Flr_Lps.pdf" TargetMode="External"/><Relationship Id="rId19" Type="http://schemas.openxmlformats.org/officeDocument/2006/relationships/hyperlink" Target="http://www.gelighting.com/LightingWeb/na/images/79452_ConstantColor_CMH_Family_Brochure_tcm201-20764.pdf" TargetMode="External"/><Relationship Id="rId31" Type="http://schemas.openxmlformats.org/officeDocument/2006/relationships/hyperlink" Target="http://www.p-2.com/cutsheet/technical/tables_of_wattages.pdf" TargetMode="External"/><Relationship Id="rId4" Type="http://schemas.openxmlformats.org/officeDocument/2006/relationships/hyperlink" Target="http://www.rabweb.com/upload/LED%20Quad%20Fold%20Brochure/flyer.pdf" TargetMode="External"/><Relationship Id="rId9" Type="http://schemas.openxmlformats.org/officeDocument/2006/relationships/hyperlink" Target="http://www.nema.org/gov/energy/efficiency/upload/2012_Standards_for_General_Service_Flr_Lps.pdf" TargetMode="External"/><Relationship Id="rId14" Type="http://schemas.openxmlformats.org/officeDocument/2006/relationships/hyperlink" Target="http://www.nstar.com/docs3/application_forms/retro-codes.pdf" TargetMode="External"/><Relationship Id="rId22" Type="http://schemas.openxmlformats.org/officeDocument/2006/relationships/hyperlink" Target="http://www.nema.org/gov/energy/efficiency/upload/2012_Standards_for_General_Service_Flr_Lps.pdf" TargetMode="External"/><Relationship Id="rId27" Type="http://schemas.openxmlformats.org/officeDocument/2006/relationships/hyperlink" Target="http://www.energy.ca.gov/title24/2013standards/prerulemaking/documents/current/Reports/Nonresidential/Lighting_Controls_Bldg_Power/2013_CASE_NR_Parking_Garage_Lighting_and_Controls_Oct_2011.pdf" TargetMode="External"/><Relationship Id="rId30" Type="http://schemas.openxmlformats.org/officeDocument/2006/relationships/hyperlink" Target="http://www.usa.lighting.philips.com/pwc_li/us_en/connect/tools_literature/downloads/p-5887.pdf" TargetMode="External"/><Relationship Id="rId35" Type="http://schemas.openxmlformats.org/officeDocument/2006/relationships/hyperlink" Target="http://www.nstar.com/docs3/application_forms/retro-codes.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ebsafe.kemainc.com/projects62/Default.aspx?tabid=190" TargetMode="External"/><Relationship Id="rId2" Type="http://schemas.openxmlformats.org/officeDocument/2006/relationships/hyperlink" Target="http://www.energyalmanac.ca.gov/electricity/electricity_stats/index.html" TargetMode="External"/><Relationship Id="rId1" Type="http://schemas.openxmlformats.org/officeDocument/2006/relationships/hyperlink" Target="http://aceee.org/files/proceedings/2010/data/papers/2225.pdf" TargetMode="External"/><Relationship Id="rId5" Type="http://schemas.openxmlformats.org/officeDocument/2006/relationships/drawing" Target="../drawings/drawing7.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25"/>
  <sheetViews>
    <sheetView tabSelected="1" workbookViewId="0"/>
  </sheetViews>
  <sheetFormatPr defaultRowHeight="15"/>
  <cols>
    <col min="1" max="1" width="5.7109375" customWidth="1"/>
    <col min="2" max="2" width="8.7109375" customWidth="1"/>
    <col min="3" max="3" width="12.28515625" customWidth="1"/>
    <col min="4" max="4" width="18.140625" customWidth="1"/>
    <col min="5" max="5" width="10.140625" customWidth="1"/>
    <col min="6" max="14" width="8.7109375" customWidth="1"/>
  </cols>
  <sheetData>
    <row r="1" spans="1:22" ht="27" customHeight="1">
      <c r="A1" s="268" t="s">
        <v>0</v>
      </c>
      <c r="B1" s="267"/>
      <c r="C1" s="267"/>
      <c r="D1" s="267"/>
      <c r="E1" s="267"/>
      <c r="G1" s="267"/>
      <c r="H1" s="268"/>
      <c r="K1" s="268" t="s">
        <v>1397</v>
      </c>
      <c r="L1" s="268"/>
      <c r="M1" s="268"/>
    </row>
    <row r="2" spans="1:22" s="840" customFormat="1" ht="27" customHeight="1">
      <c r="A2" s="837"/>
      <c r="B2" s="838" t="s">
        <v>1394</v>
      </c>
      <c r="C2" s="837"/>
      <c r="D2" s="839">
        <v>41992</v>
      </c>
      <c r="E2" s="837"/>
      <c r="G2" s="837"/>
      <c r="H2" s="838"/>
      <c r="I2" s="837"/>
      <c r="J2" s="838"/>
      <c r="K2" s="838"/>
      <c r="L2" s="838"/>
      <c r="M2" s="838"/>
    </row>
    <row r="3" spans="1:22" s="840" customFormat="1" ht="27" customHeight="1">
      <c r="A3" s="837"/>
      <c r="B3" s="841" t="s">
        <v>1396</v>
      </c>
      <c r="C3" s="837"/>
      <c r="D3" s="839"/>
      <c r="E3" s="837"/>
      <c r="G3" s="837"/>
      <c r="H3" s="838"/>
      <c r="I3" s="837"/>
      <c r="J3" s="838"/>
      <c r="K3" s="838"/>
      <c r="L3" s="838"/>
      <c r="M3" s="838"/>
    </row>
    <row r="4" spans="1:22" ht="51" customHeight="1">
      <c r="B4" s="848" t="s">
        <v>1401</v>
      </c>
      <c r="C4" s="848"/>
      <c r="D4" s="848"/>
      <c r="E4" s="848"/>
      <c r="F4" s="848"/>
      <c r="G4" s="848"/>
      <c r="H4" s="848"/>
      <c r="I4" s="848"/>
      <c r="J4" s="848"/>
      <c r="K4" s="848"/>
      <c r="L4" s="848"/>
      <c r="M4" s="848"/>
      <c r="N4" s="848"/>
      <c r="P4" t="s">
        <v>1</v>
      </c>
    </row>
    <row r="5" spans="1:22" ht="40.5" customHeight="1">
      <c r="B5" s="848"/>
      <c r="C5" s="848"/>
      <c r="D5" s="848"/>
      <c r="E5" s="848"/>
      <c r="F5" s="848"/>
      <c r="G5" s="848"/>
      <c r="H5" s="848"/>
      <c r="I5" s="848"/>
      <c r="J5" s="848"/>
      <c r="K5" s="848"/>
      <c r="L5" s="848"/>
      <c r="M5" s="848"/>
      <c r="N5" s="848"/>
    </row>
    <row r="6" spans="1:22" ht="40.5" customHeight="1">
      <c r="B6" s="848"/>
      <c r="C6" s="848"/>
      <c r="D6" s="848"/>
      <c r="E6" s="848"/>
      <c r="F6" s="848"/>
      <c r="G6" s="848"/>
      <c r="H6" s="848"/>
      <c r="I6" s="848"/>
      <c r="J6" s="848"/>
      <c r="K6" s="848"/>
      <c r="L6" s="848"/>
      <c r="M6" s="848"/>
      <c r="N6" s="848"/>
      <c r="P6" t="s">
        <v>2</v>
      </c>
    </row>
    <row r="7" spans="1:22" ht="6.75" customHeight="1">
      <c r="B7" s="848"/>
      <c r="C7" s="848"/>
      <c r="D7" s="848"/>
      <c r="E7" s="848"/>
      <c r="F7" s="848"/>
      <c r="G7" s="848"/>
      <c r="H7" s="848"/>
      <c r="I7" s="848"/>
      <c r="J7" s="848"/>
      <c r="K7" s="848"/>
      <c r="L7" s="848"/>
      <c r="M7" s="848"/>
      <c r="N7" s="848"/>
    </row>
    <row r="8" spans="1:22" ht="7.5" customHeight="1"/>
    <row r="9" spans="1:22" ht="104.25" customHeight="1">
      <c r="B9" s="848" t="s">
        <v>1402</v>
      </c>
      <c r="C9" s="848"/>
      <c r="D9" s="848"/>
      <c r="E9" s="848"/>
      <c r="F9" s="848"/>
      <c r="G9" s="848"/>
      <c r="H9" s="848"/>
      <c r="I9" s="848"/>
      <c r="J9" s="848"/>
      <c r="K9" s="848"/>
      <c r="L9" s="848"/>
      <c r="M9" s="848"/>
      <c r="N9" s="848"/>
      <c r="O9" s="736"/>
      <c r="P9" s="736"/>
      <c r="Q9" s="736"/>
      <c r="R9" s="736"/>
      <c r="S9" s="736"/>
      <c r="T9" s="736"/>
      <c r="U9" s="736"/>
      <c r="V9" s="736"/>
    </row>
    <row r="10" spans="1:22" ht="15" customHeight="1">
      <c r="O10" s="736"/>
      <c r="P10" s="736"/>
      <c r="Q10" s="736"/>
      <c r="R10" s="736"/>
      <c r="S10" s="736"/>
      <c r="T10" s="736"/>
      <c r="U10" s="736"/>
      <c r="V10" s="736"/>
    </row>
    <row r="11" spans="1:22" ht="27.75">
      <c r="B11" s="268" t="s">
        <v>3</v>
      </c>
      <c r="J11" s="268" t="s">
        <v>4</v>
      </c>
      <c r="O11" s="736"/>
      <c r="P11" s="736"/>
      <c r="Q11" s="736"/>
      <c r="R11" s="736"/>
      <c r="S11" s="736"/>
      <c r="T11" s="736"/>
      <c r="U11" s="736"/>
      <c r="V11" s="736"/>
    </row>
    <row r="12" spans="1:22" ht="17.25" customHeight="1">
      <c r="A12" s="37"/>
      <c r="B12" s="732" t="s">
        <v>5</v>
      </c>
      <c r="C12" s="733"/>
      <c r="D12" s="733"/>
      <c r="E12" s="733"/>
      <c r="F12" s="850" t="s">
        <v>1395</v>
      </c>
      <c r="G12" s="850"/>
      <c r="H12" s="850"/>
      <c r="I12" s="850"/>
      <c r="J12" s="849" t="s">
        <v>1369</v>
      </c>
      <c r="K12" s="849"/>
      <c r="L12" s="849"/>
      <c r="M12" s="849"/>
      <c r="N12" s="849"/>
    </row>
    <row r="13" spans="1:22">
      <c r="A13" s="37"/>
      <c r="B13" s="734" t="s">
        <v>920</v>
      </c>
      <c r="C13" s="733"/>
      <c r="D13" s="733"/>
      <c r="E13" s="733"/>
      <c r="F13" s="847" t="s">
        <v>1295</v>
      </c>
      <c r="G13" s="847"/>
      <c r="H13" s="847"/>
      <c r="I13" s="847"/>
      <c r="J13" s="849"/>
      <c r="K13" s="849"/>
      <c r="L13" s="849"/>
      <c r="M13" s="849"/>
      <c r="N13" s="849"/>
    </row>
    <row r="14" spans="1:22">
      <c r="A14" s="37"/>
      <c r="B14" s="734" t="s">
        <v>921</v>
      </c>
      <c r="C14" s="733"/>
      <c r="D14" s="733"/>
      <c r="E14" s="733"/>
      <c r="F14" s="847" t="s">
        <v>927</v>
      </c>
      <c r="G14" s="847"/>
      <c r="H14" s="847"/>
      <c r="I14" s="847"/>
      <c r="J14" s="849"/>
      <c r="K14" s="849"/>
      <c r="L14" s="849"/>
      <c r="M14" s="849"/>
      <c r="N14" s="849"/>
    </row>
    <row r="15" spans="1:22">
      <c r="A15" s="37"/>
      <c r="B15" s="734" t="s">
        <v>922</v>
      </c>
      <c r="C15" s="733"/>
      <c r="D15" s="733"/>
      <c r="E15" s="733"/>
      <c r="F15" s="38" t="s">
        <v>1392</v>
      </c>
      <c r="J15" s="849"/>
      <c r="K15" s="849"/>
      <c r="L15" s="849"/>
      <c r="M15" s="849"/>
      <c r="N15" s="849"/>
    </row>
    <row r="16" spans="1:22">
      <c r="A16" s="37"/>
      <c r="B16" s="734" t="s">
        <v>1399</v>
      </c>
      <c r="C16" s="733"/>
      <c r="D16" s="733"/>
      <c r="E16" s="733"/>
      <c r="F16" s="847" t="s">
        <v>928</v>
      </c>
      <c r="G16" s="847"/>
      <c r="H16" s="847"/>
      <c r="I16" s="847"/>
      <c r="J16" s="849"/>
      <c r="K16" s="849"/>
      <c r="L16" s="849"/>
      <c r="M16" s="849"/>
      <c r="N16" s="849"/>
    </row>
    <row r="17" spans="1:14">
      <c r="A17" s="37"/>
      <c r="B17" s="38" t="s">
        <v>1400</v>
      </c>
      <c r="C17" s="733"/>
      <c r="D17" s="733"/>
      <c r="E17" s="733"/>
      <c r="F17" s="847" t="s">
        <v>1293</v>
      </c>
      <c r="G17" s="847"/>
      <c r="H17" s="847"/>
      <c r="I17" s="847"/>
      <c r="J17" s="849"/>
      <c r="K17" s="849"/>
      <c r="L17" s="849"/>
      <c r="M17" s="849"/>
      <c r="N17" s="849"/>
    </row>
    <row r="18" spans="1:14">
      <c r="A18" s="37"/>
      <c r="B18" s="733"/>
      <c r="C18" s="733"/>
      <c r="D18" s="733"/>
      <c r="E18" s="733"/>
      <c r="F18" s="847" t="s">
        <v>930</v>
      </c>
      <c r="G18" s="847"/>
      <c r="H18" s="847"/>
      <c r="I18" s="847"/>
      <c r="J18" s="849"/>
      <c r="K18" s="849"/>
      <c r="L18" s="849"/>
      <c r="M18" s="849"/>
      <c r="N18" s="849"/>
    </row>
    <row r="19" spans="1:14">
      <c r="A19" s="37"/>
      <c r="B19" s="733"/>
      <c r="C19" s="733"/>
      <c r="D19" s="733"/>
      <c r="E19" s="733"/>
      <c r="F19" s="847" t="s">
        <v>1294</v>
      </c>
      <c r="G19" s="847"/>
      <c r="H19" s="847"/>
      <c r="I19" s="847"/>
      <c r="J19" s="849"/>
      <c r="K19" s="849"/>
      <c r="L19" s="849"/>
      <c r="M19" s="849"/>
      <c r="N19" s="849"/>
    </row>
    <row r="20" spans="1:14">
      <c r="A20" s="37"/>
      <c r="B20" s="733"/>
      <c r="C20" s="733"/>
      <c r="D20" s="733"/>
      <c r="E20" s="733"/>
      <c r="F20" s="847" t="s">
        <v>932</v>
      </c>
      <c r="G20" s="847"/>
      <c r="H20" s="847"/>
      <c r="I20" s="847"/>
      <c r="J20" s="849"/>
      <c r="K20" s="849"/>
      <c r="L20" s="849"/>
      <c r="M20" s="849"/>
      <c r="N20" s="849"/>
    </row>
    <row r="21" spans="1:14">
      <c r="A21" s="37"/>
      <c r="B21" s="733"/>
      <c r="C21" s="733"/>
      <c r="D21" s="733"/>
      <c r="E21" s="733"/>
      <c r="F21" s="847" t="s">
        <v>929</v>
      </c>
      <c r="G21" s="847"/>
      <c r="H21" s="847"/>
      <c r="I21" s="847"/>
      <c r="J21" s="849"/>
      <c r="K21" s="849"/>
      <c r="L21" s="849"/>
      <c r="M21" s="849"/>
      <c r="N21" s="849"/>
    </row>
    <row r="22" spans="1:14">
      <c r="A22" s="37"/>
      <c r="B22" s="733"/>
      <c r="C22" s="733"/>
      <c r="D22" s="733"/>
      <c r="E22" s="733"/>
      <c r="F22" s="847" t="s">
        <v>926</v>
      </c>
      <c r="G22" s="847"/>
      <c r="H22" s="847"/>
      <c r="I22" s="847"/>
      <c r="J22" s="849"/>
      <c r="K22" s="849"/>
      <c r="L22" s="849"/>
      <c r="M22" s="849"/>
      <c r="N22" s="849"/>
    </row>
    <row r="23" spans="1:14">
      <c r="A23" s="37"/>
      <c r="B23" s="733"/>
      <c r="C23" s="733"/>
      <c r="D23" s="733"/>
      <c r="E23" s="733"/>
      <c r="F23" s="847" t="s">
        <v>933</v>
      </c>
      <c r="G23" s="847"/>
      <c r="H23" s="847"/>
      <c r="I23" s="847"/>
      <c r="J23" s="849"/>
      <c r="K23" s="849"/>
      <c r="L23" s="849"/>
      <c r="M23" s="849"/>
      <c r="N23" s="849"/>
    </row>
    <row r="24" spans="1:14">
      <c r="A24" s="37"/>
      <c r="B24" s="733"/>
      <c r="C24" s="733"/>
      <c r="D24" s="733"/>
      <c r="E24" s="733"/>
      <c r="F24" s="847" t="s">
        <v>1393</v>
      </c>
      <c r="G24" s="847"/>
      <c r="H24" s="847"/>
      <c r="I24" s="847"/>
      <c r="J24" s="849"/>
      <c r="K24" s="849"/>
      <c r="L24" s="849"/>
      <c r="M24" s="849"/>
      <c r="N24" s="849"/>
    </row>
    <row r="25" spans="1:14" ht="78" customHeight="1">
      <c r="A25" s="37"/>
      <c r="B25" s="735"/>
      <c r="C25" s="733"/>
      <c r="D25" s="733"/>
      <c r="E25" s="733"/>
      <c r="J25" s="849"/>
      <c r="K25" s="849"/>
      <c r="L25" s="849"/>
      <c r="M25" s="849"/>
      <c r="N25" s="849"/>
    </row>
  </sheetData>
  <sheetProtection password="CD9A" sheet="1" objects="1" scenarios="1"/>
  <mergeCells count="15">
    <mergeCell ref="F23:I23"/>
    <mergeCell ref="B4:N7"/>
    <mergeCell ref="B9:N9"/>
    <mergeCell ref="J12:N25"/>
    <mergeCell ref="F12:I12"/>
    <mergeCell ref="F13:I13"/>
    <mergeCell ref="F22:I22"/>
    <mergeCell ref="F14:I14"/>
    <mergeCell ref="F16:I16"/>
    <mergeCell ref="F21:I21"/>
    <mergeCell ref="F18:I18"/>
    <mergeCell ref="F17:I17"/>
    <mergeCell ref="F19:I19"/>
    <mergeCell ref="F24:I24"/>
    <mergeCell ref="F20:I20"/>
  </mergeCells>
  <hyperlinks>
    <hyperlink ref="B12" location="'Market Solutions'!A1" display="Market Solutions"/>
    <hyperlink ref="F13" location="'Ref-Savings Calculations'!A1" display="Savings Calcs"/>
    <hyperlink ref="F22" location="'Ref-Codes &amp; Standards'!A1" display="Commercial Data"/>
    <hyperlink ref="F14" location="'Ref-ResSources'!A1" display="Agriculture"/>
    <hyperlink ref="F16" location="'Ref-ComSources'!A1" display="Exterior"/>
    <hyperlink ref="F20" location="'Ref-BaselineControls'!A1" display="DOE Sources"/>
    <hyperlink ref="F21" location="'Ref-AgricultureSources'!A1" display="DEER 2008 Tbl 13"/>
    <hyperlink ref="F18" location="'Ref-ExteriorSources'!A1" display="DEER 2008 Tbl 14"/>
    <hyperlink ref="F24" location="'Ref-DEER2008Table 14'!A1" display="IEPR 2007"/>
    <hyperlink ref="B13" location="'Summary-Residential'!A1" display="Summary Residential"/>
    <hyperlink ref="B14" location="'Summary-NonResInterior'!A1" display="Summary Non-Residential Interior"/>
    <hyperlink ref="B15" location="'Summary-NonResExterior'!A1" display="Summary Non-Residential Exterior"/>
    <hyperlink ref="B16" location="'Summary-Custom'!A1" display="Summary Custom"/>
    <hyperlink ref="F23" location="'Ref-DOE'!A1" display="'Ref-DOE'!A1"/>
    <hyperlink ref="F17" location="'Ref-2013CSSsaturationsINT'!A1" display="2013 CSS Saturations Interiors"/>
    <hyperlink ref="F19" location="'Ref-2013CSSsaturationsEXT'!A1" display="2013 CSS Saturations Exteriors"/>
    <hyperlink ref="F15" location="'Ref-2013CLASSsaturations'!A1" display="2013 CLASS Saturations"/>
    <hyperlink ref="B17" location="MarketSolutions_4customreports!A1" display="Market Solutions for Custom Reports"/>
    <hyperlink ref="F13:I13" location="'Ref-Savings Calculations'!A1" display="Saving Calculations"/>
    <hyperlink ref="F14:I14" location="'Ref-ResSources'!A1" display="Residential Sources"/>
    <hyperlink ref="F16:I16" location="'Ref-ComSources'!A1" display="Commercial Sources"/>
    <hyperlink ref="F17:I17" location="'Ref-2013CSSsaturationsINT'!A1" display="2013 CSS Saturations Interiors"/>
    <hyperlink ref="F18:I18" location="'Ref-ExteriorSources'!A1" display="Exterior Sources"/>
    <hyperlink ref="F19:I19" location="'Ref-2013CSSsaturationsEXT'!A1" display="2013 CSS Saturations Exteriors"/>
    <hyperlink ref="F20:I20" location="'Ref-BaselineControls'!A1" display="Basline Controls Sources"/>
    <hyperlink ref="F21:I21" location="'Ref-AgricultureSources'!A1" display="Agricultural Sources"/>
    <hyperlink ref="F22:I22" location="'Ref-Codes &amp; Standards'!A1" display="Codes and Standards"/>
    <hyperlink ref="F23:I23" location="'Ref-DOE'!A1" display="DOE Sources"/>
    <hyperlink ref="F24:I24" location="'Ref-ComHOU'!A1" display="Commercial Hours of Use"/>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workbookViewId="0">
      <pane ySplit="2" topLeftCell="A3" activePane="bottomLeft" state="frozen"/>
      <selection pane="bottomLeft" activeCell="O10" sqref="O10"/>
    </sheetView>
  </sheetViews>
  <sheetFormatPr defaultRowHeight="15"/>
  <cols>
    <col min="5" max="5" width="12" bestFit="1" customWidth="1"/>
    <col min="8" max="8" width="12" bestFit="1" customWidth="1"/>
    <col min="9" max="9" width="11.5703125" customWidth="1"/>
    <col min="10" max="12" width="11.5703125" style="384" customWidth="1"/>
  </cols>
  <sheetData>
    <row r="1" spans="1:12" s="384" customFormat="1">
      <c r="A1" s="384" t="s">
        <v>1370</v>
      </c>
    </row>
    <row r="2" spans="1:12" ht="84">
      <c r="A2" s="737" t="s">
        <v>9</v>
      </c>
      <c r="B2" s="737" t="s">
        <v>11</v>
      </c>
      <c r="C2" s="737" t="s">
        <v>36</v>
      </c>
      <c r="D2" s="737" t="s">
        <v>1160</v>
      </c>
      <c r="E2" s="737" t="s">
        <v>1165</v>
      </c>
      <c r="F2" s="737" t="s">
        <v>1296</v>
      </c>
      <c r="G2" s="737" t="s">
        <v>50</v>
      </c>
      <c r="H2" s="737" t="s">
        <v>1297</v>
      </c>
      <c r="I2" s="737" t="s">
        <v>1298</v>
      </c>
      <c r="J2" s="737" t="s">
        <v>1368</v>
      </c>
      <c r="K2" s="737" t="s">
        <v>1371</v>
      </c>
      <c r="L2" s="737" t="s">
        <v>1372</v>
      </c>
    </row>
    <row r="3" spans="1:12" ht="60.75">
      <c r="A3" s="738" t="s">
        <v>1299</v>
      </c>
      <c r="B3" s="738" t="s">
        <v>1300</v>
      </c>
      <c r="C3" s="739" t="s">
        <v>1301</v>
      </c>
      <c r="D3" s="740" t="s">
        <v>1302</v>
      </c>
      <c r="E3" s="741">
        <v>1204988748.2377183</v>
      </c>
      <c r="F3" s="742">
        <v>0.12179507578868444</v>
      </c>
      <c r="G3" s="739" t="s">
        <v>1303</v>
      </c>
      <c r="H3" s="743">
        <v>1170309553.6820819</v>
      </c>
      <c r="I3" s="742">
        <v>0.11828985207985566</v>
      </c>
      <c r="J3" s="742">
        <f>H3/E3</f>
        <v>0.97122031669892828</v>
      </c>
      <c r="K3" s="742"/>
      <c r="L3" s="742"/>
    </row>
    <row r="4" spans="1:12" ht="36.75">
      <c r="A4" s="738" t="s">
        <v>1299</v>
      </c>
      <c r="B4" s="738" t="s">
        <v>1300</v>
      </c>
      <c r="C4" s="739" t="s">
        <v>1301</v>
      </c>
      <c r="D4" s="740" t="s">
        <v>1304</v>
      </c>
      <c r="E4" s="741">
        <v>13747239.715599999</v>
      </c>
      <c r="F4" s="742">
        <v>1.3895118153554758E-3</v>
      </c>
      <c r="G4" s="739" t="s">
        <v>1303</v>
      </c>
      <c r="H4" s="743">
        <v>13126910.862599997</v>
      </c>
      <c r="I4" s="742">
        <v>1.3268116451044766E-3</v>
      </c>
      <c r="J4" s="742">
        <f t="shared" ref="J4:J60" si="0">H4/E4</f>
        <v>0.95487611579973619</v>
      </c>
      <c r="K4" s="742"/>
      <c r="L4" s="742"/>
    </row>
    <row r="5" spans="1:12" ht="36.75">
      <c r="A5" s="738" t="s">
        <v>1299</v>
      </c>
      <c r="B5" s="738" t="s">
        <v>1300</v>
      </c>
      <c r="C5" s="739" t="s">
        <v>1301</v>
      </c>
      <c r="D5" s="740" t="s">
        <v>1305</v>
      </c>
      <c r="E5" s="741">
        <v>79206069.019895762</v>
      </c>
      <c r="F5" s="742">
        <v>8.0058085134076685E-3</v>
      </c>
      <c r="G5" s="739" t="s">
        <v>1303</v>
      </c>
      <c r="H5" s="743">
        <v>77708875.723795742</v>
      </c>
      <c r="I5" s="742">
        <v>7.8544786597177455E-3</v>
      </c>
      <c r="J5" s="742">
        <f t="shared" si="0"/>
        <v>0.98109749272213043</v>
      </c>
      <c r="K5" s="742"/>
      <c r="L5" s="742"/>
    </row>
    <row r="6" spans="1:12" ht="36.75">
      <c r="A6" s="780" t="s">
        <v>1299</v>
      </c>
      <c r="B6" s="780" t="s">
        <v>1300</v>
      </c>
      <c r="C6" s="781" t="s">
        <v>1301</v>
      </c>
      <c r="D6" s="782" t="s">
        <v>1306</v>
      </c>
      <c r="E6" s="783">
        <v>38616267.065239489</v>
      </c>
      <c r="F6" s="784">
        <v>3.9031660509406419E-3</v>
      </c>
      <c r="G6" s="781" t="s">
        <v>1303</v>
      </c>
      <c r="H6" s="785">
        <v>36269289.59858834</v>
      </c>
      <c r="I6" s="784">
        <v>3.6659436711938055E-3</v>
      </c>
      <c r="J6" s="784">
        <f t="shared" si="0"/>
        <v>0.93922308796222864</v>
      </c>
      <c r="K6" s="784">
        <f>E6/SUM($E$6:$E$10)</f>
        <v>5.507543297902829E-2</v>
      </c>
      <c r="L6" s="784">
        <f>SUM(H6:H10)/SUM(E6:E10)</f>
        <v>0.99576144146646928</v>
      </c>
    </row>
    <row r="7" spans="1:12" ht="36.75">
      <c r="A7" s="780" t="s">
        <v>1299</v>
      </c>
      <c r="B7" s="780" t="s">
        <v>1300</v>
      </c>
      <c r="C7" s="781" t="s">
        <v>1301</v>
      </c>
      <c r="D7" s="782" t="s">
        <v>1307</v>
      </c>
      <c r="E7" s="783">
        <v>516202404.57850224</v>
      </c>
      <c r="F7" s="784">
        <v>5.2175517057638739E-2</v>
      </c>
      <c r="G7" s="781" t="s">
        <v>1303</v>
      </c>
      <c r="H7" s="785">
        <v>516202404.57850218</v>
      </c>
      <c r="I7" s="784">
        <v>5.2175517057638697E-2</v>
      </c>
      <c r="J7" s="784">
        <f t="shared" si="0"/>
        <v>0.99999999999999989</v>
      </c>
      <c r="K7" s="784">
        <f>E7/SUM($E$6:$E$10)</f>
        <v>0.73622007246184418</v>
      </c>
      <c r="L7" s="784"/>
    </row>
    <row r="8" spans="1:12" ht="36.75">
      <c r="A8" s="780" t="s">
        <v>1299</v>
      </c>
      <c r="B8" s="780" t="s">
        <v>1300</v>
      </c>
      <c r="C8" s="781" t="s">
        <v>1301</v>
      </c>
      <c r="D8" s="782" t="s">
        <v>1308</v>
      </c>
      <c r="E8" s="783">
        <v>45286484.745369345</v>
      </c>
      <c r="F8" s="784">
        <v>4.5773629420456947E-3</v>
      </c>
      <c r="G8" s="781" t="s">
        <v>1303</v>
      </c>
      <c r="H8" s="785">
        <v>45121706.685369328</v>
      </c>
      <c r="I8" s="784">
        <v>4.560707885029297E-3</v>
      </c>
      <c r="J8" s="784">
        <f t="shared" si="0"/>
        <v>0.9963614296643577</v>
      </c>
      <c r="K8" s="784">
        <f>E8/SUM($E$6:$E$10)</f>
        <v>6.4588655118726149E-2</v>
      </c>
      <c r="L8" s="784"/>
    </row>
    <row r="9" spans="1:12" ht="36.75">
      <c r="A9" s="780" t="s">
        <v>1299</v>
      </c>
      <c r="B9" s="780" t="s">
        <v>1300</v>
      </c>
      <c r="C9" s="781" t="s">
        <v>1301</v>
      </c>
      <c r="D9" s="782" t="s">
        <v>1309</v>
      </c>
      <c r="E9" s="783">
        <v>84787397.356637314</v>
      </c>
      <c r="F9" s="784">
        <v>8.5699451568154485E-3</v>
      </c>
      <c r="G9" s="781" t="s">
        <v>1303</v>
      </c>
      <c r="H9" s="785">
        <v>84656920.729837313</v>
      </c>
      <c r="I9" s="784">
        <v>8.5567571410161258E-3</v>
      </c>
      <c r="J9" s="784">
        <f t="shared" si="0"/>
        <v>0.99846113183246821</v>
      </c>
      <c r="K9" s="784">
        <f>E9/SUM($E$6:$E$10)</f>
        <v>0.12092579048856747</v>
      </c>
      <c r="L9" s="784"/>
    </row>
    <row r="10" spans="1:12" ht="36.75">
      <c r="A10" s="780" t="s">
        <v>1299</v>
      </c>
      <c r="B10" s="780" t="s">
        <v>1300</v>
      </c>
      <c r="C10" s="781" t="s">
        <v>1301</v>
      </c>
      <c r="D10" s="782" t="s">
        <v>1310</v>
      </c>
      <c r="E10" s="783">
        <v>16259756.394851888</v>
      </c>
      <c r="F10" s="784">
        <v>1.6434661861472004E-3</v>
      </c>
      <c r="G10" s="781" t="s">
        <v>1303</v>
      </c>
      <c r="H10" s="785">
        <v>15930113.440851886</v>
      </c>
      <c r="I10" s="784">
        <v>1.6101472953074689E-3</v>
      </c>
      <c r="J10" s="784">
        <f t="shared" si="0"/>
        <v>0.97972645186096563</v>
      </c>
      <c r="K10" s="784">
        <f>E10/SUM($E$6:$E$10)</f>
        <v>2.3190048951833818E-2</v>
      </c>
      <c r="L10" s="784"/>
    </row>
    <row r="11" spans="1:12" ht="60.75">
      <c r="A11" s="738" t="s">
        <v>1299</v>
      </c>
      <c r="B11" s="738" t="s">
        <v>1300</v>
      </c>
      <c r="C11" s="739" t="s">
        <v>1301</v>
      </c>
      <c r="D11" s="740" t="s">
        <v>1311</v>
      </c>
      <c r="E11" s="741">
        <v>318367828.77490056</v>
      </c>
      <c r="F11" s="742">
        <v>3.217924971583911E-2</v>
      </c>
      <c r="G11" s="739" t="s">
        <v>1303</v>
      </c>
      <c r="H11" s="743">
        <v>180508040.03360003</v>
      </c>
      <c r="I11" s="742">
        <v>1.8244975688372175E-2</v>
      </c>
      <c r="J11" s="742">
        <f t="shared" si="0"/>
        <v>0.56697952405620355</v>
      </c>
      <c r="K11" s="742"/>
      <c r="L11" s="742"/>
    </row>
    <row r="12" spans="1:12" ht="48.75">
      <c r="A12" s="738" t="s">
        <v>1299</v>
      </c>
      <c r="B12" s="738" t="s">
        <v>1300</v>
      </c>
      <c r="C12" s="739" t="s">
        <v>1301</v>
      </c>
      <c r="D12" s="740" t="s">
        <v>1312</v>
      </c>
      <c r="E12" s="741">
        <v>11524678.14574449</v>
      </c>
      <c r="F12" s="742">
        <v>1.1648648589075751E-3</v>
      </c>
      <c r="G12" s="739" t="s">
        <v>1303</v>
      </c>
      <c r="H12" s="743">
        <v>9313723.5597444922</v>
      </c>
      <c r="I12" s="742">
        <v>9.4139108642543904E-4</v>
      </c>
      <c r="J12" s="742">
        <f t="shared" si="0"/>
        <v>0.80815476510149686</v>
      </c>
      <c r="K12" s="742"/>
      <c r="L12" s="742"/>
    </row>
    <row r="13" spans="1:12" ht="36.75">
      <c r="A13" s="738" t="s">
        <v>1299</v>
      </c>
      <c r="B13" s="738" t="s">
        <v>1300</v>
      </c>
      <c r="C13" s="739" t="s">
        <v>1301</v>
      </c>
      <c r="D13" s="740" t="s">
        <v>1313</v>
      </c>
      <c r="E13" s="741">
        <v>956067888.86257291</v>
      </c>
      <c r="F13" s="742">
        <v>9.6635226804767327E-2</v>
      </c>
      <c r="G13" s="739" t="s">
        <v>1303</v>
      </c>
      <c r="H13" s="743">
        <v>562832553.94308996</v>
      </c>
      <c r="I13" s="742">
        <v>5.6888691835580436E-2</v>
      </c>
      <c r="J13" s="742">
        <f t="shared" si="0"/>
        <v>0.58869517583389164</v>
      </c>
      <c r="K13" s="742"/>
      <c r="L13" s="742"/>
    </row>
    <row r="14" spans="1:12" ht="60.75">
      <c r="A14" s="738" t="s">
        <v>1299</v>
      </c>
      <c r="B14" s="738" t="s">
        <v>1300</v>
      </c>
      <c r="C14" s="739" t="s">
        <v>1301</v>
      </c>
      <c r="D14" s="740" t="s">
        <v>1314</v>
      </c>
      <c r="E14" s="741">
        <v>3099092.5104</v>
      </c>
      <c r="F14" s="742">
        <v>3.1324293088407223E-4</v>
      </c>
      <c r="G14" s="739" t="s">
        <v>1303</v>
      </c>
      <c r="H14" s="743">
        <v>3099092.5104</v>
      </c>
      <c r="I14" s="742">
        <v>3.1324293088407195E-4</v>
      </c>
      <c r="J14" s="742">
        <f t="shared" si="0"/>
        <v>1</v>
      </c>
      <c r="K14" s="742"/>
      <c r="L14" s="742"/>
    </row>
    <row r="15" spans="1:12" ht="36.75">
      <c r="A15" s="738" t="s">
        <v>1299</v>
      </c>
      <c r="B15" s="738" t="s">
        <v>1300</v>
      </c>
      <c r="C15" s="739" t="s">
        <v>1301</v>
      </c>
      <c r="D15" s="740" t="s">
        <v>1315</v>
      </c>
      <c r="E15" s="741">
        <v>383809.62850000005</v>
      </c>
      <c r="F15" s="742">
        <v>3.8793825137330098E-5</v>
      </c>
      <c r="G15" s="739" t="s">
        <v>1303</v>
      </c>
      <c r="H15" s="743">
        <v>383809.62850000005</v>
      </c>
      <c r="I15" s="742">
        <v>3.8793825137330065E-5</v>
      </c>
      <c r="J15" s="742">
        <f t="shared" si="0"/>
        <v>1</v>
      </c>
      <c r="K15" s="742"/>
      <c r="L15" s="742"/>
    </row>
    <row r="16" spans="1:12" ht="36.75">
      <c r="A16" s="738" t="s">
        <v>1299</v>
      </c>
      <c r="B16" s="738" t="s">
        <v>1300</v>
      </c>
      <c r="C16" s="739" t="s">
        <v>1301</v>
      </c>
      <c r="D16" s="740" t="s">
        <v>1316</v>
      </c>
      <c r="E16" s="741">
        <v>848280.35499999998</v>
      </c>
      <c r="F16" s="742">
        <v>8.5740526854193535E-5</v>
      </c>
      <c r="G16" s="739" t="s">
        <v>1303</v>
      </c>
      <c r="H16" s="743">
        <v>848280.35499999998</v>
      </c>
      <c r="I16" s="742">
        <v>8.5740526854193467E-5</v>
      </c>
      <c r="J16" s="742">
        <f t="shared" si="0"/>
        <v>1</v>
      </c>
      <c r="K16" s="742"/>
      <c r="L16" s="742"/>
    </row>
    <row r="17" spans="1:12" ht="72.75">
      <c r="A17" s="738" t="s">
        <v>1299</v>
      </c>
      <c r="B17" s="738" t="s">
        <v>1300</v>
      </c>
      <c r="C17" s="739" t="s">
        <v>1301</v>
      </c>
      <c r="D17" s="740" t="s">
        <v>1317</v>
      </c>
      <c r="E17" s="741">
        <v>5438645840.6166716</v>
      </c>
      <c r="F17" s="742">
        <v>0.54971491087736157</v>
      </c>
      <c r="G17" s="739" t="s">
        <v>1303</v>
      </c>
      <c r="H17" s="743">
        <v>4523524927.9739408</v>
      </c>
      <c r="I17" s="742">
        <v>0.45721842817232661</v>
      </c>
      <c r="J17" s="742">
        <f t="shared" si="0"/>
        <v>0.83173735899321444</v>
      </c>
      <c r="K17" s="742"/>
      <c r="L17" s="742"/>
    </row>
    <row r="18" spans="1:12" ht="48.75">
      <c r="A18" s="738" t="s">
        <v>1299</v>
      </c>
      <c r="B18" s="738" t="s">
        <v>1300</v>
      </c>
      <c r="C18" s="739" t="s">
        <v>1301</v>
      </c>
      <c r="D18" s="740" t="s">
        <v>1318</v>
      </c>
      <c r="E18" s="741">
        <v>1131092426.8061161</v>
      </c>
      <c r="F18" s="742">
        <v>0.11432595370565281</v>
      </c>
      <c r="G18" s="739" t="s">
        <v>1303</v>
      </c>
      <c r="H18" s="743">
        <v>851188892.4436667</v>
      </c>
      <c r="I18" s="742">
        <v>8.6034509299177886E-2</v>
      </c>
      <c r="J18" s="742">
        <f t="shared" si="0"/>
        <v>0.75253699191248458</v>
      </c>
      <c r="K18" s="742"/>
      <c r="L18" s="742"/>
    </row>
    <row r="19" spans="1:12" ht="36.75">
      <c r="A19" s="738" t="s">
        <v>1299</v>
      </c>
      <c r="B19" s="738" t="s">
        <v>1300</v>
      </c>
      <c r="C19" s="739" t="s">
        <v>1301</v>
      </c>
      <c r="D19" s="740" t="s">
        <v>1319</v>
      </c>
      <c r="E19" s="741">
        <v>5040292.868900001</v>
      </c>
      <c r="F19" s="742">
        <v>5.0945110720962135E-4</v>
      </c>
      <c r="G19" s="739" t="s">
        <v>1303</v>
      </c>
      <c r="H19" s="743">
        <v>5040292.868900001</v>
      </c>
      <c r="I19" s="742">
        <v>5.0945110720962102E-4</v>
      </c>
      <c r="J19" s="742">
        <f t="shared" si="0"/>
        <v>1</v>
      </c>
      <c r="K19" s="742"/>
      <c r="L19" s="742"/>
    </row>
    <row r="20" spans="1:12" ht="60.75">
      <c r="A20" s="738" t="s">
        <v>1299</v>
      </c>
      <c r="B20" s="738" t="s">
        <v>1300</v>
      </c>
      <c r="C20" s="739" t="s">
        <v>1301</v>
      </c>
      <c r="D20" s="740" t="s">
        <v>1320</v>
      </c>
      <c r="E20" s="741">
        <v>12827617.153170422</v>
      </c>
      <c r="F20" s="742">
        <v>1.2965603252673725E-3</v>
      </c>
      <c r="G20" s="739" t="s">
        <v>1303</v>
      </c>
      <c r="H20" s="743">
        <v>10721354.108030422</v>
      </c>
      <c r="I20" s="742">
        <v>1.0836683230898345E-3</v>
      </c>
      <c r="J20" s="742">
        <f t="shared" si="0"/>
        <v>0.83580247056099388</v>
      </c>
      <c r="K20" s="742"/>
      <c r="L20" s="742"/>
    </row>
    <row r="21" spans="1:12" ht="36.75">
      <c r="A21" s="738" t="s">
        <v>1299</v>
      </c>
      <c r="B21" s="738" t="s">
        <v>1300</v>
      </c>
      <c r="C21" s="739" t="s">
        <v>1301</v>
      </c>
      <c r="D21" s="740" t="s">
        <v>1321</v>
      </c>
      <c r="E21" s="741">
        <v>583140.28701999993</v>
      </c>
      <c r="F21" s="742">
        <v>5.8941310080203881E-5</v>
      </c>
      <c r="G21" s="739" t="s">
        <v>1303</v>
      </c>
      <c r="H21" s="743">
        <v>420260.76854999992</v>
      </c>
      <c r="I21" s="742">
        <v>4.2478149469375904E-5</v>
      </c>
      <c r="J21" s="742">
        <f t="shared" si="0"/>
        <v>0.72068553297465154</v>
      </c>
      <c r="K21" s="742"/>
      <c r="L21" s="742"/>
    </row>
    <row r="22" spans="1:12" ht="36.75">
      <c r="A22" s="738" t="s">
        <v>1299</v>
      </c>
      <c r="B22" s="738" t="s">
        <v>1300</v>
      </c>
      <c r="C22" s="739" t="s">
        <v>1301</v>
      </c>
      <c r="D22" s="740" t="s">
        <v>1322</v>
      </c>
      <c r="E22" s="741">
        <v>15999993.797961658</v>
      </c>
      <c r="F22" s="742">
        <v>1.6172105010035997E-3</v>
      </c>
      <c r="G22" s="739" t="s">
        <v>1303</v>
      </c>
      <c r="H22" s="743">
        <v>12407395.162884394</v>
      </c>
      <c r="I22" s="742">
        <v>1.2540860953379966E-3</v>
      </c>
      <c r="J22" s="742">
        <f t="shared" si="0"/>
        <v>0.77546249827078384</v>
      </c>
      <c r="K22" s="742"/>
      <c r="L22" s="742"/>
    </row>
    <row r="23" spans="1:12" ht="24.75">
      <c r="A23" s="744" t="s">
        <v>1299</v>
      </c>
      <c r="B23" s="744" t="s">
        <v>1300</v>
      </c>
      <c r="C23" s="745" t="s">
        <v>1301</v>
      </c>
      <c r="D23" s="746" t="s">
        <v>18</v>
      </c>
      <c r="E23" s="747">
        <v>9893575256.9207706</v>
      </c>
      <c r="F23" s="748">
        <v>1</v>
      </c>
      <c r="G23" s="749"/>
      <c r="H23" s="750">
        <v>8119614398.6579342</v>
      </c>
      <c r="I23" s="751">
        <f>SUM(I3:I22)</f>
        <v>0.82069567247472808</v>
      </c>
      <c r="J23" s="751">
        <f t="shared" si="0"/>
        <v>0.8206956724747293</v>
      </c>
      <c r="K23" s="751"/>
      <c r="L23" s="751"/>
    </row>
    <row r="24" spans="1:12" ht="60.75">
      <c r="A24" s="752" t="s">
        <v>1299</v>
      </c>
      <c r="B24" s="752" t="s">
        <v>1300</v>
      </c>
      <c r="C24" s="753" t="s">
        <v>1323</v>
      </c>
      <c r="D24" s="754" t="s">
        <v>1302</v>
      </c>
      <c r="E24" s="755">
        <v>666843472.6386323</v>
      </c>
      <c r="F24" s="756">
        <v>9.7597657036142427E-2</v>
      </c>
      <c r="G24" s="753" t="s">
        <v>1303</v>
      </c>
      <c r="H24" s="757">
        <v>660826031.48363101</v>
      </c>
      <c r="I24" s="756">
        <v>9.6600885311891774E-2</v>
      </c>
      <c r="J24" s="756">
        <f t="shared" si="0"/>
        <v>0.99097623145175151</v>
      </c>
      <c r="K24" s="756"/>
      <c r="L24" s="756"/>
    </row>
    <row r="25" spans="1:12" ht="36.75">
      <c r="A25" s="752" t="s">
        <v>1299</v>
      </c>
      <c r="B25" s="752" t="s">
        <v>1300</v>
      </c>
      <c r="C25" s="753" t="s">
        <v>1323</v>
      </c>
      <c r="D25" s="754" t="s">
        <v>1304</v>
      </c>
      <c r="E25" s="755">
        <v>4840795.3487</v>
      </c>
      <c r="F25" s="756">
        <v>7.0848752909755271E-4</v>
      </c>
      <c r="G25" s="753" t="s">
        <v>1303</v>
      </c>
      <c r="H25" s="757">
        <v>4734374.5094999997</v>
      </c>
      <c r="I25" s="756">
        <v>6.6954876388537364E-4</v>
      </c>
      <c r="J25" s="756">
        <f t="shared" si="0"/>
        <v>0.97801583592485897</v>
      </c>
      <c r="K25" s="756"/>
      <c r="L25" s="756"/>
    </row>
    <row r="26" spans="1:12" ht="36.75">
      <c r="A26" s="752" t="s">
        <v>1299</v>
      </c>
      <c r="B26" s="752" t="s">
        <v>1300</v>
      </c>
      <c r="C26" s="753" t="s">
        <v>1323</v>
      </c>
      <c r="D26" s="754" t="s">
        <v>1305</v>
      </c>
      <c r="E26" s="755">
        <v>70800327.477799907</v>
      </c>
      <c r="F26" s="756">
        <v>1.0362170978270099E-2</v>
      </c>
      <c r="G26" s="753" t="s">
        <v>1303</v>
      </c>
      <c r="H26" s="757">
        <v>70427684.562999979</v>
      </c>
      <c r="I26" s="756">
        <v>1.0290147042198801E-2</v>
      </c>
      <c r="J26" s="756">
        <f t="shared" si="0"/>
        <v>0.99473670633915112</v>
      </c>
      <c r="K26" s="756"/>
      <c r="L26" s="756"/>
    </row>
    <row r="27" spans="1:12" ht="36.75">
      <c r="A27" s="780" t="s">
        <v>1299</v>
      </c>
      <c r="B27" s="780" t="s">
        <v>1300</v>
      </c>
      <c r="C27" s="781" t="s">
        <v>1323</v>
      </c>
      <c r="D27" s="782" t="s">
        <v>1306</v>
      </c>
      <c r="E27" s="783">
        <v>41439400.100799993</v>
      </c>
      <c r="F27" s="784">
        <v>6.0649740527835222E-3</v>
      </c>
      <c r="G27" s="781" t="s">
        <v>1303</v>
      </c>
      <c r="H27" s="785">
        <v>41000799.741000012</v>
      </c>
      <c r="I27" s="784">
        <v>6.0007815259791337E-3</v>
      </c>
      <c r="J27" s="784">
        <f t="shared" si="0"/>
        <v>0.98941586126408443</v>
      </c>
      <c r="K27" s="784">
        <f>E27/SUM($E$27:$E$31)</f>
        <v>3.9858974425582561E-2</v>
      </c>
      <c r="L27" s="784">
        <f>SUM(H27:H31)/SUM(E27:E31)</f>
        <v>0.98905998299780551</v>
      </c>
    </row>
    <row r="28" spans="1:12" ht="36.75">
      <c r="A28" s="780" t="s">
        <v>1299</v>
      </c>
      <c r="B28" s="780" t="s">
        <v>1300</v>
      </c>
      <c r="C28" s="781" t="s">
        <v>1323</v>
      </c>
      <c r="D28" s="782" t="s">
        <v>1307</v>
      </c>
      <c r="E28" s="783">
        <v>848298123.20181108</v>
      </c>
      <c r="F28" s="784">
        <v>0.12415493693753112</v>
      </c>
      <c r="G28" s="781" t="s">
        <v>1303</v>
      </c>
      <c r="H28" s="785">
        <v>841169305.2630105</v>
      </c>
      <c r="I28" s="784">
        <v>0.12311157975280677</v>
      </c>
      <c r="J28" s="784">
        <f t="shared" si="0"/>
        <v>0.99159632946976983</v>
      </c>
      <c r="K28" s="784">
        <f>E28/SUM($E$27:$E$31)</f>
        <v>0.81594552806564213</v>
      </c>
      <c r="L28" s="784"/>
    </row>
    <row r="29" spans="1:12" ht="36.75">
      <c r="A29" s="780" t="s">
        <v>1299</v>
      </c>
      <c r="B29" s="780" t="s">
        <v>1300</v>
      </c>
      <c r="C29" s="781" t="s">
        <v>1323</v>
      </c>
      <c r="D29" s="782" t="s">
        <v>1308</v>
      </c>
      <c r="E29" s="783">
        <v>7287373.0662874132</v>
      </c>
      <c r="F29" s="784">
        <v>1.0665629437800045E-3</v>
      </c>
      <c r="G29" s="781" t="s">
        <v>1303</v>
      </c>
      <c r="H29" s="785">
        <v>7221439.6806874126</v>
      </c>
      <c r="I29" s="784">
        <v>1.0569130870759153E-3</v>
      </c>
      <c r="J29" s="784">
        <f t="shared" si="0"/>
        <v>0.99095237954743676</v>
      </c>
      <c r="K29" s="784">
        <f>E29/SUM($E$27:$E$31)</f>
        <v>7.0094455028855904E-3</v>
      </c>
      <c r="L29" s="784"/>
    </row>
    <row r="30" spans="1:12" ht="36.75">
      <c r="A30" s="780" t="s">
        <v>1299</v>
      </c>
      <c r="B30" s="780" t="s">
        <v>1300</v>
      </c>
      <c r="C30" s="781" t="s">
        <v>1323</v>
      </c>
      <c r="D30" s="782" t="s">
        <v>1309</v>
      </c>
      <c r="E30" s="783">
        <v>129664328.3695838</v>
      </c>
      <c r="F30" s="784">
        <v>1.8977369006795693E-2</v>
      </c>
      <c r="G30" s="781" t="s">
        <v>1303</v>
      </c>
      <c r="H30" s="785">
        <v>126920809.74558382</v>
      </c>
      <c r="I30" s="784">
        <v>1.8575834012866891E-2</v>
      </c>
      <c r="J30" s="784">
        <f t="shared" si="0"/>
        <v>0.97884137712740782</v>
      </c>
      <c r="K30" s="784">
        <f>E30/SUM($E$27:$E$31)</f>
        <v>0.12471915944299121</v>
      </c>
      <c r="L30" s="784"/>
    </row>
    <row r="31" spans="1:12" ht="36.75">
      <c r="A31" s="780" t="s">
        <v>1299</v>
      </c>
      <c r="B31" s="780" t="s">
        <v>1300</v>
      </c>
      <c r="C31" s="781" t="s">
        <v>1323</v>
      </c>
      <c r="D31" s="782" t="s">
        <v>1310</v>
      </c>
      <c r="E31" s="783">
        <v>12961210.2763</v>
      </c>
      <c r="F31" s="784">
        <v>1.896972538869188E-3</v>
      </c>
      <c r="G31" s="781" t="s">
        <v>1303</v>
      </c>
      <c r="H31" s="785">
        <v>11964287.149100002</v>
      </c>
      <c r="I31" s="784">
        <v>1.7510651926146506E-3</v>
      </c>
      <c r="J31" s="784">
        <f t="shared" si="0"/>
        <v>0.92308410202842672</v>
      </c>
      <c r="K31" s="784">
        <f>E31/SUM($E$27:$E$31)</f>
        <v>1.246689256289852E-2</v>
      </c>
      <c r="L31" s="784"/>
    </row>
    <row r="32" spans="1:12" ht="60.75">
      <c r="A32" s="752" t="s">
        <v>1299</v>
      </c>
      <c r="B32" s="752" t="s">
        <v>1300</v>
      </c>
      <c r="C32" s="753" t="s">
        <v>1323</v>
      </c>
      <c r="D32" s="754" t="s">
        <v>1311</v>
      </c>
      <c r="E32" s="755">
        <v>170073255.67968458</v>
      </c>
      <c r="F32" s="756">
        <v>2.4891525462739306E-2</v>
      </c>
      <c r="G32" s="753" t="s">
        <v>1303</v>
      </c>
      <c r="H32" s="757">
        <v>154438133.64168444</v>
      </c>
      <c r="I32" s="756">
        <v>1.8514207741545104E-2</v>
      </c>
      <c r="J32" s="756">
        <f t="shared" si="0"/>
        <v>0.90806830870899968</v>
      </c>
      <c r="K32" s="756"/>
      <c r="L32" s="756"/>
    </row>
    <row r="33" spans="1:12" ht="48.75">
      <c r="A33" s="752" t="s">
        <v>1299</v>
      </c>
      <c r="B33" s="752" t="s">
        <v>1300</v>
      </c>
      <c r="C33" s="753" t="s">
        <v>1323</v>
      </c>
      <c r="D33" s="754" t="s">
        <v>1312</v>
      </c>
      <c r="E33" s="755">
        <v>8020897.2600000026</v>
      </c>
      <c r="F33" s="756">
        <v>1.1739198357990548E-3</v>
      </c>
      <c r="G33" s="753" t="s">
        <v>1303</v>
      </c>
      <c r="H33" s="757">
        <v>6708909.8100000024</v>
      </c>
      <c r="I33" s="756">
        <v>7.4794630593661728E-4</v>
      </c>
      <c r="J33" s="756">
        <f t="shared" si="0"/>
        <v>0.83642884237617077</v>
      </c>
      <c r="K33" s="756"/>
      <c r="L33" s="756"/>
    </row>
    <row r="34" spans="1:12" ht="36.75">
      <c r="A34" s="752" t="s">
        <v>1299</v>
      </c>
      <c r="B34" s="752" t="s">
        <v>1300</v>
      </c>
      <c r="C34" s="753" t="s">
        <v>1323</v>
      </c>
      <c r="D34" s="754" t="s">
        <v>1313</v>
      </c>
      <c r="E34" s="755">
        <v>247500110.90763441</v>
      </c>
      <c r="F34" s="756">
        <v>3.6223539603964204E-2</v>
      </c>
      <c r="G34" s="753" t="s">
        <v>1303</v>
      </c>
      <c r="H34" s="757">
        <v>232551592.30063447</v>
      </c>
      <c r="I34" s="756">
        <v>2.7334945767724481E-2</v>
      </c>
      <c r="J34" s="756">
        <f t="shared" si="0"/>
        <v>0.93960197208728269</v>
      </c>
      <c r="K34" s="756"/>
      <c r="L34" s="756"/>
    </row>
    <row r="35" spans="1:12" ht="60.75">
      <c r="A35" s="752" t="s">
        <v>1299</v>
      </c>
      <c r="B35" s="752" t="s">
        <v>1300</v>
      </c>
      <c r="C35" s="753" t="s">
        <v>1323</v>
      </c>
      <c r="D35" s="754" t="s">
        <v>1314</v>
      </c>
      <c r="E35" s="755">
        <v>2254254.4764999999</v>
      </c>
      <c r="F35" s="756">
        <v>3.2992743319369775E-4</v>
      </c>
      <c r="G35" s="753" t="s">
        <v>1303</v>
      </c>
      <c r="H35" s="757">
        <v>2254254.4764999999</v>
      </c>
      <c r="I35" s="756">
        <v>3.2992743319369797E-4</v>
      </c>
      <c r="J35" s="756">
        <f t="shared" si="0"/>
        <v>1</v>
      </c>
      <c r="K35" s="756"/>
      <c r="L35" s="756"/>
    </row>
    <row r="36" spans="1:12" ht="72.75">
      <c r="A36" s="752" t="s">
        <v>1299</v>
      </c>
      <c r="B36" s="752" t="s">
        <v>1300</v>
      </c>
      <c r="C36" s="753" t="s">
        <v>1323</v>
      </c>
      <c r="D36" s="754" t="s">
        <v>1317</v>
      </c>
      <c r="E36" s="755">
        <v>4201685788.6236835</v>
      </c>
      <c r="F36" s="756">
        <v>0.61494894288925672</v>
      </c>
      <c r="G36" s="753" t="s">
        <v>1303</v>
      </c>
      <c r="H36" s="757">
        <v>4066865302.2147856</v>
      </c>
      <c r="I36" s="756">
        <v>0.57757972225241427</v>
      </c>
      <c r="J36" s="756">
        <f t="shared" si="0"/>
        <v>0.96791276330706777</v>
      </c>
      <c r="K36" s="756"/>
      <c r="L36" s="756"/>
    </row>
    <row r="37" spans="1:12" ht="48.75">
      <c r="A37" s="752" t="s">
        <v>1299</v>
      </c>
      <c r="B37" s="752" t="s">
        <v>1300</v>
      </c>
      <c r="C37" s="753" t="s">
        <v>1323</v>
      </c>
      <c r="D37" s="754" t="s">
        <v>1318</v>
      </c>
      <c r="E37" s="755">
        <v>407316656.35882622</v>
      </c>
      <c r="F37" s="756">
        <v>5.9613916853857467E-2</v>
      </c>
      <c r="G37" s="753" t="s">
        <v>1303</v>
      </c>
      <c r="H37" s="757">
        <v>388751827.96682626</v>
      </c>
      <c r="I37" s="756">
        <v>5.3126667700002218E-2</v>
      </c>
      <c r="J37" s="756">
        <f t="shared" si="0"/>
        <v>0.95442163215725395</v>
      </c>
      <c r="K37" s="756"/>
      <c r="L37" s="756"/>
    </row>
    <row r="38" spans="1:12" ht="36.75">
      <c r="A38" s="752" t="s">
        <v>1299</v>
      </c>
      <c r="B38" s="752" t="s">
        <v>1300</v>
      </c>
      <c r="C38" s="753" t="s">
        <v>1323</v>
      </c>
      <c r="D38" s="754" t="s">
        <v>1319</v>
      </c>
      <c r="E38" s="755">
        <v>2820007.6850000001</v>
      </c>
      <c r="F38" s="756">
        <v>4.1272975469171784E-4</v>
      </c>
      <c r="G38" s="753" t="s">
        <v>1303</v>
      </c>
      <c r="H38" s="757">
        <v>2820007.6850000001</v>
      </c>
      <c r="I38" s="756">
        <v>4.1272975469171811E-4</v>
      </c>
      <c r="J38" s="756">
        <f t="shared" si="0"/>
        <v>1</v>
      </c>
      <c r="K38" s="756"/>
      <c r="L38" s="756"/>
    </row>
    <row r="39" spans="1:12" ht="60.75">
      <c r="A39" s="752" t="s">
        <v>1299</v>
      </c>
      <c r="B39" s="752" t="s">
        <v>1300</v>
      </c>
      <c r="C39" s="753" t="s">
        <v>1323</v>
      </c>
      <c r="D39" s="754" t="s">
        <v>1320</v>
      </c>
      <c r="E39" s="755">
        <v>5515756.5837209187</v>
      </c>
      <c r="F39" s="756">
        <v>8.0727328292311458E-4</v>
      </c>
      <c r="G39" s="753" t="s">
        <v>1303</v>
      </c>
      <c r="H39" s="757">
        <v>5347375.3294209167</v>
      </c>
      <c r="I39" s="756">
        <v>7.6909733677120657E-4</v>
      </c>
      <c r="J39" s="756">
        <f t="shared" si="0"/>
        <v>0.96947268217075444</v>
      </c>
      <c r="K39" s="756"/>
      <c r="L39" s="756"/>
    </row>
    <row r="40" spans="1:12" ht="36.75">
      <c r="A40" s="752" t="s">
        <v>1299</v>
      </c>
      <c r="B40" s="752" t="s">
        <v>1300</v>
      </c>
      <c r="C40" s="753" t="s">
        <v>1323</v>
      </c>
      <c r="D40" s="754" t="s">
        <v>1321</v>
      </c>
      <c r="E40" s="755">
        <v>126841.37645</v>
      </c>
      <c r="F40" s="756">
        <v>1.8564208340789801E-5</v>
      </c>
      <c r="G40" s="753" t="s">
        <v>1303</v>
      </c>
      <c r="H40" s="757">
        <v>126841.37645</v>
      </c>
      <c r="I40" s="756">
        <v>1.8564208340789811E-5</v>
      </c>
      <c r="J40" s="756">
        <f t="shared" si="0"/>
        <v>1</v>
      </c>
      <c r="K40" s="756"/>
      <c r="L40" s="756"/>
    </row>
    <row r="41" spans="1:12" ht="36.75">
      <c r="A41" s="752" t="s">
        <v>1299</v>
      </c>
      <c r="B41" s="752" t="s">
        <v>1300</v>
      </c>
      <c r="C41" s="753" t="s">
        <v>1323</v>
      </c>
      <c r="D41" s="754" t="s">
        <v>1322</v>
      </c>
      <c r="E41" s="755">
        <v>5128051.3757489761</v>
      </c>
      <c r="F41" s="756">
        <v>7.5052965196419357E-4</v>
      </c>
      <c r="G41" s="753" t="s">
        <v>1303</v>
      </c>
      <c r="H41" s="757">
        <v>4504522.316826527</v>
      </c>
      <c r="I41" s="756">
        <v>6.5927139160515522E-4</v>
      </c>
      <c r="J41" s="756">
        <f t="shared" si="0"/>
        <v>0.87840818797737186</v>
      </c>
      <c r="K41" s="756"/>
      <c r="L41" s="756"/>
    </row>
    <row r="42" spans="1:12" ht="24.75">
      <c r="A42" s="758" t="s">
        <v>1299</v>
      </c>
      <c r="B42" s="758" t="s">
        <v>1300</v>
      </c>
      <c r="C42" s="759" t="s">
        <v>1323</v>
      </c>
      <c r="D42" s="760" t="s">
        <v>18</v>
      </c>
      <c r="E42" s="761">
        <v>6832576650.8071642</v>
      </c>
      <c r="F42" s="762">
        <v>1</v>
      </c>
      <c r="G42" s="763"/>
      <c r="H42" s="764">
        <v>6628633499.2536411</v>
      </c>
      <c r="I42" s="765">
        <f>SUM(I24:I41)</f>
        <v>0.93754983458154462</v>
      </c>
      <c r="J42" s="765">
        <f t="shared" si="0"/>
        <v>0.97015135548762121</v>
      </c>
      <c r="K42" s="765"/>
      <c r="L42" s="765"/>
    </row>
    <row r="43" spans="1:12" ht="60.75">
      <c r="A43" s="766" t="s">
        <v>1324</v>
      </c>
      <c r="B43" s="766" t="s">
        <v>1300</v>
      </c>
      <c r="C43" s="767" t="s">
        <v>6</v>
      </c>
      <c r="D43" s="768" t="s">
        <v>1302</v>
      </c>
      <c r="E43" s="769">
        <v>225825734.62127703</v>
      </c>
      <c r="F43" s="770">
        <v>8.740703310688451E-2</v>
      </c>
      <c r="G43" s="767" t="s">
        <v>1303</v>
      </c>
      <c r="H43" s="771">
        <v>206274691.34161189</v>
      </c>
      <c r="I43" s="770">
        <v>7.9839699427728103E-2</v>
      </c>
      <c r="J43" s="770">
        <f t="shared" si="0"/>
        <v>0.9134242015753723</v>
      </c>
      <c r="K43" s="770"/>
      <c r="L43" s="770"/>
    </row>
    <row r="44" spans="1:12" ht="36.75">
      <c r="A44" s="766" t="s">
        <v>1324</v>
      </c>
      <c r="B44" s="766" t="s">
        <v>1300</v>
      </c>
      <c r="C44" s="767" t="s">
        <v>6</v>
      </c>
      <c r="D44" s="768" t="s">
        <v>1304</v>
      </c>
      <c r="E44" s="769">
        <v>2042755.7848000007</v>
      </c>
      <c r="F44" s="770">
        <v>7.9065932326417246E-4</v>
      </c>
      <c r="G44" s="767" t="s">
        <v>1303</v>
      </c>
      <c r="H44" s="771">
        <v>1718622.7953000006</v>
      </c>
      <c r="I44" s="770">
        <v>6.6520195237695424E-4</v>
      </c>
      <c r="J44" s="770">
        <f t="shared" si="0"/>
        <v>0.84132562888238993</v>
      </c>
      <c r="K44" s="770"/>
      <c r="L44" s="770"/>
    </row>
    <row r="45" spans="1:12" ht="36.75">
      <c r="A45" s="766" t="s">
        <v>1324</v>
      </c>
      <c r="B45" s="766" t="s">
        <v>1300</v>
      </c>
      <c r="C45" s="767" t="s">
        <v>6</v>
      </c>
      <c r="D45" s="768" t="s">
        <v>1305</v>
      </c>
      <c r="E45" s="769">
        <v>31142261.048902053</v>
      </c>
      <c r="F45" s="770">
        <v>1.2053775213394803E-2</v>
      </c>
      <c r="G45" s="767" t="s">
        <v>1303</v>
      </c>
      <c r="H45" s="771">
        <v>22798399.414802048</v>
      </c>
      <c r="I45" s="770">
        <v>8.8242398758295627E-3</v>
      </c>
      <c r="J45" s="770">
        <f t="shared" si="0"/>
        <v>0.73207270913958977</v>
      </c>
      <c r="K45" s="770"/>
      <c r="L45" s="770"/>
    </row>
    <row r="46" spans="1:12" ht="36.75">
      <c r="A46" s="780" t="s">
        <v>1324</v>
      </c>
      <c r="B46" s="780" t="s">
        <v>1300</v>
      </c>
      <c r="C46" s="781" t="s">
        <v>6</v>
      </c>
      <c r="D46" s="782" t="s">
        <v>1306</v>
      </c>
      <c r="E46" s="783">
        <v>678876.13089999999</v>
      </c>
      <c r="F46" s="784">
        <v>2.6276256135539282E-4</v>
      </c>
      <c r="G46" s="781" t="s">
        <v>1303</v>
      </c>
      <c r="H46" s="785">
        <v>678876.13089999999</v>
      </c>
      <c r="I46" s="784">
        <v>2.6276256135539261E-4</v>
      </c>
      <c r="J46" s="784">
        <f t="shared" si="0"/>
        <v>1</v>
      </c>
      <c r="K46" s="784"/>
      <c r="L46" s="784">
        <f>SUM(H46:H50)/SUM(E46:E50)</f>
        <v>0.96280144647984778</v>
      </c>
    </row>
    <row r="47" spans="1:12" ht="36.75">
      <c r="A47" s="780" t="s">
        <v>1324</v>
      </c>
      <c r="B47" s="780" t="s">
        <v>1300</v>
      </c>
      <c r="C47" s="781" t="s">
        <v>6</v>
      </c>
      <c r="D47" s="782" t="s">
        <v>1307</v>
      </c>
      <c r="E47" s="783">
        <v>50469353.290200032</v>
      </c>
      <c r="F47" s="784">
        <v>1.9534427470446189E-2</v>
      </c>
      <c r="G47" s="781" t="s">
        <v>1303</v>
      </c>
      <c r="H47" s="785">
        <v>50469353.290200025</v>
      </c>
      <c r="I47" s="784">
        <v>1.9534427470446175E-2</v>
      </c>
      <c r="J47" s="784">
        <f t="shared" si="0"/>
        <v>0.99999999999999989</v>
      </c>
      <c r="K47" s="784"/>
      <c r="L47" s="784"/>
    </row>
    <row r="48" spans="1:12" ht="36.75">
      <c r="A48" s="780" t="s">
        <v>1324</v>
      </c>
      <c r="B48" s="780" t="s">
        <v>1300</v>
      </c>
      <c r="C48" s="781" t="s">
        <v>6</v>
      </c>
      <c r="D48" s="782" t="s">
        <v>1308</v>
      </c>
      <c r="E48" s="783">
        <v>393451.32779999997</v>
      </c>
      <c r="F48" s="784">
        <v>1.5228739670718663E-4</v>
      </c>
      <c r="G48" s="781" t="s">
        <v>1303</v>
      </c>
      <c r="H48" s="785">
        <v>393451.32779999997</v>
      </c>
      <c r="I48" s="784">
        <v>1.5228739670718652E-4</v>
      </c>
      <c r="J48" s="784">
        <f t="shared" si="0"/>
        <v>1</v>
      </c>
      <c r="K48" s="784"/>
      <c r="L48" s="784"/>
    </row>
    <row r="49" spans="1:12" ht="36.75">
      <c r="A49" s="780" t="s">
        <v>1324</v>
      </c>
      <c r="B49" s="780" t="s">
        <v>1300</v>
      </c>
      <c r="C49" s="781" t="s">
        <v>6</v>
      </c>
      <c r="D49" s="782" t="s">
        <v>1309</v>
      </c>
      <c r="E49" s="783">
        <v>2893227.1916000005</v>
      </c>
      <c r="F49" s="784">
        <v>1.1198387347041221E-3</v>
      </c>
      <c r="G49" s="781" t="s">
        <v>1303</v>
      </c>
      <c r="H49" s="785">
        <v>2893227.1916000005</v>
      </c>
      <c r="I49" s="784">
        <v>1.1198387347041213E-3</v>
      </c>
      <c r="J49" s="784">
        <f t="shared" si="0"/>
        <v>1</v>
      </c>
      <c r="K49" s="784"/>
      <c r="L49" s="784"/>
    </row>
    <row r="50" spans="1:12" ht="36.75">
      <c r="A50" s="780" t="s">
        <v>1324</v>
      </c>
      <c r="B50" s="780" t="s">
        <v>1300</v>
      </c>
      <c r="C50" s="781" t="s">
        <v>6</v>
      </c>
      <c r="D50" s="782" t="s">
        <v>1310</v>
      </c>
      <c r="E50" s="783">
        <v>5183715.8830999993</v>
      </c>
      <c r="F50" s="784">
        <v>2.0063843767437247E-3</v>
      </c>
      <c r="G50" s="781" t="s">
        <v>1303</v>
      </c>
      <c r="H50" s="785">
        <v>2965989.3139999998</v>
      </c>
      <c r="I50" s="784">
        <v>1.1480016951931455E-3</v>
      </c>
      <c r="J50" s="784">
        <f t="shared" si="0"/>
        <v>0.57217435926026483</v>
      </c>
      <c r="K50" s="784"/>
      <c r="L50" s="784"/>
    </row>
    <row r="51" spans="1:12" ht="60.75">
      <c r="A51" s="766" t="s">
        <v>1324</v>
      </c>
      <c r="B51" s="766" t="s">
        <v>1300</v>
      </c>
      <c r="C51" s="767" t="s">
        <v>6</v>
      </c>
      <c r="D51" s="768" t="s">
        <v>1311</v>
      </c>
      <c r="E51" s="769">
        <v>524546021.75371301</v>
      </c>
      <c r="F51" s="770">
        <v>0.20302828447077934</v>
      </c>
      <c r="G51" s="767" t="s">
        <v>1303</v>
      </c>
      <c r="H51" s="771">
        <v>274099435.41201377</v>
      </c>
      <c r="I51" s="770">
        <v>0.10609162178002224</v>
      </c>
      <c r="J51" s="770">
        <f t="shared" si="0"/>
        <v>0.52254601892817343</v>
      </c>
      <c r="K51" s="770"/>
      <c r="L51" s="770"/>
    </row>
    <row r="52" spans="1:12" ht="48.75">
      <c r="A52" s="766" t="s">
        <v>1324</v>
      </c>
      <c r="B52" s="766" t="s">
        <v>1300</v>
      </c>
      <c r="C52" s="767" t="s">
        <v>6</v>
      </c>
      <c r="D52" s="768" t="s">
        <v>1312</v>
      </c>
      <c r="E52" s="769">
        <v>2547664.1460000006</v>
      </c>
      <c r="F52" s="770">
        <v>9.8608674838630947E-4</v>
      </c>
      <c r="G52" s="767" t="s">
        <v>1303</v>
      </c>
      <c r="H52" s="771">
        <v>2167070.1520000002</v>
      </c>
      <c r="I52" s="770">
        <v>8.3877585005300134E-4</v>
      </c>
      <c r="J52" s="770">
        <f t="shared" si="0"/>
        <v>0.85061060948808431</v>
      </c>
      <c r="K52" s="770"/>
      <c r="L52" s="770"/>
    </row>
    <row r="53" spans="1:12" ht="36.75">
      <c r="A53" s="766" t="s">
        <v>1324</v>
      </c>
      <c r="B53" s="766" t="s">
        <v>1300</v>
      </c>
      <c r="C53" s="767" t="s">
        <v>6</v>
      </c>
      <c r="D53" s="768" t="s">
        <v>1313</v>
      </c>
      <c r="E53" s="769">
        <v>353308338.95788044</v>
      </c>
      <c r="F53" s="770">
        <v>0.13674984266970341</v>
      </c>
      <c r="G53" s="767" t="s">
        <v>1303</v>
      </c>
      <c r="H53" s="771">
        <v>192065341.60486275</v>
      </c>
      <c r="I53" s="770">
        <v>7.433989620578689E-2</v>
      </c>
      <c r="J53" s="770">
        <f t="shared" si="0"/>
        <v>0.54361961048352092</v>
      </c>
      <c r="K53" s="770"/>
      <c r="L53" s="770"/>
    </row>
    <row r="54" spans="1:12" ht="60.75">
      <c r="A54" s="766" t="s">
        <v>1324</v>
      </c>
      <c r="B54" s="766" t="s">
        <v>1300</v>
      </c>
      <c r="C54" s="767" t="s">
        <v>6</v>
      </c>
      <c r="D54" s="768" t="s">
        <v>1314</v>
      </c>
      <c r="E54" s="769">
        <v>54503984.652653359</v>
      </c>
      <c r="F54" s="770">
        <v>2.1096052666367528E-2</v>
      </c>
      <c r="G54" s="767" t="s">
        <v>1303</v>
      </c>
      <c r="H54" s="771">
        <v>29730216.572153352</v>
      </c>
      <c r="I54" s="770">
        <v>1.1507236004590474E-2</v>
      </c>
      <c r="J54" s="770">
        <f t="shared" si="0"/>
        <v>0.54546868016384609</v>
      </c>
      <c r="K54" s="770"/>
      <c r="L54" s="770"/>
    </row>
    <row r="55" spans="1:12" ht="72.75">
      <c r="A55" s="766" t="s">
        <v>1324</v>
      </c>
      <c r="B55" s="766" t="s">
        <v>1300</v>
      </c>
      <c r="C55" s="767" t="s">
        <v>6</v>
      </c>
      <c r="D55" s="768" t="s">
        <v>1317</v>
      </c>
      <c r="E55" s="769">
        <v>1128541819.9602602</v>
      </c>
      <c r="F55" s="770">
        <v>0.43680802095119664</v>
      </c>
      <c r="G55" s="767" t="s">
        <v>1303</v>
      </c>
      <c r="H55" s="771">
        <v>963128025.87431562</v>
      </c>
      <c r="I55" s="770">
        <v>0.37278374577169565</v>
      </c>
      <c r="J55" s="770">
        <f t="shared" si="0"/>
        <v>0.85342696995334266</v>
      </c>
      <c r="K55" s="770"/>
      <c r="L55" s="770"/>
    </row>
    <row r="56" spans="1:12" ht="48.75">
      <c r="A56" s="766" t="s">
        <v>1324</v>
      </c>
      <c r="B56" s="766" t="s">
        <v>1300</v>
      </c>
      <c r="C56" s="767" t="s">
        <v>6</v>
      </c>
      <c r="D56" s="768" t="s">
        <v>1318</v>
      </c>
      <c r="E56" s="769">
        <v>190884476.00490013</v>
      </c>
      <c r="F56" s="770">
        <v>7.3882835991795778E-2</v>
      </c>
      <c r="G56" s="767" t="s">
        <v>1303</v>
      </c>
      <c r="H56" s="771">
        <v>174729850.59000021</v>
      </c>
      <c r="I56" s="770">
        <v>6.763010363231714E-2</v>
      </c>
      <c r="J56" s="770">
        <f t="shared" si="0"/>
        <v>0.9153696217051972</v>
      </c>
      <c r="K56" s="770"/>
      <c r="L56" s="770"/>
    </row>
    <row r="57" spans="1:12" ht="36.75">
      <c r="A57" s="766" t="s">
        <v>1324</v>
      </c>
      <c r="B57" s="766" t="s">
        <v>1300</v>
      </c>
      <c r="C57" s="767" t="s">
        <v>6</v>
      </c>
      <c r="D57" s="768" t="s">
        <v>1319</v>
      </c>
      <c r="E57" s="769">
        <v>672429.62159999995</v>
      </c>
      <c r="F57" s="770">
        <v>2.6026740617410261E-4</v>
      </c>
      <c r="G57" s="767" t="s">
        <v>1303</v>
      </c>
      <c r="H57" s="771">
        <v>672429.62159999995</v>
      </c>
      <c r="I57" s="770">
        <v>2.6026740617410244E-4</v>
      </c>
      <c r="J57" s="770">
        <f t="shared" si="0"/>
        <v>1</v>
      </c>
      <c r="K57" s="770"/>
      <c r="L57" s="770"/>
    </row>
    <row r="58" spans="1:12" ht="60.75">
      <c r="A58" s="766" t="s">
        <v>1324</v>
      </c>
      <c r="B58" s="766" t="s">
        <v>1300</v>
      </c>
      <c r="C58" s="767" t="s">
        <v>6</v>
      </c>
      <c r="D58" s="768" t="s">
        <v>1320</v>
      </c>
      <c r="E58" s="769">
        <v>5162903.0270183003</v>
      </c>
      <c r="F58" s="770">
        <v>1.9983286518121409E-3</v>
      </c>
      <c r="G58" s="767" t="s">
        <v>1303</v>
      </c>
      <c r="H58" s="771">
        <v>4681368.8891283507</v>
      </c>
      <c r="I58" s="770">
        <v>1.8119483422197522E-3</v>
      </c>
      <c r="J58" s="770">
        <f t="shared" si="0"/>
        <v>0.90673190347174759</v>
      </c>
      <c r="K58" s="770"/>
      <c r="L58" s="770"/>
    </row>
    <row r="59" spans="1:12" ht="36.75">
      <c r="A59" s="766" t="s">
        <v>1324</v>
      </c>
      <c r="B59" s="766" t="s">
        <v>1300</v>
      </c>
      <c r="C59" s="767" t="s">
        <v>6</v>
      </c>
      <c r="D59" s="768" t="s">
        <v>1321</v>
      </c>
      <c r="E59" s="769">
        <v>394973.47323999996</v>
      </c>
      <c r="F59" s="770">
        <v>1.5287655107035388E-4</v>
      </c>
      <c r="G59" s="767" t="s">
        <v>1303</v>
      </c>
      <c r="H59" s="771">
        <v>394973.47323999996</v>
      </c>
      <c r="I59" s="770">
        <v>1.5287655107035377E-4</v>
      </c>
      <c r="J59" s="770">
        <f t="shared" si="0"/>
        <v>1</v>
      </c>
      <c r="K59" s="770"/>
      <c r="L59" s="770"/>
    </row>
    <row r="60" spans="1:12" ht="36.75">
      <c r="A60" s="766" t="s">
        <v>1324</v>
      </c>
      <c r="B60" s="766" t="s">
        <v>1300</v>
      </c>
      <c r="C60" s="767" t="s">
        <v>6</v>
      </c>
      <c r="D60" s="768" t="s">
        <v>1322</v>
      </c>
      <c r="E60" s="769">
        <v>4418583.0554</v>
      </c>
      <c r="F60" s="770">
        <v>1.7102357092143297E-3</v>
      </c>
      <c r="G60" s="767" t="s">
        <v>1303</v>
      </c>
      <c r="H60" s="771">
        <v>422235.81539999996</v>
      </c>
      <c r="I60" s="770">
        <v>1.6342858336085701E-4</v>
      </c>
      <c r="J60" s="770">
        <f t="shared" si="0"/>
        <v>9.5559098947790702E-2</v>
      </c>
      <c r="K60" s="770"/>
      <c r="L60" s="770"/>
    </row>
    <row r="61" spans="1:12" ht="24.75">
      <c r="A61" s="772"/>
      <c r="B61" s="772"/>
      <c r="C61" s="773" t="s">
        <v>6</v>
      </c>
      <c r="D61" s="774" t="s">
        <v>18</v>
      </c>
      <c r="E61" s="775">
        <v>2583610569.9312444</v>
      </c>
      <c r="F61" s="776">
        <v>1</v>
      </c>
      <c r="G61" s="777"/>
      <c r="H61" s="778">
        <v>1930283558.8109276</v>
      </c>
      <c r="I61" s="779">
        <f>SUM(I43:I60)</f>
        <v>0.74712635924163107</v>
      </c>
      <c r="J61" s="779"/>
      <c r="K61" s="779"/>
      <c r="L61" s="779"/>
    </row>
  </sheetData>
  <sheetProtection password="CD9A" sheet="1" objects="1" scenarios="1"/>
  <autoFilter ref="A2:L6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9"/>
  <sheetViews>
    <sheetView zoomScale="80" zoomScaleNormal="80" workbookViewId="0"/>
  </sheetViews>
  <sheetFormatPr defaultRowHeight="15"/>
  <cols>
    <col min="2" max="2" width="36.85546875" customWidth="1"/>
    <col min="3" max="3" width="41" customWidth="1"/>
    <col min="4" max="4" width="22.28515625" customWidth="1"/>
    <col min="5" max="5" width="15.7109375" customWidth="1"/>
    <col min="6" max="6" width="14" customWidth="1"/>
    <col min="7" max="7" width="15.5703125" customWidth="1"/>
    <col min="8" max="8" width="13.42578125" customWidth="1"/>
    <col min="9" max="9" width="10.85546875" customWidth="1"/>
    <col min="10" max="10" width="29.28515625" customWidth="1"/>
    <col min="12" max="12" width="12.28515625" customWidth="1"/>
    <col min="13" max="13" width="13.42578125" customWidth="1"/>
    <col min="14" max="14" width="14.5703125" customWidth="1"/>
    <col min="15" max="15" width="11.5703125" customWidth="1"/>
    <col min="16" max="16" width="12.7109375" customWidth="1"/>
    <col min="17" max="17" width="10" customWidth="1"/>
    <col min="18" max="18" width="10.42578125" customWidth="1"/>
    <col min="19" max="19" width="14.140625" customWidth="1"/>
    <col min="20" max="20" width="11.7109375" customWidth="1"/>
    <col min="21" max="21" width="51.28515625" customWidth="1"/>
    <col min="22" max="22" width="26.7109375" bestFit="1" customWidth="1"/>
    <col min="23" max="23" width="27" bestFit="1" customWidth="1"/>
    <col min="24" max="24" width="14.7109375" bestFit="1" customWidth="1"/>
    <col min="25" max="25" width="14.42578125" bestFit="1" customWidth="1"/>
    <col min="26" max="26" width="35.7109375" bestFit="1" customWidth="1"/>
    <col min="27" max="27" width="13.42578125" customWidth="1"/>
    <col min="28" max="28" width="20.5703125" customWidth="1"/>
    <col min="29" max="29" width="18" customWidth="1"/>
    <col min="30" max="30" width="21.85546875" bestFit="1" customWidth="1"/>
    <col min="31" max="31" width="22.7109375" bestFit="1" customWidth="1"/>
    <col min="32" max="32" width="13.42578125" customWidth="1"/>
    <col min="33" max="33" width="14.5703125" customWidth="1"/>
    <col min="34" max="34" width="11.5703125" customWidth="1"/>
    <col min="35" max="35" width="12.7109375" customWidth="1"/>
  </cols>
  <sheetData>
    <row r="1" spans="1:32">
      <c r="A1" s="1" t="s">
        <v>1386</v>
      </c>
      <c r="T1" s="30"/>
      <c r="U1" s="11"/>
      <c r="V1" s="11"/>
      <c r="W1" s="11"/>
      <c r="X1" s="11"/>
      <c r="Y1" s="11"/>
      <c r="Z1" s="11"/>
      <c r="AA1" s="11"/>
      <c r="AB1" s="11"/>
      <c r="AC1" s="11"/>
      <c r="AD1" s="11"/>
      <c r="AE1" s="11"/>
      <c r="AF1" s="12"/>
    </row>
    <row r="2" spans="1:32" ht="18.75">
      <c r="A2" s="1" t="s">
        <v>852</v>
      </c>
      <c r="T2" s="31"/>
      <c r="U2" s="397" t="s">
        <v>1385</v>
      </c>
      <c r="V2" s="13"/>
      <c r="W2" s="13"/>
      <c r="X2" s="13"/>
      <c r="Y2" s="13"/>
      <c r="Z2" s="13"/>
      <c r="AA2" s="13"/>
      <c r="AB2" s="13"/>
      <c r="AC2" s="13"/>
      <c r="AD2" s="13"/>
      <c r="AE2" s="13"/>
      <c r="AF2" s="14"/>
    </row>
    <row r="3" spans="1:32">
      <c r="C3" s="873" t="s">
        <v>652</v>
      </c>
      <c r="D3" s="873"/>
      <c r="E3" s="873"/>
      <c r="F3" s="873"/>
      <c r="G3" s="873"/>
      <c r="H3" s="873"/>
      <c r="I3" s="873"/>
      <c r="J3" s="873"/>
      <c r="K3" s="873"/>
      <c r="L3" s="873"/>
      <c r="M3" s="873"/>
      <c r="N3" s="873"/>
      <c r="O3" s="873"/>
      <c r="P3" s="873"/>
      <c r="T3" s="31"/>
      <c r="U3" s="13"/>
      <c r="V3" s="13"/>
      <c r="W3" s="13"/>
      <c r="X3" s="13"/>
      <c r="Y3" s="13"/>
      <c r="Z3" s="13"/>
      <c r="AA3" s="13"/>
      <c r="AB3" s="13"/>
      <c r="AC3" s="13"/>
      <c r="AD3" s="13"/>
      <c r="AE3" s="13"/>
      <c r="AF3" s="14"/>
    </row>
    <row r="4" spans="1:32" ht="15.75" thickBot="1">
      <c r="B4" s="64" t="s">
        <v>653</v>
      </c>
      <c r="C4" s="64" t="s">
        <v>654</v>
      </c>
      <c r="D4" s="64" t="s">
        <v>655</v>
      </c>
      <c r="E4" s="64" t="s">
        <v>656</v>
      </c>
      <c r="F4" s="64" t="s">
        <v>657</v>
      </c>
      <c r="G4" s="64" t="s">
        <v>658</v>
      </c>
      <c r="H4" s="64" t="s">
        <v>659</v>
      </c>
      <c r="I4" s="64" t="s">
        <v>660</v>
      </c>
      <c r="J4" s="64" t="s">
        <v>661</v>
      </c>
      <c r="K4" s="64" t="s">
        <v>662</v>
      </c>
      <c r="L4" s="64" t="s">
        <v>663</v>
      </c>
      <c r="M4" s="64" t="s">
        <v>664</v>
      </c>
      <c r="N4" s="64" t="s">
        <v>665</v>
      </c>
      <c r="O4" s="64" t="s">
        <v>666</v>
      </c>
      <c r="P4" s="65" t="s">
        <v>667</v>
      </c>
      <c r="R4" s="24"/>
      <c r="T4" s="31"/>
      <c r="U4" s="64" t="s">
        <v>653</v>
      </c>
      <c r="V4" s="64" t="s">
        <v>1209</v>
      </c>
      <c r="W4" s="64" t="s">
        <v>1210</v>
      </c>
      <c r="X4" s="13"/>
      <c r="Y4" s="13"/>
      <c r="Z4" s="64" t="s">
        <v>653</v>
      </c>
      <c r="AA4" s="65" t="s">
        <v>1208</v>
      </c>
      <c r="AB4" s="65" t="s">
        <v>1215</v>
      </c>
      <c r="AC4" s="65" t="s">
        <v>1213</v>
      </c>
      <c r="AD4" s="65" t="s">
        <v>1216</v>
      </c>
      <c r="AE4" s="65" t="s">
        <v>1214</v>
      </c>
      <c r="AF4" s="14"/>
    </row>
    <row r="5" spans="1:32" ht="15.75" thickTop="1">
      <c r="B5" s="66" t="s">
        <v>668</v>
      </c>
      <c r="C5" s="85">
        <v>1087</v>
      </c>
      <c r="D5" s="85">
        <v>10017</v>
      </c>
      <c r="E5" s="85">
        <v>8000</v>
      </c>
      <c r="F5" s="85">
        <v>9014</v>
      </c>
      <c r="G5" s="66">
        <v>611</v>
      </c>
      <c r="H5" s="85">
        <v>2805</v>
      </c>
      <c r="I5" s="85">
        <v>19265</v>
      </c>
      <c r="J5" s="85">
        <v>3916</v>
      </c>
      <c r="K5" s="66">
        <v>4782</v>
      </c>
      <c r="L5" s="66">
        <v>3924</v>
      </c>
      <c r="M5" s="66">
        <v>204</v>
      </c>
      <c r="N5" s="66">
        <v>2811</v>
      </c>
      <c r="O5" s="66">
        <v>642</v>
      </c>
      <c r="P5" s="86">
        <v>67077</v>
      </c>
      <c r="R5" s="47"/>
      <c r="T5" s="31"/>
      <c r="U5" s="66" t="s">
        <v>668</v>
      </c>
      <c r="V5" s="85">
        <f>SUM(C35:C37)</f>
        <v>27061.677161818305</v>
      </c>
      <c r="W5" s="85">
        <f>SUM(D35:D37)</f>
        <v>5306.3184731040155</v>
      </c>
      <c r="X5" s="13"/>
      <c r="Y5" s="13"/>
      <c r="Z5" s="66" t="str">
        <f>U5</f>
        <v xml:space="preserve">All Commercial </v>
      </c>
      <c r="AA5" s="86">
        <f>V5</f>
        <v>27061.677161818305</v>
      </c>
      <c r="AB5" s="86">
        <f>SUM(AB7:AB20)</f>
        <v>22721.306646706194</v>
      </c>
      <c r="AC5" s="86">
        <f>SUM(AC7:AC20)</f>
        <v>144.19587705503386</v>
      </c>
      <c r="AD5" s="86">
        <f>SUM(AD7:AD20)</f>
        <v>3778.4809172207592</v>
      </c>
      <c r="AE5" s="86">
        <f>SUM(AE7:AE20)</f>
        <v>417.69372083632197</v>
      </c>
      <c r="AF5" s="14"/>
    </row>
    <row r="6" spans="1:32">
      <c r="B6" s="68"/>
      <c r="C6" s="87"/>
      <c r="D6" s="87"/>
      <c r="E6" s="87"/>
      <c r="F6" s="87"/>
      <c r="G6" s="68"/>
      <c r="H6" s="87"/>
      <c r="I6" s="87"/>
      <c r="J6" s="87"/>
      <c r="K6" s="68"/>
      <c r="L6" s="68"/>
      <c r="M6" s="68"/>
      <c r="N6" s="68"/>
      <c r="O6" s="68"/>
      <c r="P6" s="88"/>
      <c r="Q6" s="47"/>
      <c r="T6" s="31"/>
      <c r="U6" s="68"/>
      <c r="V6" s="87"/>
      <c r="W6" s="87"/>
      <c r="X6" s="13"/>
      <c r="Y6" s="13"/>
      <c r="Z6" s="66"/>
      <c r="AA6" s="86"/>
      <c r="AB6" s="86"/>
      <c r="AC6" s="86"/>
      <c r="AD6" s="86"/>
      <c r="AE6" s="86"/>
      <c r="AF6" s="14"/>
    </row>
    <row r="7" spans="1:32">
      <c r="B7" s="66" t="s">
        <v>669</v>
      </c>
      <c r="C7" s="66">
        <v>72</v>
      </c>
      <c r="D7" s="66">
        <v>943</v>
      </c>
      <c r="E7" s="66">
        <v>467</v>
      </c>
      <c r="F7" s="66">
        <v>208</v>
      </c>
      <c r="G7" s="66">
        <v>90</v>
      </c>
      <c r="H7" s="66">
        <v>38</v>
      </c>
      <c r="I7" s="85">
        <v>1386</v>
      </c>
      <c r="J7" s="66">
        <v>343</v>
      </c>
      <c r="K7" s="66">
        <v>793</v>
      </c>
      <c r="L7" s="66">
        <v>283</v>
      </c>
      <c r="M7" s="66">
        <v>1</v>
      </c>
      <c r="N7" s="66">
        <v>79</v>
      </c>
      <c r="O7" s="66">
        <v>36</v>
      </c>
      <c r="P7" s="86">
        <v>4739</v>
      </c>
      <c r="Q7" s="47"/>
      <c r="T7" s="31"/>
      <c r="U7" s="66" t="s">
        <v>669</v>
      </c>
      <c r="V7" s="85">
        <f t="shared" ref="V7:V18" si="0">(I7/$I$5)*$V$5</f>
        <v>1946.9236722699284</v>
      </c>
      <c r="W7" s="85">
        <f t="shared" ref="W7:W18" si="1">(J7/$J$5)*$W$5</f>
        <v>464.7771287729002</v>
      </c>
      <c r="X7" s="13"/>
      <c r="Y7" s="13"/>
      <c r="Z7" s="66" t="s">
        <v>1142</v>
      </c>
      <c r="AA7" s="86">
        <f>V11</f>
        <v>1732.0035266297416</v>
      </c>
      <c r="AB7" s="86">
        <f>AA7-SUM(AC7:AE7)</f>
        <v>1459.2333429801954</v>
      </c>
      <c r="AC7" s="86">
        <f t="shared" ref="AC7:AC17" si="2">AA7*K70</f>
        <v>4.2062942789579445</v>
      </c>
      <c r="AD7" s="86">
        <f>AA7*SUM($D$273:$D$275)</f>
        <v>241.83062397784565</v>
      </c>
      <c r="AE7" s="86">
        <f>AA7*$D$276</f>
        <v>26.733265392742538</v>
      </c>
      <c r="AF7" s="14"/>
    </row>
    <row r="8" spans="1:32">
      <c r="B8" s="68" t="s">
        <v>670</v>
      </c>
      <c r="C8" s="68">
        <v>322</v>
      </c>
      <c r="D8" s="68">
        <v>2358</v>
      </c>
      <c r="E8" s="87">
        <v>2019</v>
      </c>
      <c r="F8" s="68">
        <v>268</v>
      </c>
      <c r="G8" s="68">
        <v>80</v>
      </c>
      <c r="H8" s="68">
        <v>77</v>
      </c>
      <c r="I8" s="87">
        <v>2945</v>
      </c>
      <c r="J8" s="68">
        <v>324</v>
      </c>
      <c r="K8" s="68">
        <v>2365</v>
      </c>
      <c r="L8" s="68">
        <v>383</v>
      </c>
      <c r="M8" s="68">
        <v>18</v>
      </c>
      <c r="N8" s="68">
        <v>474</v>
      </c>
      <c r="O8" s="68">
        <v>60</v>
      </c>
      <c r="P8" s="88">
        <v>11691</v>
      </c>
      <c r="Q8" s="48"/>
      <c r="R8" s="33"/>
      <c r="T8" s="31"/>
      <c r="U8" s="68" t="s">
        <v>670</v>
      </c>
      <c r="V8" s="87">
        <f t="shared" si="0"/>
        <v>4136.8616268650358</v>
      </c>
      <c r="W8" s="87">
        <f t="shared" si="1"/>
        <v>439.03145691667544</v>
      </c>
      <c r="X8" s="13"/>
      <c r="Y8" s="13" t="s">
        <v>1196</v>
      </c>
      <c r="Z8" s="66" t="s">
        <v>1143</v>
      </c>
      <c r="AA8" s="86">
        <f>V16*10/(10+18)</f>
        <v>561.38105268760307</v>
      </c>
      <c r="AB8" s="86">
        <f>AA8-SUM(AC8:AE8)</f>
        <v>470.96520751222357</v>
      </c>
      <c r="AC8" s="86">
        <f t="shared" si="2"/>
        <v>3.3682863161256185</v>
      </c>
      <c r="AD8" s="86">
        <f t="shared" ref="AD8:AD17" si="3">AA8*SUM($D$273:$D$275)</f>
        <v>78.382710065811978</v>
      </c>
      <c r="AE8" s="86">
        <f t="shared" ref="AE8:AE17" si="4">AA8*$D$276</f>
        <v>8.6648487934419247</v>
      </c>
      <c r="AF8" s="14"/>
    </row>
    <row r="9" spans="1:32">
      <c r="B9" s="66" t="s">
        <v>671</v>
      </c>
      <c r="C9" s="66">
        <v>7</v>
      </c>
      <c r="D9" s="66">
        <v>858</v>
      </c>
      <c r="E9" s="66">
        <v>482</v>
      </c>
      <c r="F9" s="85">
        <v>1469</v>
      </c>
      <c r="G9" s="66">
        <v>56</v>
      </c>
      <c r="H9" s="85">
        <v>1546</v>
      </c>
      <c r="I9" s="66">
        <v>961</v>
      </c>
      <c r="J9" s="66">
        <v>300</v>
      </c>
      <c r="K9" s="66">
        <v>94</v>
      </c>
      <c r="L9" s="66">
        <v>168</v>
      </c>
      <c r="M9" s="66">
        <v>1</v>
      </c>
      <c r="N9" s="66">
        <v>41</v>
      </c>
      <c r="O9" s="66">
        <v>3</v>
      </c>
      <c r="P9" s="86">
        <v>5986</v>
      </c>
      <c r="Q9" s="47"/>
      <c r="T9" s="31"/>
      <c r="U9" s="66" t="s">
        <v>671</v>
      </c>
      <c r="V9" s="85">
        <f t="shared" si="0"/>
        <v>1349.9232677138536</v>
      </c>
      <c r="W9" s="85">
        <f t="shared" si="1"/>
        <v>406.510608256181</v>
      </c>
      <c r="X9" s="13"/>
      <c r="Y9" s="13"/>
      <c r="Z9" s="66" t="s">
        <v>181</v>
      </c>
      <c r="AA9" s="86">
        <f>V7+V8</f>
        <v>6083.7852991349646</v>
      </c>
      <c r="AB9" s="86">
        <f t="shared" ref="AB9:AB17" si="5">AA9-SUM(AC9:AE9)</f>
        <v>5100.8909746062263</v>
      </c>
      <c r="AC9" s="86">
        <f t="shared" si="2"/>
        <v>39.544604444377271</v>
      </c>
      <c r="AD9" s="86">
        <f t="shared" si="3"/>
        <v>849.44722826281395</v>
      </c>
      <c r="AE9" s="86">
        <f t="shared" si="4"/>
        <v>93.9024918215474</v>
      </c>
      <c r="AF9" s="14"/>
    </row>
    <row r="10" spans="1:32">
      <c r="B10" s="68" t="s">
        <v>672</v>
      </c>
      <c r="C10" s="68">
        <v>55</v>
      </c>
      <c r="D10" s="68">
        <v>1553</v>
      </c>
      <c r="E10" s="87">
        <v>1267</v>
      </c>
      <c r="F10" s="68">
        <v>726</v>
      </c>
      <c r="G10" s="68">
        <v>96</v>
      </c>
      <c r="H10" s="68">
        <v>157</v>
      </c>
      <c r="I10" s="87">
        <v>4246</v>
      </c>
      <c r="J10" s="68">
        <v>644</v>
      </c>
      <c r="K10" s="68">
        <v>343</v>
      </c>
      <c r="L10" s="68">
        <v>483</v>
      </c>
      <c r="M10" s="68">
        <v>37</v>
      </c>
      <c r="N10" s="68">
        <v>201</v>
      </c>
      <c r="O10" s="68">
        <v>64</v>
      </c>
      <c r="P10" s="88">
        <v>9871</v>
      </c>
      <c r="Q10" s="47"/>
      <c r="T10" s="31"/>
      <c r="U10" s="68" t="s">
        <v>672</v>
      </c>
      <c r="V10" s="87">
        <f t="shared" si="0"/>
        <v>5964.3852182237488</v>
      </c>
      <c r="W10" s="87">
        <f t="shared" si="1"/>
        <v>872.6427723899352</v>
      </c>
      <c r="X10" s="13"/>
      <c r="Y10" s="13"/>
      <c r="Z10" s="66" t="s">
        <v>499</v>
      </c>
      <c r="AA10" s="86">
        <f>V10</f>
        <v>5964.3852182237488</v>
      </c>
      <c r="AB10" s="86">
        <f t="shared" si="5"/>
        <v>5025.064699346236</v>
      </c>
      <c r="AC10" s="86">
        <f t="shared" si="2"/>
        <v>14.484935529971963</v>
      </c>
      <c r="AD10" s="86">
        <f t="shared" si="3"/>
        <v>832.7760173640977</v>
      </c>
      <c r="AE10" s="86">
        <f t="shared" si="4"/>
        <v>92.059565983442667</v>
      </c>
      <c r="AF10" s="14"/>
    </row>
    <row r="11" spans="1:32">
      <c r="B11" s="66" t="s">
        <v>673</v>
      </c>
      <c r="C11" s="66">
        <v>12</v>
      </c>
      <c r="D11" s="66">
        <v>415</v>
      </c>
      <c r="E11" s="66">
        <v>372</v>
      </c>
      <c r="F11" s="85">
        <v>3233</v>
      </c>
      <c r="G11" s="66">
        <v>20</v>
      </c>
      <c r="H11" s="66">
        <v>266</v>
      </c>
      <c r="I11" s="85">
        <v>1233</v>
      </c>
      <c r="J11" s="66">
        <v>137</v>
      </c>
      <c r="K11" s="66">
        <v>54</v>
      </c>
      <c r="L11" s="66">
        <v>138</v>
      </c>
      <c r="M11" s="66">
        <v>1</v>
      </c>
      <c r="N11" s="66">
        <v>26</v>
      </c>
      <c r="O11" s="66">
        <v>6</v>
      </c>
      <c r="P11" s="86">
        <v>5911</v>
      </c>
      <c r="Q11" s="47"/>
      <c r="T11" s="31"/>
      <c r="U11" s="66" t="s">
        <v>673</v>
      </c>
      <c r="V11" s="85">
        <f t="shared" si="0"/>
        <v>1732.0035266297416</v>
      </c>
      <c r="W11" s="85">
        <f t="shared" si="1"/>
        <v>185.63984443698931</v>
      </c>
      <c r="X11" s="13"/>
      <c r="Y11" s="13"/>
      <c r="Z11" s="66" t="s">
        <v>502</v>
      </c>
      <c r="AA11" s="86">
        <f>V9</f>
        <v>1349.9232677138536</v>
      </c>
      <c r="AB11" s="86">
        <f t="shared" si="5"/>
        <v>1123.9555622659543</v>
      </c>
      <c r="AC11" s="86">
        <f t="shared" si="2"/>
        <v>16.649053635137527</v>
      </c>
      <c r="AD11" s="86">
        <f t="shared" si="3"/>
        <v>188.48274910195428</v>
      </c>
      <c r="AE11" s="86">
        <f t="shared" si="4"/>
        <v>20.835902710807442</v>
      </c>
      <c r="AF11" s="14"/>
    </row>
    <row r="12" spans="1:32">
      <c r="B12" s="68" t="s">
        <v>674</v>
      </c>
      <c r="C12" s="68">
        <v>2</v>
      </c>
      <c r="D12" s="68">
        <v>31</v>
      </c>
      <c r="E12" s="68">
        <v>23</v>
      </c>
      <c r="F12" s="68">
        <v>1284</v>
      </c>
      <c r="G12" s="68">
        <v>3</v>
      </c>
      <c r="H12" s="68">
        <v>3</v>
      </c>
      <c r="I12" s="68">
        <v>262</v>
      </c>
      <c r="J12" s="68">
        <v>33</v>
      </c>
      <c r="K12" s="68">
        <v>17</v>
      </c>
      <c r="L12" s="68">
        <v>55</v>
      </c>
      <c r="M12" s="68">
        <v>4</v>
      </c>
      <c r="N12" s="68">
        <v>174</v>
      </c>
      <c r="O12" s="68">
        <v>22</v>
      </c>
      <c r="P12" s="88">
        <v>1913</v>
      </c>
      <c r="Q12" s="47"/>
      <c r="T12" s="31"/>
      <c r="U12" s="68" t="s">
        <v>674</v>
      </c>
      <c r="V12" s="87">
        <f t="shared" si="0"/>
        <v>368.03319057339195</v>
      </c>
      <c r="W12" s="87">
        <f t="shared" si="1"/>
        <v>44.716166908179908</v>
      </c>
      <c r="X12" s="13"/>
      <c r="Y12" s="13"/>
      <c r="Z12" s="66" t="s">
        <v>184</v>
      </c>
      <c r="AA12" s="86">
        <f>V12+V13</f>
        <v>2085.9896488606378</v>
      </c>
      <c r="AB12" s="86">
        <f t="shared" si="5"/>
        <v>1757.3218152775587</v>
      </c>
      <c r="AC12" s="86">
        <f t="shared" si="2"/>
        <v>5.2149741221515944</v>
      </c>
      <c r="AD12" s="86">
        <f t="shared" si="3"/>
        <v>291.25586099521558</v>
      </c>
      <c r="AE12" s="86">
        <f t="shared" si="4"/>
        <v>32.196998465711815</v>
      </c>
      <c r="AF12" s="14"/>
    </row>
    <row r="13" spans="1:32">
      <c r="B13" s="66" t="s">
        <v>675</v>
      </c>
      <c r="C13" s="66">
        <v>20</v>
      </c>
      <c r="D13" s="66">
        <v>183</v>
      </c>
      <c r="E13" s="66">
        <v>156</v>
      </c>
      <c r="F13" s="66">
        <v>154</v>
      </c>
      <c r="G13" s="66">
        <v>26</v>
      </c>
      <c r="H13" s="66">
        <v>12</v>
      </c>
      <c r="I13" s="85">
        <v>1223</v>
      </c>
      <c r="J13" s="66">
        <v>145</v>
      </c>
      <c r="K13" s="66">
        <v>131</v>
      </c>
      <c r="L13" s="66">
        <v>215</v>
      </c>
      <c r="M13" s="66">
        <v>9</v>
      </c>
      <c r="N13" s="66">
        <v>162</v>
      </c>
      <c r="O13" s="66">
        <v>32</v>
      </c>
      <c r="P13" s="86">
        <v>2467</v>
      </c>
      <c r="Q13" s="47"/>
      <c r="T13" s="31"/>
      <c r="U13" s="66" t="s">
        <v>675</v>
      </c>
      <c r="V13" s="85">
        <f t="shared" si="0"/>
        <v>1717.9564582872458</v>
      </c>
      <c r="W13" s="85">
        <f t="shared" si="1"/>
        <v>196.4801273238208</v>
      </c>
      <c r="X13" s="13"/>
      <c r="Y13" s="13"/>
      <c r="Z13" s="66" t="s">
        <v>500</v>
      </c>
      <c r="AA13" s="86">
        <f>V14</f>
        <v>1799.4294546737219</v>
      </c>
      <c r="AB13" s="86">
        <f t="shared" si="5"/>
        <v>1511.4133761077958</v>
      </c>
      <c r="AC13" s="86">
        <f t="shared" si="2"/>
        <v>8.9971472733686095</v>
      </c>
      <c r="AD13" s="86">
        <f t="shared" si="3"/>
        <v>251.24495483829708</v>
      </c>
      <c r="AE13" s="86">
        <f t="shared" si="4"/>
        <v>27.773976454260499</v>
      </c>
      <c r="AF13" s="14"/>
    </row>
    <row r="14" spans="1:32">
      <c r="B14" s="68" t="s">
        <v>676</v>
      </c>
      <c r="C14" s="68">
        <v>56</v>
      </c>
      <c r="D14" s="68">
        <v>520</v>
      </c>
      <c r="E14" s="68">
        <v>429</v>
      </c>
      <c r="F14" s="68">
        <v>225</v>
      </c>
      <c r="G14" s="68">
        <v>43</v>
      </c>
      <c r="H14" s="68">
        <v>78</v>
      </c>
      <c r="I14" s="87">
        <v>1281</v>
      </c>
      <c r="J14" s="68">
        <v>330</v>
      </c>
      <c r="K14" s="68">
        <v>206</v>
      </c>
      <c r="L14" s="68">
        <v>110</v>
      </c>
      <c r="M14" s="68">
        <v>1</v>
      </c>
      <c r="N14" s="68">
        <v>37</v>
      </c>
      <c r="O14" s="68">
        <v>7</v>
      </c>
      <c r="P14" s="88">
        <v>3322</v>
      </c>
      <c r="Q14" s="48"/>
      <c r="T14" s="31"/>
      <c r="U14" s="68" t="s">
        <v>676</v>
      </c>
      <c r="V14" s="87">
        <f t="shared" si="0"/>
        <v>1799.4294546737219</v>
      </c>
      <c r="W14" s="87">
        <f t="shared" si="1"/>
        <v>447.16166908179906</v>
      </c>
      <c r="X14" s="13"/>
      <c r="Y14" s="13"/>
      <c r="Z14" s="66" t="s">
        <v>541</v>
      </c>
      <c r="AA14" s="86">
        <f>V18</f>
        <v>4037.1274416333144</v>
      </c>
      <c r="AB14" s="86">
        <f t="shared" si="5"/>
        <v>3383.5093556389602</v>
      </c>
      <c r="AC14" s="86">
        <f t="shared" si="2"/>
        <v>27.622450916438474</v>
      </c>
      <c r="AD14" s="86">
        <f t="shared" si="3"/>
        <v>563.68306026952826</v>
      </c>
      <c r="AE14" s="86">
        <f t="shared" si="4"/>
        <v>62.312574808387708</v>
      </c>
      <c r="AF14" s="14"/>
    </row>
    <row r="15" spans="1:32">
      <c r="B15" s="66" t="s">
        <v>677</v>
      </c>
      <c r="C15" s="66">
        <v>159</v>
      </c>
      <c r="D15" s="66">
        <v>393</v>
      </c>
      <c r="E15" s="66">
        <v>423</v>
      </c>
      <c r="F15" s="66">
        <v>95</v>
      </c>
      <c r="G15" s="66">
        <v>25</v>
      </c>
      <c r="H15" s="66">
        <v>55</v>
      </c>
      <c r="I15" s="66">
        <v>790</v>
      </c>
      <c r="J15" s="66">
        <v>188</v>
      </c>
      <c r="K15" s="66">
        <v>148</v>
      </c>
      <c r="L15" s="66">
        <v>100</v>
      </c>
      <c r="M15" s="66">
        <v>2</v>
      </c>
      <c r="N15" s="66">
        <v>119</v>
      </c>
      <c r="O15" s="66">
        <v>28</v>
      </c>
      <c r="P15" s="86">
        <v>2524</v>
      </c>
      <c r="Q15" s="47"/>
      <c r="T15" s="31"/>
      <c r="U15" s="66" t="s">
        <v>677</v>
      </c>
      <c r="V15" s="85">
        <f t="shared" si="0"/>
        <v>1109.7183990571741</v>
      </c>
      <c r="W15" s="85">
        <f t="shared" si="1"/>
        <v>254.74664784054008</v>
      </c>
      <c r="X15" s="13"/>
      <c r="Y15" s="13"/>
      <c r="Z15" s="66" t="s">
        <v>529</v>
      </c>
      <c r="AA15" s="86">
        <f>V17</f>
        <v>1327.4479583658604</v>
      </c>
      <c r="AB15" s="86">
        <f t="shared" si="5"/>
        <v>1108.0079789538383</v>
      </c>
      <c r="AC15" s="86">
        <f t="shared" si="2"/>
        <v>13.606341573250067</v>
      </c>
      <c r="AD15" s="86">
        <f t="shared" si="3"/>
        <v>185.34463881513719</v>
      </c>
      <c r="AE15" s="86">
        <f t="shared" si="4"/>
        <v>20.488999023634793</v>
      </c>
      <c r="AF15" s="14"/>
    </row>
    <row r="16" spans="1:32">
      <c r="B16" s="68" t="s">
        <v>678</v>
      </c>
      <c r="C16" s="68">
        <v>166</v>
      </c>
      <c r="D16" s="68">
        <v>901</v>
      </c>
      <c r="E16" s="68">
        <v>940</v>
      </c>
      <c r="F16" s="68">
        <v>166</v>
      </c>
      <c r="G16" s="68">
        <v>18</v>
      </c>
      <c r="H16" s="68">
        <v>101</v>
      </c>
      <c r="I16" s="87">
        <v>1119</v>
      </c>
      <c r="J16" s="68">
        <v>132</v>
      </c>
      <c r="K16" s="68">
        <v>200</v>
      </c>
      <c r="L16" s="68">
        <v>586</v>
      </c>
      <c r="M16" s="68">
        <v>1</v>
      </c>
      <c r="N16" s="68">
        <v>181</v>
      </c>
      <c r="O16" s="68">
        <v>50</v>
      </c>
      <c r="P16" s="88">
        <v>4561</v>
      </c>
      <c r="Q16" s="47"/>
      <c r="T16" s="31"/>
      <c r="U16" s="68" t="s">
        <v>678</v>
      </c>
      <c r="V16" s="87">
        <f t="shared" si="0"/>
        <v>1571.8669475252887</v>
      </c>
      <c r="W16" s="87">
        <f t="shared" si="1"/>
        <v>178.86466763271963</v>
      </c>
      <c r="X16" s="13"/>
      <c r="Y16" s="13" t="s">
        <v>1196</v>
      </c>
      <c r="Z16" s="66" t="s">
        <v>1223</v>
      </c>
      <c r="AA16" s="86">
        <f>V16*18/(10+18)</f>
        <v>1010.4858948376856</v>
      </c>
      <c r="AB16" s="86">
        <f t="shared" si="5"/>
        <v>847.73737352200237</v>
      </c>
      <c r="AC16" s="86">
        <f t="shared" si="2"/>
        <v>6.0629153690261139</v>
      </c>
      <c r="AD16" s="86">
        <f t="shared" si="3"/>
        <v>141.08887811846157</v>
      </c>
      <c r="AE16" s="86">
        <f t="shared" si="4"/>
        <v>15.596727828195464</v>
      </c>
      <c r="AF16" s="14"/>
    </row>
    <row r="17" spans="1:32">
      <c r="B17" s="66" t="s">
        <v>679</v>
      </c>
      <c r="C17" s="66">
        <v>114</v>
      </c>
      <c r="D17" s="66">
        <v>650</v>
      </c>
      <c r="E17" s="66">
        <v>483</v>
      </c>
      <c r="F17" s="66">
        <v>244</v>
      </c>
      <c r="G17" s="66">
        <v>9</v>
      </c>
      <c r="H17" s="66">
        <v>185</v>
      </c>
      <c r="I17" s="66">
        <v>945</v>
      </c>
      <c r="J17" s="66">
        <v>165</v>
      </c>
      <c r="K17" s="66">
        <v>46</v>
      </c>
      <c r="L17" s="66">
        <v>301</v>
      </c>
      <c r="M17" s="66">
        <v>0</v>
      </c>
      <c r="N17" s="66">
        <v>128</v>
      </c>
      <c r="O17" s="66">
        <v>6</v>
      </c>
      <c r="P17" s="86">
        <v>3275</v>
      </c>
      <c r="Q17" s="47"/>
      <c r="T17" s="31"/>
      <c r="U17" s="66" t="s">
        <v>679</v>
      </c>
      <c r="V17" s="85">
        <f t="shared" si="0"/>
        <v>1327.4479583658604</v>
      </c>
      <c r="W17" s="85">
        <f t="shared" si="1"/>
        <v>223.58083454089953</v>
      </c>
      <c r="X17" s="13"/>
      <c r="Y17" s="13"/>
      <c r="Z17" s="66" t="s">
        <v>1141</v>
      </c>
      <c r="AA17" s="86">
        <f>V15</f>
        <v>1109.7183990571741</v>
      </c>
      <c r="AB17" s="86">
        <f t="shared" si="5"/>
        <v>933.20696049519961</v>
      </c>
      <c r="AC17" s="86">
        <f t="shared" si="2"/>
        <v>4.4388735962286967</v>
      </c>
      <c r="AD17" s="86">
        <f t="shared" si="3"/>
        <v>154.94419541159613</v>
      </c>
      <c r="AE17" s="86">
        <f t="shared" si="4"/>
        <v>17.128369554149717</v>
      </c>
      <c r="AF17" s="14"/>
    </row>
    <row r="18" spans="1:32">
      <c r="B18" s="89" t="s">
        <v>438</v>
      </c>
      <c r="C18" s="89">
        <v>104</v>
      </c>
      <c r="D18" s="90">
        <v>1212</v>
      </c>
      <c r="E18" s="89">
        <v>941</v>
      </c>
      <c r="F18" s="89">
        <v>942</v>
      </c>
      <c r="G18" s="89">
        <v>145</v>
      </c>
      <c r="H18" s="89">
        <v>287</v>
      </c>
      <c r="I18" s="90">
        <v>2874</v>
      </c>
      <c r="J18" s="90">
        <v>1175</v>
      </c>
      <c r="K18" s="89">
        <v>386</v>
      </c>
      <c r="L18" s="89">
        <v>1103</v>
      </c>
      <c r="M18" s="89">
        <v>129</v>
      </c>
      <c r="N18" s="89">
        <v>1190</v>
      </c>
      <c r="O18" s="89">
        <v>330</v>
      </c>
      <c r="P18" s="55">
        <v>10817</v>
      </c>
      <c r="Q18" s="47"/>
      <c r="T18" s="31"/>
      <c r="U18" s="89" t="s">
        <v>438</v>
      </c>
      <c r="V18" s="90">
        <f t="shared" si="0"/>
        <v>4037.1274416333144</v>
      </c>
      <c r="W18" s="90">
        <f t="shared" si="1"/>
        <v>1592.1665490033754</v>
      </c>
      <c r="X18" s="13"/>
      <c r="Y18" s="13"/>
      <c r="Z18" s="13"/>
      <c r="AA18" s="13"/>
      <c r="AB18" s="13"/>
      <c r="AC18" s="13"/>
      <c r="AD18" s="13"/>
      <c r="AE18" s="13"/>
      <c r="AF18" s="14"/>
    </row>
    <row r="19" spans="1:32">
      <c r="T19" s="31"/>
      <c r="U19" s="13"/>
      <c r="V19" s="13"/>
      <c r="W19" s="13"/>
      <c r="X19" s="13"/>
      <c r="Y19" s="13"/>
      <c r="Z19" s="66" t="s">
        <v>1197</v>
      </c>
      <c r="AA19" s="86">
        <f>V22</f>
        <v>3416.6569160000008</v>
      </c>
      <c r="AB19" s="86"/>
      <c r="AC19" s="86"/>
      <c r="AD19" s="86"/>
      <c r="AE19" s="86"/>
      <c r="AF19" s="14"/>
    </row>
    <row r="20" spans="1:32">
      <c r="B20" s="33"/>
      <c r="C20" s="33"/>
      <c r="D20" s="33"/>
      <c r="E20" s="33"/>
      <c r="F20" s="33"/>
      <c r="G20" s="33"/>
      <c r="H20" s="33"/>
      <c r="I20" s="33"/>
      <c r="T20" s="31"/>
      <c r="U20" s="550" t="s">
        <v>1198</v>
      </c>
      <c r="V20" s="13"/>
      <c r="W20" s="13"/>
      <c r="X20" s="13"/>
      <c r="Y20" s="13" t="s">
        <v>1161</v>
      </c>
      <c r="Z20" s="66" t="s">
        <v>1229</v>
      </c>
      <c r="AA20" s="86">
        <f>'Ref-AgricultureSources'!L7</f>
        <v>536.81628000000001</v>
      </c>
      <c r="AB20" s="86"/>
      <c r="AC20" s="86"/>
      <c r="AD20" s="86"/>
      <c r="AE20" s="86"/>
      <c r="AF20" s="14"/>
    </row>
    <row r="21" spans="1:32" ht="15.75" thickBot="1">
      <c r="A21" s="1" t="s">
        <v>1387</v>
      </c>
      <c r="T21" s="31"/>
      <c r="U21" s="64" t="s">
        <v>653</v>
      </c>
      <c r="V21" s="64" t="s">
        <v>1209</v>
      </c>
      <c r="W21" s="64" t="s">
        <v>1210</v>
      </c>
      <c r="X21" s="65" t="s">
        <v>1211</v>
      </c>
      <c r="Y21" s="13"/>
      <c r="Z21" s="13"/>
      <c r="AA21" s="13"/>
      <c r="AB21" s="13"/>
      <c r="AC21" s="13"/>
      <c r="AD21" s="13"/>
      <c r="AE21" s="13"/>
      <c r="AF21" s="14"/>
    </row>
    <row r="22" spans="1:32" ht="15.75" thickTop="1">
      <c r="B22" s="874" t="s">
        <v>1177</v>
      </c>
      <c r="C22" s="877"/>
      <c r="D22" s="878"/>
      <c r="E22" s="878"/>
      <c r="F22" s="878"/>
      <c r="G22" s="878"/>
      <c r="H22" s="878"/>
      <c r="I22" s="878"/>
      <c r="J22" s="878"/>
      <c r="K22" s="878"/>
      <c r="L22" s="879"/>
      <c r="M22" s="880" t="s">
        <v>1188</v>
      </c>
      <c r="N22" s="881" t="s">
        <v>1189</v>
      </c>
      <c r="T22" s="31"/>
      <c r="U22" s="66" t="s">
        <v>1197</v>
      </c>
      <c r="V22" s="553">
        <f>V34*X22</f>
        <v>3416.6569160000008</v>
      </c>
      <c r="W22" s="553">
        <f>W34*X22</f>
        <v>218.08448400000003</v>
      </c>
      <c r="X22" s="85">
        <f>0.1*SUM(F35:F37)</f>
        <v>3634.7414000000008</v>
      </c>
      <c r="Y22" s="13" t="s">
        <v>1199</v>
      </c>
      <c r="Z22" s="13"/>
      <c r="AA22" s="49"/>
      <c r="AB22" s="13"/>
      <c r="AC22" s="13"/>
      <c r="AD22" s="13"/>
      <c r="AE22" s="13"/>
      <c r="AF22" s="14"/>
    </row>
    <row r="23" spans="1:32" ht="15.75" thickBot="1">
      <c r="B23" s="875"/>
      <c r="C23" s="877" t="s">
        <v>1178</v>
      </c>
      <c r="D23" s="878"/>
      <c r="E23" s="878"/>
      <c r="F23" s="878"/>
      <c r="G23" s="878"/>
      <c r="H23" s="878"/>
      <c r="I23" s="878"/>
      <c r="J23" s="878"/>
      <c r="K23" s="878"/>
      <c r="L23" s="879"/>
      <c r="M23" s="880"/>
      <c r="N23" s="881"/>
      <c r="T23" s="31"/>
      <c r="U23" s="64"/>
      <c r="V23" s="64" t="s">
        <v>1205</v>
      </c>
      <c r="W23" s="64"/>
      <c r="X23" s="13"/>
      <c r="Y23" s="13"/>
      <c r="Z23" s="13"/>
      <c r="AA23" s="49"/>
      <c r="AB23" s="13"/>
      <c r="AC23" s="13"/>
      <c r="AD23" s="13"/>
      <c r="AE23" s="13"/>
      <c r="AF23" s="14"/>
    </row>
    <row r="24" spans="1:32" ht="27" thickTop="1">
      <c r="B24" s="876"/>
      <c r="C24" s="544" t="s">
        <v>1179</v>
      </c>
      <c r="D24" s="544" t="s">
        <v>1180</v>
      </c>
      <c r="E24" s="544" t="s">
        <v>1181</v>
      </c>
      <c r="F24" s="544" t="s">
        <v>1182</v>
      </c>
      <c r="G24" s="544" t="s">
        <v>1183</v>
      </c>
      <c r="H24" s="544" t="s">
        <v>1184</v>
      </c>
      <c r="I24" s="544" t="s">
        <v>1185</v>
      </c>
      <c r="J24" s="544" t="s">
        <v>835</v>
      </c>
      <c r="K24" s="544" t="s">
        <v>1186</v>
      </c>
      <c r="L24" s="544" t="s">
        <v>1187</v>
      </c>
      <c r="M24" s="880"/>
      <c r="N24" s="881"/>
      <c r="T24" s="31"/>
      <c r="U24" s="66" t="s">
        <v>26</v>
      </c>
      <c r="V24" s="551">
        <v>0.05</v>
      </c>
      <c r="W24" s="551"/>
      <c r="X24" s="13"/>
      <c r="Y24" s="13"/>
      <c r="Z24" s="13"/>
      <c r="AA24" s="49"/>
      <c r="AB24" s="13"/>
      <c r="AC24" s="13"/>
      <c r="AD24" s="13"/>
      <c r="AE24" s="13"/>
      <c r="AF24" s="14"/>
    </row>
    <row r="25" spans="1:32">
      <c r="A25" t="s">
        <v>823</v>
      </c>
      <c r="B25" s="546">
        <v>2014</v>
      </c>
      <c r="C25" s="545">
        <v>14549</v>
      </c>
      <c r="D25" s="545">
        <v>282</v>
      </c>
      <c r="E25" s="545">
        <v>5189</v>
      </c>
      <c r="F25" s="545">
        <v>625</v>
      </c>
      <c r="G25" s="545">
        <v>12033</v>
      </c>
      <c r="H25" s="545">
        <v>580</v>
      </c>
      <c r="I25" s="545">
        <v>1489</v>
      </c>
      <c r="J25" s="545">
        <v>2434</v>
      </c>
      <c r="K25" s="545">
        <v>3957</v>
      </c>
      <c r="L25" s="545">
        <v>236</v>
      </c>
      <c r="M25" s="380">
        <f>G25/SUM(C25:L25)</f>
        <v>0.29083482380238795</v>
      </c>
      <c r="N25" s="380">
        <f>I25/SUM(C25:L25)</f>
        <v>3.5988785227437523E-2</v>
      </c>
      <c r="T25" s="31"/>
      <c r="U25" s="68" t="s">
        <v>1200</v>
      </c>
      <c r="V25" s="552">
        <v>0.57999999999999996</v>
      </c>
      <c r="W25" s="552"/>
      <c r="X25" s="13"/>
      <c r="Y25" s="13"/>
      <c r="Z25" s="13"/>
      <c r="AA25" s="13"/>
      <c r="AB25" s="13"/>
      <c r="AC25" s="13"/>
      <c r="AD25" s="13"/>
      <c r="AE25" s="13"/>
      <c r="AF25" s="14"/>
    </row>
    <row r="26" spans="1:32">
      <c r="A26" t="s">
        <v>826</v>
      </c>
      <c r="B26" s="546">
        <v>2014</v>
      </c>
      <c r="C26" s="545">
        <v>1376</v>
      </c>
      <c r="D26" s="545">
        <v>140</v>
      </c>
      <c r="E26" s="545">
        <v>1372</v>
      </c>
      <c r="F26" s="545">
        <v>663</v>
      </c>
      <c r="G26" s="545">
        <v>3133</v>
      </c>
      <c r="H26" s="545">
        <v>231</v>
      </c>
      <c r="I26" s="545">
        <v>782</v>
      </c>
      <c r="J26" s="545">
        <v>960</v>
      </c>
      <c r="K26" s="545">
        <v>1171</v>
      </c>
      <c r="L26" s="545">
        <v>186</v>
      </c>
      <c r="M26" s="380">
        <f t="shared" ref="M26:M27" si="6">G26/SUM(C26:L26)</f>
        <v>0.31286199320950669</v>
      </c>
      <c r="N26" s="380">
        <f t="shared" ref="N26:N27" si="7">I26/SUM(C26:L26)</f>
        <v>7.809067305771919E-2</v>
      </c>
      <c r="T26" s="31"/>
      <c r="U26" s="66" t="s">
        <v>1201</v>
      </c>
      <c r="V26" s="551">
        <v>0.13</v>
      </c>
      <c r="W26" s="551"/>
      <c r="X26" s="13"/>
      <c r="Y26" s="13"/>
      <c r="Z26" s="13"/>
      <c r="AA26" s="13"/>
      <c r="AB26" s="13"/>
      <c r="AC26" s="13"/>
      <c r="AD26" s="13"/>
      <c r="AE26" s="13"/>
      <c r="AF26" s="14"/>
    </row>
    <row r="27" spans="1:32">
      <c r="A27" t="s">
        <v>824</v>
      </c>
      <c r="B27" s="546">
        <v>2014</v>
      </c>
      <c r="C27" s="545">
        <v>5196</v>
      </c>
      <c r="D27" s="545">
        <v>256</v>
      </c>
      <c r="E27" s="545">
        <v>6583</v>
      </c>
      <c r="F27" s="545">
        <v>1580</v>
      </c>
      <c r="G27" s="545">
        <v>12650</v>
      </c>
      <c r="H27" s="545">
        <v>418</v>
      </c>
      <c r="I27" s="545">
        <v>3168</v>
      </c>
      <c r="J27" s="545">
        <v>3913</v>
      </c>
      <c r="K27" s="545">
        <v>4138</v>
      </c>
      <c r="L27" s="545">
        <v>269</v>
      </c>
      <c r="M27" s="380">
        <f t="shared" si="6"/>
        <v>0.33140342144560009</v>
      </c>
      <c r="N27" s="380">
        <f t="shared" si="7"/>
        <v>8.2994943805506802E-2</v>
      </c>
      <c r="T27" s="31"/>
      <c r="U27" s="68" t="s">
        <v>1202</v>
      </c>
      <c r="V27" s="552">
        <v>0.14000000000000001</v>
      </c>
      <c r="W27" s="552"/>
      <c r="X27" s="13"/>
      <c r="Y27" s="13"/>
      <c r="Z27" s="13"/>
      <c r="AA27" s="13"/>
      <c r="AB27" s="13"/>
      <c r="AC27" s="13"/>
      <c r="AD27" s="13"/>
      <c r="AE27" s="13"/>
      <c r="AF27" s="14"/>
    </row>
    <row r="28" spans="1:32">
      <c r="B28" s="33"/>
      <c r="C28" s="33"/>
      <c r="D28" s="33"/>
      <c r="E28" s="33"/>
      <c r="F28" s="33"/>
      <c r="G28" s="33"/>
      <c r="H28" s="33"/>
      <c r="I28" s="33"/>
      <c r="T28" s="31"/>
      <c r="U28" s="66" t="s">
        <v>34</v>
      </c>
      <c r="V28" s="551"/>
      <c r="W28" s="551">
        <v>0.02</v>
      </c>
      <c r="X28" s="13" t="s">
        <v>1207</v>
      </c>
      <c r="Y28" s="13"/>
      <c r="Z28" s="13"/>
      <c r="AA28" s="13"/>
      <c r="AB28" s="13"/>
      <c r="AC28" s="13"/>
      <c r="AD28" s="13"/>
      <c r="AE28" s="13"/>
      <c r="AF28" s="14"/>
    </row>
    <row r="29" spans="1:32" ht="15.75" thickBot="1">
      <c r="A29" s="1" t="s">
        <v>1388</v>
      </c>
      <c r="B29" s="33"/>
      <c r="C29" s="33"/>
      <c r="D29" s="33"/>
      <c r="E29" s="33"/>
      <c r="F29" s="33"/>
      <c r="G29" s="33"/>
      <c r="H29" s="33"/>
      <c r="I29" s="33"/>
      <c r="T29" s="31"/>
      <c r="U29" s="68" t="s">
        <v>29</v>
      </c>
      <c r="V29" s="552">
        <v>0.04</v>
      </c>
      <c r="W29" s="552"/>
      <c r="X29" s="13"/>
      <c r="Y29" s="13"/>
      <c r="Z29" s="13"/>
      <c r="AA29" s="13"/>
      <c r="AB29" s="13"/>
      <c r="AC29" s="13"/>
      <c r="AD29" s="13"/>
      <c r="AE29" s="13"/>
      <c r="AF29" s="14"/>
    </row>
    <row r="30" spans="1:32">
      <c r="B30" s="30"/>
      <c r="C30" s="11"/>
      <c r="D30" s="11"/>
      <c r="E30" s="11"/>
      <c r="F30" s="11"/>
      <c r="G30" s="12"/>
      <c r="H30" s="33"/>
      <c r="I30" s="33"/>
      <c r="T30" s="31"/>
      <c r="U30" s="66" t="s">
        <v>145</v>
      </c>
      <c r="V30" s="551"/>
      <c r="W30" s="551">
        <v>0.02</v>
      </c>
      <c r="X30" s="13" t="s">
        <v>1207</v>
      </c>
      <c r="Y30" s="13"/>
      <c r="Z30" s="13"/>
      <c r="AA30" s="13"/>
      <c r="AB30" s="13"/>
      <c r="AC30" s="13"/>
      <c r="AD30" s="13"/>
      <c r="AE30" s="13"/>
      <c r="AF30" s="14"/>
    </row>
    <row r="31" spans="1:32">
      <c r="B31" s="376" t="s">
        <v>865</v>
      </c>
      <c r="C31" s="13"/>
      <c r="D31" s="13" t="s">
        <v>1174</v>
      </c>
      <c r="E31" s="13"/>
      <c r="F31" s="13"/>
      <c r="G31" s="14"/>
      <c r="H31" s="33"/>
      <c r="I31" s="33"/>
      <c r="T31" s="31"/>
      <c r="U31" s="68" t="s">
        <v>1203</v>
      </c>
      <c r="V31" s="552">
        <v>0</v>
      </c>
      <c r="W31" s="552"/>
      <c r="X31" s="13"/>
      <c r="Y31" s="13"/>
      <c r="Z31" s="13"/>
      <c r="AA31" s="13"/>
      <c r="AB31" s="13"/>
      <c r="AC31" s="13"/>
      <c r="AD31" s="13"/>
      <c r="AE31" s="13"/>
      <c r="AF31" s="14"/>
    </row>
    <row r="32" spans="1:32">
      <c r="B32" s="31" t="s">
        <v>1175</v>
      </c>
      <c r="C32" s="13"/>
      <c r="D32" s="13"/>
      <c r="E32" s="13"/>
      <c r="F32" s="13"/>
      <c r="G32" s="25"/>
      <c r="H32" s="33"/>
      <c r="I32" s="33"/>
      <c r="T32" s="31"/>
      <c r="U32" s="66" t="s">
        <v>1204</v>
      </c>
      <c r="V32" s="551"/>
      <c r="W32" s="551">
        <v>0.02</v>
      </c>
      <c r="X32" s="13" t="s">
        <v>1207</v>
      </c>
      <c r="Y32" s="13"/>
      <c r="Z32" s="13"/>
      <c r="AA32" s="13"/>
      <c r="AB32" s="13"/>
      <c r="AC32" s="13"/>
      <c r="AD32" s="13"/>
      <c r="AE32" s="13"/>
      <c r="AF32" s="14"/>
    </row>
    <row r="33" spans="2:32">
      <c r="B33" s="31" t="s">
        <v>1327</v>
      </c>
      <c r="C33" s="13"/>
      <c r="D33" s="13"/>
      <c r="E33" s="13"/>
      <c r="F33" s="13"/>
      <c r="G33" s="14"/>
      <c r="H33" s="33"/>
      <c r="I33" s="33"/>
      <c r="T33" s="31"/>
      <c r="U33" s="66" t="s">
        <v>107</v>
      </c>
      <c r="V33" s="551">
        <v>0</v>
      </c>
      <c r="W33" s="551"/>
      <c r="X33" s="13"/>
      <c r="Y33" s="13"/>
      <c r="Z33" s="13"/>
      <c r="AA33" s="13"/>
      <c r="AB33" s="13"/>
      <c r="AC33" s="13"/>
      <c r="AD33" s="13"/>
      <c r="AE33" s="13"/>
      <c r="AF33" s="14"/>
    </row>
    <row r="34" spans="2:32">
      <c r="B34" s="31"/>
      <c r="C34" s="13" t="s">
        <v>1190</v>
      </c>
      <c r="D34" s="13" t="s">
        <v>1191</v>
      </c>
      <c r="E34" s="13" t="s">
        <v>875</v>
      </c>
      <c r="F34" s="24" t="s">
        <v>880</v>
      </c>
      <c r="G34" s="14" t="s">
        <v>1221</v>
      </c>
      <c r="T34" s="31"/>
      <c r="U34" s="13"/>
      <c r="V34" s="551">
        <f>SUM(V24,V25,V26,V27,V29,)</f>
        <v>0.94000000000000006</v>
      </c>
      <c r="W34" s="551">
        <f>SUM(W28,W30,W31,W32,W33)</f>
        <v>0.06</v>
      </c>
      <c r="X34" s="13"/>
      <c r="Y34" s="13"/>
      <c r="Z34" s="13"/>
      <c r="AA34" s="13"/>
      <c r="AB34" s="13"/>
      <c r="AC34" s="13"/>
      <c r="AD34" s="13"/>
      <c r="AE34" s="13"/>
      <c r="AF34" s="14"/>
    </row>
    <row r="35" spans="2:32">
      <c r="B35" s="31" t="s">
        <v>874</v>
      </c>
      <c r="C35" s="547">
        <f>D42</f>
        <v>11590.317406342147</v>
      </c>
      <c r="D35" s="547">
        <f>E42</f>
        <v>1434.2211101174651</v>
      </c>
      <c r="E35" s="547">
        <v>517.44899999999996</v>
      </c>
      <c r="F35" s="548">
        <v>17402.752</v>
      </c>
      <c r="G35" s="549">
        <v>8199.9429999999993</v>
      </c>
      <c r="T35" s="31"/>
      <c r="U35" s="13"/>
      <c r="V35" s="13"/>
      <c r="W35" s="13"/>
      <c r="X35" s="13"/>
      <c r="Y35" s="13"/>
      <c r="Z35" s="13"/>
      <c r="AA35" s="13"/>
      <c r="AB35" s="13"/>
      <c r="AC35" s="13"/>
      <c r="AD35" s="13"/>
      <c r="AE35" s="13"/>
      <c r="AF35" s="14"/>
    </row>
    <row r="36" spans="2:32" ht="15.75" thickBot="1">
      <c r="B36" s="31" t="s">
        <v>826</v>
      </c>
      <c r="C36" s="547">
        <f t="shared" ref="C36:D36" si="8">D43</f>
        <v>2961.5841653684838</v>
      </c>
      <c r="D36" s="547">
        <f t="shared" si="8"/>
        <v>739.21443259436785</v>
      </c>
      <c r="E36" s="547">
        <v>165.43700000000001</v>
      </c>
      <c r="F36" s="548">
        <v>1492.498</v>
      </c>
      <c r="G36" s="549">
        <v>356.03</v>
      </c>
      <c r="T36" s="31"/>
      <c r="U36" s="64" t="s">
        <v>878</v>
      </c>
      <c r="V36" s="64"/>
      <c r="W36" s="64" t="s">
        <v>934</v>
      </c>
      <c r="X36" s="13"/>
      <c r="Y36" s="13"/>
      <c r="Z36" s="13"/>
      <c r="AA36" s="13"/>
      <c r="AB36" s="13"/>
      <c r="AC36" s="13"/>
      <c r="AD36" s="13"/>
      <c r="AE36" s="13"/>
      <c r="AF36" s="14"/>
    </row>
    <row r="37" spans="2:32" ht="15.75" thickTop="1">
      <c r="B37" s="31" t="s">
        <v>824</v>
      </c>
      <c r="C37" s="547">
        <f t="shared" ref="C37:D37" si="9">D44</f>
        <v>12509.775590107674</v>
      </c>
      <c r="D37" s="547">
        <f t="shared" si="9"/>
        <v>3132.8829303921825</v>
      </c>
      <c r="E37" s="547">
        <v>508.41500000000002</v>
      </c>
      <c r="F37" s="548">
        <v>17452.164000000001</v>
      </c>
      <c r="G37" s="549">
        <v>4864.4340000000002</v>
      </c>
      <c r="T37" s="31"/>
      <c r="U37" s="155" t="s">
        <v>879</v>
      </c>
      <c r="V37" s="155"/>
      <c r="W37" s="156">
        <f>W5+W22</f>
        <v>5524.4029571040155</v>
      </c>
      <c r="X37" s="13"/>
      <c r="Y37" s="13"/>
      <c r="Z37" s="13"/>
      <c r="AA37" s="13"/>
      <c r="AB37" s="13"/>
      <c r="AC37" s="13"/>
      <c r="AD37" s="13"/>
      <c r="AE37" s="13"/>
      <c r="AF37" s="14"/>
    </row>
    <row r="38" spans="2:32" ht="21" customHeight="1">
      <c r="B38" s="31"/>
      <c r="C38" s="13"/>
      <c r="D38" s="13"/>
      <c r="E38" s="13"/>
      <c r="F38" s="13"/>
      <c r="G38" s="14"/>
      <c r="T38" s="31"/>
      <c r="U38" s="155" t="s">
        <v>825</v>
      </c>
      <c r="V38" s="155"/>
      <c r="W38" s="156">
        <f>SUM(E35:E37)</f>
        <v>1191.3009999999999</v>
      </c>
      <c r="X38" s="13"/>
      <c r="Y38" s="13"/>
      <c r="Z38" s="13"/>
      <c r="AA38" s="13"/>
      <c r="AB38" s="13"/>
      <c r="AC38" s="13"/>
      <c r="AD38" s="13"/>
      <c r="AE38" s="13"/>
      <c r="AF38" s="14"/>
    </row>
    <row r="39" spans="2:32">
      <c r="B39" s="31"/>
      <c r="C39" s="13"/>
      <c r="D39" s="13"/>
      <c r="E39" s="13"/>
      <c r="F39" s="13"/>
      <c r="G39" s="14"/>
      <c r="T39" s="31"/>
      <c r="U39" s="13"/>
      <c r="V39" s="13" t="s">
        <v>452</v>
      </c>
      <c r="W39" s="374">
        <f>SUM(W37:W38)</f>
        <v>6715.703957104015</v>
      </c>
      <c r="X39" s="13"/>
      <c r="Y39" s="13"/>
      <c r="Z39" s="13"/>
      <c r="AA39" s="13"/>
      <c r="AB39" s="13"/>
      <c r="AC39" s="13"/>
      <c r="AD39" s="13"/>
      <c r="AE39" s="13"/>
      <c r="AF39" s="14"/>
    </row>
    <row r="40" spans="2:32" ht="15.75" thickBot="1">
      <c r="B40" s="15"/>
      <c r="C40" s="16"/>
      <c r="D40" s="16"/>
      <c r="E40" s="16"/>
      <c r="F40" s="16"/>
      <c r="G40" s="17"/>
      <c r="T40" s="31"/>
      <c r="U40" s="13"/>
      <c r="V40" s="13"/>
      <c r="W40" s="13"/>
      <c r="X40" s="13"/>
      <c r="Y40" s="13"/>
      <c r="Z40" s="13"/>
      <c r="AA40" s="13"/>
      <c r="AB40" s="13"/>
      <c r="AC40" s="13"/>
      <c r="AD40" s="13"/>
      <c r="AE40" s="13"/>
      <c r="AF40" s="14"/>
    </row>
    <row r="41" spans="2:32" ht="15.75" thickBot="1">
      <c r="C41" t="s">
        <v>1194</v>
      </c>
      <c r="D41" s="13" t="s">
        <v>1192</v>
      </c>
      <c r="E41" s="13" t="s">
        <v>1193</v>
      </c>
      <c r="F41" t="s">
        <v>1176</v>
      </c>
      <c r="T41" s="31"/>
      <c r="U41" s="64" t="s">
        <v>1230</v>
      </c>
      <c r="V41" s="64" t="s">
        <v>1206</v>
      </c>
      <c r="W41" s="64" t="s">
        <v>883</v>
      </c>
      <c r="X41" s="13"/>
      <c r="Y41" s="13"/>
      <c r="Z41" s="13"/>
      <c r="AA41" s="13"/>
      <c r="AB41" s="13"/>
      <c r="AC41" s="13"/>
      <c r="AD41" s="13"/>
      <c r="AE41" s="13"/>
      <c r="AF41" s="14"/>
    </row>
    <row r="42" spans="2:32" ht="15.75" thickTop="1">
      <c r="B42" s="13" t="s">
        <v>874</v>
      </c>
      <c r="C42" s="380">
        <v>39851.89</v>
      </c>
      <c r="D42" s="380">
        <f>C42*M25</f>
        <v>11590.317406342147</v>
      </c>
      <c r="E42" s="380">
        <f>C42*N25</f>
        <v>1434.2211101174651</v>
      </c>
      <c r="F42" s="380">
        <v>4280.1398546454002</v>
      </c>
      <c r="G42" s="380"/>
      <c r="T42" s="31"/>
      <c r="U42" s="155" t="s">
        <v>683</v>
      </c>
      <c r="V42" s="157">
        <f>'Ref-DOE'!O38</f>
        <v>1.5658913022640469E-2</v>
      </c>
      <c r="W42" s="156">
        <f>V42*W38</f>
        <v>18.654478742784612</v>
      </c>
      <c r="X42" s="13"/>
      <c r="Y42" s="13"/>
      <c r="Z42" s="13"/>
      <c r="AA42" s="13"/>
      <c r="AB42" s="13"/>
      <c r="AC42" s="13"/>
      <c r="AD42" s="13"/>
      <c r="AE42" s="13"/>
      <c r="AF42" s="14"/>
    </row>
    <row r="43" spans="2:32">
      <c r="B43" s="13" t="s">
        <v>826</v>
      </c>
      <c r="C43" s="380">
        <v>9466.1039999999994</v>
      </c>
      <c r="D43" s="380">
        <f>C43*M26</f>
        <v>2961.5841653684838</v>
      </c>
      <c r="E43" s="380">
        <f>C43*N26</f>
        <v>739.21443259436785</v>
      </c>
      <c r="F43" s="380">
        <v>997.40461129934999</v>
      </c>
      <c r="G43" s="380"/>
      <c r="T43" s="31"/>
      <c r="U43" s="155" t="s">
        <v>115</v>
      </c>
      <c r="V43" s="157">
        <f>'Ref-DOE'!O40</f>
        <v>0.98434108697735956</v>
      </c>
      <c r="W43" s="156">
        <f>V43*W38</f>
        <v>1172.6465212572155</v>
      </c>
      <c r="X43" s="13"/>
      <c r="Y43" s="13"/>
      <c r="Z43" s="13"/>
      <c r="AA43" s="13"/>
      <c r="AB43" s="13"/>
      <c r="AC43" s="13"/>
      <c r="AD43" s="13"/>
      <c r="AE43" s="13"/>
      <c r="AF43" s="14"/>
    </row>
    <row r="44" spans="2:32">
      <c r="B44" s="13" t="s">
        <v>824</v>
      </c>
      <c r="C44" s="380">
        <v>37747.877</v>
      </c>
      <c r="D44" s="380">
        <f>C44*M27</f>
        <v>12509.775590107674</v>
      </c>
      <c r="E44" s="380">
        <f>C44*N27</f>
        <v>3132.8829303921825</v>
      </c>
      <c r="F44" s="380">
        <v>4512.2562598063996</v>
      </c>
      <c r="G44" s="380"/>
      <c r="T44" s="31"/>
      <c r="U44" s="155" t="s">
        <v>118</v>
      </c>
      <c r="V44" s="157">
        <f>'Ref-DOE'!N37</f>
        <v>1.5579334936918519E-2</v>
      </c>
      <c r="W44" s="156">
        <f>V44*$W$37</f>
        <v>86.066523995226561</v>
      </c>
      <c r="X44" s="13"/>
      <c r="Y44" s="13"/>
      <c r="Z44" s="13"/>
      <c r="AA44" s="13"/>
      <c r="AB44" s="13"/>
      <c r="AC44" s="13"/>
      <c r="AD44" s="13"/>
      <c r="AE44" s="13"/>
      <c r="AF44" s="14"/>
    </row>
    <row r="45" spans="2:32">
      <c r="B45" s="13"/>
      <c r="T45" s="31"/>
      <c r="U45" s="155" t="s">
        <v>1173</v>
      </c>
      <c r="V45" s="157">
        <f>'Ref-DOE'!N36</f>
        <v>0.18649747904899194</v>
      </c>
      <c r="W45" s="156">
        <f>V45*$W$37</f>
        <v>1030.2872247506953</v>
      </c>
      <c r="X45" s="13"/>
      <c r="Y45" s="13"/>
      <c r="Z45" s="13"/>
      <c r="AA45" s="13"/>
      <c r="AB45" s="13"/>
      <c r="AC45" s="13"/>
      <c r="AD45" s="13"/>
      <c r="AE45" s="13"/>
      <c r="AF45" s="14"/>
    </row>
    <row r="46" spans="2:32">
      <c r="T46" s="31"/>
      <c r="U46" s="155" t="s">
        <v>1172</v>
      </c>
      <c r="V46" s="157">
        <f>'Ref-DOE'!N39*(SUM('Ref-ExteriorSources'!D90,'Ref-ExteriorSources'!D93,'Ref-ExteriorSources'!D95,'Ref-ExteriorSources'!D96))</f>
        <v>0.445241137795862</v>
      </c>
      <c r="W46" s="156">
        <f>V46*$W$37</f>
        <v>2459.6914582638165</v>
      </c>
      <c r="X46" s="13"/>
      <c r="Y46" s="13"/>
      <c r="Z46" s="13"/>
      <c r="AA46" s="13"/>
      <c r="AB46" s="13"/>
      <c r="AC46" s="13"/>
      <c r="AD46" s="13"/>
      <c r="AE46" s="13"/>
      <c r="AF46" s="14"/>
    </row>
    <row r="47" spans="2:32">
      <c r="T47" s="31"/>
      <c r="U47" s="559" t="s">
        <v>1043</v>
      </c>
      <c r="V47" s="157">
        <f>'Ref-DOE'!N39*SUM('Ref-ExteriorSources'!D91,'Ref-ExteriorSources'!D92,'Ref-ExteriorSources'!D94)</f>
        <v>0.3518841250322135</v>
      </c>
      <c r="W47" s="156">
        <f>V47*$W$37</f>
        <v>1943.9497008859194</v>
      </c>
      <c r="X47" s="13"/>
      <c r="Y47" s="13"/>
      <c r="Z47" s="13"/>
      <c r="AA47" s="13"/>
      <c r="AB47" s="13"/>
      <c r="AC47" s="13"/>
      <c r="AD47" s="13"/>
      <c r="AE47" s="13"/>
      <c r="AF47" s="14"/>
    </row>
    <row r="48" spans="2:32">
      <c r="T48" s="31"/>
      <c r="U48" s="394"/>
      <c r="V48" s="395"/>
      <c r="W48" s="396"/>
      <c r="X48" s="13"/>
      <c r="Y48" s="13"/>
      <c r="Z48" s="13"/>
      <c r="AA48" s="13"/>
      <c r="AB48" s="13"/>
      <c r="AC48" s="13"/>
      <c r="AD48" s="13"/>
      <c r="AE48" s="13"/>
      <c r="AF48" s="14"/>
    </row>
    <row r="49" spans="1:32" ht="15.75" thickBot="1">
      <c r="T49" s="15"/>
      <c r="U49" s="16"/>
      <c r="V49" s="16"/>
      <c r="W49" s="16"/>
      <c r="X49" s="16"/>
      <c r="Y49" s="16"/>
      <c r="Z49" s="16"/>
      <c r="AA49" s="16"/>
      <c r="AB49" s="16"/>
      <c r="AC49" s="16"/>
      <c r="AD49" s="16"/>
      <c r="AE49" s="16"/>
      <c r="AF49" s="17"/>
    </row>
    <row r="50" spans="1:32">
      <c r="A50" s="1" t="s">
        <v>849</v>
      </c>
      <c r="D50" t="s">
        <v>1162</v>
      </c>
      <c r="E50" t="s">
        <v>1163</v>
      </c>
      <c r="F50" t="s">
        <v>1164</v>
      </c>
    </row>
    <row r="51" spans="1:32" ht="15.75" thickBot="1">
      <c r="D51" t="s">
        <v>746</v>
      </c>
    </row>
    <row r="52" spans="1:32" ht="60.75" thickBot="1">
      <c r="B52" s="73" t="s">
        <v>167</v>
      </c>
      <c r="C52" s="73" t="s">
        <v>747</v>
      </c>
      <c r="D52" s="74" t="s">
        <v>748</v>
      </c>
      <c r="E52" s="74" t="s">
        <v>749</v>
      </c>
      <c r="F52" s="74" t="s">
        <v>750</v>
      </c>
      <c r="G52" s="74" t="s">
        <v>86</v>
      </c>
    </row>
    <row r="53" spans="1:32">
      <c r="B53" s="75" t="s">
        <v>751</v>
      </c>
      <c r="C53" s="75" t="s">
        <v>752</v>
      </c>
      <c r="D53" s="76">
        <v>0.56499999999999995</v>
      </c>
      <c r="E53" s="76">
        <v>0.38500000000000001</v>
      </c>
      <c r="F53" s="76">
        <v>4.2999999999999997E-2</v>
      </c>
      <c r="G53" s="76">
        <v>7.0000000000000001E-3</v>
      </c>
      <c r="H53" t="s">
        <v>753</v>
      </c>
      <c r="J53" s="384"/>
      <c r="K53" s="384"/>
    </row>
    <row r="54" spans="1:32">
      <c r="B54" s="77" t="s">
        <v>755</v>
      </c>
      <c r="C54" s="77" t="s">
        <v>752</v>
      </c>
      <c r="D54" s="78">
        <v>0.92200000000000004</v>
      </c>
      <c r="E54" s="78">
        <v>6.7000000000000004E-2</v>
      </c>
      <c r="F54" s="78">
        <v>5.0000000000000001E-3</v>
      </c>
      <c r="G54" s="78">
        <v>7.0000000000000001E-3</v>
      </c>
      <c r="H54" t="s">
        <v>753</v>
      </c>
      <c r="J54" s="384"/>
      <c r="K54" s="384"/>
      <c r="L54" s="399"/>
    </row>
    <row r="55" spans="1:32">
      <c r="B55" s="75" t="s">
        <v>756</v>
      </c>
      <c r="C55" s="75" t="s">
        <v>757</v>
      </c>
      <c r="D55" s="76">
        <v>0.875</v>
      </c>
      <c r="E55" s="76">
        <v>8.3000000000000004E-2</v>
      </c>
      <c r="F55" s="76">
        <v>3.6999999999999998E-2</v>
      </c>
      <c r="G55" s="76">
        <v>4.0000000000000001E-3</v>
      </c>
      <c r="H55" t="s">
        <v>753</v>
      </c>
      <c r="J55" s="384"/>
      <c r="K55" s="384"/>
      <c r="L55" s="399"/>
    </row>
    <row r="56" spans="1:32">
      <c r="B56" s="77" t="s">
        <v>756</v>
      </c>
      <c r="C56" s="77" t="s">
        <v>758</v>
      </c>
      <c r="D56" s="78">
        <v>0.875</v>
      </c>
      <c r="E56" s="78">
        <v>8.3000000000000004E-2</v>
      </c>
      <c r="F56" s="78">
        <v>3.6999999999999998E-2</v>
      </c>
      <c r="G56" s="78">
        <v>4.0000000000000001E-3</v>
      </c>
      <c r="H56" t="s">
        <v>753</v>
      </c>
      <c r="J56" s="384"/>
      <c r="K56" s="384"/>
      <c r="L56" s="399"/>
    </row>
    <row r="57" spans="1:32">
      <c r="B57" s="75" t="s">
        <v>759</v>
      </c>
      <c r="C57" s="75" t="s">
        <v>757</v>
      </c>
      <c r="D57" s="76">
        <v>0.88400000000000001</v>
      </c>
      <c r="E57" s="76">
        <v>8.4000000000000005E-2</v>
      </c>
      <c r="F57" s="76">
        <v>2.9000000000000001E-2</v>
      </c>
      <c r="G57" s="76">
        <v>3.0000000000000001E-3</v>
      </c>
      <c r="H57" t="s">
        <v>753</v>
      </c>
      <c r="J57" s="384"/>
      <c r="K57" s="384"/>
      <c r="L57" s="399"/>
    </row>
    <row r="58" spans="1:32">
      <c r="B58" s="77" t="s">
        <v>759</v>
      </c>
      <c r="C58" s="77" t="s">
        <v>758</v>
      </c>
      <c r="D58" s="78">
        <v>0.88400000000000001</v>
      </c>
      <c r="E58" s="78">
        <v>8.4000000000000005E-2</v>
      </c>
      <c r="F58" s="78">
        <v>2.9000000000000001E-2</v>
      </c>
      <c r="G58" s="78">
        <v>3.0000000000000001E-3</v>
      </c>
      <c r="H58" t="s">
        <v>753</v>
      </c>
      <c r="J58" s="384"/>
      <c r="K58" s="384"/>
      <c r="L58" s="399"/>
    </row>
    <row r="59" spans="1:32">
      <c r="B59" s="75" t="s">
        <v>760</v>
      </c>
      <c r="C59" s="557" t="s">
        <v>761</v>
      </c>
      <c r="D59" s="76">
        <v>0.90900000000000003</v>
      </c>
      <c r="E59" s="76">
        <v>0.08</v>
      </c>
      <c r="F59" s="76">
        <v>7.0000000000000001E-3</v>
      </c>
      <c r="G59" s="76">
        <v>5.0000000000000001E-3</v>
      </c>
      <c r="H59" t="s">
        <v>753</v>
      </c>
      <c r="J59" s="384"/>
      <c r="K59" s="384"/>
      <c r="L59" s="399"/>
    </row>
    <row r="60" spans="1:32">
      <c r="B60" s="77" t="s">
        <v>760</v>
      </c>
      <c r="C60" s="77" t="s">
        <v>758</v>
      </c>
      <c r="D60" s="78">
        <v>0.90900000000000003</v>
      </c>
      <c r="E60" s="78">
        <v>0.08</v>
      </c>
      <c r="F60" s="78">
        <v>7.0000000000000001E-3</v>
      </c>
      <c r="G60" s="78">
        <v>5.0000000000000001E-3</v>
      </c>
      <c r="H60" t="s">
        <v>753</v>
      </c>
      <c r="J60" s="384"/>
      <c r="K60" s="384"/>
      <c r="L60" s="399"/>
    </row>
    <row r="61" spans="1:32">
      <c r="B61" s="75" t="s">
        <v>762</v>
      </c>
      <c r="C61" s="75" t="s">
        <v>752</v>
      </c>
      <c r="D61" s="76">
        <v>0.92200000000000004</v>
      </c>
      <c r="E61" s="76">
        <v>6.7000000000000004E-2</v>
      </c>
      <c r="F61" s="76">
        <v>5.0000000000000001E-3</v>
      </c>
      <c r="G61" s="76">
        <v>7.0000000000000001E-3</v>
      </c>
      <c r="H61" t="s">
        <v>753</v>
      </c>
      <c r="J61" s="384"/>
      <c r="K61" s="384"/>
      <c r="L61" s="399"/>
    </row>
    <row r="62" spans="1:32">
      <c r="B62" s="77" t="s">
        <v>763</v>
      </c>
      <c r="C62" s="77" t="s">
        <v>752</v>
      </c>
      <c r="D62" s="78">
        <v>0.873</v>
      </c>
      <c r="E62" s="78">
        <v>9.4E-2</v>
      </c>
      <c r="F62" s="78">
        <v>2.9000000000000001E-2</v>
      </c>
      <c r="G62" s="78">
        <v>4.0000000000000001E-3</v>
      </c>
      <c r="H62" t="s">
        <v>753</v>
      </c>
      <c r="J62" s="384"/>
      <c r="K62" s="384"/>
      <c r="L62" s="399"/>
    </row>
    <row r="63" spans="1:32">
      <c r="B63" s="75" t="s">
        <v>764</v>
      </c>
      <c r="C63" s="75" t="s">
        <v>752</v>
      </c>
      <c r="D63" s="76">
        <v>0.41499999999999998</v>
      </c>
      <c r="E63" s="76">
        <v>0.53200000000000003</v>
      </c>
      <c r="F63" s="76">
        <v>4.3999999999999997E-2</v>
      </c>
      <c r="G63" s="76">
        <v>8.0000000000000002E-3</v>
      </c>
      <c r="H63" t="s">
        <v>753</v>
      </c>
      <c r="J63" s="384"/>
      <c r="K63" s="384"/>
      <c r="L63" s="399"/>
    </row>
    <row r="64" spans="1:32">
      <c r="B64" s="77" t="s">
        <v>765</v>
      </c>
      <c r="C64" s="77" t="s">
        <v>757</v>
      </c>
      <c r="D64" s="78">
        <v>0.246</v>
      </c>
      <c r="E64" s="78">
        <v>0.68899999999999995</v>
      </c>
      <c r="F64" s="78">
        <v>5.6000000000000001E-2</v>
      </c>
      <c r="G64" s="78">
        <v>8.9999999999999993E-3</v>
      </c>
      <c r="H64" t="s">
        <v>753</v>
      </c>
      <c r="J64" s="384"/>
      <c r="K64" s="384"/>
      <c r="L64" s="399"/>
    </row>
    <row r="65" spans="2:12">
      <c r="B65" s="75" t="s">
        <v>765</v>
      </c>
      <c r="C65" s="75" t="s">
        <v>766</v>
      </c>
      <c r="D65" s="76">
        <v>0.246</v>
      </c>
      <c r="E65" s="76">
        <v>0.68899999999999995</v>
      </c>
      <c r="F65" s="76">
        <v>5.6000000000000001E-2</v>
      </c>
      <c r="G65" s="76">
        <v>8.9999999999999993E-3</v>
      </c>
      <c r="H65" t="s">
        <v>753</v>
      </c>
      <c r="J65" s="384"/>
      <c r="K65" s="384"/>
      <c r="L65" s="399"/>
    </row>
    <row r="66" spans="2:12">
      <c r="B66" s="77" t="s">
        <v>765</v>
      </c>
      <c r="C66" s="77" t="s">
        <v>761</v>
      </c>
      <c r="D66" s="78">
        <v>0.248</v>
      </c>
      <c r="E66" s="78">
        <v>0.69499999999999995</v>
      </c>
      <c r="F66" s="78">
        <v>5.6000000000000001E-2</v>
      </c>
      <c r="G66" s="78">
        <v>0</v>
      </c>
      <c r="H66" t="s">
        <v>753</v>
      </c>
      <c r="J66" s="384"/>
      <c r="K66" s="384"/>
      <c r="L66" s="399"/>
    </row>
    <row r="67" spans="2:12">
      <c r="B67" s="75" t="s">
        <v>765</v>
      </c>
      <c r="C67" s="75" t="s">
        <v>767</v>
      </c>
      <c r="D67" s="76">
        <v>0.246</v>
      </c>
      <c r="E67" s="76">
        <v>0.68899999999999995</v>
      </c>
      <c r="F67" s="76">
        <v>5.6000000000000001E-2</v>
      </c>
      <c r="G67" s="76">
        <v>8.9999999999999993E-3</v>
      </c>
      <c r="H67" t="s">
        <v>753</v>
      </c>
      <c r="J67" s="384"/>
      <c r="K67" s="384"/>
      <c r="L67" s="399"/>
    </row>
    <row r="68" spans="2:12">
      <c r="B68" s="77" t="s">
        <v>765</v>
      </c>
      <c r="C68" s="77" t="s">
        <v>758</v>
      </c>
      <c r="D68" s="78">
        <v>0.246</v>
      </c>
      <c r="E68" s="78">
        <v>0.68899999999999995</v>
      </c>
      <c r="F68" s="78">
        <v>5.6000000000000001E-2</v>
      </c>
      <c r="G68" s="78">
        <v>8.9999999999999993E-3</v>
      </c>
      <c r="H68" t="s">
        <v>753</v>
      </c>
      <c r="J68" t="s">
        <v>1217</v>
      </c>
    </row>
    <row r="69" spans="2:12">
      <c r="B69" s="75" t="s">
        <v>768</v>
      </c>
      <c r="C69" s="75" t="s">
        <v>757</v>
      </c>
      <c r="D69" s="76">
        <v>0.29299999999999998</v>
      </c>
      <c r="E69" s="76">
        <v>0.64100000000000001</v>
      </c>
      <c r="F69" s="76">
        <v>4.3999999999999997E-2</v>
      </c>
      <c r="G69" s="76">
        <v>2.3E-2</v>
      </c>
      <c r="H69" t="s">
        <v>753</v>
      </c>
      <c r="J69" s="53" t="s">
        <v>653</v>
      </c>
      <c r="K69" s="53" t="s">
        <v>754</v>
      </c>
    </row>
    <row r="70" spans="2:12">
      <c r="B70" s="77" t="s">
        <v>768</v>
      </c>
      <c r="C70" s="77" t="s">
        <v>761</v>
      </c>
      <c r="D70" s="78">
        <v>0.29899999999999999</v>
      </c>
      <c r="E70" s="78">
        <v>0.65600000000000003</v>
      </c>
      <c r="F70" s="78">
        <v>4.4999999999999998E-2</v>
      </c>
      <c r="G70" s="78">
        <v>0</v>
      </c>
      <c r="H70" t="s">
        <v>753</v>
      </c>
      <c r="J70" s="54" t="s">
        <v>1142</v>
      </c>
      <c r="K70" s="555">
        <f>AVERAGE(G82:G88)</f>
        <v>2.4285714285714288E-3</v>
      </c>
    </row>
    <row r="71" spans="2:12">
      <c r="B71" s="75" t="s">
        <v>768</v>
      </c>
      <c r="C71" s="75" t="s">
        <v>758</v>
      </c>
      <c r="D71" s="76">
        <v>0.29299999999999998</v>
      </c>
      <c r="E71" s="76">
        <v>0.64100000000000001</v>
      </c>
      <c r="F71" s="76">
        <v>4.3999999999999997E-2</v>
      </c>
      <c r="G71" s="76">
        <v>2.3E-2</v>
      </c>
      <c r="H71" t="s">
        <v>753</v>
      </c>
      <c r="J71" s="52" t="s">
        <v>1143</v>
      </c>
      <c r="K71" s="556">
        <f>AVERAGE(G62:G63)</f>
        <v>6.0000000000000001E-3</v>
      </c>
    </row>
    <row r="72" spans="2:12">
      <c r="B72" s="77" t="s">
        <v>769</v>
      </c>
      <c r="C72" s="77" t="s">
        <v>752</v>
      </c>
      <c r="D72" s="78">
        <v>0.76900000000000002</v>
      </c>
      <c r="E72" s="78">
        <v>0.20799999999999999</v>
      </c>
      <c r="F72" s="78">
        <v>1.9E-2</v>
      </c>
      <c r="G72" s="78">
        <v>4.0000000000000001E-3</v>
      </c>
      <c r="H72" t="s">
        <v>753</v>
      </c>
      <c r="J72" s="54" t="s">
        <v>181</v>
      </c>
      <c r="K72" s="555">
        <f>AVERAGE(G74:G75)</f>
        <v>6.5000000000000006E-3</v>
      </c>
    </row>
    <row r="73" spans="2:12">
      <c r="B73" s="75" t="s">
        <v>770</v>
      </c>
      <c r="C73" s="75" t="s">
        <v>752</v>
      </c>
      <c r="D73" s="76">
        <v>0.81799999999999995</v>
      </c>
      <c r="E73" s="76">
        <v>0.104</v>
      </c>
      <c r="F73" s="76">
        <v>7.0000000000000007E-2</v>
      </c>
      <c r="G73" s="76">
        <v>8.0000000000000002E-3</v>
      </c>
      <c r="H73" t="s">
        <v>753</v>
      </c>
      <c r="J73" s="52" t="s">
        <v>499</v>
      </c>
      <c r="K73" s="556">
        <f>AVERAGE(G82:G88)</f>
        <v>2.4285714285714288E-3</v>
      </c>
    </row>
    <row r="74" spans="2:12">
      <c r="B74" s="77" t="s">
        <v>771</v>
      </c>
      <c r="C74" s="77" t="s">
        <v>752</v>
      </c>
      <c r="D74" s="78">
        <v>0.89900000000000002</v>
      </c>
      <c r="E74" s="78">
        <v>7.1999999999999995E-2</v>
      </c>
      <c r="F74" s="78">
        <v>2.3E-2</v>
      </c>
      <c r="G74" s="78">
        <v>6.0000000000000001E-3</v>
      </c>
      <c r="H74" t="s">
        <v>753</v>
      </c>
      <c r="J74" s="54" t="s">
        <v>502</v>
      </c>
      <c r="K74" s="555">
        <f>AVERAGE(G76:G81)</f>
        <v>1.2333333333333333E-2</v>
      </c>
    </row>
    <row r="75" spans="2:12">
      <c r="B75" s="75" t="s">
        <v>772</v>
      </c>
      <c r="C75" s="75" t="s">
        <v>752</v>
      </c>
      <c r="D75" s="76">
        <v>0.78</v>
      </c>
      <c r="E75" s="76">
        <v>0.161</v>
      </c>
      <c r="F75" s="76">
        <v>5.2999999999999999E-2</v>
      </c>
      <c r="G75" s="76">
        <v>7.0000000000000001E-3</v>
      </c>
      <c r="H75" t="s">
        <v>753</v>
      </c>
      <c r="J75" s="52" t="s">
        <v>184</v>
      </c>
      <c r="K75" s="556">
        <f>AVERAGE(G89:G90)</f>
        <v>2.5000000000000001E-3</v>
      </c>
    </row>
    <row r="76" spans="2:12">
      <c r="B76" s="77" t="s">
        <v>773</v>
      </c>
      <c r="C76" s="77" t="s">
        <v>767</v>
      </c>
      <c r="D76" s="78">
        <v>0.38600000000000001</v>
      </c>
      <c r="E76" s="78">
        <v>0.49299999999999999</v>
      </c>
      <c r="F76" s="78">
        <v>0.11</v>
      </c>
      <c r="G76" s="78">
        <v>1.0999999999999999E-2</v>
      </c>
      <c r="H76" t="s">
        <v>753</v>
      </c>
      <c r="J76" s="54" t="s">
        <v>500</v>
      </c>
      <c r="K76" s="555">
        <f>AVERAGE(G54:G56)</f>
        <v>5.0000000000000001E-3</v>
      </c>
    </row>
    <row r="77" spans="2:12">
      <c r="B77" s="75" t="s">
        <v>773</v>
      </c>
      <c r="C77" s="75" t="s">
        <v>774</v>
      </c>
      <c r="D77" s="76">
        <v>0.38600000000000001</v>
      </c>
      <c r="E77" s="76">
        <v>0.49299999999999999</v>
      </c>
      <c r="F77" s="76">
        <v>0.11</v>
      </c>
      <c r="G77" s="76">
        <v>1.0999999999999999E-2</v>
      </c>
      <c r="H77" t="s">
        <v>753</v>
      </c>
      <c r="J77" s="52" t="s">
        <v>541</v>
      </c>
      <c r="K77" s="556">
        <f>AVERAGE(G53:G90)</f>
        <v>6.8421052631578968E-3</v>
      </c>
    </row>
    <row r="78" spans="2:12">
      <c r="B78" s="77" t="s">
        <v>773</v>
      </c>
      <c r="C78" s="77" t="s">
        <v>775</v>
      </c>
      <c r="D78" s="78">
        <v>0.75</v>
      </c>
      <c r="E78" s="78">
        <v>0.125</v>
      </c>
      <c r="F78" s="78">
        <v>0.11</v>
      </c>
      <c r="G78" s="78">
        <v>1.4999999999999999E-2</v>
      </c>
      <c r="H78" t="s">
        <v>753</v>
      </c>
      <c r="J78" s="54" t="s">
        <v>529</v>
      </c>
      <c r="K78" s="555">
        <f>AVERAGE(G64:G71)</f>
        <v>1.0249999999999999E-2</v>
      </c>
    </row>
    <row r="79" spans="2:12">
      <c r="B79" s="75" t="s">
        <v>773</v>
      </c>
      <c r="C79" s="75" t="s">
        <v>758</v>
      </c>
      <c r="D79" s="76">
        <v>0.38600000000000001</v>
      </c>
      <c r="E79" s="76">
        <v>0.49299999999999999</v>
      </c>
      <c r="F79" s="76">
        <v>0.11</v>
      </c>
      <c r="G79" s="76">
        <v>1.0999999999999999E-2</v>
      </c>
      <c r="H79" t="s">
        <v>753</v>
      </c>
      <c r="J79" s="52" t="s">
        <v>1140</v>
      </c>
      <c r="K79" s="556">
        <f>AVERAGE(G62:G63)</f>
        <v>6.0000000000000001E-3</v>
      </c>
    </row>
    <row r="80" spans="2:12">
      <c r="B80" s="77" t="s">
        <v>776</v>
      </c>
      <c r="C80" s="77" t="s">
        <v>775</v>
      </c>
      <c r="D80" s="78">
        <v>0.75</v>
      </c>
      <c r="E80" s="78">
        <v>0.125</v>
      </c>
      <c r="F80" s="78">
        <v>0.11</v>
      </c>
      <c r="G80" s="78">
        <v>1.4999999999999999E-2</v>
      </c>
      <c r="H80" t="s">
        <v>753</v>
      </c>
      <c r="J80" s="54" t="s">
        <v>1141</v>
      </c>
      <c r="K80" s="555">
        <f>AVERAGE(G57:G60)</f>
        <v>4.0000000000000001E-3</v>
      </c>
    </row>
    <row r="81" spans="1:27">
      <c r="B81" s="75" t="s">
        <v>776</v>
      </c>
      <c r="C81" s="75" t="s">
        <v>758</v>
      </c>
      <c r="D81" s="76">
        <v>0.65300000000000002</v>
      </c>
      <c r="E81" s="76">
        <v>0.255</v>
      </c>
      <c r="F81" s="76">
        <v>8.1000000000000003E-2</v>
      </c>
      <c r="G81" s="76">
        <v>1.0999999999999999E-2</v>
      </c>
      <c r="H81" t="s">
        <v>753</v>
      </c>
      <c r="J81" s="52" t="s">
        <v>828</v>
      </c>
      <c r="K81" s="556"/>
    </row>
    <row r="82" spans="1:27">
      <c r="B82" s="77" t="s">
        <v>777</v>
      </c>
      <c r="C82" s="77" t="s">
        <v>778</v>
      </c>
      <c r="D82" s="78">
        <v>0.84399999999999997</v>
      </c>
      <c r="E82" s="78">
        <v>5.8000000000000003E-2</v>
      </c>
      <c r="F82" s="78">
        <v>9.6000000000000002E-2</v>
      </c>
      <c r="G82" s="78">
        <v>3.0000000000000001E-3</v>
      </c>
      <c r="H82" t="s">
        <v>753</v>
      </c>
      <c r="J82" s="54" t="s">
        <v>100</v>
      </c>
      <c r="K82" s="555"/>
    </row>
    <row r="83" spans="1:27">
      <c r="B83" s="75" t="s">
        <v>777</v>
      </c>
      <c r="C83" s="75" t="s">
        <v>779</v>
      </c>
      <c r="D83" s="76">
        <v>0.84399999999999997</v>
      </c>
      <c r="E83" s="76">
        <v>5.8000000000000003E-2</v>
      </c>
      <c r="F83" s="76">
        <v>9.6000000000000002E-2</v>
      </c>
      <c r="G83" s="76">
        <v>3.0000000000000001E-3</v>
      </c>
      <c r="H83" t="s">
        <v>753</v>
      </c>
    </row>
    <row r="84" spans="1:27">
      <c r="B84" s="77" t="s">
        <v>777</v>
      </c>
      <c r="C84" s="77" t="s">
        <v>758</v>
      </c>
      <c r="D84" s="78">
        <v>0.84399999999999997</v>
      </c>
      <c r="E84" s="78">
        <v>5.8000000000000003E-2</v>
      </c>
      <c r="F84" s="78">
        <v>9.6000000000000002E-2</v>
      </c>
      <c r="G84" s="78">
        <v>3.0000000000000001E-3</v>
      </c>
      <c r="H84" t="s">
        <v>753</v>
      </c>
    </row>
    <row r="85" spans="1:27">
      <c r="B85" s="75" t="s">
        <v>780</v>
      </c>
      <c r="C85" s="75" t="s">
        <v>775</v>
      </c>
      <c r="D85" s="76">
        <v>0.748</v>
      </c>
      <c r="E85" s="76">
        <v>0.22500000000000001</v>
      </c>
      <c r="F85" s="76">
        <v>2.5000000000000001E-2</v>
      </c>
      <c r="G85" s="76">
        <v>2E-3</v>
      </c>
      <c r="H85" t="s">
        <v>753</v>
      </c>
    </row>
    <row r="86" spans="1:27">
      <c r="B86" s="77" t="s">
        <v>780</v>
      </c>
      <c r="C86" s="77" t="s">
        <v>758</v>
      </c>
      <c r="D86" s="78">
        <v>0.748</v>
      </c>
      <c r="E86" s="78">
        <v>0.22500000000000001</v>
      </c>
      <c r="F86" s="78">
        <v>2.5000000000000001E-2</v>
      </c>
      <c r="G86" s="78">
        <v>2E-3</v>
      </c>
      <c r="H86" t="s">
        <v>753</v>
      </c>
    </row>
    <row r="87" spans="1:27">
      <c r="B87" s="75" t="s">
        <v>781</v>
      </c>
      <c r="C87" s="75" t="s">
        <v>779</v>
      </c>
      <c r="D87" s="76">
        <v>0.62</v>
      </c>
      <c r="E87" s="76">
        <v>0.17</v>
      </c>
      <c r="F87" s="76">
        <v>0.20799999999999999</v>
      </c>
      <c r="G87" s="76">
        <v>2E-3</v>
      </c>
      <c r="H87" t="s">
        <v>753</v>
      </c>
    </row>
    <row r="88" spans="1:27">
      <c r="B88" s="77" t="s">
        <v>781</v>
      </c>
      <c r="C88" s="77" t="s">
        <v>758</v>
      </c>
      <c r="D88" s="78">
        <v>0.62</v>
      </c>
      <c r="E88" s="78">
        <v>0.17</v>
      </c>
      <c r="F88" s="78">
        <v>0.20799999999999999</v>
      </c>
      <c r="G88" s="78">
        <v>2E-3</v>
      </c>
      <c r="H88" t="s">
        <v>753</v>
      </c>
    </row>
    <row r="89" spans="1:27">
      <c r="B89" s="75" t="s">
        <v>782</v>
      </c>
      <c r="C89" s="75" t="s">
        <v>752</v>
      </c>
      <c r="D89" s="76">
        <v>0.73199999999999998</v>
      </c>
      <c r="E89" s="76">
        <v>0.25700000000000001</v>
      </c>
      <c r="F89" s="76">
        <v>8.0000000000000002E-3</v>
      </c>
      <c r="G89" s="76">
        <v>2E-3</v>
      </c>
      <c r="H89" t="s">
        <v>753</v>
      </c>
    </row>
    <row r="90" spans="1:27" ht="15.75" thickBot="1">
      <c r="B90" s="79" t="s">
        <v>783</v>
      </c>
      <c r="C90" s="79" t="s">
        <v>752</v>
      </c>
      <c r="D90" s="80">
        <v>0.84399999999999997</v>
      </c>
      <c r="E90" s="80">
        <v>0.151</v>
      </c>
      <c r="F90" s="80">
        <v>2E-3</v>
      </c>
      <c r="G90" s="80">
        <v>3.0000000000000001E-3</v>
      </c>
      <c r="H90" t="s">
        <v>753</v>
      </c>
    </row>
    <row r="93" spans="1:27">
      <c r="D93" s="8">
        <f>AVERAGE(D84,D86,D88)</f>
        <v>0.7373333333333334</v>
      </c>
      <c r="E93" s="8">
        <f>AVERAGE(E84,E86,E88)</f>
        <v>0.15100000000000002</v>
      </c>
      <c r="F93" s="8">
        <f>AVERAGE(F84,F86,F88)</f>
        <v>0.10966666666666665</v>
      </c>
    </row>
    <row r="94" spans="1:27">
      <c r="AA94" s="13"/>
    </row>
    <row r="95" spans="1:27">
      <c r="A95" s="1" t="s">
        <v>850</v>
      </c>
    </row>
    <row r="96" spans="1:27">
      <c r="B96" t="s">
        <v>1195</v>
      </c>
    </row>
    <row r="97" spans="2:21" ht="15.75" thickBot="1">
      <c r="B97" s="103"/>
      <c r="C97" s="103"/>
      <c r="D97" s="103" t="s">
        <v>181</v>
      </c>
      <c r="E97" s="103"/>
      <c r="F97" s="103"/>
      <c r="G97" s="103" t="s">
        <v>499</v>
      </c>
      <c r="H97" s="103"/>
      <c r="I97" s="103"/>
      <c r="J97" s="103"/>
      <c r="K97" s="103" t="s">
        <v>500</v>
      </c>
      <c r="L97" s="103"/>
      <c r="M97" s="103" t="s">
        <v>184</v>
      </c>
      <c r="N97" s="103" t="s">
        <v>501</v>
      </c>
      <c r="O97" s="103"/>
      <c r="P97" s="103" t="s">
        <v>502</v>
      </c>
      <c r="Q97" s="103" t="s">
        <v>186</v>
      </c>
      <c r="R97" s="103" t="s">
        <v>503</v>
      </c>
      <c r="S97" s="103"/>
      <c r="T97" s="103" t="s">
        <v>504</v>
      </c>
      <c r="U97" s="103" t="s">
        <v>107</v>
      </c>
    </row>
    <row r="98" spans="2:21" ht="15.75" thickTop="1">
      <c r="B98" s="83" t="s">
        <v>505</v>
      </c>
      <c r="C98" s="83" t="s">
        <v>506</v>
      </c>
      <c r="D98" s="83" t="s">
        <v>507</v>
      </c>
      <c r="E98" s="83" t="s">
        <v>508</v>
      </c>
      <c r="F98" s="83" t="s">
        <v>509</v>
      </c>
      <c r="G98" s="83" t="s">
        <v>510</v>
      </c>
      <c r="H98" s="83" t="s">
        <v>511</v>
      </c>
      <c r="I98" s="83" t="s">
        <v>512</v>
      </c>
      <c r="J98" s="83" t="s">
        <v>513</v>
      </c>
      <c r="K98" s="83" t="s">
        <v>106</v>
      </c>
      <c r="L98" s="83" t="s">
        <v>514</v>
      </c>
      <c r="M98" s="83" t="s">
        <v>184</v>
      </c>
      <c r="N98" s="83" t="s">
        <v>515</v>
      </c>
      <c r="O98" s="83" t="s">
        <v>516</v>
      </c>
      <c r="P98" s="83" t="s">
        <v>502</v>
      </c>
      <c r="Q98" s="83" t="s">
        <v>186</v>
      </c>
      <c r="R98" s="83" t="s">
        <v>517</v>
      </c>
      <c r="S98" s="83" t="s">
        <v>518</v>
      </c>
      <c r="T98" s="83" t="s">
        <v>504</v>
      </c>
      <c r="U98" s="83" t="s">
        <v>107</v>
      </c>
    </row>
    <row r="99" spans="2:21">
      <c r="B99" s="104" t="s">
        <v>519</v>
      </c>
      <c r="C99" s="104"/>
      <c r="D99" s="104">
        <v>4300</v>
      </c>
      <c r="E99" s="104">
        <v>3800</v>
      </c>
      <c r="F99" s="104">
        <v>3800</v>
      </c>
      <c r="G99" s="104">
        <v>4800</v>
      </c>
      <c r="H99" s="104">
        <v>3900</v>
      </c>
      <c r="I99" s="104">
        <v>3400</v>
      </c>
      <c r="J99" s="104">
        <v>4000</v>
      </c>
      <c r="K99" s="104">
        <v>2900</v>
      </c>
      <c r="L99" s="104">
        <v>3000</v>
      </c>
      <c r="M99" s="104">
        <v>3799.9999999999995</v>
      </c>
      <c r="N99" s="104">
        <v>5800</v>
      </c>
      <c r="O99" s="104">
        <v>5800</v>
      </c>
      <c r="P99" s="104">
        <v>5100</v>
      </c>
      <c r="Q99" s="104">
        <v>4200</v>
      </c>
      <c r="R99" s="104">
        <v>6400</v>
      </c>
      <c r="S99" s="104">
        <v>3600</v>
      </c>
      <c r="T99" s="104">
        <v>2800</v>
      </c>
      <c r="U99" s="104">
        <v>3600</v>
      </c>
    </row>
    <row r="100" spans="2:21">
      <c r="B100" s="105" t="s">
        <v>520</v>
      </c>
      <c r="C100" s="105"/>
      <c r="D100" s="106">
        <f>D99/360</f>
        <v>11.944444444444445</v>
      </c>
      <c r="E100" s="106">
        <f t="shared" ref="E100:U100" si="10">E99/360</f>
        <v>10.555555555555555</v>
      </c>
      <c r="F100" s="106">
        <f t="shared" si="10"/>
        <v>10.555555555555555</v>
      </c>
      <c r="G100" s="106">
        <f t="shared" si="10"/>
        <v>13.333333333333334</v>
      </c>
      <c r="H100" s="106">
        <f t="shared" si="10"/>
        <v>10.833333333333334</v>
      </c>
      <c r="I100" s="106">
        <f t="shared" si="10"/>
        <v>9.4444444444444446</v>
      </c>
      <c r="J100" s="106">
        <f t="shared" si="10"/>
        <v>11.111111111111111</v>
      </c>
      <c r="K100" s="106">
        <f t="shared" si="10"/>
        <v>8.0555555555555554</v>
      </c>
      <c r="L100" s="106">
        <f t="shared" si="10"/>
        <v>8.3333333333333339</v>
      </c>
      <c r="M100" s="106">
        <f t="shared" si="10"/>
        <v>10.555555555555554</v>
      </c>
      <c r="N100" s="106">
        <f t="shared" si="10"/>
        <v>16.111111111111111</v>
      </c>
      <c r="O100" s="106">
        <f t="shared" si="10"/>
        <v>16.111111111111111</v>
      </c>
      <c r="P100" s="106">
        <f t="shared" si="10"/>
        <v>14.166666666666666</v>
      </c>
      <c r="Q100" s="106">
        <f t="shared" si="10"/>
        <v>11.666666666666666</v>
      </c>
      <c r="R100" s="106">
        <f t="shared" si="10"/>
        <v>17.777777777777779</v>
      </c>
      <c r="S100" s="106">
        <f t="shared" si="10"/>
        <v>10</v>
      </c>
      <c r="T100" s="106">
        <f t="shared" si="10"/>
        <v>7.7777777777777777</v>
      </c>
      <c r="U100" s="106">
        <f t="shared" si="10"/>
        <v>10</v>
      </c>
    </row>
    <row r="101" spans="2:21">
      <c r="B101" s="104" t="s">
        <v>521</v>
      </c>
      <c r="C101" s="104"/>
      <c r="D101" s="104">
        <v>1.0877351842380543</v>
      </c>
      <c r="E101" s="104">
        <v>1.29865775135574</v>
      </c>
      <c r="F101" s="104">
        <v>1.4</v>
      </c>
      <c r="G101" s="104">
        <v>1.4147419789216324</v>
      </c>
      <c r="H101" s="104">
        <v>1.4843184444544055</v>
      </c>
      <c r="I101" s="104">
        <v>1.6025443832946562</v>
      </c>
      <c r="J101" s="104">
        <v>1.2347351996173945</v>
      </c>
      <c r="K101" s="104">
        <v>1.1666045627080877</v>
      </c>
      <c r="L101" s="104">
        <v>1.2736548886454755</v>
      </c>
      <c r="M101" s="104">
        <v>0.70185507406992387</v>
      </c>
      <c r="N101" s="104">
        <v>1.9197407658734158</v>
      </c>
      <c r="O101" s="104">
        <v>1.5852851303169209</v>
      </c>
      <c r="P101" s="104">
        <v>1.3214870645862171</v>
      </c>
      <c r="Q101" s="104">
        <v>1.3787928047414213</v>
      </c>
      <c r="R101" s="104">
        <v>1.2806234695928882</v>
      </c>
      <c r="S101" s="104">
        <v>1.3892009082555439</v>
      </c>
      <c r="T101" s="104">
        <v>0.92725564760604073</v>
      </c>
      <c r="U101" s="104">
        <v>0.93251330768194496</v>
      </c>
    </row>
    <row r="102" spans="2:21">
      <c r="B102" s="105" t="s">
        <v>522</v>
      </c>
      <c r="C102" s="105"/>
      <c r="D102" s="105">
        <v>0.85</v>
      </c>
      <c r="E102" s="105">
        <v>0.85</v>
      </c>
      <c r="F102" s="105">
        <v>0.9</v>
      </c>
      <c r="G102" s="105">
        <v>1.2</v>
      </c>
      <c r="H102" s="105">
        <v>1.2</v>
      </c>
      <c r="I102" s="105">
        <v>1.2</v>
      </c>
      <c r="J102" s="105">
        <v>1.1000000000000001</v>
      </c>
      <c r="K102" s="105">
        <v>1</v>
      </c>
      <c r="L102" s="105">
        <v>1</v>
      </c>
      <c r="M102" s="105">
        <v>0.6</v>
      </c>
      <c r="N102" s="105">
        <v>1.4</v>
      </c>
      <c r="O102" s="105">
        <v>1.3</v>
      </c>
      <c r="P102" s="105">
        <v>1</v>
      </c>
      <c r="Q102" s="105">
        <v>1</v>
      </c>
      <c r="R102" s="105">
        <v>1</v>
      </c>
      <c r="S102" s="105">
        <v>1.1000000000000001</v>
      </c>
      <c r="T102" s="105">
        <v>0.8</v>
      </c>
      <c r="U102" s="105">
        <v>0.8</v>
      </c>
    </row>
    <row r="103" spans="2:21">
      <c r="B103" s="104" t="s">
        <v>523</v>
      </c>
      <c r="C103" s="104"/>
      <c r="D103" s="104">
        <v>1.21</v>
      </c>
      <c r="E103" s="104">
        <v>1.4</v>
      </c>
      <c r="F103" s="104">
        <v>1.5</v>
      </c>
      <c r="G103" s="104">
        <v>1.7</v>
      </c>
      <c r="H103" s="104">
        <v>1.55</v>
      </c>
      <c r="I103" s="104">
        <v>1.8</v>
      </c>
      <c r="J103" s="104">
        <v>1.4</v>
      </c>
      <c r="K103" s="104">
        <v>1.3</v>
      </c>
      <c r="L103" s="104">
        <v>1.4</v>
      </c>
      <c r="M103" s="104">
        <v>0.85</v>
      </c>
      <c r="N103" s="104">
        <v>1.95</v>
      </c>
      <c r="O103" s="104">
        <v>1.66</v>
      </c>
      <c r="P103" s="104">
        <v>1.6</v>
      </c>
      <c r="Q103" s="104">
        <v>1.6</v>
      </c>
      <c r="R103" s="104">
        <v>1.4</v>
      </c>
      <c r="S103" s="104">
        <v>1.5</v>
      </c>
      <c r="T103" s="104">
        <v>1.1000000000000001</v>
      </c>
      <c r="U103" s="104">
        <v>1.1000000000000001</v>
      </c>
    </row>
    <row r="104" spans="2:21">
      <c r="B104" s="105" t="s">
        <v>524</v>
      </c>
      <c r="C104" s="105"/>
      <c r="D104" s="105">
        <v>0.2</v>
      </c>
      <c r="E104" s="105">
        <v>0.2</v>
      </c>
      <c r="F104" s="105">
        <v>0.2</v>
      </c>
      <c r="G104" s="105">
        <v>0.25</v>
      </c>
      <c r="H104" s="105">
        <v>0.25</v>
      </c>
      <c r="I104" s="105">
        <v>0.25</v>
      </c>
      <c r="J104" s="105">
        <v>0.25</v>
      </c>
      <c r="K104" s="105">
        <v>0.2</v>
      </c>
      <c r="L104" s="105">
        <v>0.2</v>
      </c>
      <c r="M104" s="105">
        <v>0.25</v>
      </c>
      <c r="N104" s="105">
        <v>0.5</v>
      </c>
      <c r="O104" s="105">
        <v>0.5</v>
      </c>
      <c r="P104" s="105">
        <v>0.25</v>
      </c>
      <c r="Q104" s="105">
        <v>0.15</v>
      </c>
      <c r="R104" s="105">
        <v>0.25</v>
      </c>
      <c r="S104" s="105">
        <v>0.25</v>
      </c>
      <c r="T104" s="105">
        <v>0.2</v>
      </c>
      <c r="U104" s="105">
        <v>0.2</v>
      </c>
    </row>
    <row r="107" spans="2:21">
      <c r="B107" t="s">
        <v>525</v>
      </c>
    </row>
    <row r="108" spans="2:21">
      <c r="B108" t="s">
        <v>526</v>
      </c>
    </row>
    <row r="109" spans="2:21" ht="15.75" thickBot="1">
      <c r="B109" s="64" t="s">
        <v>527</v>
      </c>
      <c r="C109" s="64" t="s">
        <v>528</v>
      </c>
      <c r="D109" s="64" t="s">
        <v>501</v>
      </c>
      <c r="E109" s="64" t="s">
        <v>181</v>
      </c>
      <c r="F109" s="64" t="s">
        <v>502</v>
      </c>
      <c r="G109" s="64" t="s">
        <v>184</v>
      </c>
      <c r="H109" s="64" t="s">
        <v>517</v>
      </c>
      <c r="I109" s="64" t="s">
        <v>529</v>
      </c>
      <c r="J109" s="64" t="s">
        <v>530</v>
      </c>
      <c r="K109" s="64" t="s">
        <v>107</v>
      </c>
      <c r="L109" s="64" t="s">
        <v>500</v>
      </c>
      <c r="M109" s="65" t="s">
        <v>514</v>
      </c>
    </row>
    <row r="110" spans="2:21" ht="15.75" thickTop="1">
      <c r="B110" s="66" t="s">
        <v>531</v>
      </c>
      <c r="C110" s="66">
        <v>1.6</v>
      </c>
      <c r="D110" s="66">
        <v>1.7</v>
      </c>
      <c r="E110" s="66">
        <v>1.5</v>
      </c>
      <c r="F110" s="66">
        <v>1.1000000000000001</v>
      </c>
      <c r="G110" s="66">
        <v>0.8</v>
      </c>
      <c r="H110" s="66"/>
      <c r="I110" s="66"/>
      <c r="J110" s="66">
        <v>1.9</v>
      </c>
      <c r="K110" s="66">
        <v>1.1000000000000001</v>
      </c>
      <c r="L110" s="66">
        <v>1.7</v>
      </c>
      <c r="M110" s="71"/>
    </row>
    <row r="111" spans="2:21">
      <c r="B111" s="68" t="s">
        <v>532</v>
      </c>
      <c r="C111" s="68">
        <v>1.4</v>
      </c>
      <c r="D111" s="68">
        <v>1.7</v>
      </c>
      <c r="E111" s="68">
        <v>1.3</v>
      </c>
      <c r="F111" s="68">
        <v>1.2</v>
      </c>
      <c r="G111" s="68">
        <v>0.8</v>
      </c>
      <c r="H111" s="68">
        <v>1.5</v>
      </c>
      <c r="I111" s="68">
        <v>1.7</v>
      </c>
      <c r="J111" s="68">
        <v>1.6</v>
      </c>
      <c r="K111" s="68">
        <v>1.2</v>
      </c>
      <c r="L111" s="68">
        <v>1.1000000000000001</v>
      </c>
      <c r="M111" s="70">
        <v>1.1000000000000001</v>
      </c>
    </row>
    <row r="112" spans="2:21">
      <c r="B112" s="66" t="s">
        <v>533</v>
      </c>
      <c r="C112" s="66">
        <v>4.4000000000000004</v>
      </c>
      <c r="D112" s="66">
        <v>1.7</v>
      </c>
      <c r="E112" s="66">
        <v>1.3</v>
      </c>
      <c r="F112" s="66"/>
      <c r="G112" s="66">
        <v>0.8</v>
      </c>
      <c r="H112" s="66">
        <v>1</v>
      </c>
      <c r="I112" s="66">
        <v>1.2</v>
      </c>
      <c r="J112" s="66">
        <v>1.1000000000000001</v>
      </c>
      <c r="K112" s="66">
        <v>1</v>
      </c>
      <c r="L112" s="66">
        <v>1.2</v>
      </c>
      <c r="M112" s="71">
        <v>1.1000000000000001</v>
      </c>
    </row>
    <row r="113" spans="2:13">
      <c r="B113" s="68" t="s">
        <v>534</v>
      </c>
      <c r="C113" s="68">
        <v>1.2</v>
      </c>
      <c r="D113" s="68">
        <v>1.7</v>
      </c>
      <c r="E113" s="68">
        <v>1.2</v>
      </c>
      <c r="F113" s="68"/>
      <c r="G113" s="68">
        <v>0.6</v>
      </c>
      <c r="H113" s="68">
        <v>1.6</v>
      </c>
      <c r="I113" s="68">
        <v>0.9</v>
      </c>
      <c r="J113" s="68">
        <v>1.2</v>
      </c>
      <c r="K113" s="68">
        <v>1</v>
      </c>
      <c r="L113" s="68">
        <v>1.2</v>
      </c>
      <c r="M113" s="70">
        <v>1</v>
      </c>
    </row>
    <row r="114" spans="2:13">
      <c r="B114" s="66" t="s">
        <v>535</v>
      </c>
      <c r="C114" s="66">
        <v>1.4</v>
      </c>
      <c r="D114" s="66">
        <v>1.8</v>
      </c>
      <c r="E114" s="66">
        <v>0.9</v>
      </c>
      <c r="F114" s="66"/>
      <c r="G114" s="66">
        <v>0.7</v>
      </c>
      <c r="H114" s="66">
        <v>1.3</v>
      </c>
      <c r="I114" s="66">
        <v>0.9</v>
      </c>
      <c r="J114" s="66">
        <v>1</v>
      </c>
      <c r="K114" s="66">
        <v>1.1000000000000001</v>
      </c>
      <c r="L114" s="66">
        <v>1.3</v>
      </c>
      <c r="M114" s="71">
        <v>1.1000000000000001</v>
      </c>
    </row>
    <row r="115" spans="2:13">
      <c r="B115" s="89" t="s">
        <v>536</v>
      </c>
      <c r="C115" s="89"/>
      <c r="D115" s="89"/>
      <c r="E115" s="89">
        <v>0.9</v>
      </c>
      <c r="F115" s="89"/>
      <c r="G115" s="89"/>
      <c r="H115" s="89"/>
      <c r="I115" s="89"/>
      <c r="J115" s="89"/>
      <c r="K115" s="89"/>
      <c r="L115" s="89"/>
      <c r="M115" s="101"/>
    </row>
    <row r="117" spans="2:13">
      <c r="B117" s="4" t="s">
        <v>537</v>
      </c>
      <c r="C117" s="5"/>
      <c r="D117" s="5"/>
      <c r="E117" s="5"/>
      <c r="F117" s="5"/>
    </row>
    <row r="118" spans="2:13">
      <c r="B118" t="s">
        <v>538</v>
      </c>
      <c r="C118" s="5"/>
      <c r="D118" s="5"/>
      <c r="E118" s="5"/>
      <c r="F118" s="5"/>
    </row>
    <row r="119" spans="2:13">
      <c r="B119" s="138" t="s">
        <v>539</v>
      </c>
      <c r="C119" s="139" t="s">
        <v>540</v>
      </c>
      <c r="D119" s="139" t="s">
        <v>465</v>
      </c>
      <c r="E119" s="139" t="s">
        <v>26</v>
      </c>
      <c r="F119" s="139" t="s">
        <v>133</v>
      </c>
      <c r="G119" s="140" t="s">
        <v>541</v>
      </c>
    </row>
    <row r="120" spans="2:13">
      <c r="B120" s="107" t="s">
        <v>542</v>
      </c>
      <c r="C120" s="108">
        <v>1.4</v>
      </c>
      <c r="D120" s="109">
        <v>0.69599999999999995</v>
      </c>
      <c r="E120" s="109">
        <v>0.13700000000000001</v>
      </c>
      <c r="F120" s="109">
        <v>0.13500000000000001</v>
      </c>
      <c r="G120" s="110">
        <v>3.1E-2</v>
      </c>
    </row>
    <row r="121" spans="2:13">
      <c r="B121" s="111" t="s">
        <v>501</v>
      </c>
      <c r="C121" s="112">
        <v>1.7</v>
      </c>
      <c r="D121" s="113">
        <v>0.78300000000000003</v>
      </c>
      <c r="E121" s="113">
        <v>7.2999999999999995E-2</v>
      </c>
      <c r="F121" s="113">
        <v>0.127</v>
      </c>
      <c r="G121" s="114">
        <v>1.7000000000000001E-2</v>
      </c>
    </row>
    <row r="122" spans="2:13">
      <c r="B122" s="107" t="s">
        <v>181</v>
      </c>
      <c r="C122" s="108">
        <v>1.2</v>
      </c>
      <c r="D122" s="109">
        <v>0.875</v>
      </c>
      <c r="E122" s="109">
        <v>0.08</v>
      </c>
      <c r="F122" s="109">
        <v>3.6999999999999998E-2</v>
      </c>
      <c r="G122" s="110">
        <v>8.0000000000000002E-3</v>
      </c>
    </row>
    <row r="123" spans="2:13">
      <c r="B123" s="111" t="s">
        <v>502</v>
      </c>
      <c r="C123" s="112">
        <v>1.3</v>
      </c>
      <c r="D123" s="113">
        <v>0.51300000000000001</v>
      </c>
      <c r="E123" s="113">
        <v>0.40100000000000002</v>
      </c>
      <c r="F123" s="113">
        <v>4.2000000000000003E-2</v>
      </c>
      <c r="G123" s="114">
        <v>4.3999999999999997E-2</v>
      </c>
    </row>
    <row r="124" spans="2:13">
      <c r="B124" s="107" t="s">
        <v>184</v>
      </c>
      <c r="C124" s="108">
        <v>0.7</v>
      </c>
      <c r="D124" s="109">
        <v>0.45200000000000001</v>
      </c>
      <c r="E124" s="109">
        <v>0.123</v>
      </c>
      <c r="F124" s="109">
        <v>0.42199999999999999</v>
      </c>
      <c r="G124" s="110">
        <v>2E-3</v>
      </c>
    </row>
    <row r="125" spans="2:13">
      <c r="B125" s="111" t="s">
        <v>517</v>
      </c>
      <c r="C125" s="112">
        <v>1.3</v>
      </c>
      <c r="D125" s="113">
        <v>0.89300000000000002</v>
      </c>
      <c r="E125" s="113">
        <v>5.6000000000000001E-2</v>
      </c>
      <c r="F125" s="113">
        <v>1.2E-2</v>
      </c>
      <c r="G125" s="114">
        <v>3.7999999999999999E-2</v>
      </c>
    </row>
    <row r="126" spans="2:13">
      <c r="B126" s="107" t="s">
        <v>543</v>
      </c>
      <c r="C126" s="108">
        <v>1.1000000000000001</v>
      </c>
      <c r="D126" s="109">
        <v>0.34100000000000003</v>
      </c>
      <c r="E126" s="109">
        <v>0.63700000000000001</v>
      </c>
      <c r="F126" s="109">
        <v>1.2999999999999999E-2</v>
      </c>
      <c r="G126" s="110">
        <v>0.01</v>
      </c>
    </row>
    <row r="127" spans="2:13">
      <c r="B127" s="111" t="s">
        <v>530</v>
      </c>
      <c r="C127" s="112">
        <v>1.3</v>
      </c>
      <c r="D127" s="113">
        <v>0.76700000000000002</v>
      </c>
      <c r="E127" s="113">
        <v>0.17199999999999999</v>
      </c>
      <c r="F127" s="113">
        <v>0.02</v>
      </c>
      <c r="G127" s="114">
        <v>4.1000000000000002E-2</v>
      </c>
    </row>
    <row r="128" spans="2:13">
      <c r="B128" s="107" t="s">
        <v>107</v>
      </c>
      <c r="C128" s="108">
        <v>1.1000000000000001</v>
      </c>
      <c r="D128" s="109">
        <v>0.627</v>
      </c>
      <c r="E128" s="109">
        <v>0.108</v>
      </c>
      <c r="F128" s="109">
        <v>0.24399999999999999</v>
      </c>
      <c r="G128" s="110">
        <v>2.1000000000000001E-2</v>
      </c>
    </row>
    <row r="129" spans="2:13">
      <c r="B129" s="111" t="s">
        <v>500</v>
      </c>
      <c r="C129" s="112">
        <v>1.2</v>
      </c>
      <c r="D129" s="113">
        <v>0.86599999999999999</v>
      </c>
      <c r="E129" s="113">
        <v>2.8000000000000001E-2</v>
      </c>
      <c r="F129" s="113">
        <v>0.10199999999999999</v>
      </c>
      <c r="G129" s="114">
        <v>4.0000000000000001E-3</v>
      </c>
    </row>
    <row r="130" spans="2:13">
      <c r="B130" s="107" t="s">
        <v>514</v>
      </c>
      <c r="C130" s="108">
        <v>1</v>
      </c>
      <c r="D130" s="109">
        <v>0.745</v>
      </c>
      <c r="E130" s="109">
        <v>0.17</v>
      </c>
      <c r="F130" s="109">
        <v>7.4999999999999997E-2</v>
      </c>
      <c r="G130" s="110">
        <v>0.01</v>
      </c>
    </row>
    <row r="131" spans="2:13">
      <c r="B131" s="111" t="s">
        <v>544</v>
      </c>
      <c r="C131" s="112">
        <v>1.3</v>
      </c>
      <c r="D131" s="113">
        <v>0.57199999999999995</v>
      </c>
      <c r="E131" s="113">
        <v>0.22900000000000001</v>
      </c>
      <c r="F131" s="113">
        <v>0.17</v>
      </c>
      <c r="G131" s="114">
        <v>0.03</v>
      </c>
    </row>
    <row r="133" spans="2:13">
      <c r="B133" t="s">
        <v>525</v>
      </c>
    </row>
    <row r="134" spans="2:13">
      <c r="B134" t="s">
        <v>538</v>
      </c>
    </row>
    <row r="135" spans="2:13">
      <c r="B135" s="115" t="s">
        <v>545</v>
      </c>
      <c r="C135" s="116" t="s">
        <v>528</v>
      </c>
      <c r="D135" s="116" t="s">
        <v>501</v>
      </c>
      <c r="E135" s="116" t="s">
        <v>181</v>
      </c>
      <c r="F135" s="116" t="s">
        <v>502</v>
      </c>
      <c r="G135" s="116" t="s">
        <v>184</v>
      </c>
      <c r="H135" s="116" t="s">
        <v>517</v>
      </c>
      <c r="I135" s="116" t="s">
        <v>529</v>
      </c>
      <c r="J135" s="116" t="s">
        <v>530</v>
      </c>
      <c r="K135" s="116" t="s">
        <v>107</v>
      </c>
      <c r="L135" s="116" t="s">
        <v>500</v>
      </c>
      <c r="M135" s="117" t="s">
        <v>514</v>
      </c>
    </row>
    <row r="136" spans="2:13">
      <c r="B136" s="118" t="s">
        <v>72</v>
      </c>
      <c r="C136" s="119">
        <v>0.34499999999999997</v>
      </c>
      <c r="D136" s="119">
        <v>0.61399999999999999</v>
      </c>
      <c r="E136" s="119">
        <v>0.53300000000000003</v>
      </c>
      <c r="F136" s="119">
        <v>0.26400000000000001</v>
      </c>
      <c r="G136" s="119">
        <v>0.33600000000000002</v>
      </c>
      <c r="H136" s="119">
        <v>0.71799999999999997</v>
      </c>
      <c r="I136" s="119">
        <v>0.28299999999999997</v>
      </c>
      <c r="J136" s="120">
        <v>0.56000000000000005</v>
      </c>
      <c r="K136" s="119">
        <v>0.376</v>
      </c>
      <c r="L136" s="119">
        <v>0.76600000000000001</v>
      </c>
      <c r="M136" s="121">
        <v>0.64500000000000002</v>
      </c>
    </row>
    <row r="137" spans="2:13">
      <c r="B137" s="122" t="s">
        <v>84</v>
      </c>
      <c r="C137" s="123">
        <v>0.65500000000000003</v>
      </c>
      <c r="D137" s="123">
        <v>0.38600000000000001</v>
      </c>
      <c r="E137" s="123">
        <v>0.46700000000000003</v>
      </c>
      <c r="F137" s="123">
        <v>0.73599999999999999</v>
      </c>
      <c r="G137" s="123">
        <v>0.66400000000000003</v>
      </c>
      <c r="H137" s="123">
        <v>0.28199999999999997</v>
      </c>
      <c r="I137" s="123">
        <v>0.71699999999999997</v>
      </c>
      <c r="J137" s="124">
        <v>0.44</v>
      </c>
      <c r="K137" s="123">
        <v>0.624</v>
      </c>
      <c r="L137" s="123">
        <v>0.23400000000000001</v>
      </c>
      <c r="M137" s="125">
        <v>0.35499999999999998</v>
      </c>
    </row>
    <row r="139" spans="2:13" ht="15.75" thickBot="1">
      <c r="B139" s="4" t="s">
        <v>546</v>
      </c>
      <c r="C139" s="136" t="s">
        <v>133</v>
      </c>
      <c r="D139" s="136" t="s">
        <v>145</v>
      </c>
      <c r="E139" s="136" t="s">
        <v>34</v>
      </c>
      <c r="F139" s="136" t="s">
        <v>29</v>
      </c>
      <c r="G139" s="137" t="s">
        <v>547</v>
      </c>
      <c r="H139" s="5"/>
    </row>
    <row r="140" spans="2:13" ht="15.75" thickTop="1">
      <c r="B140" s="872" t="s">
        <v>548</v>
      </c>
      <c r="C140" s="126" t="s">
        <v>542</v>
      </c>
      <c r="D140" s="127">
        <v>6.8000000000000005E-2</v>
      </c>
      <c r="E140" s="127"/>
      <c r="F140" s="127">
        <v>0.89200000000000002</v>
      </c>
      <c r="G140" s="128"/>
      <c r="H140" s="10"/>
    </row>
    <row r="141" spans="2:13">
      <c r="B141" s="872"/>
      <c r="C141" s="129" t="s">
        <v>501</v>
      </c>
      <c r="D141" s="130"/>
      <c r="E141" s="130"/>
      <c r="F141" s="130">
        <v>0.90600000000000003</v>
      </c>
      <c r="G141" s="131"/>
      <c r="H141" s="10"/>
    </row>
    <row r="142" spans="2:13">
      <c r="B142" s="9"/>
      <c r="C142" s="126" t="s">
        <v>181</v>
      </c>
      <c r="D142" s="127"/>
      <c r="E142" s="127"/>
      <c r="F142" s="127">
        <v>0.88</v>
      </c>
      <c r="G142" s="128"/>
      <c r="H142" s="10"/>
    </row>
    <row r="143" spans="2:13">
      <c r="B143" s="9"/>
      <c r="C143" s="129" t="s">
        <v>502</v>
      </c>
      <c r="D143" s="130"/>
      <c r="E143" s="130"/>
      <c r="F143" s="130">
        <v>0.86099999999999999</v>
      </c>
      <c r="G143" s="131">
        <v>0.13900000000000001</v>
      </c>
      <c r="H143" s="10"/>
    </row>
    <row r="144" spans="2:13">
      <c r="B144" s="9"/>
      <c r="C144" s="126" t="s">
        <v>184</v>
      </c>
      <c r="D144" s="127">
        <v>0.32900000000000001</v>
      </c>
      <c r="E144" s="127"/>
      <c r="F144" s="127">
        <v>0.65500000000000003</v>
      </c>
      <c r="G144" s="128"/>
      <c r="H144" s="10"/>
    </row>
    <row r="145" spans="2:14">
      <c r="B145" s="9"/>
      <c r="C145" s="129" t="s">
        <v>517</v>
      </c>
      <c r="D145" s="130"/>
      <c r="E145" s="130"/>
      <c r="F145" s="132">
        <v>1</v>
      </c>
      <c r="G145" s="131"/>
      <c r="H145" s="10"/>
    </row>
    <row r="146" spans="2:14">
      <c r="B146" s="9"/>
      <c r="C146" s="126" t="s">
        <v>543</v>
      </c>
      <c r="D146" s="127"/>
      <c r="E146" s="127"/>
      <c r="F146" s="127">
        <v>0.98899999999999999</v>
      </c>
      <c r="G146" s="128"/>
      <c r="H146" s="10"/>
    </row>
    <row r="147" spans="2:14">
      <c r="B147" s="9"/>
      <c r="C147" s="129" t="s">
        <v>530</v>
      </c>
      <c r="D147" s="130">
        <v>0.499</v>
      </c>
      <c r="E147" s="130"/>
      <c r="F147" s="130">
        <v>0.501</v>
      </c>
      <c r="G147" s="131"/>
      <c r="H147" s="10"/>
    </row>
    <row r="148" spans="2:14">
      <c r="B148" s="9"/>
      <c r="C148" s="126" t="s">
        <v>107</v>
      </c>
      <c r="D148" s="127"/>
      <c r="E148" s="127"/>
      <c r="F148" s="127">
        <v>0.96699999999999997</v>
      </c>
      <c r="G148" s="128"/>
      <c r="H148" s="10"/>
    </row>
    <row r="149" spans="2:14">
      <c r="B149" s="9"/>
      <c r="C149" s="129" t="s">
        <v>500</v>
      </c>
      <c r="D149" s="130">
        <v>0.13500000000000001</v>
      </c>
      <c r="E149" s="130">
        <v>5.8000000000000003E-2</v>
      </c>
      <c r="F149" s="130">
        <v>0.80700000000000005</v>
      </c>
      <c r="G149" s="131"/>
      <c r="H149" s="10"/>
    </row>
    <row r="150" spans="2:14">
      <c r="B150" s="9"/>
      <c r="C150" s="133" t="s">
        <v>514</v>
      </c>
      <c r="D150" s="134">
        <v>1E-3</v>
      </c>
      <c r="E150" s="134"/>
      <c r="F150" s="134">
        <v>0.999</v>
      </c>
      <c r="G150" s="135"/>
      <c r="H150" s="10"/>
    </row>
    <row r="151" spans="2:14">
      <c r="B151" s="9"/>
      <c r="C151" s="6"/>
      <c r="D151" s="6"/>
      <c r="E151" s="6"/>
      <c r="F151" s="6"/>
      <c r="G151" s="6"/>
      <c r="H151" s="10"/>
    </row>
    <row r="152" spans="2:14">
      <c r="B152" s="37" t="s">
        <v>549</v>
      </c>
      <c r="C152" s="37"/>
      <c r="D152" s="37"/>
      <c r="E152" s="37"/>
      <c r="F152" s="37"/>
      <c r="G152" s="37"/>
      <c r="H152" s="37"/>
      <c r="I152" s="37"/>
      <c r="J152" s="37"/>
      <c r="K152" s="37"/>
      <c r="L152" s="37"/>
      <c r="M152" s="37"/>
    </row>
    <row r="153" spans="2:14">
      <c r="B153" s="37" t="s">
        <v>538</v>
      </c>
      <c r="C153" s="37"/>
      <c r="D153" s="37"/>
      <c r="E153" s="37"/>
      <c r="F153" s="37"/>
      <c r="G153" s="37"/>
      <c r="H153" s="37"/>
      <c r="I153" s="37"/>
      <c r="J153" s="37"/>
      <c r="K153" s="37"/>
      <c r="L153" s="37"/>
      <c r="M153" s="37"/>
    </row>
    <row r="154" spans="2:14" ht="15.75" thickBot="1">
      <c r="B154" s="64" t="s">
        <v>550</v>
      </c>
      <c r="C154" s="64" t="s">
        <v>528</v>
      </c>
      <c r="D154" s="64" t="s">
        <v>501</v>
      </c>
      <c r="E154" s="64" t="s">
        <v>181</v>
      </c>
      <c r="F154" s="64" t="s">
        <v>502</v>
      </c>
      <c r="G154" s="64" t="s">
        <v>184</v>
      </c>
      <c r="H154" s="64" t="s">
        <v>517</v>
      </c>
      <c r="I154" s="64" t="s">
        <v>529</v>
      </c>
      <c r="J154" s="64" t="s">
        <v>530</v>
      </c>
      <c r="K154" s="64" t="s">
        <v>107</v>
      </c>
      <c r="L154" s="64" t="s">
        <v>500</v>
      </c>
      <c r="M154" s="65" t="s">
        <v>514</v>
      </c>
    </row>
    <row r="155" spans="2:14" ht="15.75" thickTop="1">
      <c r="B155" s="66" t="s">
        <v>72</v>
      </c>
      <c r="C155" s="141">
        <v>9.0999999999999998E-2</v>
      </c>
      <c r="D155" s="141">
        <v>0.26</v>
      </c>
      <c r="E155" s="141">
        <v>0.13500000000000001</v>
      </c>
      <c r="F155" s="141">
        <v>6.3E-2</v>
      </c>
      <c r="G155" s="141">
        <v>2.4E-2</v>
      </c>
      <c r="H155" s="141">
        <v>0.152</v>
      </c>
      <c r="I155" s="141">
        <v>2.5999999999999999E-2</v>
      </c>
      <c r="J155" s="142">
        <v>0</v>
      </c>
      <c r="K155" s="141">
        <v>8.7999999999999995E-2</v>
      </c>
      <c r="L155" s="141">
        <v>4.9000000000000002E-2</v>
      </c>
      <c r="M155" s="143">
        <v>0.121</v>
      </c>
    </row>
    <row r="156" spans="2:14">
      <c r="B156" s="68" t="s">
        <v>84</v>
      </c>
      <c r="C156" s="144">
        <v>0.90900000000000003</v>
      </c>
      <c r="D156" s="144">
        <v>0.74</v>
      </c>
      <c r="E156" s="144">
        <v>0.86499999999999999</v>
      </c>
      <c r="F156" s="144">
        <v>0.93700000000000006</v>
      </c>
      <c r="G156" s="144">
        <v>0.97599999999999998</v>
      </c>
      <c r="H156" s="144">
        <v>0.84799999999999998</v>
      </c>
      <c r="I156" s="144">
        <v>0.97399999999999998</v>
      </c>
      <c r="J156" s="145">
        <v>1</v>
      </c>
      <c r="K156" s="144">
        <v>0.91200000000000003</v>
      </c>
      <c r="L156" s="144">
        <v>0.95099999999999996</v>
      </c>
      <c r="M156" s="146">
        <v>0.879</v>
      </c>
      <c r="N156" s="7"/>
    </row>
    <row r="157" spans="2:14" ht="15.75" thickBot="1">
      <c r="B157" s="64" t="s">
        <v>551</v>
      </c>
      <c r="C157" s="64" t="s">
        <v>528</v>
      </c>
      <c r="D157" s="64" t="s">
        <v>501</v>
      </c>
      <c r="E157" s="64" t="s">
        <v>181</v>
      </c>
      <c r="F157" s="64" t="s">
        <v>502</v>
      </c>
      <c r="G157" s="64" t="s">
        <v>184</v>
      </c>
      <c r="H157" s="64" t="s">
        <v>517</v>
      </c>
      <c r="I157" s="64" t="s">
        <v>529</v>
      </c>
      <c r="J157" s="64" t="s">
        <v>530</v>
      </c>
      <c r="K157" s="64" t="s">
        <v>107</v>
      </c>
      <c r="L157" s="64" t="s">
        <v>500</v>
      </c>
      <c r="M157" s="65" t="s">
        <v>514</v>
      </c>
    </row>
    <row r="158" spans="2:14" ht="15.75" thickTop="1">
      <c r="B158" s="68" t="s">
        <v>72</v>
      </c>
      <c r="C158" s="144">
        <v>0.219</v>
      </c>
      <c r="D158" s="144">
        <v>9.5000000000000001E-2</v>
      </c>
      <c r="E158" s="144">
        <v>0.151</v>
      </c>
      <c r="F158" s="144">
        <v>0</v>
      </c>
      <c r="G158" s="144">
        <v>0.09</v>
      </c>
      <c r="H158" s="144">
        <v>0.02</v>
      </c>
      <c r="I158" s="144">
        <v>0.14299999999999999</v>
      </c>
      <c r="J158" s="145">
        <v>0.02</v>
      </c>
      <c r="K158" s="144">
        <v>0.113</v>
      </c>
      <c r="L158" s="144">
        <v>6.0999999999999999E-2</v>
      </c>
      <c r="M158" s="146">
        <v>6.7000000000000004E-2</v>
      </c>
    </row>
    <row r="159" spans="2:14">
      <c r="B159" s="72" t="s">
        <v>84</v>
      </c>
      <c r="C159" s="147">
        <v>0.78100000000000003</v>
      </c>
      <c r="D159" s="147">
        <v>0.90500000000000003</v>
      </c>
      <c r="E159" s="147">
        <v>0.84899999999999998</v>
      </c>
      <c r="F159" s="147">
        <v>1</v>
      </c>
      <c r="G159" s="147">
        <v>0.91</v>
      </c>
      <c r="H159" s="147">
        <v>0.98</v>
      </c>
      <c r="I159" s="147">
        <v>0.85699999999999998</v>
      </c>
      <c r="J159" s="148">
        <v>0.98</v>
      </c>
      <c r="K159" s="147">
        <v>0.88700000000000001</v>
      </c>
      <c r="L159" s="147">
        <v>0.93899999999999995</v>
      </c>
      <c r="M159" s="149">
        <v>0.93300000000000005</v>
      </c>
    </row>
    <row r="160" spans="2:14">
      <c r="B160" s="37"/>
      <c r="C160" s="37"/>
      <c r="D160" s="37"/>
      <c r="E160" s="37"/>
      <c r="F160" s="37"/>
      <c r="G160" s="37"/>
      <c r="H160" s="37"/>
      <c r="I160" s="37"/>
      <c r="J160" s="37"/>
      <c r="K160" s="37"/>
      <c r="L160" s="37"/>
      <c r="M160" s="37"/>
    </row>
    <row r="161" spans="1:15">
      <c r="B161" s="37"/>
      <c r="C161" s="37"/>
      <c r="D161" s="37"/>
      <c r="E161" s="37"/>
      <c r="F161" s="37"/>
      <c r="G161" s="37"/>
      <c r="H161" s="37"/>
      <c r="I161" s="37"/>
      <c r="J161" s="37"/>
      <c r="K161" s="37"/>
      <c r="L161" s="37"/>
      <c r="M161" s="37"/>
    </row>
    <row r="162" spans="1:15">
      <c r="B162" s="37" t="s">
        <v>552</v>
      </c>
      <c r="C162" s="37"/>
      <c r="D162" s="37"/>
      <c r="E162" s="37"/>
      <c r="F162" s="37"/>
      <c r="G162" s="37"/>
      <c r="H162" s="37"/>
      <c r="I162" s="37"/>
      <c r="J162" s="37"/>
      <c r="K162" s="37"/>
      <c r="L162" s="37"/>
      <c r="M162" s="37"/>
    </row>
    <row r="163" spans="1:15">
      <c r="B163" s="36" t="s">
        <v>553</v>
      </c>
      <c r="C163" s="37"/>
      <c r="D163" s="37"/>
      <c r="E163" s="37"/>
      <c r="F163" s="37"/>
      <c r="G163" s="37"/>
      <c r="H163" s="37"/>
      <c r="I163" s="37"/>
      <c r="J163" s="37"/>
      <c r="K163" s="37"/>
      <c r="L163" s="37"/>
      <c r="M163" s="37"/>
      <c r="N163" s="37"/>
      <c r="O163" s="37"/>
    </row>
    <row r="164" spans="1:15" ht="15.75" thickBot="1">
      <c r="B164" s="64" t="s">
        <v>554</v>
      </c>
      <c r="C164" s="64" t="s">
        <v>528</v>
      </c>
      <c r="D164" s="64" t="s">
        <v>501</v>
      </c>
      <c r="E164" s="64" t="s">
        <v>181</v>
      </c>
      <c r="F164" s="64" t="s">
        <v>502</v>
      </c>
      <c r="G164" s="64" t="s">
        <v>184</v>
      </c>
      <c r="H164" s="64" t="s">
        <v>517</v>
      </c>
      <c r="I164" s="64" t="s">
        <v>529</v>
      </c>
      <c r="J164" s="64" t="s">
        <v>530</v>
      </c>
      <c r="K164" s="64" t="s">
        <v>107</v>
      </c>
      <c r="L164" s="64" t="s">
        <v>500</v>
      </c>
      <c r="M164" s="65" t="s">
        <v>514</v>
      </c>
      <c r="N164" s="37"/>
      <c r="O164" s="37"/>
    </row>
    <row r="165" spans="1:15" ht="15.75" thickTop="1">
      <c r="B165" s="66" t="s">
        <v>465</v>
      </c>
      <c r="C165" s="150">
        <v>0.20899999999999999</v>
      </c>
      <c r="D165" s="150">
        <v>0.193</v>
      </c>
      <c r="E165" s="150">
        <v>0.11799999999999999</v>
      </c>
      <c r="F165" s="150">
        <v>0.14099999999999999</v>
      </c>
      <c r="G165" s="150">
        <v>7.0000000000000001E-3</v>
      </c>
      <c r="H165" s="150">
        <v>3.7999999999999999E-2</v>
      </c>
      <c r="I165" s="150">
        <v>0.126</v>
      </c>
      <c r="J165" s="150">
        <v>4.9000000000000002E-2</v>
      </c>
      <c r="K165" s="150">
        <v>0.1</v>
      </c>
      <c r="L165" s="150">
        <v>2.5999999999999999E-2</v>
      </c>
      <c r="M165" s="67">
        <v>6.0999999999999999E-2</v>
      </c>
      <c r="N165" s="37"/>
      <c r="O165" s="37"/>
    </row>
    <row r="166" spans="1:15">
      <c r="B166" s="68" t="s">
        <v>26</v>
      </c>
      <c r="C166" s="151">
        <v>9.9000000000000005E-2</v>
      </c>
      <c r="D166" s="151">
        <v>3.6999999999999998E-2</v>
      </c>
      <c r="E166" s="151">
        <v>0.11</v>
      </c>
      <c r="F166" s="151">
        <v>0.314</v>
      </c>
      <c r="G166" s="151">
        <v>7.2999999999999995E-2</v>
      </c>
      <c r="H166" s="151">
        <v>2.5000000000000001E-2</v>
      </c>
      <c r="I166" s="151">
        <v>0.14299999999999999</v>
      </c>
      <c r="J166" s="151">
        <v>0.32700000000000001</v>
      </c>
      <c r="K166" s="151">
        <v>3.7999999999999999E-2</v>
      </c>
      <c r="L166" s="151">
        <v>1.4E-2</v>
      </c>
      <c r="M166" s="152">
        <v>1.0999999999999999E-2</v>
      </c>
      <c r="N166" s="37"/>
      <c r="O166" s="37"/>
    </row>
    <row r="167" spans="1:15">
      <c r="B167" s="66" t="s">
        <v>547</v>
      </c>
      <c r="C167" s="150">
        <v>6.0000000000000001E-3</v>
      </c>
      <c r="D167" s="150">
        <v>4.0000000000000001E-3</v>
      </c>
      <c r="E167" s="150">
        <v>3.0000000000000001E-3</v>
      </c>
      <c r="F167" s="150">
        <v>3.4000000000000002E-2</v>
      </c>
      <c r="G167" s="150">
        <v>0</v>
      </c>
      <c r="H167" s="150">
        <v>0</v>
      </c>
      <c r="I167" s="150">
        <v>5.0000000000000001E-3</v>
      </c>
      <c r="J167" s="150">
        <v>0</v>
      </c>
      <c r="K167" s="150">
        <v>0</v>
      </c>
      <c r="L167" s="150">
        <v>0</v>
      </c>
      <c r="M167" s="67">
        <v>0</v>
      </c>
      <c r="N167" s="37"/>
      <c r="O167" s="37"/>
    </row>
    <row r="168" spans="1:15">
      <c r="B168" s="68" t="s">
        <v>133</v>
      </c>
      <c r="C168" s="151">
        <v>0.68200000000000005</v>
      </c>
      <c r="D168" s="151">
        <v>0.76100000000000001</v>
      </c>
      <c r="E168" s="151">
        <v>0.72699999999999998</v>
      </c>
      <c r="F168" s="151">
        <v>0.48599999999999999</v>
      </c>
      <c r="G168" s="151">
        <v>0.90100000000000002</v>
      </c>
      <c r="H168" s="151">
        <v>0.86299999999999999</v>
      </c>
      <c r="I168" s="151">
        <v>0.72</v>
      </c>
      <c r="J168" s="151">
        <v>0.59599999999999997</v>
      </c>
      <c r="K168" s="151">
        <v>0.69699999999999995</v>
      </c>
      <c r="L168" s="151">
        <v>0.71199999999999997</v>
      </c>
      <c r="M168" s="152">
        <v>0.92900000000000005</v>
      </c>
      <c r="N168" s="37"/>
      <c r="O168" s="37"/>
    </row>
    <row r="169" spans="1:15">
      <c r="B169" s="72" t="s">
        <v>107</v>
      </c>
      <c r="C169" s="153">
        <v>4.0000000000000001E-3</v>
      </c>
      <c r="D169" s="153">
        <v>4.0000000000000001E-3</v>
      </c>
      <c r="E169" s="153">
        <v>4.1000000000000002E-2</v>
      </c>
      <c r="F169" s="153">
        <v>2.5999999999999999E-2</v>
      </c>
      <c r="G169" s="153">
        <v>1.7999999999999999E-2</v>
      </c>
      <c r="H169" s="153">
        <v>7.3999999999999996E-2</v>
      </c>
      <c r="I169" s="153">
        <v>5.0000000000000001E-3</v>
      </c>
      <c r="J169" s="153">
        <v>2.7E-2</v>
      </c>
      <c r="K169" s="153">
        <v>0.16600000000000001</v>
      </c>
      <c r="L169" s="153">
        <v>0.249</v>
      </c>
      <c r="M169" s="154">
        <v>0</v>
      </c>
      <c r="N169" s="37"/>
      <c r="O169" s="37"/>
    </row>
    <row r="170" spans="1:15">
      <c r="B170" s="37"/>
      <c r="C170" s="37"/>
      <c r="D170" s="37"/>
      <c r="E170" s="37"/>
      <c r="F170" s="37"/>
      <c r="G170" s="37"/>
      <c r="H170" s="37"/>
      <c r="I170" s="37"/>
      <c r="J170" s="37"/>
      <c r="K170" s="37"/>
      <c r="L170" s="37"/>
      <c r="M170" s="37"/>
      <c r="N170" s="37"/>
      <c r="O170" s="37"/>
    </row>
    <row r="172" spans="1:15">
      <c r="A172" s="1" t="s">
        <v>851</v>
      </c>
    </row>
    <row r="173" spans="1:15">
      <c r="D173" t="s">
        <v>106</v>
      </c>
      <c r="H173" t="s">
        <v>514</v>
      </c>
    </row>
    <row r="174" spans="1:15">
      <c r="C174" t="s">
        <v>684</v>
      </c>
      <c r="D174" s="56">
        <f>SUM(D182:F182)</f>
        <v>1617461.2103127248</v>
      </c>
      <c r="E174" s="33">
        <f>D174/SUM(D174:D175)</f>
        <v>0.72258762156200351</v>
      </c>
      <c r="F174" s="56"/>
      <c r="G174" t="s">
        <v>685</v>
      </c>
      <c r="H174" s="56">
        <f>C182+C183+C186+C193+C194+C196+C202</f>
        <v>282293.55980796309</v>
      </c>
      <c r="I174" s="33">
        <f>H174/SUM(H174:H175)</f>
        <v>0.87090692934593561</v>
      </c>
    </row>
    <row r="175" spans="1:15">
      <c r="C175" t="s">
        <v>686</v>
      </c>
      <c r="D175" s="56">
        <f>SUM(D184:F184,D188:F188,D201:F201)</f>
        <v>620967.96014039009</v>
      </c>
      <c r="E175" s="33">
        <f>1-E174</f>
        <v>0.27741237843799649</v>
      </c>
      <c r="F175" s="56"/>
      <c r="G175" t="s">
        <v>687</v>
      </c>
      <c r="H175" s="56">
        <f>C180+C181+C190+C197+C205</f>
        <v>41843.900000709997</v>
      </c>
      <c r="I175" s="33">
        <f>1-I174</f>
        <v>0.12909307065406439</v>
      </c>
    </row>
    <row r="176" spans="1:15">
      <c r="H176" s="56"/>
    </row>
    <row r="177" spans="2:7">
      <c r="B177" t="s">
        <v>688</v>
      </c>
    </row>
    <row r="178" spans="2:7">
      <c r="B178" s="57" t="s">
        <v>689</v>
      </c>
      <c r="C178" s="57" t="s">
        <v>690</v>
      </c>
      <c r="D178" s="57" t="s">
        <v>691</v>
      </c>
      <c r="E178" s="57" t="s">
        <v>692</v>
      </c>
      <c r="F178" s="57" t="s">
        <v>693</v>
      </c>
      <c r="G178" s="57" t="s">
        <v>18</v>
      </c>
    </row>
    <row r="179" spans="2:7">
      <c r="B179" t="s">
        <v>694</v>
      </c>
      <c r="C179" s="56">
        <v>32024.45000603301</v>
      </c>
      <c r="D179" s="56">
        <v>53249.410000000011</v>
      </c>
      <c r="E179" s="56">
        <v>143993.66016740983</v>
      </c>
      <c r="F179" s="56">
        <v>62549.679999999986</v>
      </c>
      <c r="G179" s="56">
        <v>291817.20017344283</v>
      </c>
    </row>
    <row r="180" spans="2:7">
      <c r="B180" t="s">
        <v>695</v>
      </c>
      <c r="C180" s="56">
        <v>896.24</v>
      </c>
      <c r="D180" s="56"/>
      <c r="E180" s="56"/>
      <c r="F180" s="56"/>
      <c r="G180" s="56">
        <v>896.24</v>
      </c>
    </row>
    <row r="181" spans="2:7">
      <c r="B181" t="s">
        <v>696</v>
      </c>
      <c r="C181" s="56">
        <v>19223.419999999998</v>
      </c>
      <c r="D181" s="56">
        <v>9289.86</v>
      </c>
      <c r="E181" s="56">
        <v>51125.260004184995</v>
      </c>
      <c r="F181" s="56">
        <v>7821.9100000000008</v>
      </c>
      <c r="G181" s="56">
        <v>87460.450004184997</v>
      </c>
    </row>
    <row r="182" spans="2:7">
      <c r="B182" t="s">
        <v>697</v>
      </c>
      <c r="C182" s="56">
        <v>168380.20984161904</v>
      </c>
      <c r="D182" s="56">
        <v>500912.21999999986</v>
      </c>
      <c r="E182" s="56">
        <v>687123.35031272494</v>
      </c>
      <c r="F182" s="56">
        <v>429425.63999999996</v>
      </c>
      <c r="G182" s="56">
        <v>1785841.4201543436</v>
      </c>
    </row>
    <row r="183" spans="2:7">
      <c r="B183" t="s">
        <v>698</v>
      </c>
      <c r="C183" s="56">
        <v>22423.340003381007</v>
      </c>
      <c r="D183" s="56">
        <v>19695.170000000002</v>
      </c>
      <c r="E183" s="56">
        <v>38872.410214834999</v>
      </c>
      <c r="F183" s="56">
        <v>22032.93</v>
      </c>
      <c r="G183" s="56">
        <v>103023.85021821602</v>
      </c>
    </row>
    <row r="184" spans="2:7">
      <c r="B184" t="s">
        <v>699</v>
      </c>
      <c r="C184" s="56">
        <v>164.73</v>
      </c>
      <c r="D184" s="56">
        <v>40898.480000000003</v>
      </c>
      <c r="E184" s="56">
        <v>60637.06</v>
      </c>
      <c r="F184" s="56">
        <v>51461.75</v>
      </c>
      <c r="G184" s="56">
        <v>153162.02000000002</v>
      </c>
    </row>
    <row r="185" spans="2:7">
      <c r="B185" t="s">
        <v>700</v>
      </c>
      <c r="C185" s="56">
        <v>175.54</v>
      </c>
      <c r="D185" s="56">
        <v>463.29</v>
      </c>
      <c r="E185" s="56">
        <v>2976.74</v>
      </c>
      <c r="F185" s="56">
        <v>1306.4099999999999</v>
      </c>
      <c r="G185" s="56">
        <v>4921.9799999999996</v>
      </c>
    </row>
    <row r="186" spans="2:7">
      <c r="B186" t="s">
        <v>701</v>
      </c>
      <c r="C186" s="56">
        <v>9098.6300097200001</v>
      </c>
      <c r="D186" s="56"/>
      <c r="E186" s="56">
        <v>27267.369926970001</v>
      </c>
      <c r="F186" s="56"/>
      <c r="G186" s="56">
        <v>36365.999936690001</v>
      </c>
    </row>
    <row r="187" spans="2:7">
      <c r="B187" t="s">
        <v>702</v>
      </c>
      <c r="C187" s="56">
        <v>2073.98</v>
      </c>
      <c r="D187" s="56"/>
      <c r="E187" s="56">
        <v>582.1</v>
      </c>
      <c r="F187" s="56">
        <v>117.35</v>
      </c>
      <c r="G187" s="56">
        <v>2773.43</v>
      </c>
    </row>
    <row r="188" spans="2:7">
      <c r="B188" t="s">
        <v>703</v>
      </c>
      <c r="C188" s="56"/>
      <c r="D188" s="56">
        <v>127.09</v>
      </c>
      <c r="E188" s="56">
        <v>31839.080100210005</v>
      </c>
      <c r="F188" s="56">
        <v>11192.099999999999</v>
      </c>
      <c r="G188" s="56">
        <v>43158.270100210008</v>
      </c>
    </row>
    <row r="189" spans="2:7">
      <c r="B189" t="s">
        <v>704</v>
      </c>
      <c r="C189" s="56">
        <v>7686.8599834569995</v>
      </c>
      <c r="D189" s="56">
        <v>29605.97</v>
      </c>
      <c r="E189" s="56">
        <v>40406.639968030002</v>
      </c>
      <c r="F189" s="56">
        <v>21599.619999999995</v>
      </c>
      <c r="G189" s="56">
        <v>99299.089951486996</v>
      </c>
    </row>
    <row r="190" spans="2:7">
      <c r="B190" t="s">
        <v>705</v>
      </c>
      <c r="C190" s="56">
        <v>929.86</v>
      </c>
      <c r="D190" s="56"/>
      <c r="E190" s="56"/>
      <c r="F190" s="56"/>
      <c r="G190" s="56">
        <v>929.86</v>
      </c>
    </row>
    <row r="191" spans="2:7">
      <c r="B191" t="s">
        <v>706</v>
      </c>
      <c r="C191" s="56">
        <v>237.69</v>
      </c>
      <c r="D191" s="56">
        <v>700.6099999999999</v>
      </c>
      <c r="E191" s="56">
        <v>1777.2099999999996</v>
      </c>
      <c r="F191" s="56">
        <v>786.3599999999999</v>
      </c>
      <c r="G191" s="56">
        <v>3501.869999999999</v>
      </c>
    </row>
    <row r="192" spans="2:7">
      <c r="B192" t="s">
        <v>707</v>
      </c>
      <c r="C192" s="56"/>
      <c r="D192" s="56">
        <v>1144.78</v>
      </c>
      <c r="E192" s="56">
        <v>77940.450149005002</v>
      </c>
      <c r="F192" s="56">
        <v>32771.509999999995</v>
      </c>
      <c r="G192" s="56">
        <v>111856.740149005</v>
      </c>
    </row>
    <row r="193" spans="2:7">
      <c r="B193" t="s">
        <v>708</v>
      </c>
      <c r="C193" s="56">
        <v>4428.0799988849994</v>
      </c>
      <c r="D193" s="56">
        <v>11416.04</v>
      </c>
      <c r="E193" s="56">
        <v>19958.719975355001</v>
      </c>
      <c r="F193" s="56">
        <v>10621.529999999999</v>
      </c>
      <c r="G193" s="56">
        <v>46424.369974239999</v>
      </c>
    </row>
    <row r="194" spans="2:7">
      <c r="B194" t="s">
        <v>709</v>
      </c>
      <c r="C194" s="56">
        <v>1584.06</v>
      </c>
      <c r="D194" s="56"/>
      <c r="E194" s="56">
        <v>492.96000000000004</v>
      </c>
      <c r="F194" s="56">
        <v>119.44</v>
      </c>
      <c r="G194" s="56">
        <v>2196.46</v>
      </c>
    </row>
    <row r="195" spans="2:7">
      <c r="B195" t="s">
        <v>710</v>
      </c>
      <c r="C195" s="56">
        <v>2746.299973785</v>
      </c>
      <c r="D195" s="56">
        <v>3199.94</v>
      </c>
      <c r="E195" s="56">
        <v>5435.1701857549997</v>
      </c>
      <c r="F195" s="56">
        <v>4152.08</v>
      </c>
      <c r="G195" s="56">
        <v>15533.490159539999</v>
      </c>
    </row>
    <row r="196" spans="2:7">
      <c r="B196" t="s">
        <v>711</v>
      </c>
      <c r="C196" s="56">
        <v>71567.159965747996</v>
      </c>
      <c r="D196" s="56">
        <v>32019.260000000002</v>
      </c>
      <c r="E196" s="56">
        <v>69044.329977559988</v>
      </c>
      <c r="F196" s="56">
        <v>37457.440000000017</v>
      </c>
      <c r="G196" s="56">
        <v>210088.18994330801</v>
      </c>
    </row>
    <row r="197" spans="2:7">
      <c r="B197" t="s">
        <v>712</v>
      </c>
      <c r="C197" s="56">
        <v>18446.680000710003</v>
      </c>
      <c r="D197" s="56">
        <v>6979.1</v>
      </c>
      <c r="E197" s="56">
        <v>15797.749949795001</v>
      </c>
      <c r="F197" s="56">
        <v>5465.65</v>
      </c>
      <c r="G197" s="56">
        <v>46689.179950505008</v>
      </c>
    </row>
    <row r="198" spans="2:7">
      <c r="B198" t="s">
        <v>713</v>
      </c>
      <c r="C198" s="56">
        <v>1304.5</v>
      </c>
      <c r="D198" s="56"/>
      <c r="E198" s="56"/>
      <c r="F198" s="56"/>
      <c r="G198" s="56">
        <v>1304.5</v>
      </c>
    </row>
    <row r="199" spans="2:7">
      <c r="B199" t="s">
        <v>714</v>
      </c>
      <c r="C199" s="56">
        <v>769.07</v>
      </c>
      <c r="D199" s="56"/>
      <c r="E199" s="56"/>
      <c r="F199" s="56"/>
      <c r="G199" s="56">
        <v>769.07</v>
      </c>
    </row>
    <row r="200" spans="2:7">
      <c r="B200" t="s">
        <v>715</v>
      </c>
      <c r="C200" s="56">
        <v>221.73</v>
      </c>
      <c r="D200" s="56"/>
      <c r="E200" s="56"/>
      <c r="F200" s="56"/>
      <c r="G200" s="56">
        <v>221.73</v>
      </c>
    </row>
    <row r="201" spans="2:7">
      <c r="B201" t="s">
        <v>716</v>
      </c>
      <c r="C201" s="56">
        <v>5135.000037492</v>
      </c>
      <c r="D201" s="56">
        <v>50952.84</v>
      </c>
      <c r="E201" s="56">
        <v>247028.70004018003</v>
      </c>
      <c r="F201" s="56">
        <v>126830.86</v>
      </c>
      <c r="G201" s="56">
        <v>429947.40007767203</v>
      </c>
    </row>
    <row r="202" spans="2:7">
      <c r="B202" t="s">
        <v>717</v>
      </c>
      <c r="C202" s="56">
        <v>4812.0799886100003</v>
      </c>
      <c r="D202" s="56">
        <v>21673.08</v>
      </c>
      <c r="E202" s="56">
        <v>39983.069999999992</v>
      </c>
      <c r="F202" s="56">
        <v>40075.019999999997</v>
      </c>
      <c r="G202" s="56">
        <v>106543.24998860998</v>
      </c>
    </row>
    <row r="203" spans="2:7">
      <c r="B203" t="s">
        <v>718</v>
      </c>
      <c r="C203" s="56">
        <v>19308.580009334004</v>
      </c>
      <c r="D203" s="56">
        <v>52295.85</v>
      </c>
      <c r="E203" s="56">
        <v>76814.890081789999</v>
      </c>
      <c r="F203" s="56">
        <v>45951.349999999977</v>
      </c>
      <c r="G203" s="56">
        <v>194370.67009112396</v>
      </c>
    </row>
    <row r="204" spans="2:7">
      <c r="B204" t="s">
        <v>719</v>
      </c>
      <c r="C204" s="56"/>
      <c r="D204" s="56">
        <v>2915.06</v>
      </c>
      <c r="E204" s="56">
        <v>3699.88</v>
      </c>
      <c r="F204" s="56">
        <v>886.8900000000001</v>
      </c>
      <c r="G204" s="56">
        <v>7501.8300000000008</v>
      </c>
    </row>
    <row r="205" spans="2:7">
      <c r="B205" t="s">
        <v>720</v>
      </c>
      <c r="C205" s="56">
        <v>2347.6999999999998</v>
      </c>
      <c r="D205" s="56">
        <v>4786.25</v>
      </c>
      <c r="E205" s="56">
        <v>7637.3499700450002</v>
      </c>
      <c r="F205" s="56">
        <v>8851.1400000000012</v>
      </c>
      <c r="G205" s="56">
        <v>23622.439970045001</v>
      </c>
    </row>
    <row r="206" spans="2:7">
      <c r="B206" s="58" t="s">
        <v>18</v>
      </c>
      <c r="C206" s="60">
        <v>395985.88981877413</v>
      </c>
      <c r="D206" s="60">
        <v>842324.29999999981</v>
      </c>
      <c r="E206" s="60">
        <v>1650434.1510238498</v>
      </c>
      <c r="F206" s="60">
        <v>921476.65999999992</v>
      </c>
      <c r="G206" s="60">
        <v>3810221.0008426229</v>
      </c>
    </row>
    <row r="211" spans="2:6">
      <c r="B211" t="s">
        <v>721</v>
      </c>
    </row>
    <row r="212" spans="2:6">
      <c r="B212" s="57" t="s">
        <v>689</v>
      </c>
      <c r="C212" s="57" t="s">
        <v>722</v>
      </c>
      <c r="D212" s="57" t="s">
        <v>723</v>
      </c>
      <c r="E212" s="57" t="s">
        <v>724</v>
      </c>
      <c r="F212" s="57" t="s">
        <v>18</v>
      </c>
    </row>
    <row r="213" spans="2:6">
      <c r="B213" t="s">
        <v>699</v>
      </c>
      <c r="C213" s="56">
        <v>5788.8699989239994</v>
      </c>
      <c r="D213" s="56">
        <v>17415.410043733002</v>
      </c>
      <c r="E213" s="56">
        <v>64193.654395877005</v>
      </c>
      <c r="F213" s="56">
        <v>87397.934438534008</v>
      </c>
    </row>
    <row r="214" spans="2:6">
      <c r="B214" t="s">
        <v>725</v>
      </c>
      <c r="C214" s="56">
        <v>397.8</v>
      </c>
      <c r="D214" s="56">
        <v>376.02999892900004</v>
      </c>
      <c r="E214" s="56">
        <v>2410.659999688</v>
      </c>
      <c r="F214" s="56">
        <v>3184.4899986170003</v>
      </c>
    </row>
    <row r="215" spans="2:6">
      <c r="B215" t="s">
        <v>704</v>
      </c>
      <c r="C215" s="56">
        <v>2820.9099977420001</v>
      </c>
      <c r="D215" s="56">
        <v>16442.884027436001</v>
      </c>
      <c r="E215" s="56">
        <v>32683.496655461004</v>
      </c>
      <c r="F215" s="56">
        <v>51947.290680639009</v>
      </c>
    </row>
    <row r="216" spans="2:6">
      <c r="B216" t="s">
        <v>706</v>
      </c>
      <c r="C216" s="56">
        <v>34.65</v>
      </c>
      <c r="D216" s="56"/>
      <c r="E216" s="56"/>
      <c r="F216" s="56">
        <v>34.65</v>
      </c>
    </row>
    <row r="217" spans="2:6">
      <c r="B217" t="s">
        <v>726</v>
      </c>
      <c r="C217" s="56">
        <v>4474.5099990399995</v>
      </c>
      <c r="D217" s="56">
        <v>1441.630003088</v>
      </c>
      <c r="E217" s="56"/>
      <c r="F217" s="56">
        <v>5916.1400021279997</v>
      </c>
    </row>
    <row r="218" spans="2:6">
      <c r="B218" t="s">
        <v>708</v>
      </c>
      <c r="C218" s="56">
        <v>89.53</v>
      </c>
      <c r="D218" s="56">
        <v>357.036503547</v>
      </c>
      <c r="E218" s="56">
        <v>915.97</v>
      </c>
      <c r="F218" s="56">
        <v>1362.5365035469999</v>
      </c>
    </row>
    <row r="219" spans="2:6">
      <c r="B219" t="s">
        <v>709</v>
      </c>
      <c r="C219" s="56">
        <v>462.85</v>
      </c>
      <c r="D219" s="56">
        <v>65.91</v>
      </c>
      <c r="E219" s="56">
        <v>5097.9400000000005</v>
      </c>
      <c r="F219" s="56">
        <v>5626.7000000000007</v>
      </c>
    </row>
    <row r="220" spans="2:6">
      <c r="B220" t="s">
        <v>711</v>
      </c>
      <c r="C220" s="56">
        <v>835.95000091199995</v>
      </c>
      <c r="D220" s="56">
        <v>738.53200662900008</v>
      </c>
      <c r="E220" s="56">
        <v>1550.5316632230001</v>
      </c>
      <c r="F220" s="56">
        <v>3125.0136707640004</v>
      </c>
    </row>
    <row r="221" spans="2:6" ht="12.75" customHeight="1">
      <c r="B221" t="s">
        <v>712</v>
      </c>
      <c r="C221" s="56">
        <v>229.48</v>
      </c>
      <c r="D221" s="56">
        <v>211.54</v>
      </c>
      <c r="E221" s="56">
        <v>126.29</v>
      </c>
      <c r="F221" s="56">
        <v>567.30999999999995</v>
      </c>
    </row>
    <row r="222" spans="2:6">
      <c r="B222" t="s">
        <v>716</v>
      </c>
      <c r="C222" s="56">
        <v>371.47</v>
      </c>
      <c r="D222" s="56">
        <v>2011.42</v>
      </c>
      <c r="E222" s="56"/>
      <c r="F222" s="56">
        <v>2382.8900000000003</v>
      </c>
    </row>
    <row r="223" spans="2:6">
      <c r="B223" t="s">
        <v>718</v>
      </c>
      <c r="C223" s="56">
        <v>1102.039999606</v>
      </c>
      <c r="D223" s="56">
        <v>3327.7637649199996</v>
      </c>
      <c r="E223" s="56">
        <v>7865.4788372789963</v>
      </c>
      <c r="F223" s="56">
        <v>12295.282601804996</v>
      </c>
    </row>
    <row r="224" spans="2:6">
      <c r="B224" t="s">
        <v>727</v>
      </c>
      <c r="C224" s="56"/>
      <c r="D224" s="56"/>
      <c r="E224" s="56">
        <v>118.52000000000001</v>
      </c>
      <c r="F224" s="56">
        <v>118.52000000000001</v>
      </c>
    </row>
    <row r="225" spans="2:8">
      <c r="B225" t="s">
        <v>720</v>
      </c>
      <c r="C225" s="56">
        <v>101.82</v>
      </c>
      <c r="D225" s="56"/>
      <c r="E225" s="56"/>
      <c r="F225" s="56">
        <v>101.82</v>
      </c>
    </row>
    <row r="226" spans="2:8">
      <c r="B226" s="58" t="s">
        <v>18</v>
      </c>
      <c r="C226" s="59">
        <v>16709.879996223997</v>
      </c>
      <c r="D226" s="59">
        <v>42388.156348282006</v>
      </c>
      <c r="E226" s="59">
        <v>114962.54155152799</v>
      </c>
      <c r="F226" s="59">
        <v>174060.57789603402</v>
      </c>
    </row>
    <row r="229" spans="2:8">
      <c r="C229" t="s">
        <v>108</v>
      </c>
      <c r="D229" s="56">
        <f>F214+F215+F216+F220+F221+F222+F223+F224+F225</f>
        <v>73757.266951825019</v>
      </c>
      <c r="E229" s="33">
        <f>D229/SUM(D229:D231)</f>
        <v>0.42374481254382634</v>
      </c>
    </row>
    <row r="230" spans="2:8">
      <c r="C230" t="s">
        <v>1225</v>
      </c>
      <c r="D230" s="56">
        <f>F219</f>
        <v>5626.7000000000007</v>
      </c>
      <c r="E230" s="33">
        <f>D230/SUM(D229:D231)</f>
        <v>3.2326102027311523E-2</v>
      </c>
    </row>
    <row r="231" spans="2:8">
      <c r="C231" t="s">
        <v>1147</v>
      </c>
      <c r="D231" s="56">
        <f>F213+F218+F217</f>
        <v>94676.610944209009</v>
      </c>
      <c r="E231" s="33">
        <f>D231/SUM(D229:D231)</f>
        <v>0.5439290854288622</v>
      </c>
    </row>
    <row r="234" spans="2:8">
      <c r="B234" t="s">
        <v>728</v>
      </c>
    </row>
    <row r="235" spans="2:8">
      <c r="B235" s="57" t="s">
        <v>689</v>
      </c>
      <c r="C235" s="57" t="s">
        <v>729</v>
      </c>
      <c r="D235" s="57" t="s">
        <v>730</v>
      </c>
      <c r="E235" s="57" t="s">
        <v>529</v>
      </c>
      <c r="F235" s="57" t="s">
        <v>731</v>
      </c>
      <c r="G235" s="57" t="s">
        <v>732</v>
      </c>
      <c r="H235" s="57" t="s">
        <v>18</v>
      </c>
    </row>
    <row r="236" spans="2:8">
      <c r="B236" t="s">
        <v>695</v>
      </c>
      <c r="C236" s="56"/>
      <c r="D236" s="56"/>
      <c r="E236" s="56">
        <v>7904.0000214239999</v>
      </c>
      <c r="F236" s="56"/>
      <c r="G236" s="56"/>
      <c r="H236" s="56">
        <v>7904.0000214239999</v>
      </c>
    </row>
    <row r="237" spans="2:8">
      <c r="B237" t="s">
        <v>696</v>
      </c>
      <c r="C237" s="56">
        <v>2791.27</v>
      </c>
      <c r="D237" s="56"/>
      <c r="E237" s="56">
        <v>1143.8399999999999</v>
      </c>
      <c r="F237" s="56"/>
      <c r="G237" s="56"/>
      <c r="H237" s="56">
        <v>3935.1099999999997</v>
      </c>
    </row>
    <row r="238" spans="2:8">
      <c r="B238" t="s">
        <v>733</v>
      </c>
      <c r="C238" s="56">
        <v>520.79999999999995</v>
      </c>
      <c r="D238" s="56"/>
      <c r="E238" s="56"/>
      <c r="F238" s="56"/>
      <c r="G238" s="56"/>
      <c r="H238" s="56">
        <v>520.79999999999995</v>
      </c>
    </row>
    <row r="239" spans="2:8">
      <c r="B239" t="s">
        <v>697</v>
      </c>
      <c r="C239" s="56">
        <v>3020.39</v>
      </c>
      <c r="D239" s="56">
        <v>11643.999918520001</v>
      </c>
      <c r="E239" s="56"/>
      <c r="F239" s="56"/>
      <c r="G239" s="56"/>
      <c r="H239" s="56">
        <v>14664.389918520001</v>
      </c>
    </row>
    <row r="240" spans="2:8">
      <c r="B240" t="s">
        <v>698</v>
      </c>
      <c r="C240" s="56">
        <v>7372.09</v>
      </c>
      <c r="D240" s="56">
        <v>224.000018864</v>
      </c>
      <c r="E240" s="56">
        <v>38242.079975392007</v>
      </c>
      <c r="F240" s="56">
        <v>3017.0351088719999</v>
      </c>
      <c r="G240" s="56"/>
      <c r="H240" s="56">
        <v>48855.205103128006</v>
      </c>
    </row>
    <row r="241" spans="2:8">
      <c r="B241" t="s">
        <v>699</v>
      </c>
      <c r="C241" s="56">
        <v>45306.549999999988</v>
      </c>
      <c r="D241" s="56">
        <v>6896.3499191440005</v>
      </c>
      <c r="E241" s="56">
        <v>46394.580009824014</v>
      </c>
      <c r="F241" s="56">
        <v>859.61999999999989</v>
      </c>
      <c r="G241" s="56"/>
      <c r="H241" s="56">
        <v>99457.099928968004</v>
      </c>
    </row>
    <row r="242" spans="2:8">
      <c r="B242" t="s">
        <v>702</v>
      </c>
      <c r="C242" s="56">
        <v>1342.1399999999999</v>
      </c>
      <c r="D242" s="56">
        <v>192.00004002399999</v>
      </c>
      <c r="E242" s="56"/>
      <c r="F242" s="56"/>
      <c r="G242" s="56"/>
      <c r="H242" s="56">
        <v>1534.140040024</v>
      </c>
    </row>
    <row r="243" spans="2:8">
      <c r="B243" t="s">
        <v>703</v>
      </c>
      <c r="C243" s="56">
        <v>6301.39</v>
      </c>
      <c r="D243" s="56"/>
      <c r="E243" s="56">
        <v>65741.829954343993</v>
      </c>
      <c r="F243" s="56">
        <v>1054.5586231049999</v>
      </c>
      <c r="G243" s="56"/>
      <c r="H243" s="56">
        <v>73097.778577448989</v>
      </c>
    </row>
    <row r="244" spans="2:8">
      <c r="B244" t="s">
        <v>704</v>
      </c>
      <c r="C244" s="56">
        <v>21970.409999999996</v>
      </c>
      <c r="D244" s="56">
        <v>4940.1100000239994</v>
      </c>
      <c r="E244" s="56">
        <v>18542.660010983993</v>
      </c>
      <c r="F244" s="56">
        <v>2304.8240562750002</v>
      </c>
      <c r="G244" s="56">
        <v>11442.400000000001</v>
      </c>
      <c r="H244" s="56">
        <v>59200.404067282994</v>
      </c>
    </row>
    <row r="245" spans="2:8">
      <c r="B245" t="s">
        <v>734</v>
      </c>
      <c r="C245" s="56">
        <v>605</v>
      </c>
      <c r="D245" s="56"/>
      <c r="E245" s="56"/>
      <c r="F245" s="56"/>
      <c r="G245" s="56"/>
      <c r="H245" s="56">
        <v>605</v>
      </c>
    </row>
    <row r="246" spans="2:8">
      <c r="B246" t="s">
        <v>706</v>
      </c>
      <c r="C246" s="56">
        <v>12764.490000000002</v>
      </c>
      <c r="D246" s="56">
        <v>2364.0000344320001</v>
      </c>
      <c r="E246" s="56">
        <v>15739.719984775998</v>
      </c>
      <c r="F246" s="56">
        <v>6208.1546465330011</v>
      </c>
      <c r="G246" s="56">
        <v>1723.32</v>
      </c>
      <c r="H246" s="56">
        <v>38799.684665740999</v>
      </c>
    </row>
    <row r="247" spans="2:8">
      <c r="B247" t="s">
        <v>735</v>
      </c>
      <c r="C247" s="56">
        <v>773176.41244000022</v>
      </c>
      <c r="D247" s="56">
        <v>113100.350069968</v>
      </c>
      <c r="E247" s="56">
        <v>839443.38239796017</v>
      </c>
      <c r="F247" s="56">
        <v>259476.76922134604</v>
      </c>
      <c r="G247" s="56">
        <v>231834.63</v>
      </c>
      <c r="H247" s="56">
        <v>2217031.5441292748</v>
      </c>
    </row>
    <row r="248" spans="2:8">
      <c r="B248" t="s">
        <v>707</v>
      </c>
      <c r="C248" s="56">
        <v>4136.1600000000008</v>
      </c>
      <c r="D248" s="56">
        <v>6719.9998979840002</v>
      </c>
      <c r="E248" s="56">
        <v>10287.399938655999</v>
      </c>
      <c r="F248" s="56"/>
      <c r="G248" s="56"/>
      <c r="H248" s="56">
        <v>21143.559836640001</v>
      </c>
    </row>
    <row r="249" spans="2:8">
      <c r="B249" t="s">
        <v>708</v>
      </c>
      <c r="C249" s="56">
        <v>46452.180000000008</v>
      </c>
      <c r="D249" s="56">
        <v>17847.449994120005</v>
      </c>
      <c r="E249" s="56">
        <v>7331.7999756800009</v>
      </c>
      <c r="F249" s="56">
        <v>604.14</v>
      </c>
      <c r="G249" s="56">
        <v>1057.49</v>
      </c>
      <c r="H249" s="56">
        <v>73293.059969800015</v>
      </c>
    </row>
    <row r="250" spans="2:8">
      <c r="B250" t="s">
        <v>736</v>
      </c>
      <c r="C250" s="56">
        <v>597.9</v>
      </c>
      <c r="D250" s="56"/>
      <c r="E250" s="56"/>
      <c r="F250" s="56"/>
      <c r="G250" s="56"/>
      <c r="H250" s="56">
        <v>597.9</v>
      </c>
    </row>
    <row r="251" spans="2:8">
      <c r="B251" t="s">
        <v>709</v>
      </c>
      <c r="C251" s="56">
        <v>2954.4100000000003</v>
      </c>
      <c r="D251" s="56"/>
      <c r="E251" s="56">
        <v>3586.5200212639988</v>
      </c>
      <c r="F251" s="56"/>
      <c r="G251" s="56">
        <v>6528.9</v>
      </c>
      <c r="H251" s="56">
        <v>13069.830021263999</v>
      </c>
    </row>
    <row r="252" spans="2:8">
      <c r="B252" t="s">
        <v>710</v>
      </c>
      <c r="C252" s="56">
        <v>3189.33</v>
      </c>
      <c r="D252" s="56"/>
      <c r="E252" s="56"/>
      <c r="F252" s="56"/>
      <c r="G252" s="56"/>
      <c r="H252" s="56">
        <v>3189.33</v>
      </c>
    </row>
    <row r="253" spans="2:8">
      <c r="B253" t="s">
        <v>711</v>
      </c>
      <c r="C253" s="56">
        <v>66194.030000000013</v>
      </c>
      <c r="D253" s="56">
        <v>4099.6100623520006</v>
      </c>
      <c r="E253" s="56">
        <v>16746.320014327994</v>
      </c>
      <c r="F253" s="56">
        <v>1849.9379122049997</v>
      </c>
      <c r="G253" s="56">
        <v>805.53</v>
      </c>
      <c r="H253" s="56">
        <v>89695.427988885014</v>
      </c>
    </row>
    <row r="254" spans="2:8">
      <c r="B254" t="s">
        <v>712</v>
      </c>
      <c r="C254" s="56">
        <v>3651.32</v>
      </c>
      <c r="D254" s="56">
        <v>189.48</v>
      </c>
      <c r="E254" s="56">
        <v>8226.08</v>
      </c>
      <c r="F254" s="56">
        <v>243.9</v>
      </c>
      <c r="G254" s="56">
        <v>1753.51</v>
      </c>
      <c r="H254" s="56">
        <v>14064.29</v>
      </c>
    </row>
    <row r="255" spans="2:8">
      <c r="B255" t="s">
        <v>714</v>
      </c>
      <c r="C255" s="56">
        <v>1260.1099999999999</v>
      </c>
      <c r="D255" s="56"/>
      <c r="E255" s="56"/>
      <c r="F255" s="56"/>
      <c r="G255" s="56"/>
      <c r="H255" s="56">
        <v>1260.1099999999999</v>
      </c>
    </row>
    <row r="256" spans="2:8">
      <c r="B256" t="s">
        <v>715</v>
      </c>
      <c r="C256" s="56"/>
      <c r="D256" s="56">
        <v>1181.9999176480001</v>
      </c>
      <c r="E256" s="56"/>
      <c r="F256" s="56"/>
      <c r="G256" s="56"/>
      <c r="H256" s="56">
        <v>1181.9999176480001</v>
      </c>
    </row>
    <row r="257" spans="2:11">
      <c r="B257" t="s">
        <v>716</v>
      </c>
      <c r="C257" s="56">
        <v>1632.42</v>
      </c>
      <c r="D257" s="56"/>
      <c r="E257" s="56"/>
      <c r="F257" s="56">
        <v>6068.02184812</v>
      </c>
      <c r="G257" s="56">
        <v>2492.04</v>
      </c>
      <c r="H257" s="56">
        <v>10192.48184812</v>
      </c>
    </row>
    <row r="258" spans="2:11">
      <c r="B258" t="s">
        <v>737</v>
      </c>
      <c r="C258" s="56">
        <v>175.87</v>
      </c>
      <c r="D258" s="56"/>
      <c r="E258" s="56"/>
      <c r="F258" s="56"/>
      <c r="G258" s="56"/>
      <c r="H258" s="56">
        <v>175.87</v>
      </c>
    </row>
    <row r="259" spans="2:11">
      <c r="B259" t="s">
        <v>717</v>
      </c>
      <c r="C259" s="56">
        <v>1517.82</v>
      </c>
      <c r="D259" s="56"/>
      <c r="E259" s="56"/>
      <c r="F259" s="56"/>
      <c r="G259" s="56"/>
      <c r="H259" s="56">
        <v>1517.82</v>
      </c>
    </row>
    <row r="260" spans="2:11">
      <c r="B260" t="s">
        <v>718</v>
      </c>
      <c r="C260" s="56">
        <v>33842.612519999995</v>
      </c>
      <c r="D260" s="56">
        <v>10945.340010936001</v>
      </c>
      <c r="E260" s="56">
        <v>13321.627294930002</v>
      </c>
      <c r="F260" s="56">
        <v>1299.0630744090001</v>
      </c>
      <c r="G260" s="56">
        <v>17495.040000000005</v>
      </c>
      <c r="H260" s="56">
        <v>76903.682900275002</v>
      </c>
    </row>
    <row r="261" spans="2:11">
      <c r="B261" t="s">
        <v>719</v>
      </c>
      <c r="C261" s="56">
        <v>510.17</v>
      </c>
      <c r="D261" s="56"/>
      <c r="E261" s="56"/>
      <c r="F261" s="56"/>
      <c r="G261" s="56"/>
      <c r="H261" s="56">
        <v>510.17</v>
      </c>
    </row>
    <row r="262" spans="2:11">
      <c r="B262" t="s">
        <v>720</v>
      </c>
      <c r="C262" s="56">
        <v>3676.8600000000006</v>
      </c>
      <c r="D262" s="56"/>
      <c r="E262" s="56">
        <v>2626.779991416</v>
      </c>
      <c r="F262" s="56"/>
      <c r="G262" s="56"/>
      <c r="H262" s="56">
        <v>6303.6399914160011</v>
      </c>
    </row>
    <row r="263" spans="2:11">
      <c r="B263" t="s">
        <v>738</v>
      </c>
      <c r="C263" s="56">
        <v>4151.5200000000004</v>
      </c>
      <c r="D263" s="56"/>
      <c r="E263" s="56"/>
      <c r="F263" s="56"/>
      <c r="G263" s="56"/>
      <c r="H263" s="56">
        <v>4151.5200000000004</v>
      </c>
    </row>
    <row r="264" spans="2:11">
      <c r="B264" s="58" t="s">
        <v>18</v>
      </c>
      <c r="C264" s="59">
        <v>1049113.6549600002</v>
      </c>
      <c r="D264" s="59">
        <v>180344.689884016</v>
      </c>
      <c r="E264" s="59">
        <v>1095278.6195909781</v>
      </c>
      <c r="F264" s="59">
        <v>282986.02449086506</v>
      </c>
      <c r="G264" s="59">
        <v>275132.86</v>
      </c>
      <c r="H264" s="59">
        <v>2882855.8489258601</v>
      </c>
    </row>
    <row r="267" spans="2:11">
      <c r="B267" t="s">
        <v>739</v>
      </c>
      <c r="C267" s="56">
        <f>H255+H247</f>
        <v>2218291.6541292747</v>
      </c>
      <c r="D267" s="33">
        <f>C267/(C267+C268)</f>
        <v>0.85651683675560375</v>
      </c>
      <c r="G267" t="s">
        <v>543</v>
      </c>
      <c r="H267" s="8">
        <f xml:space="preserve"> (E264+F264)/H264</f>
        <v>0.47809003165918917</v>
      </c>
    </row>
    <row r="268" spans="2:11">
      <c r="B268" t="s">
        <v>740</v>
      </c>
      <c r="C268" s="56">
        <f>H240+H241+H243+H249+H260</f>
        <v>371606.82647962001</v>
      </c>
      <c r="D268" s="8">
        <f>1-D267</f>
        <v>0.14348316324439625</v>
      </c>
      <c r="G268" t="s">
        <v>1034</v>
      </c>
      <c r="H268" s="8">
        <f>(C264+D264+G264)/H264</f>
        <v>0.52190996834081049</v>
      </c>
      <c r="J268" t="s">
        <v>1110</v>
      </c>
      <c r="K268" s="8">
        <f>SUM('Ref-ResSources'!D65,'Ref-ResSources'!G65)</f>
        <v>0.82003491815561791</v>
      </c>
    </row>
    <row r="271" spans="2:11">
      <c r="B271" t="s">
        <v>741</v>
      </c>
    </row>
    <row r="272" spans="2:11">
      <c r="B272" s="57" t="s">
        <v>689</v>
      </c>
      <c r="C272" s="57" t="s">
        <v>742</v>
      </c>
      <c r="D272" s="57" t="s">
        <v>1212</v>
      </c>
      <c r="F272" s="33"/>
    </row>
    <row r="273" spans="2:21">
      <c r="B273" t="s">
        <v>743</v>
      </c>
      <c r="C273" s="56">
        <v>2022810.7678986201</v>
      </c>
      <c r="D273" s="33">
        <f>C273/$C$278</f>
        <v>9.9233054406955318E-2</v>
      </c>
      <c r="F273" s="33"/>
    </row>
    <row r="274" spans="2:21">
      <c r="B274" t="s">
        <v>744</v>
      </c>
      <c r="C274" s="56">
        <v>24264.127920269002</v>
      </c>
      <c r="D274" s="33">
        <f t="shared" ref="D274:D277" si="11">C274/$C$278</f>
        <v>1.1903256420523725E-3</v>
      </c>
    </row>
    <row r="275" spans="2:21">
      <c r="B275" t="s">
        <v>726</v>
      </c>
      <c r="C275" s="56">
        <v>799098.94079300668</v>
      </c>
      <c r="D275" s="33">
        <f t="shared" si="11"/>
        <v>3.9201407233277606E-2</v>
      </c>
      <c r="E275" s="415"/>
      <c r="F275" s="8"/>
      <c r="U275" s="13"/>
    </row>
    <row r="276" spans="2:21">
      <c r="B276" t="s">
        <v>727</v>
      </c>
      <c r="C276" s="56">
        <v>314631.45269391732</v>
      </c>
      <c r="D276" s="33">
        <f t="shared" si="11"/>
        <v>1.5434879306950413E-2</v>
      </c>
      <c r="E276" s="415"/>
      <c r="F276" s="33"/>
      <c r="U276" s="13"/>
    </row>
    <row r="277" spans="2:21">
      <c r="B277" s="58" t="s">
        <v>18</v>
      </c>
      <c r="C277" s="60">
        <v>3160805.2893058159</v>
      </c>
      <c r="D277" s="554">
        <f t="shared" si="11"/>
        <v>0.15505966658923584</v>
      </c>
      <c r="U277" s="13"/>
    </row>
    <row r="278" spans="2:21">
      <c r="B278" s="60" t="s">
        <v>745</v>
      </c>
      <c r="C278" s="60">
        <v>20384445.283756576</v>
      </c>
      <c r="D278" s="33"/>
    </row>
    <row r="279" spans="2:21">
      <c r="B279" s="24"/>
      <c r="C279" s="61"/>
      <c r="D279" s="24"/>
    </row>
  </sheetData>
  <sheetProtection password="CD9A" sheet="1" objects="1" scenarios="1"/>
  <customSheetViews>
    <customSheetView guid="{A8BE391E-BE5F-48EE-9984-3EE3CF1986D2}" topLeftCell="A7">
      <selection activeCell="D35" sqref="D35"/>
      <pageMargins left="0" right="0" top="0" bottom="0" header="0" footer="0"/>
    </customSheetView>
  </customSheetViews>
  <mergeCells count="7">
    <mergeCell ref="B140:B141"/>
    <mergeCell ref="C3:P3"/>
    <mergeCell ref="B22:B24"/>
    <mergeCell ref="C22:L22"/>
    <mergeCell ref="C23:L23"/>
    <mergeCell ref="M22:M24"/>
    <mergeCell ref="N22:N24"/>
  </mergeCells>
  <conditionalFormatting sqref="C236:C263">
    <cfRule type="top10" dxfId="6" priority="7" stopIfTrue="1" rank="3"/>
  </conditionalFormatting>
  <conditionalFormatting sqref="D236:D263">
    <cfRule type="top10" dxfId="5" priority="6" stopIfTrue="1" rank="3"/>
  </conditionalFormatting>
  <conditionalFormatting sqref="F236:F263">
    <cfRule type="top10" dxfId="4" priority="5" stopIfTrue="1" rank="3"/>
  </conditionalFormatting>
  <conditionalFormatting sqref="E236:E263">
    <cfRule type="top10" dxfId="3" priority="4" stopIfTrue="1" rank="3"/>
  </conditionalFormatting>
  <conditionalFormatting sqref="G236:G263">
    <cfRule type="top10" dxfId="2" priority="3" stopIfTrue="1" rank="3"/>
  </conditionalFormatting>
  <conditionalFormatting sqref="H236:H263">
    <cfRule type="top10" dxfId="1" priority="2" stopIfTrue="1" rank="3"/>
  </conditionalFormatting>
  <conditionalFormatting sqref="Q7:Q18">
    <cfRule type="top10" dxfId="0" priority="1" stopIfTrue="1" rank="4"/>
  </conditionalFormatting>
  <hyperlinks>
    <hyperlink ref="B31" r:id="rId1"/>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89"/>
  <sheetViews>
    <sheetView workbookViewId="0"/>
  </sheetViews>
  <sheetFormatPr defaultRowHeight="15"/>
  <cols>
    <col min="1" max="1" width="13.42578125" customWidth="1"/>
    <col min="5" max="5" width="15.28515625" bestFit="1" customWidth="1"/>
    <col min="8" max="8" width="14.28515625" bestFit="1" customWidth="1"/>
    <col min="10" max="10" width="9.140625" style="384"/>
  </cols>
  <sheetData>
    <row r="1" spans="1:10" s="384" customFormat="1" ht="15.75" thickBot="1">
      <c r="A1" s="384" t="s">
        <v>1389</v>
      </c>
    </row>
    <row r="2" spans="1:10" ht="120.75" thickBot="1">
      <c r="A2" s="476" t="s">
        <v>9</v>
      </c>
      <c r="B2" s="477" t="s">
        <v>11</v>
      </c>
      <c r="C2" s="477" t="s">
        <v>36</v>
      </c>
      <c r="D2" s="477" t="s">
        <v>1160</v>
      </c>
      <c r="E2" s="477" t="s">
        <v>1165</v>
      </c>
      <c r="F2" s="477" t="s">
        <v>1166</v>
      </c>
      <c r="G2" s="477" t="s">
        <v>50</v>
      </c>
      <c r="H2" s="477" t="s">
        <v>1167</v>
      </c>
      <c r="I2" s="477" t="s">
        <v>1168</v>
      </c>
      <c r="J2" s="477" t="s">
        <v>1368</v>
      </c>
    </row>
    <row r="3" spans="1:10" ht="36.75" thickBot="1">
      <c r="A3" s="478" t="s">
        <v>23</v>
      </c>
      <c r="B3" s="471" t="s">
        <v>181</v>
      </c>
      <c r="C3" s="471" t="s">
        <v>108</v>
      </c>
      <c r="D3" s="471" t="s">
        <v>27</v>
      </c>
      <c r="E3" s="479">
        <v>21248783464.781898</v>
      </c>
      <c r="F3" s="480">
        <v>0.97831874716616496</v>
      </c>
      <c r="G3" s="471" t="s">
        <v>66</v>
      </c>
      <c r="H3" s="479">
        <v>4601462265.4081802</v>
      </c>
      <c r="I3" s="481">
        <v>0.21185668375263481</v>
      </c>
      <c r="J3" s="481">
        <f>1-I3</f>
        <v>0.78814331624736522</v>
      </c>
    </row>
    <row r="4" spans="1:10" ht="36.75" thickBot="1">
      <c r="A4" s="482" t="s">
        <v>23</v>
      </c>
      <c r="B4" s="483" t="s">
        <v>181</v>
      </c>
      <c r="C4" s="483" t="s">
        <v>108</v>
      </c>
      <c r="D4" s="483" t="s">
        <v>846</v>
      </c>
      <c r="E4" s="479">
        <v>22830539.060440999</v>
      </c>
      <c r="F4" s="480">
        <v>1.0511446176557895E-3</v>
      </c>
      <c r="G4" s="483" t="s">
        <v>66</v>
      </c>
      <c r="H4" s="479">
        <v>3478642.9768971298</v>
      </c>
      <c r="I4" s="481">
        <v>1.6016077553978263E-4</v>
      </c>
      <c r="J4" s="481">
        <f t="shared" ref="J4:J36" si="0">1-I4</f>
        <v>0.99983983922446018</v>
      </c>
    </row>
    <row r="5" spans="1:10" ht="36.75" thickBot="1">
      <c r="A5" s="482" t="s">
        <v>23</v>
      </c>
      <c r="B5" s="483" t="s">
        <v>181</v>
      </c>
      <c r="C5" s="483" t="s">
        <v>108</v>
      </c>
      <c r="D5" s="483" t="s">
        <v>95</v>
      </c>
      <c r="E5" s="479">
        <v>3266655.8881002502</v>
      </c>
      <c r="F5" s="480">
        <v>1.5040064299050521E-4</v>
      </c>
      <c r="G5" s="483" t="s">
        <v>66</v>
      </c>
      <c r="H5" s="479">
        <v>1259456.8629989401</v>
      </c>
      <c r="I5" s="481">
        <v>5.7986861335433082E-5</v>
      </c>
      <c r="J5" s="481">
        <f t="shared" si="0"/>
        <v>0.9999420131386646</v>
      </c>
    </row>
    <row r="6" spans="1:10" ht="36.75" thickBot="1">
      <c r="A6" s="482" t="s">
        <v>23</v>
      </c>
      <c r="B6" s="483" t="s">
        <v>181</v>
      </c>
      <c r="C6" s="483" t="s">
        <v>108</v>
      </c>
      <c r="D6" s="483" t="s">
        <v>24</v>
      </c>
      <c r="E6" s="479">
        <v>322087377.85863101</v>
      </c>
      <c r="F6" s="480">
        <v>1.4829278132884647E-2</v>
      </c>
      <c r="G6" s="483" t="s">
        <v>66</v>
      </c>
      <c r="H6" s="479">
        <v>146435719.35784599</v>
      </c>
      <c r="I6" s="481">
        <v>6.7420711279771364E-3</v>
      </c>
      <c r="J6" s="481">
        <f t="shared" si="0"/>
        <v>0.99325792887202291</v>
      </c>
    </row>
    <row r="7" spans="1:10" ht="36.75" thickBot="1">
      <c r="A7" s="482" t="s">
        <v>23</v>
      </c>
      <c r="B7" s="483" t="s">
        <v>181</v>
      </c>
      <c r="C7" s="483" t="s">
        <v>108</v>
      </c>
      <c r="D7" s="483" t="s">
        <v>26</v>
      </c>
      <c r="E7" s="479">
        <v>118934647.052689</v>
      </c>
      <c r="F7" s="480">
        <v>5.4758897182084409E-3</v>
      </c>
      <c r="G7" s="483" t="s">
        <v>66</v>
      </c>
      <c r="H7" s="479">
        <v>2330517.4221489201</v>
      </c>
      <c r="I7" s="481">
        <v>1.0729973734564829E-4</v>
      </c>
      <c r="J7" s="481">
        <f t="shared" si="0"/>
        <v>0.99989270026265431</v>
      </c>
    </row>
    <row r="8" spans="1:10" ht="36.75" thickBot="1">
      <c r="A8" s="482" t="s">
        <v>23</v>
      </c>
      <c r="B8" s="483" t="s">
        <v>181</v>
      </c>
      <c r="C8" s="483" t="s">
        <v>108</v>
      </c>
      <c r="D8" s="483" t="s">
        <v>1144</v>
      </c>
      <c r="E8" s="479">
        <v>3527142.3825815502</v>
      </c>
      <c r="F8" s="480">
        <v>1.6239374468298684E-4</v>
      </c>
      <c r="G8" s="483" t="s">
        <v>66</v>
      </c>
      <c r="H8" s="479">
        <v>2633997.5372402198</v>
      </c>
      <c r="I8" s="481">
        <v>1.2127231542184975E-4</v>
      </c>
      <c r="J8" s="481">
        <f t="shared" si="0"/>
        <v>0.99987872768457819</v>
      </c>
    </row>
    <row r="9" spans="1:10" ht="36.75" thickBot="1">
      <c r="A9" s="482" t="s">
        <v>23</v>
      </c>
      <c r="B9" s="483" t="s">
        <v>181</v>
      </c>
      <c r="C9" s="483" t="s">
        <v>108</v>
      </c>
      <c r="D9" s="483" t="s">
        <v>1145</v>
      </c>
      <c r="E9" s="479">
        <v>263806.90828897897</v>
      </c>
      <c r="F9" s="480">
        <v>1.2145977412721607E-5</v>
      </c>
      <c r="G9" s="483" t="s">
        <v>66</v>
      </c>
      <c r="H9" s="479">
        <v>0</v>
      </c>
      <c r="I9" s="481">
        <v>0</v>
      </c>
      <c r="J9" s="481">
        <f t="shared" si="0"/>
        <v>1</v>
      </c>
    </row>
    <row r="10" spans="1:10" ht="36.75" thickBot="1">
      <c r="A10" s="484" t="s">
        <v>23</v>
      </c>
      <c r="B10" s="485" t="s">
        <v>181</v>
      </c>
      <c r="C10" s="485" t="s">
        <v>108</v>
      </c>
      <c r="D10" s="485" t="s">
        <v>1146</v>
      </c>
      <c r="E10" s="479">
        <v>0</v>
      </c>
      <c r="F10" s="480">
        <v>0</v>
      </c>
      <c r="G10" s="485" t="s">
        <v>66</v>
      </c>
      <c r="H10" s="479">
        <v>0</v>
      </c>
      <c r="I10" s="481">
        <v>0</v>
      </c>
      <c r="J10" s="481">
        <f t="shared" si="0"/>
        <v>1</v>
      </c>
    </row>
    <row r="11" spans="1:10" ht="24" thickTop="1" thickBot="1">
      <c r="A11" s="486" t="s">
        <v>452</v>
      </c>
      <c r="B11" s="487" t="s">
        <v>181</v>
      </c>
      <c r="C11" s="487" t="s">
        <v>108</v>
      </c>
      <c r="D11" s="488"/>
      <c r="E11" s="489">
        <v>21719693633.932629</v>
      </c>
      <c r="F11" s="490">
        <v>1</v>
      </c>
      <c r="G11" s="488"/>
      <c r="H11" s="491">
        <v>4757600599.5653114</v>
      </c>
      <c r="I11" s="488"/>
      <c r="J11" s="488"/>
    </row>
    <row r="12" spans="1:10" ht="37.5" thickTop="1" thickBot="1">
      <c r="A12" s="478" t="s">
        <v>23</v>
      </c>
      <c r="B12" s="471" t="s">
        <v>181</v>
      </c>
      <c r="C12" s="471" t="s">
        <v>97</v>
      </c>
      <c r="D12" s="471" t="s">
        <v>27</v>
      </c>
      <c r="E12" s="479">
        <v>2895400.6777574802</v>
      </c>
      <c r="F12" s="481">
        <v>0.19425684096182766</v>
      </c>
      <c r="G12" s="471" t="s">
        <v>66</v>
      </c>
      <c r="H12" s="479">
        <v>0</v>
      </c>
      <c r="I12" s="481">
        <v>0</v>
      </c>
      <c r="J12" s="481">
        <f t="shared" si="0"/>
        <v>1</v>
      </c>
    </row>
    <row r="13" spans="1:10" ht="36.75" thickBot="1">
      <c r="A13" s="482" t="s">
        <v>23</v>
      </c>
      <c r="B13" s="483" t="s">
        <v>181</v>
      </c>
      <c r="C13" s="483" t="s">
        <v>97</v>
      </c>
      <c r="D13" s="483" t="s">
        <v>846</v>
      </c>
      <c r="E13" s="479">
        <v>461187.26345892501</v>
      </c>
      <c r="F13" s="481">
        <v>3.0941755861143339E-2</v>
      </c>
      <c r="G13" s="483" t="s">
        <v>66</v>
      </c>
      <c r="H13" s="479">
        <v>0</v>
      </c>
      <c r="I13" s="481">
        <v>0</v>
      </c>
      <c r="J13" s="481">
        <f t="shared" si="0"/>
        <v>1</v>
      </c>
    </row>
    <row r="14" spans="1:10" ht="36.75" thickBot="1">
      <c r="A14" s="482" t="s">
        <v>23</v>
      </c>
      <c r="B14" s="483" t="s">
        <v>181</v>
      </c>
      <c r="C14" s="483" t="s">
        <v>97</v>
      </c>
      <c r="D14" s="483" t="s">
        <v>95</v>
      </c>
      <c r="E14" s="479">
        <v>0</v>
      </c>
      <c r="F14" s="481">
        <v>0</v>
      </c>
      <c r="G14" s="483" t="s">
        <v>66</v>
      </c>
      <c r="H14" s="479">
        <v>0</v>
      </c>
      <c r="I14" s="481">
        <v>0</v>
      </c>
      <c r="J14" s="481">
        <f t="shared" si="0"/>
        <v>1</v>
      </c>
    </row>
    <row r="15" spans="1:10" ht="36.75" thickBot="1">
      <c r="A15" s="482" t="s">
        <v>23</v>
      </c>
      <c r="B15" s="483" t="s">
        <v>181</v>
      </c>
      <c r="C15" s="483" t="s">
        <v>97</v>
      </c>
      <c r="D15" s="483" t="s">
        <v>24</v>
      </c>
      <c r="E15" s="479">
        <v>2141048.5332142701</v>
      </c>
      <c r="F15" s="481">
        <v>0.14364620675929671</v>
      </c>
      <c r="G15" s="483" t="s">
        <v>66</v>
      </c>
      <c r="H15" s="479">
        <v>283567.28482116701</v>
      </c>
      <c r="I15" s="481">
        <v>1.9024960991632624E-2</v>
      </c>
      <c r="J15" s="481">
        <f t="shared" si="0"/>
        <v>0.98097503900836736</v>
      </c>
    </row>
    <row r="16" spans="1:10" ht="36.75" thickBot="1">
      <c r="A16" s="482" t="s">
        <v>23</v>
      </c>
      <c r="B16" s="483" t="s">
        <v>181</v>
      </c>
      <c r="C16" s="483" t="s">
        <v>97</v>
      </c>
      <c r="D16" s="483" t="s">
        <v>26</v>
      </c>
      <c r="E16" s="479">
        <v>9407376.2057994101</v>
      </c>
      <c r="F16" s="481">
        <v>0.63115519641773232</v>
      </c>
      <c r="G16" s="483" t="s">
        <v>66</v>
      </c>
      <c r="H16" s="479">
        <v>0</v>
      </c>
      <c r="I16" s="481">
        <v>0</v>
      </c>
      <c r="J16" s="481">
        <f t="shared" si="0"/>
        <v>1</v>
      </c>
    </row>
    <row r="17" spans="1:10" ht="36.75" thickBot="1">
      <c r="A17" s="484" t="s">
        <v>23</v>
      </c>
      <c r="B17" s="485" t="s">
        <v>181</v>
      </c>
      <c r="C17" s="485" t="s">
        <v>97</v>
      </c>
      <c r="D17" s="485" t="s">
        <v>1146</v>
      </c>
      <c r="E17" s="492">
        <v>0</v>
      </c>
      <c r="F17" s="481">
        <v>0</v>
      </c>
      <c r="G17" s="485" t="s">
        <v>66</v>
      </c>
      <c r="H17" s="485">
        <v>0</v>
      </c>
      <c r="I17" s="481">
        <v>0</v>
      </c>
      <c r="J17" s="481">
        <f t="shared" si="0"/>
        <v>1</v>
      </c>
    </row>
    <row r="18" spans="1:10" ht="24" thickTop="1" thickBot="1">
      <c r="A18" s="486" t="s">
        <v>452</v>
      </c>
      <c r="B18" s="487" t="s">
        <v>181</v>
      </c>
      <c r="C18" s="487" t="s">
        <v>97</v>
      </c>
      <c r="D18" s="488"/>
      <c r="E18" s="491">
        <v>14905012.680230085</v>
      </c>
      <c r="F18" s="490">
        <v>1</v>
      </c>
      <c r="G18" s="488"/>
      <c r="H18" s="488">
        <v>283567.28482116701</v>
      </c>
      <c r="I18" s="488"/>
      <c r="J18" s="488"/>
    </row>
    <row r="19" spans="1:10" ht="37.5" thickTop="1" thickBot="1">
      <c r="A19" s="482" t="s">
        <v>23</v>
      </c>
      <c r="B19" s="483" t="s">
        <v>181</v>
      </c>
      <c r="C19" s="471" t="s">
        <v>1147</v>
      </c>
      <c r="D19" s="483" t="s">
        <v>846</v>
      </c>
      <c r="E19" s="479">
        <v>13338070.9525885</v>
      </c>
      <c r="F19" s="493">
        <v>0.3709864630099019</v>
      </c>
      <c r="G19" s="483" t="s">
        <v>66</v>
      </c>
      <c r="H19" s="479">
        <v>34791.423612735998</v>
      </c>
      <c r="I19" s="493">
        <v>9.6769219739854806E-4</v>
      </c>
      <c r="J19" s="493">
        <f t="shared" si="0"/>
        <v>0.99903230780260144</v>
      </c>
    </row>
    <row r="20" spans="1:10" ht="36.75" thickBot="1">
      <c r="A20" s="482" t="s">
        <v>23</v>
      </c>
      <c r="B20" s="483" t="s">
        <v>181</v>
      </c>
      <c r="C20" s="471" t="s">
        <v>1147</v>
      </c>
      <c r="D20" s="483" t="s">
        <v>95</v>
      </c>
      <c r="E20" s="479">
        <v>64486.644681052203</v>
      </c>
      <c r="F20" s="493">
        <v>1.7936380985405561E-3</v>
      </c>
      <c r="G20" s="483" t="s">
        <v>66</v>
      </c>
      <c r="H20" s="479">
        <v>0</v>
      </c>
      <c r="I20" s="493">
        <v>0</v>
      </c>
      <c r="J20" s="493">
        <f t="shared" si="0"/>
        <v>1</v>
      </c>
    </row>
    <row r="21" spans="1:10" ht="36.75" thickBot="1">
      <c r="A21" s="482" t="s">
        <v>23</v>
      </c>
      <c r="B21" s="483" t="s">
        <v>181</v>
      </c>
      <c r="C21" s="471" t="s">
        <v>1147</v>
      </c>
      <c r="D21" s="483" t="s">
        <v>24</v>
      </c>
      <c r="E21" s="479">
        <v>6052427.72595092</v>
      </c>
      <c r="F21" s="493">
        <v>0.16834284077922379</v>
      </c>
      <c r="G21" s="483" t="s">
        <v>66</v>
      </c>
      <c r="H21" s="479">
        <v>13900.448836121501</v>
      </c>
      <c r="I21" s="493">
        <v>3.8662849870070868E-4</v>
      </c>
      <c r="J21" s="493">
        <f t="shared" si="0"/>
        <v>0.99961337150129925</v>
      </c>
    </row>
    <row r="22" spans="1:10" ht="36.75" thickBot="1">
      <c r="A22" s="482" t="s">
        <v>23</v>
      </c>
      <c r="B22" s="483" t="s">
        <v>181</v>
      </c>
      <c r="C22" s="471" t="s">
        <v>1147</v>
      </c>
      <c r="D22" s="483" t="s">
        <v>26</v>
      </c>
      <c r="E22" s="479">
        <v>16498000.2503596</v>
      </c>
      <c r="F22" s="493">
        <v>0.45887705811233376</v>
      </c>
      <c r="G22" s="483" t="s">
        <v>66</v>
      </c>
      <c r="H22" s="479">
        <v>460504.58553129202</v>
      </c>
      <c r="I22" s="493">
        <v>1.2808521411631869E-2</v>
      </c>
      <c r="J22" s="493">
        <f t="shared" si="0"/>
        <v>0.98719147858836809</v>
      </c>
    </row>
    <row r="23" spans="1:10" ht="34.5" thickBot="1">
      <c r="A23" s="494" t="s">
        <v>23</v>
      </c>
      <c r="B23" s="495" t="s">
        <v>181</v>
      </c>
      <c r="C23" s="496" t="s">
        <v>1147</v>
      </c>
      <c r="D23" s="485" t="s">
        <v>1146</v>
      </c>
      <c r="E23" s="497">
        <v>0</v>
      </c>
      <c r="F23" s="493">
        <v>0</v>
      </c>
      <c r="G23" s="485" t="s">
        <v>66</v>
      </c>
      <c r="H23" s="498">
        <v>0</v>
      </c>
      <c r="I23" s="493">
        <v>0</v>
      </c>
      <c r="J23" s="493">
        <f t="shared" si="0"/>
        <v>1</v>
      </c>
    </row>
    <row r="24" spans="1:10" ht="16.5" thickTop="1" thickBot="1">
      <c r="A24" s="499" t="s">
        <v>452</v>
      </c>
      <c r="B24" s="500" t="s">
        <v>181</v>
      </c>
      <c r="C24" s="500" t="s">
        <v>1147</v>
      </c>
      <c r="D24" s="501"/>
      <c r="E24" s="502">
        <v>35952985.573580071</v>
      </c>
      <c r="F24" s="503">
        <v>1</v>
      </c>
      <c r="G24" s="501"/>
      <c r="H24" s="504">
        <v>509196.45798014954</v>
      </c>
      <c r="I24" s="501"/>
      <c r="J24" s="501"/>
    </row>
    <row r="25" spans="1:10" ht="37.5" thickTop="1" thickBot="1">
      <c r="A25" s="478" t="s">
        <v>23</v>
      </c>
      <c r="B25" s="471" t="s">
        <v>181</v>
      </c>
      <c r="C25" s="471" t="s">
        <v>1148</v>
      </c>
      <c r="D25" s="471" t="s">
        <v>107</v>
      </c>
      <c r="E25" s="479">
        <v>0</v>
      </c>
      <c r="F25" s="481">
        <v>0</v>
      </c>
      <c r="G25" s="471" t="s">
        <v>66</v>
      </c>
      <c r="H25" s="471">
        <v>0</v>
      </c>
      <c r="I25" s="505">
        <v>0</v>
      </c>
      <c r="J25" s="505">
        <f t="shared" si="0"/>
        <v>1</v>
      </c>
    </row>
    <row r="26" spans="1:10" ht="36.75" thickBot="1">
      <c r="A26" s="482" t="s">
        <v>23</v>
      </c>
      <c r="B26" s="483" t="s">
        <v>181</v>
      </c>
      <c r="C26" s="483" t="s">
        <v>1148</v>
      </c>
      <c r="D26" s="483" t="s">
        <v>95</v>
      </c>
      <c r="E26" s="479">
        <v>20137062.013532002</v>
      </c>
      <c r="F26" s="481">
        <v>0.86819053640638066</v>
      </c>
      <c r="G26" s="483" t="s">
        <v>66</v>
      </c>
      <c r="H26" s="483">
        <v>0</v>
      </c>
      <c r="I26" s="506">
        <v>0</v>
      </c>
      <c r="J26" s="506">
        <f t="shared" si="0"/>
        <v>1</v>
      </c>
    </row>
    <row r="27" spans="1:10" ht="36.75" thickBot="1">
      <c r="A27" s="482" t="s">
        <v>23</v>
      </c>
      <c r="B27" s="483" t="s">
        <v>181</v>
      </c>
      <c r="C27" s="483" t="s">
        <v>1148</v>
      </c>
      <c r="D27" s="483" t="s">
        <v>24</v>
      </c>
      <c r="E27" s="479">
        <v>157763.565131693</v>
      </c>
      <c r="F27" s="481">
        <v>6.8018280991052798E-3</v>
      </c>
      <c r="G27" s="483" t="s">
        <v>66</v>
      </c>
      <c r="H27" s="483">
        <v>0</v>
      </c>
      <c r="I27" s="506">
        <v>0</v>
      </c>
      <c r="J27" s="506">
        <f t="shared" si="0"/>
        <v>1</v>
      </c>
    </row>
    <row r="28" spans="1:10" ht="36.75" thickBot="1">
      <c r="A28" s="482" t="s">
        <v>23</v>
      </c>
      <c r="B28" s="483" t="s">
        <v>181</v>
      </c>
      <c r="C28" s="483" t="s">
        <v>1148</v>
      </c>
      <c r="D28" s="483" t="s">
        <v>26</v>
      </c>
      <c r="E28" s="479">
        <v>2899463.1967973299</v>
      </c>
      <c r="F28" s="481">
        <v>0.12500763549451402</v>
      </c>
      <c r="G28" s="483" t="s">
        <v>66</v>
      </c>
      <c r="H28" s="483">
        <v>0</v>
      </c>
      <c r="I28" s="506">
        <v>0</v>
      </c>
      <c r="J28" s="506">
        <f t="shared" si="0"/>
        <v>1</v>
      </c>
    </row>
    <row r="29" spans="1:10" ht="16.5" thickTop="1" thickBot="1">
      <c r="A29" s="486" t="s">
        <v>452</v>
      </c>
      <c r="B29" s="487" t="s">
        <v>181</v>
      </c>
      <c r="C29" s="487" t="s">
        <v>1148</v>
      </c>
      <c r="D29" s="488"/>
      <c r="E29" s="491">
        <v>23194288.775461026</v>
      </c>
      <c r="F29" s="490">
        <v>0.99999999999999989</v>
      </c>
      <c r="G29" s="488"/>
      <c r="H29" s="488"/>
      <c r="I29" s="488"/>
      <c r="J29" s="488"/>
    </row>
    <row r="30" spans="1:10" ht="46.5" thickTop="1" thickBot="1">
      <c r="A30" s="478" t="s">
        <v>23</v>
      </c>
      <c r="B30" s="471" t="s">
        <v>1149</v>
      </c>
      <c r="C30" s="471" t="s">
        <v>1150</v>
      </c>
      <c r="D30" s="471" t="s">
        <v>27</v>
      </c>
      <c r="E30" s="507">
        <v>1824091417.14379</v>
      </c>
      <c r="F30" s="481">
        <v>0.87983429857487527</v>
      </c>
      <c r="G30" s="471" t="s">
        <v>66</v>
      </c>
      <c r="H30" s="507">
        <v>254882154.502087</v>
      </c>
      <c r="I30" s="480">
        <v>0.12294014407278972</v>
      </c>
      <c r="J30" s="480">
        <f t="shared" si="0"/>
        <v>0.87705985592721025</v>
      </c>
    </row>
    <row r="31" spans="1:10" ht="45.75" thickBot="1">
      <c r="A31" s="482" t="s">
        <v>23</v>
      </c>
      <c r="B31" s="483" t="s">
        <v>1149</v>
      </c>
      <c r="C31" s="483" t="s">
        <v>1150</v>
      </c>
      <c r="D31" s="483" t="s">
        <v>846</v>
      </c>
      <c r="E31" s="507">
        <v>450307.10284392099</v>
      </c>
      <c r="F31" s="481">
        <v>2.172016326869949E-4</v>
      </c>
      <c r="G31" s="483" t="s">
        <v>66</v>
      </c>
      <c r="H31" s="507">
        <v>0</v>
      </c>
      <c r="I31" s="480">
        <v>0</v>
      </c>
      <c r="J31" s="480">
        <f t="shared" si="0"/>
        <v>1</v>
      </c>
    </row>
    <row r="32" spans="1:10" ht="45.75" thickBot="1">
      <c r="A32" s="482" t="s">
        <v>23</v>
      </c>
      <c r="B32" s="483" t="s">
        <v>1149</v>
      </c>
      <c r="C32" s="483" t="s">
        <v>1150</v>
      </c>
      <c r="D32" s="483" t="s">
        <v>95</v>
      </c>
      <c r="E32" s="507">
        <v>1180217.3364780601</v>
      </c>
      <c r="F32" s="481">
        <v>5.6926735285670537E-4</v>
      </c>
      <c r="G32" s="483" t="s">
        <v>66</v>
      </c>
      <c r="H32" s="507">
        <v>952189.372258769</v>
      </c>
      <c r="I32" s="480">
        <v>4.5928008902292039E-4</v>
      </c>
      <c r="J32" s="480">
        <f t="shared" si="0"/>
        <v>0.99954071991097704</v>
      </c>
    </row>
    <row r="33" spans="1:10" ht="45.75" thickBot="1">
      <c r="A33" s="482" t="s">
        <v>23</v>
      </c>
      <c r="B33" s="483" t="s">
        <v>1149</v>
      </c>
      <c r="C33" s="483" t="s">
        <v>1150</v>
      </c>
      <c r="D33" s="483" t="s">
        <v>24</v>
      </c>
      <c r="E33" s="507">
        <v>218286921.469897</v>
      </c>
      <c r="F33" s="481">
        <v>0.10528875835634517</v>
      </c>
      <c r="G33" s="483" t="s">
        <v>66</v>
      </c>
      <c r="H33" s="507">
        <v>2611411.2644547699</v>
      </c>
      <c r="I33" s="480">
        <v>1.259591036149793E-3</v>
      </c>
      <c r="J33" s="480">
        <f t="shared" si="0"/>
        <v>0.99874040896385019</v>
      </c>
    </row>
    <row r="34" spans="1:10" ht="45.75" thickBot="1">
      <c r="A34" s="482" t="s">
        <v>23</v>
      </c>
      <c r="B34" s="483" t="s">
        <v>1149</v>
      </c>
      <c r="C34" s="483" t="s">
        <v>1150</v>
      </c>
      <c r="D34" s="483" t="s">
        <v>1144</v>
      </c>
      <c r="E34" s="507">
        <v>3289702.6403195001</v>
      </c>
      <c r="F34" s="481">
        <v>1.5867588586089283E-3</v>
      </c>
      <c r="G34" s="483" t="s">
        <v>66</v>
      </c>
      <c r="H34" s="507">
        <v>0</v>
      </c>
      <c r="I34" s="480">
        <v>0</v>
      </c>
      <c r="J34" s="480">
        <f t="shared" si="0"/>
        <v>1</v>
      </c>
    </row>
    <row r="35" spans="1:10" ht="45.75" thickBot="1">
      <c r="A35" s="482" t="s">
        <v>23</v>
      </c>
      <c r="B35" s="483" t="s">
        <v>1149</v>
      </c>
      <c r="C35" s="483" t="s">
        <v>1150</v>
      </c>
      <c r="D35" s="483" t="s">
        <v>1145</v>
      </c>
      <c r="E35" s="507">
        <v>4167106.49654264</v>
      </c>
      <c r="F35" s="481">
        <v>2.0099668180081059E-3</v>
      </c>
      <c r="G35" s="483" t="s">
        <v>66</v>
      </c>
      <c r="H35" s="507">
        <v>0</v>
      </c>
      <c r="I35" s="480">
        <v>0</v>
      </c>
      <c r="J35" s="480">
        <f t="shared" si="0"/>
        <v>1</v>
      </c>
    </row>
    <row r="36" spans="1:10" ht="45.75" thickBot="1">
      <c r="A36" s="482" t="s">
        <v>23</v>
      </c>
      <c r="B36" s="483" t="s">
        <v>1149</v>
      </c>
      <c r="C36" s="483" t="s">
        <v>1150</v>
      </c>
      <c r="D36" s="485" t="s">
        <v>1146</v>
      </c>
      <c r="E36" s="507">
        <v>21755865.2046008</v>
      </c>
      <c r="F36" s="481">
        <v>1.0493748406618694E-2</v>
      </c>
      <c r="G36" s="483" t="s">
        <v>66</v>
      </c>
      <c r="H36" s="507">
        <v>2443590.81521679</v>
      </c>
      <c r="I36" s="480">
        <v>1.178644332572283E-3</v>
      </c>
      <c r="J36" s="480">
        <f t="shared" si="0"/>
        <v>0.99882135566742769</v>
      </c>
    </row>
    <row r="37" spans="1:10" ht="46.5" thickTop="1" thickBot="1">
      <c r="A37" s="486" t="s">
        <v>452</v>
      </c>
      <c r="B37" s="487" t="s">
        <v>1149</v>
      </c>
      <c r="C37" s="487" t="s">
        <v>1150</v>
      </c>
      <c r="D37" s="488"/>
      <c r="E37" s="491">
        <v>2073221537.3944721</v>
      </c>
      <c r="F37" s="490">
        <v>1</v>
      </c>
      <c r="G37" s="488"/>
      <c r="H37" s="488"/>
      <c r="I37" s="488"/>
      <c r="J37" s="488"/>
    </row>
    <row r="38" spans="1:10" ht="37.5" thickTop="1" thickBot="1">
      <c r="A38" s="478" t="s">
        <v>23</v>
      </c>
      <c r="B38" s="471" t="s">
        <v>1149</v>
      </c>
      <c r="C38" s="471" t="s">
        <v>1151</v>
      </c>
      <c r="D38" s="471" t="s">
        <v>27</v>
      </c>
      <c r="E38" s="507">
        <v>551935006.11656296</v>
      </c>
      <c r="F38" s="481">
        <v>0.75850596809677506</v>
      </c>
      <c r="G38" s="471" t="s">
        <v>66</v>
      </c>
      <c r="H38" s="507">
        <v>238826930.76941201</v>
      </c>
      <c r="I38" s="481">
        <v>0.32821192771486751</v>
      </c>
      <c r="J38" s="481">
        <f>1-I38</f>
        <v>0.67178807228513249</v>
      </c>
    </row>
    <row r="39" spans="1:10" ht="36.75" thickBot="1">
      <c r="A39" s="482" t="s">
        <v>23</v>
      </c>
      <c r="B39" s="483" t="s">
        <v>1149</v>
      </c>
      <c r="C39" s="483" t="s">
        <v>1151</v>
      </c>
      <c r="D39" s="483" t="s">
        <v>846</v>
      </c>
      <c r="E39" s="507">
        <v>413963.68221721699</v>
      </c>
      <c r="F39" s="481">
        <v>5.6889655495191336E-4</v>
      </c>
      <c r="G39" s="483" t="s">
        <v>66</v>
      </c>
      <c r="H39" s="507">
        <v>0</v>
      </c>
      <c r="I39" s="481">
        <v>0</v>
      </c>
      <c r="J39" s="481">
        <f t="shared" ref="J39:J44" si="1">1-I39</f>
        <v>1</v>
      </c>
    </row>
    <row r="40" spans="1:10" ht="36.75" thickBot="1">
      <c r="A40" s="482" t="s">
        <v>23</v>
      </c>
      <c r="B40" s="483" t="s">
        <v>1149</v>
      </c>
      <c r="C40" s="483" t="s">
        <v>1151</v>
      </c>
      <c r="D40" s="483" t="s">
        <v>95</v>
      </c>
      <c r="E40" s="507">
        <v>31067.722563757401</v>
      </c>
      <c r="F40" s="481">
        <v>4.2695340427108429E-5</v>
      </c>
      <c r="G40" s="483" t="s">
        <v>66</v>
      </c>
      <c r="H40" s="507">
        <v>31067.722563757401</v>
      </c>
      <c r="I40" s="481">
        <v>4.2695340427108429E-5</v>
      </c>
      <c r="J40" s="481">
        <f t="shared" si="1"/>
        <v>0.99995730465957289</v>
      </c>
    </row>
    <row r="41" spans="1:10" ht="36.75" thickBot="1">
      <c r="A41" s="482" t="s">
        <v>23</v>
      </c>
      <c r="B41" s="483" t="s">
        <v>1149</v>
      </c>
      <c r="C41" s="483" t="s">
        <v>1151</v>
      </c>
      <c r="D41" s="483" t="s">
        <v>24</v>
      </c>
      <c r="E41" s="507">
        <v>1744846.96498878</v>
      </c>
      <c r="F41" s="481">
        <v>2.3978852975309012E-3</v>
      </c>
      <c r="G41" s="483" t="s">
        <v>66</v>
      </c>
      <c r="H41" s="507">
        <v>0</v>
      </c>
      <c r="I41" s="481">
        <v>0</v>
      </c>
      <c r="J41" s="481">
        <f t="shared" si="1"/>
        <v>1</v>
      </c>
    </row>
    <row r="42" spans="1:10" ht="36.75" thickBot="1">
      <c r="A42" s="482" t="s">
        <v>23</v>
      </c>
      <c r="B42" s="483" t="s">
        <v>1149</v>
      </c>
      <c r="C42" s="483" t="s">
        <v>1151</v>
      </c>
      <c r="D42" s="483" t="s">
        <v>1144</v>
      </c>
      <c r="E42" s="507">
        <v>145203454.664857</v>
      </c>
      <c r="F42" s="481">
        <v>0.19954829052517753</v>
      </c>
      <c r="G42" s="483" t="s">
        <v>66</v>
      </c>
      <c r="H42" s="507">
        <v>108997309.01602</v>
      </c>
      <c r="I42" s="481">
        <v>0.14979138572283177</v>
      </c>
      <c r="J42" s="481">
        <f t="shared" si="1"/>
        <v>0.85020861427716821</v>
      </c>
    </row>
    <row r="43" spans="1:10" ht="36.75" thickBot="1">
      <c r="A43" s="482" t="s">
        <v>23</v>
      </c>
      <c r="B43" s="483" t="s">
        <v>1149</v>
      </c>
      <c r="C43" s="483" t="s">
        <v>1151</v>
      </c>
      <c r="D43" s="483" t="s">
        <v>1145</v>
      </c>
      <c r="E43" s="507">
        <v>13814521.3414644</v>
      </c>
      <c r="F43" s="481">
        <v>1.8984838373683595E-2</v>
      </c>
      <c r="G43" s="483" t="s">
        <v>66</v>
      </c>
      <c r="H43" s="507">
        <v>13415580.168320499</v>
      </c>
      <c r="I43" s="481">
        <v>1.8436586754569457E-2</v>
      </c>
      <c r="J43" s="481">
        <f t="shared" si="1"/>
        <v>0.9815634132454305</v>
      </c>
    </row>
    <row r="44" spans="1:10" ht="36.75" thickBot="1">
      <c r="A44" s="482" t="s">
        <v>23</v>
      </c>
      <c r="B44" s="483" t="s">
        <v>1149</v>
      </c>
      <c r="C44" s="483" t="s">
        <v>1151</v>
      </c>
      <c r="D44" s="485" t="s">
        <v>1146</v>
      </c>
      <c r="E44" s="507">
        <v>14517869.061610175</v>
      </c>
      <c r="F44" s="481">
        <v>1.9951425811453691E-2</v>
      </c>
      <c r="G44" s="483" t="s">
        <v>66</v>
      </c>
      <c r="H44" s="507">
        <v>31067.722563757401</v>
      </c>
      <c r="I44" s="481">
        <v>4.2695340427108429E-5</v>
      </c>
      <c r="J44" s="481">
        <f t="shared" si="1"/>
        <v>0.99995730465957289</v>
      </c>
    </row>
    <row r="45" spans="1:10" ht="35.25" thickTop="1" thickBot="1">
      <c r="A45" s="486" t="s">
        <v>452</v>
      </c>
      <c r="B45" s="487" t="s">
        <v>1149</v>
      </c>
      <c r="C45" s="487" t="s">
        <v>1151</v>
      </c>
      <c r="D45" s="488"/>
      <c r="E45" s="491">
        <v>727660729.55426443</v>
      </c>
      <c r="F45" s="490">
        <v>1</v>
      </c>
      <c r="G45" s="488"/>
      <c r="H45" s="489">
        <v>361301955.39887995</v>
      </c>
      <c r="I45" s="488"/>
      <c r="J45" s="488"/>
    </row>
    <row r="46" spans="1:10" ht="37.5" thickTop="1" thickBot="1">
      <c r="A46" s="478" t="s">
        <v>23</v>
      </c>
      <c r="B46" s="471" t="s">
        <v>1149</v>
      </c>
      <c r="C46" s="471" t="s">
        <v>1148</v>
      </c>
      <c r="D46" s="471" t="s">
        <v>107</v>
      </c>
      <c r="E46" s="479">
        <v>0</v>
      </c>
      <c r="F46" s="481">
        <v>0</v>
      </c>
      <c r="G46" s="471" t="s">
        <v>66</v>
      </c>
      <c r="H46" s="471">
        <v>0</v>
      </c>
      <c r="I46" s="505">
        <v>0</v>
      </c>
      <c r="J46" s="505">
        <f>1-I46</f>
        <v>1</v>
      </c>
    </row>
    <row r="47" spans="1:10" ht="36.75" thickBot="1">
      <c r="A47" s="482" t="s">
        <v>23</v>
      </c>
      <c r="B47" s="483" t="s">
        <v>1149</v>
      </c>
      <c r="C47" s="483" t="s">
        <v>1148</v>
      </c>
      <c r="D47" s="483" t="s">
        <v>95</v>
      </c>
      <c r="E47" s="479">
        <v>307587.111512565</v>
      </c>
      <c r="F47" s="481">
        <v>0.12613409066351372</v>
      </c>
      <c r="G47" s="483" t="s">
        <v>66</v>
      </c>
      <c r="H47" s="483">
        <v>0</v>
      </c>
      <c r="I47" s="506">
        <v>0</v>
      </c>
      <c r="J47" s="506">
        <f t="shared" ref="J47:J113" si="2">1-I47</f>
        <v>1</v>
      </c>
    </row>
    <row r="48" spans="1:10" ht="36.75" thickBot="1">
      <c r="A48" s="482" t="s">
        <v>23</v>
      </c>
      <c r="B48" s="483" t="s">
        <v>1149</v>
      </c>
      <c r="C48" s="483" t="s">
        <v>1148</v>
      </c>
      <c r="D48" s="483" t="s">
        <v>24</v>
      </c>
      <c r="E48" s="479">
        <v>121607.474087786</v>
      </c>
      <c r="F48" s="481">
        <v>4.9868305880960494E-2</v>
      </c>
      <c r="G48" s="483" t="s">
        <v>66</v>
      </c>
      <c r="H48" s="483">
        <v>0</v>
      </c>
      <c r="I48" s="506">
        <v>0</v>
      </c>
      <c r="J48" s="506">
        <f t="shared" si="2"/>
        <v>1</v>
      </c>
    </row>
    <row r="49" spans="1:10" ht="36.75" thickBot="1">
      <c r="A49" s="482" t="s">
        <v>23</v>
      </c>
      <c r="B49" s="483" t="s">
        <v>1149</v>
      </c>
      <c r="C49" s="483" t="s">
        <v>1148</v>
      </c>
      <c r="D49" s="483" t="s">
        <v>26</v>
      </c>
      <c r="E49" s="479">
        <v>2009377.8090198401</v>
      </c>
      <c r="F49" s="481">
        <v>0.82399760345552564</v>
      </c>
      <c r="G49" s="483" t="s">
        <v>66</v>
      </c>
      <c r="H49" s="483">
        <v>0</v>
      </c>
      <c r="I49" s="506">
        <v>0</v>
      </c>
      <c r="J49" s="506">
        <f t="shared" si="2"/>
        <v>1</v>
      </c>
    </row>
    <row r="50" spans="1:10" ht="16.5" thickTop="1" thickBot="1">
      <c r="A50" s="486" t="s">
        <v>452</v>
      </c>
      <c r="B50" s="487" t="s">
        <v>1149</v>
      </c>
      <c r="C50" s="487" t="s">
        <v>1148</v>
      </c>
      <c r="D50" s="488"/>
      <c r="E50" s="489">
        <v>2438572.3946201913</v>
      </c>
      <c r="F50" s="490">
        <v>0.99999999999999989</v>
      </c>
      <c r="G50" s="488"/>
      <c r="H50" s="488"/>
      <c r="I50" s="488"/>
      <c r="J50" s="488"/>
    </row>
    <row r="51" spans="1:10" ht="46.5" thickTop="1" thickBot="1">
      <c r="A51" s="508" t="s">
        <v>23</v>
      </c>
      <c r="B51" s="509" t="s">
        <v>1142</v>
      </c>
      <c r="C51" s="509" t="s">
        <v>1150</v>
      </c>
      <c r="D51" s="509" t="s">
        <v>27</v>
      </c>
      <c r="E51" s="507">
        <v>449787240.55116397</v>
      </c>
      <c r="F51" s="510">
        <v>0.96648493861628382</v>
      </c>
      <c r="G51" s="471" t="s">
        <v>66</v>
      </c>
      <c r="H51" s="507">
        <v>47215965.229465701</v>
      </c>
      <c r="I51" s="510">
        <v>0.27653956662453211</v>
      </c>
      <c r="J51" s="510">
        <f t="shared" si="2"/>
        <v>0.72346043337546795</v>
      </c>
    </row>
    <row r="52" spans="1:10" ht="46.5" thickTop="1" thickBot="1">
      <c r="A52" s="482" t="s">
        <v>23</v>
      </c>
      <c r="B52" s="483" t="s">
        <v>1142</v>
      </c>
      <c r="C52" s="483" t="s">
        <v>1150</v>
      </c>
      <c r="D52" s="483" t="s">
        <v>846</v>
      </c>
      <c r="E52" s="507">
        <v>1395655.5934572699</v>
      </c>
      <c r="F52" s="510">
        <v>2.998929246901537E-3</v>
      </c>
      <c r="G52" s="483" t="s">
        <v>66</v>
      </c>
      <c r="H52" s="507">
        <v>0</v>
      </c>
      <c r="I52" s="510">
        <v>0</v>
      </c>
      <c r="J52" s="510">
        <f t="shared" si="2"/>
        <v>1</v>
      </c>
    </row>
    <row r="53" spans="1:10" ht="46.5" thickTop="1" thickBot="1">
      <c r="A53" s="482" t="s">
        <v>23</v>
      </c>
      <c r="B53" s="483" t="s">
        <v>1142</v>
      </c>
      <c r="C53" s="483" t="s">
        <v>1150</v>
      </c>
      <c r="D53" s="483" t="s">
        <v>95</v>
      </c>
      <c r="E53" s="507">
        <v>977050.92558738799</v>
      </c>
      <c r="F53" s="510">
        <v>2.0994481806201745E-3</v>
      </c>
      <c r="G53" s="483" t="s">
        <v>66</v>
      </c>
      <c r="H53" s="507">
        <v>11373.667050174699</v>
      </c>
      <c r="I53" s="510">
        <v>6.661452205204921E-5</v>
      </c>
      <c r="J53" s="510">
        <f t="shared" si="2"/>
        <v>0.99993338547794797</v>
      </c>
    </row>
    <row r="54" spans="1:10" ht="46.5" thickTop="1" thickBot="1">
      <c r="A54" s="482" t="s">
        <v>23</v>
      </c>
      <c r="B54" s="483" t="s">
        <v>1142</v>
      </c>
      <c r="C54" s="483" t="s">
        <v>1150</v>
      </c>
      <c r="D54" s="483" t="s">
        <v>24</v>
      </c>
      <c r="E54" s="507">
        <v>7159266.34758869</v>
      </c>
      <c r="F54" s="510">
        <v>1.5383546869866795E-2</v>
      </c>
      <c r="G54" s="483" t="s">
        <v>66</v>
      </c>
      <c r="H54" s="507">
        <v>931913.05369746801</v>
      </c>
      <c r="I54" s="510">
        <v>5.4581290618287417E-3</v>
      </c>
      <c r="J54" s="510">
        <f t="shared" si="2"/>
        <v>0.99454187093817126</v>
      </c>
    </row>
    <row r="55" spans="1:10" ht="46.5" thickTop="1" thickBot="1">
      <c r="A55" s="482" t="s">
        <v>23</v>
      </c>
      <c r="B55" s="483" t="s">
        <v>1142</v>
      </c>
      <c r="C55" s="483" t="s">
        <v>1150</v>
      </c>
      <c r="D55" s="483" t="s">
        <v>1144</v>
      </c>
      <c r="E55" s="507">
        <v>104281.743371007</v>
      </c>
      <c r="F55" s="510">
        <v>2.2407646383482087E-4</v>
      </c>
      <c r="G55" s="483" t="s">
        <v>66</v>
      </c>
      <c r="H55" s="507">
        <v>0</v>
      </c>
      <c r="I55" s="510">
        <v>0</v>
      </c>
      <c r="J55" s="510">
        <f t="shared" si="2"/>
        <v>1</v>
      </c>
    </row>
    <row r="56" spans="1:10" ht="46.5" thickTop="1" thickBot="1">
      <c r="A56" s="482" t="s">
        <v>23</v>
      </c>
      <c r="B56" s="483" t="s">
        <v>1142</v>
      </c>
      <c r="C56" s="483" t="s">
        <v>1150</v>
      </c>
      <c r="D56" s="483" t="s">
        <v>1145</v>
      </c>
      <c r="E56" s="507">
        <v>0</v>
      </c>
      <c r="F56" s="510">
        <v>0</v>
      </c>
      <c r="G56" s="483" t="s">
        <v>66</v>
      </c>
      <c r="H56" s="507">
        <v>0</v>
      </c>
      <c r="I56" s="510">
        <v>0</v>
      </c>
      <c r="J56" s="510">
        <f t="shared" si="2"/>
        <v>1</v>
      </c>
    </row>
    <row r="57" spans="1:10" ht="46.5" thickTop="1" thickBot="1">
      <c r="A57" s="484" t="s">
        <v>23</v>
      </c>
      <c r="B57" s="485" t="s">
        <v>1142</v>
      </c>
      <c r="C57" s="485" t="s">
        <v>1150</v>
      </c>
      <c r="D57" s="485" t="s">
        <v>1146</v>
      </c>
      <c r="E57" s="507">
        <v>5961140.0046151802</v>
      </c>
      <c r="F57" s="510">
        <v>1.2809060622492721E-2</v>
      </c>
      <c r="G57" s="485" t="s">
        <v>66</v>
      </c>
      <c r="H57" s="507">
        <v>3388434.4925555098</v>
      </c>
      <c r="I57" s="510">
        <v>1.9845749240812893E-2</v>
      </c>
      <c r="J57" s="510">
        <f t="shared" si="2"/>
        <v>0.98015425075918716</v>
      </c>
    </row>
    <row r="58" spans="1:10" ht="46.5" thickTop="1" thickBot="1">
      <c r="A58" s="486" t="s">
        <v>452</v>
      </c>
      <c r="B58" s="487" t="s">
        <v>1142</v>
      </c>
      <c r="C58" s="487" t="s">
        <v>1150</v>
      </c>
      <c r="D58" s="488"/>
      <c r="E58" s="489">
        <v>465384635.16578358</v>
      </c>
      <c r="F58" s="490">
        <v>1</v>
      </c>
      <c r="G58" s="488"/>
      <c r="H58" s="489">
        <v>51547686.442768849</v>
      </c>
      <c r="I58" s="488"/>
      <c r="J58" s="488"/>
    </row>
    <row r="59" spans="1:10" ht="37.5" thickTop="1" thickBot="1">
      <c r="A59" s="508" t="s">
        <v>23</v>
      </c>
      <c r="B59" s="509" t="s">
        <v>1142</v>
      </c>
      <c r="C59" s="509" t="s">
        <v>1151</v>
      </c>
      <c r="D59" s="509" t="s">
        <v>27</v>
      </c>
      <c r="E59" s="507">
        <v>158804406.79308799</v>
      </c>
      <c r="F59" s="510">
        <v>0.93010280779392651</v>
      </c>
      <c r="G59" s="471" t="s">
        <v>66</v>
      </c>
      <c r="H59" s="507">
        <v>88685397.841141105</v>
      </c>
      <c r="I59" s="510">
        <v>0.51942222012668371</v>
      </c>
      <c r="J59" s="510">
        <f t="shared" si="2"/>
        <v>0.48057777987331629</v>
      </c>
    </row>
    <row r="60" spans="1:10" ht="37.5" thickTop="1" thickBot="1">
      <c r="A60" s="482" t="s">
        <v>23</v>
      </c>
      <c r="B60" s="483" t="s">
        <v>1142</v>
      </c>
      <c r="C60" s="483" t="s">
        <v>1151</v>
      </c>
      <c r="D60" s="483" t="s">
        <v>846</v>
      </c>
      <c r="E60" s="507">
        <v>3046372.0917905699</v>
      </c>
      <c r="F60" s="510">
        <v>1.7842321213738462E-2</v>
      </c>
      <c r="G60" s="483" t="s">
        <v>66</v>
      </c>
      <c r="H60" s="507">
        <v>0</v>
      </c>
      <c r="I60" s="510">
        <v>0</v>
      </c>
      <c r="J60" s="510">
        <f t="shared" si="2"/>
        <v>1</v>
      </c>
    </row>
    <row r="61" spans="1:10" ht="37.5" thickTop="1" thickBot="1">
      <c r="A61" s="482" t="s">
        <v>23</v>
      </c>
      <c r="B61" s="483" t="s">
        <v>1142</v>
      </c>
      <c r="C61" s="483" t="s">
        <v>1151</v>
      </c>
      <c r="D61" s="483" t="s">
        <v>95</v>
      </c>
      <c r="E61" s="507">
        <v>269367.65938413597</v>
      </c>
      <c r="F61" s="510">
        <v>1.5776616114217788E-3</v>
      </c>
      <c r="G61" s="483" t="s">
        <v>66</v>
      </c>
      <c r="H61" s="507">
        <v>23042.634173000301</v>
      </c>
      <c r="I61" s="510">
        <v>1.3495858947541937E-4</v>
      </c>
      <c r="J61" s="510">
        <f t="shared" si="2"/>
        <v>0.99986504141052457</v>
      </c>
    </row>
    <row r="62" spans="1:10" ht="37.5" thickTop="1" thickBot="1">
      <c r="A62" s="482" t="s">
        <v>23</v>
      </c>
      <c r="B62" s="483" t="s">
        <v>1142</v>
      </c>
      <c r="C62" s="483" t="s">
        <v>1151</v>
      </c>
      <c r="D62" s="483" t="s">
        <v>24</v>
      </c>
      <c r="E62" s="507">
        <v>2355722.6668160302</v>
      </c>
      <c r="F62" s="510">
        <v>1.3797251040043259E-2</v>
      </c>
      <c r="G62" s="483" t="s">
        <v>66</v>
      </c>
      <c r="H62" s="507">
        <v>2184693.6952489102</v>
      </c>
      <c r="I62" s="510">
        <v>1.2795550080472597E-2</v>
      </c>
      <c r="J62" s="510">
        <f t="shared" si="2"/>
        <v>0.98720444991952738</v>
      </c>
    </row>
    <row r="63" spans="1:10" ht="37.5" thickTop="1" thickBot="1">
      <c r="A63" s="482" t="s">
        <v>23</v>
      </c>
      <c r="B63" s="483" t="s">
        <v>1142</v>
      </c>
      <c r="C63" s="483" t="s">
        <v>1151</v>
      </c>
      <c r="D63" s="483" t="s">
        <v>1144</v>
      </c>
      <c r="E63" s="507">
        <v>2175111.8935540002</v>
      </c>
      <c r="F63" s="510">
        <v>1.27394303490361E-2</v>
      </c>
      <c r="G63" s="483" t="s">
        <v>66</v>
      </c>
      <c r="H63" s="507">
        <v>0</v>
      </c>
      <c r="I63" s="510">
        <v>0</v>
      </c>
      <c r="J63" s="510">
        <f t="shared" si="2"/>
        <v>1</v>
      </c>
    </row>
    <row r="64" spans="1:10" ht="37.5" thickTop="1" thickBot="1">
      <c r="A64" s="482" t="s">
        <v>23</v>
      </c>
      <c r="B64" s="483" t="s">
        <v>1142</v>
      </c>
      <c r="C64" s="483" t="s">
        <v>1151</v>
      </c>
      <c r="D64" s="483" t="s">
        <v>1145</v>
      </c>
      <c r="E64" s="507">
        <v>0</v>
      </c>
      <c r="F64" s="510">
        <v>0</v>
      </c>
      <c r="G64" s="483" t="s">
        <v>66</v>
      </c>
      <c r="H64" s="507">
        <v>0</v>
      </c>
      <c r="I64" s="510">
        <v>0</v>
      </c>
      <c r="J64" s="510">
        <f t="shared" si="2"/>
        <v>1</v>
      </c>
    </row>
    <row r="65" spans="1:10" ht="37.5" thickTop="1" thickBot="1">
      <c r="A65" s="484" t="s">
        <v>23</v>
      </c>
      <c r="B65" s="485" t="s">
        <v>1142</v>
      </c>
      <c r="C65" s="485" t="s">
        <v>1151</v>
      </c>
      <c r="D65" s="485" t="s">
        <v>1146</v>
      </c>
      <c r="E65" s="507">
        <v>4087571.0880542402</v>
      </c>
      <c r="F65" s="510">
        <v>2.3940527991834049E-2</v>
      </c>
      <c r="G65" s="485" t="s">
        <v>66</v>
      </c>
      <c r="H65" s="507">
        <v>0</v>
      </c>
      <c r="I65" s="510">
        <v>0</v>
      </c>
      <c r="J65" s="510">
        <f t="shared" si="2"/>
        <v>1</v>
      </c>
    </row>
    <row r="66" spans="1:10" ht="35.25" thickTop="1" thickBot="1">
      <c r="A66" s="486" t="s">
        <v>452</v>
      </c>
      <c r="B66" s="487" t="s">
        <v>1142</v>
      </c>
      <c r="C66" s="487" t="s">
        <v>1151</v>
      </c>
      <c r="D66" s="488"/>
      <c r="E66" s="489">
        <v>170738552.19268695</v>
      </c>
      <c r="F66" s="490">
        <v>1</v>
      </c>
      <c r="G66" s="488"/>
      <c r="H66" s="489">
        <v>90893134.170563027</v>
      </c>
      <c r="I66" s="488"/>
      <c r="J66" s="488"/>
    </row>
    <row r="67" spans="1:10" ht="37.5" thickTop="1" thickBot="1">
      <c r="A67" s="508" t="s">
        <v>23</v>
      </c>
      <c r="B67" s="509" t="s">
        <v>1142</v>
      </c>
      <c r="C67" s="509" t="s">
        <v>1152</v>
      </c>
      <c r="D67" s="509" t="s">
        <v>27</v>
      </c>
      <c r="E67" s="511" t="s">
        <v>1390</v>
      </c>
      <c r="F67" s="509" t="s">
        <v>1169</v>
      </c>
      <c r="G67" s="471" t="s">
        <v>66</v>
      </c>
      <c r="H67" s="512"/>
      <c r="I67" s="509" t="s">
        <v>1169</v>
      </c>
      <c r="J67" s="509" t="e">
        <f t="shared" si="2"/>
        <v>#VALUE!</v>
      </c>
    </row>
    <row r="68" spans="1:10" ht="37.5" thickTop="1" thickBot="1">
      <c r="A68" s="482" t="s">
        <v>23</v>
      </c>
      <c r="B68" s="483" t="s">
        <v>1142</v>
      </c>
      <c r="C68" s="483" t="s">
        <v>1152</v>
      </c>
      <c r="D68" s="483" t="s">
        <v>846</v>
      </c>
      <c r="E68" s="511" t="s">
        <v>1390</v>
      </c>
      <c r="F68" s="483" t="s">
        <v>1169</v>
      </c>
      <c r="G68" s="483" t="s">
        <v>66</v>
      </c>
      <c r="H68" s="483"/>
      <c r="I68" s="483" t="s">
        <v>1169</v>
      </c>
      <c r="J68" s="483" t="e">
        <f t="shared" si="2"/>
        <v>#VALUE!</v>
      </c>
    </row>
    <row r="69" spans="1:10" ht="37.5" thickTop="1" thickBot="1">
      <c r="A69" s="482" t="s">
        <v>23</v>
      </c>
      <c r="B69" s="483" t="s">
        <v>1142</v>
      </c>
      <c r="C69" s="483" t="s">
        <v>1152</v>
      </c>
      <c r="D69" s="483" t="s">
        <v>95</v>
      </c>
      <c r="E69" s="511" t="s">
        <v>1390</v>
      </c>
      <c r="F69" s="483" t="s">
        <v>1169</v>
      </c>
      <c r="G69" s="483" t="s">
        <v>66</v>
      </c>
      <c r="H69" s="483"/>
      <c r="I69" s="483" t="s">
        <v>1169</v>
      </c>
      <c r="J69" s="483" t="e">
        <f t="shared" si="2"/>
        <v>#VALUE!</v>
      </c>
    </row>
    <row r="70" spans="1:10" ht="37.5" thickTop="1" thickBot="1">
      <c r="A70" s="482" t="s">
        <v>23</v>
      </c>
      <c r="B70" s="483" t="s">
        <v>1142</v>
      </c>
      <c r="C70" s="483" t="s">
        <v>1152</v>
      </c>
      <c r="D70" s="483" t="s">
        <v>24</v>
      </c>
      <c r="E70" s="511" t="s">
        <v>1390</v>
      </c>
      <c r="F70" s="483" t="s">
        <v>1169</v>
      </c>
      <c r="G70" s="483" t="s">
        <v>66</v>
      </c>
      <c r="H70" s="483"/>
      <c r="I70" s="483" t="s">
        <v>1169</v>
      </c>
      <c r="J70" s="483" t="e">
        <f t="shared" si="2"/>
        <v>#VALUE!</v>
      </c>
    </row>
    <row r="71" spans="1:10" ht="37.5" thickTop="1" thickBot="1">
      <c r="A71" s="484" t="s">
        <v>23</v>
      </c>
      <c r="B71" s="485" t="s">
        <v>1142</v>
      </c>
      <c r="C71" s="485" t="s">
        <v>1152</v>
      </c>
      <c r="D71" s="485" t="s">
        <v>1146</v>
      </c>
      <c r="E71" s="511" t="s">
        <v>1390</v>
      </c>
      <c r="F71" s="485" t="s">
        <v>1169</v>
      </c>
      <c r="G71" s="485" t="s">
        <v>66</v>
      </c>
      <c r="H71" s="485"/>
      <c r="I71" s="485" t="s">
        <v>1169</v>
      </c>
      <c r="J71" s="485" t="e">
        <f t="shared" si="2"/>
        <v>#VALUE!</v>
      </c>
    </row>
    <row r="72" spans="1:10" ht="35.25" thickTop="1" thickBot="1">
      <c r="A72" s="486" t="s">
        <v>452</v>
      </c>
      <c r="B72" s="487" t="s">
        <v>1142</v>
      </c>
      <c r="C72" s="487" t="s">
        <v>1152</v>
      </c>
      <c r="D72" s="488"/>
      <c r="E72" s="488"/>
      <c r="F72" s="490">
        <v>1</v>
      </c>
      <c r="G72" s="488"/>
      <c r="H72" s="488"/>
      <c r="I72" s="488"/>
      <c r="J72" s="488"/>
    </row>
    <row r="73" spans="1:10" ht="37.5" thickTop="1" thickBot="1">
      <c r="A73" s="478" t="s">
        <v>23</v>
      </c>
      <c r="B73" s="471" t="s">
        <v>1142</v>
      </c>
      <c r="C73" s="471" t="s">
        <v>1148</v>
      </c>
      <c r="D73" s="471" t="s">
        <v>107</v>
      </c>
      <c r="E73" s="479">
        <v>0</v>
      </c>
      <c r="F73" s="481">
        <v>0</v>
      </c>
      <c r="G73" s="471" t="s">
        <v>66</v>
      </c>
      <c r="H73" s="471">
        <v>0</v>
      </c>
      <c r="I73" s="505">
        <v>0</v>
      </c>
      <c r="J73" s="505">
        <f t="shared" si="2"/>
        <v>1</v>
      </c>
    </row>
    <row r="74" spans="1:10" ht="36.75" thickBot="1">
      <c r="A74" s="482" t="s">
        <v>23</v>
      </c>
      <c r="B74" s="483" t="s">
        <v>1142</v>
      </c>
      <c r="C74" s="483" t="s">
        <v>1148</v>
      </c>
      <c r="D74" s="483" t="s">
        <v>95</v>
      </c>
      <c r="E74" s="479">
        <v>230030.59831261699</v>
      </c>
      <c r="F74" s="481">
        <v>0.51368413245574374</v>
      </c>
      <c r="G74" s="483" t="s">
        <v>66</v>
      </c>
      <c r="H74" s="483">
        <v>0</v>
      </c>
      <c r="I74" s="506">
        <v>0</v>
      </c>
      <c r="J74" s="506">
        <f t="shared" si="2"/>
        <v>1</v>
      </c>
    </row>
    <row r="75" spans="1:10" ht="36.75" thickBot="1">
      <c r="A75" s="482" t="s">
        <v>23</v>
      </c>
      <c r="B75" s="483" t="s">
        <v>1142</v>
      </c>
      <c r="C75" s="483" t="s">
        <v>1148</v>
      </c>
      <c r="D75" s="483" t="s">
        <v>24</v>
      </c>
      <c r="E75" s="479">
        <v>9491.3921009535698</v>
      </c>
      <c r="F75" s="481">
        <v>2.1195343371448391E-2</v>
      </c>
      <c r="G75" s="483" t="s">
        <v>66</v>
      </c>
      <c r="H75" s="483">
        <v>0</v>
      </c>
      <c r="I75" s="506">
        <v>0</v>
      </c>
      <c r="J75" s="506">
        <f t="shared" si="2"/>
        <v>1</v>
      </c>
    </row>
    <row r="76" spans="1:10" ht="36.75" thickBot="1">
      <c r="A76" s="482" t="s">
        <v>23</v>
      </c>
      <c r="B76" s="483" t="s">
        <v>1142</v>
      </c>
      <c r="C76" s="483" t="s">
        <v>1148</v>
      </c>
      <c r="D76" s="483" t="s">
        <v>26</v>
      </c>
      <c r="E76" s="479">
        <v>208283.54567126301</v>
      </c>
      <c r="F76" s="481">
        <v>0.46512052417280786</v>
      </c>
      <c r="G76" s="483" t="s">
        <v>66</v>
      </c>
      <c r="H76" s="483">
        <v>0</v>
      </c>
      <c r="I76" s="506">
        <v>0</v>
      </c>
      <c r="J76" s="506">
        <f t="shared" si="2"/>
        <v>1</v>
      </c>
    </row>
    <row r="77" spans="1:10" ht="35.25" thickTop="1" thickBot="1">
      <c r="A77" s="486" t="s">
        <v>452</v>
      </c>
      <c r="B77" s="487" t="s">
        <v>1142</v>
      </c>
      <c r="C77" s="487" t="s">
        <v>1148</v>
      </c>
      <c r="D77" s="488"/>
      <c r="E77" s="489">
        <v>447805.53608483355</v>
      </c>
      <c r="F77" s="490">
        <v>1</v>
      </c>
      <c r="G77" s="488"/>
      <c r="H77" s="488"/>
      <c r="I77" s="488"/>
      <c r="J77" s="488"/>
    </row>
    <row r="78" spans="1:10" ht="37.5" thickTop="1" thickBot="1">
      <c r="A78" s="508" t="s">
        <v>23</v>
      </c>
      <c r="B78" s="509" t="s">
        <v>1153</v>
      </c>
      <c r="C78" s="509" t="s">
        <v>108</v>
      </c>
      <c r="D78" s="509" t="s">
        <v>27</v>
      </c>
      <c r="E78" s="513">
        <v>1841655845.1406</v>
      </c>
      <c r="F78" s="510">
        <v>0.90317050049758907</v>
      </c>
      <c r="G78" s="471" t="s">
        <v>66</v>
      </c>
      <c r="H78" s="513">
        <v>465223888.66832697</v>
      </c>
      <c r="I78" s="510">
        <v>0.22815147220947216</v>
      </c>
      <c r="J78" s="510">
        <f t="shared" si="2"/>
        <v>0.77184852779052782</v>
      </c>
    </row>
    <row r="79" spans="1:10" ht="37.5" thickTop="1" thickBot="1">
      <c r="A79" s="482" t="s">
        <v>23</v>
      </c>
      <c r="B79" s="483" t="s">
        <v>1153</v>
      </c>
      <c r="C79" s="483" t="s">
        <v>108</v>
      </c>
      <c r="D79" s="483" t="s">
        <v>846</v>
      </c>
      <c r="E79" s="513">
        <v>6448144.0273337103</v>
      </c>
      <c r="F79" s="510">
        <v>3.1622485188066802E-3</v>
      </c>
      <c r="G79" s="483" t="s">
        <v>66</v>
      </c>
      <c r="H79" s="513">
        <v>1239230.8895187699</v>
      </c>
      <c r="I79" s="510">
        <v>6.0773395076607953E-4</v>
      </c>
      <c r="J79" s="510">
        <f t="shared" si="2"/>
        <v>0.99939226604923392</v>
      </c>
    </row>
    <row r="80" spans="1:10" ht="37.5" thickTop="1" thickBot="1">
      <c r="A80" s="482" t="s">
        <v>23</v>
      </c>
      <c r="B80" s="483" t="s">
        <v>1153</v>
      </c>
      <c r="C80" s="483" t="s">
        <v>108</v>
      </c>
      <c r="D80" s="483" t="s">
        <v>95</v>
      </c>
      <c r="E80" s="513">
        <v>1335123.8138045501</v>
      </c>
      <c r="F80" s="510">
        <v>6.5476101103354963E-4</v>
      </c>
      <c r="G80" s="483" t="s">
        <v>66</v>
      </c>
      <c r="H80" s="513">
        <v>10335.0574685713</v>
      </c>
      <c r="I80" s="510">
        <v>5.0684383030577924E-6</v>
      </c>
      <c r="J80" s="510">
        <f t="shared" si="2"/>
        <v>0.99999493156169694</v>
      </c>
    </row>
    <row r="81" spans="1:10" ht="37.5" thickTop="1" thickBot="1">
      <c r="A81" s="482" t="s">
        <v>23</v>
      </c>
      <c r="B81" s="483" t="s">
        <v>1153</v>
      </c>
      <c r="C81" s="483" t="s">
        <v>108</v>
      </c>
      <c r="D81" s="483" t="s">
        <v>24</v>
      </c>
      <c r="E81" s="513">
        <v>109236765.14829101</v>
      </c>
      <c r="F81" s="510">
        <v>5.3571042663613136E-2</v>
      </c>
      <c r="G81" s="483" t="s">
        <v>66</v>
      </c>
      <c r="H81" s="513">
        <v>12974248.385048101</v>
      </c>
      <c r="I81" s="510">
        <v>6.3627297349952653E-3</v>
      </c>
      <c r="J81" s="510">
        <f t="shared" si="2"/>
        <v>0.9936372702650047</v>
      </c>
    </row>
    <row r="82" spans="1:10" ht="37.5" thickTop="1" thickBot="1">
      <c r="A82" s="482" t="s">
        <v>23</v>
      </c>
      <c r="B82" s="483" t="s">
        <v>1153</v>
      </c>
      <c r="C82" s="483" t="s">
        <v>108</v>
      </c>
      <c r="D82" s="483" t="s">
        <v>1144</v>
      </c>
      <c r="E82" s="513">
        <v>151427.84846464</v>
      </c>
      <c r="F82" s="510">
        <v>7.4262064786942184E-5</v>
      </c>
      <c r="G82" s="483" t="s">
        <v>66</v>
      </c>
      <c r="H82" s="513">
        <v>0</v>
      </c>
      <c r="I82" s="510">
        <v>0</v>
      </c>
      <c r="J82" s="510">
        <f t="shared" si="2"/>
        <v>1</v>
      </c>
    </row>
    <row r="83" spans="1:10" ht="37.5" thickTop="1" thickBot="1">
      <c r="A83" s="482" t="s">
        <v>23</v>
      </c>
      <c r="B83" s="483" t="s">
        <v>1153</v>
      </c>
      <c r="C83" s="483" t="s">
        <v>108</v>
      </c>
      <c r="D83" s="483" t="s">
        <v>1145</v>
      </c>
      <c r="E83" s="513">
        <v>0</v>
      </c>
      <c r="F83" s="510">
        <v>0</v>
      </c>
      <c r="G83" s="483" t="s">
        <v>66</v>
      </c>
      <c r="H83" s="513">
        <v>0</v>
      </c>
      <c r="I83" s="510">
        <v>0</v>
      </c>
      <c r="J83" s="510">
        <f t="shared" si="2"/>
        <v>1</v>
      </c>
    </row>
    <row r="84" spans="1:10" ht="37.5" thickTop="1" thickBot="1">
      <c r="A84" s="484" t="s">
        <v>23</v>
      </c>
      <c r="B84" s="485" t="s">
        <v>1153</v>
      </c>
      <c r="C84" s="485" t="s">
        <v>108</v>
      </c>
      <c r="D84" s="485" t="s">
        <v>1146</v>
      </c>
      <c r="E84" s="513">
        <v>80273665.682964519</v>
      </c>
      <c r="F84" s="510">
        <v>3.9367185244170405E-2</v>
      </c>
      <c r="G84" s="485" t="s">
        <v>66</v>
      </c>
      <c r="H84" s="513">
        <v>1653805.2355631837</v>
      </c>
      <c r="I84" s="510">
        <v>8.1104626918777044E-4</v>
      </c>
      <c r="J84" s="510">
        <f t="shared" si="2"/>
        <v>0.99918895373081218</v>
      </c>
    </row>
    <row r="85" spans="1:10" ht="35.25" thickTop="1" thickBot="1">
      <c r="A85" s="486" t="s">
        <v>452</v>
      </c>
      <c r="B85" s="487" t="s">
        <v>1153</v>
      </c>
      <c r="C85" s="487" t="s">
        <v>108</v>
      </c>
      <c r="D85" s="488"/>
      <c r="E85" s="491">
        <v>2039100971.6614587</v>
      </c>
      <c r="F85" s="490">
        <v>1</v>
      </c>
      <c r="G85" s="488"/>
      <c r="H85" s="491">
        <v>481101508.23592561</v>
      </c>
      <c r="I85" s="488"/>
      <c r="J85" s="488"/>
    </row>
    <row r="86" spans="1:10" ht="37.5" thickTop="1" thickBot="1">
      <c r="A86" s="478" t="s">
        <v>23</v>
      </c>
      <c r="B86" s="471" t="s">
        <v>1153</v>
      </c>
      <c r="C86" s="471" t="s">
        <v>1148</v>
      </c>
      <c r="D86" s="471" t="s">
        <v>107</v>
      </c>
      <c r="E86" s="479">
        <v>0</v>
      </c>
      <c r="F86" s="481">
        <v>0</v>
      </c>
      <c r="G86" s="471" t="s">
        <v>66</v>
      </c>
      <c r="H86" s="471">
        <v>0</v>
      </c>
      <c r="I86" s="505">
        <v>0</v>
      </c>
      <c r="J86" s="505">
        <f t="shared" si="2"/>
        <v>1</v>
      </c>
    </row>
    <row r="87" spans="1:10" ht="36.75" thickBot="1">
      <c r="A87" s="482" t="s">
        <v>23</v>
      </c>
      <c r="B87" s="483" t="s">
        <v>1153</v>
      </c>
      <c r="C87" s="483" t="s">
        <v>1148</v>
      </c>
      <c r="D87" s="483" t="s">
        <v>95</v>
      </c>
      <c r="E87" s="479">
        <v>605079.90527990495</v>
      </c>
      <c r="F87" s="481">
        <v>0.24331209116029562</v>
      </c>
      <c r="G87" s="483" t="s">
        <v>66</v>
      </c>
      <c r="H87" s="483">
        <v>0</v>
      </c>
      <c r="I87" s="506">
        <v>0</v>
      </c>
      <c r="J87" s="506">
        <f t="shared" si="2"/>
        <v>1</v>
      </c>
    </row>
    <row r="88" spans="1:10" ht="36.75" thickBot="1">
      <c r="A88" s="482" t="s">
        <v>23</v>
      </c>
      <c r="B88" s="483" t="s">
        <v>1153</v>
      </c>
      <c r="C88" s="483" t="s">
        <v>1148</v>
      </c>
      <c r="D88" s="483" t="s">
        <v>24</v>
      </c>
      <c r="E88" s="479">
        <v>258153.211905584</v>
      </c>
      <c r="F88" s="481">
        <v>0.10380744308379958</v>
      </c>
      <c r="G88" s="483" t="s">
        <v>66</v>
      </c>
      <c r="H88" s="483">
        <v>0</v>
      </c>
      <c r="I88" s="506">
        <v>0</v>
      </c>
      <c r="J88" s="506">
        <f t="shared" si="2"/>
        <v>1</v>
      </c>
    </row>
    <row r="89" spans="1:10" ht="36.75" thickBot="1">
      <c r="A89" s="482" t="s">
        <v>23</v>
      </c>
      <c r="B89" s="483" t="s">
        <v>1153</v>
      </c>
      <c r="C89" s="483" t="s">
        <v>1148</v>
      </c>
      <c r="D89" s="483" t="s">
        <v>26</v>
      </c>
      <c r="E89" s="479">
        <v>1623613.72381788</v>
      </c>
      <c r="F89" s="481">
        <v>0.65288046575590475</v>
      </c>
      <c r="G89" s="483" t="s">
        <v>66</v>
      </c>
      <c r="H89" s="483">
        <v>0</v>
      </c>
      <c r="I89" s="506">
        <v>0</v>
      </c>
      <c r="J89" s="506">
        <f t="shared" si="2"/>
        <v>1</v>
      </c>
    </row>
    <row r="90" spans="1:10" ht="35.25" thickTop="1" thickBot="1">
      <c r="A90" s="486" t="s">
        <v>452</v>
      </c>
      <c r="B90" s="487" t="s">
        <v>1153</v>
      </c>
      <c r="C90" s="487" t="s">
        <v>1148</v>
      </c>
      <c r="D90" s="488"/>
      <c r="E90" s="489">
        <v>2486846.8410033691</v>
      </c>
      <c r="F90" s="490">
        <v>1</v>
      </c>
      <c r="G90" s="488"/>
      <c r="H90" s="488"/>
      <c r="I90" s="488"/>
      <c r="J90" s="488"/>
    </row>
    <row r="91" spans="1:10" ht="46.5" thickTop="1" thickBot="1">
      <c r="A91" s="508" t="s">
        <v>23</v>
      </c>
      <c r="B91" s="509" t="s">
        <v>1154</v>
      </c>
      <c r="C91" s="483" t="s">
        <v>1150</v>
      </c>
      <c r="D91" s="509" t="s">
        <v>27</v>
      </c>
      <c r="E91" s="507">
        <v>7427575241.5547199</v>
      </c>
      <c r="F91" s="510">
        <v>0.98654390340989651</v>
      </c>
      <c r="G91" s="471" t="s">
        <v>66</v>
      </c>
      <c r="H91" s="507">
        <v>1298087427.1247399</v>
      </c>
      <c r="I91" s="510">
        <v>0.17241430691382595</v>
      </c>
      <c r="J91" s="510">
        <f t="shared" si="2"/>
        <v>0.82758569308617402</v>
      </c>
    </row>
    <row r="92" spans="1:10" ht="46.5" thickTop="1" thickBot="1">
      <c r="A92" s="482" t="s">
        <v>23</v>
      </c>
      <c r="B92" s="483" t="s">
        <v>1154</v>
      </c>
      <c r="C92" s="483" t="s">
        <v>1150</v>
      </c>
      <c r="D92" s="483" t="s">
        <v>846</v>
      </c>
      <c r="E92" s="507">
        <v>1193165.1605502299</v>
      </c>
      <c r="F92" s="510">
        <v>1.5847834274587978E-4</v>
      </c>
      <c r="G92" s="483" t="s">
        <v>66</v>
      </c>
      <c r="H92" s="507">
        <v>84745.202621122793</v>
      </c>
      <c r="I92" s="510">
        <v>1.1256010241587957E-5</v>
      </c>
      <c r="J92" s="510">
        <f t="shared" si="2"/>
        <v>0.99998874398975846</v>
      </c>
    </row>
    <row r="93" spans="1:10" ht="46.5" thickTop="1" thickBot="1">
      <c r="A93" s="482" t="s">
        <v>23</v>
      </c>
      <c r="B93" s="483" t="s">
        <v>1154</v>
      </c>
      <c r="C93" s="483" t="s">
        <v>1150</v>
      </c>
      <c r="D93" s="483" t="s">
        <v>95</v>
      </c>
      <c r="E93" s="507">
        <v>19112922.228345402</v>
      </c>
      <c r="F93" s="510">
        <v>2.5386127083883727E-3</v>
      </c>
      <c r="G93" s="483" t="s">
        <v>66</v>
      </c>
      <c r="H93" s="507">
        <v>18824660.637299798</v>
      </c>
      <c r="I93" s="510">
        <v>2.5003252853755091E-3</v>
      </c>
      <c r="J93" s="510">
        <f t="shared" si="2"/>
        <v>0.99749967471462453</v>
      </c>
    </row>
    <row r="94" spans="1:10" ht="46.5" thickTop="1" thickBot="1">
      <c r="A94" s="482" t="s">
        <v>23</v>
      </c>
      <c r="B94" s="483" t="s">
        <v>1154</v>
      </c>
      <c r="C94" s="483" t="s">
        <v>1150</v>
      </c>
      <c r="D94" s="483" t="s">
        <v>24</v>
      </c>
      <c r="E94" s="507">
        <v>70969416.786767706</v>
      </c>
      <c r="F94" s="510">
        <v>9.4262855888466793E-3</v>
      </c>
      <c r="G94" s="483" t="s">
        <v>66</v>
      </c>
      <c r="H94" s="507">
        <v>27458141.6746663</v>
      </c>
      <c r="I94" s="510">
        <v>3.6470397656230432E-3</v>
      </c>
      <c r="J94" s="510">
        <f t="shared" si="2"/>
        <v>0.99635296023437692</v>
      </c>
    </row>
    <row r="95" spans="1:10" ht="46.5" thickTop="1" thickBot="1">
      <c r="A95" s="482" t="s">
        <v>23</v>
      </c>
      <c r="B95" s="483" t="s">
        <v>1154</v>
      </c>
      <c r="C95" s="483" t="s">
        <v>1150</v>
      </c>
      <c r="D95" s="483" t="s">
        <v>1144</v>
      </c>
      <c r="E95" s="507">
        <v>1456095.9732830001</v>
      </c>
      <c r="F95" s="510">
        <v>1.9340128622128349E-4</v>
      </c>
      <c r="G95" s="483" t="s">
        <v>66</v>
      </c>
      <c r="H95" s="507">
        <v>0</v>
      </c>
      <c r="I95" s="510">
        <v>0</v>
      </c>
      <c r="J95" s="510">
        <f t="shared" si="2"/>
        <v>1</v>
      </c>
    </row>
    <row r="96" spans="1:10" ht="46.5" thickTop="1" thickBot="1">
      <c r="A96" s="482" t="s">
        <v>23</v>
      </c>
      <c r="B96" s="483" t="s">
        <v>1154</v>
      </c>
      <c r="C96" s="483" t="s">
        <v>1150</v>
      </c>
      <c r="D96" s="483" t="s">
        <v>1145</v>
      </c>
      <c r="E96" s="507">
        <v>15639.0624138369</v>
      </c>
      <c r="F96" s="510">
        <v>2.0772083994652577E-6</v>
      </c>
      <c r="G96" s="483" t="s">
        <v>66</v>
      </c>
      <c r="H96" s="507">
        <v>0</v>
      </c>
      <c r="I96" s="510">
        <v>0</v>
      </c>
      <c r="J96" s="510">
        <f t="shared" si="2"/>
        <v>1</v>
      </c>
    </row>
    <row r="97" spans="1:10" ht="46.5" thickTop="1" thickBot="1">
      <c r="A97" s="484" t="s">
        <v>23</v>
      </c>
      <c r="B97" s="485" t="s">
        <v>1154</v>
      </c>
      <c r="C97" s="483" t="s">
        <v>1150</v>
      </c>
      <c r="D97" s="485" t="s">
        <v>1146</v>
      </c>
      <c r="E97" s="507">
        <v>8562159.7268589698</v>
      </c>
      <c r="F97" s="510">
        <v>1.1372414555017511E-3</v>
      </c>
      <c r="G97" s="485" t="s">
        <v>66</v>
      </c>
      <c r="H97" s="507">
        <v>114867.98031338899</v>
      </c>
      <c r="I97" s="510">
        <v>1.5256971755894539E-5</v>
      </c>
      <c r="J97" s="510">
        <f t="shared" si="2"/>
        <v>0.99998474302824414</v>
      </c>
    </row>
    <row r="98" spans="1:10" ht="46.5" thickTop="1" thickBot="1">
      <c r="A98" s="486" t="s">
        <v>452</v>
      </c>
      <c r="B98" s="487" t="s">
        <v>1154</v>
      </c>
      <c r="C98" s="487" t="s">
        <v>1150</v>
      </c>
      <c r="D98" s="488"/>
      <c r="E98" s="489">
        <v>7528884640.4929399</v>
      </c>
      <c r="F98" s="490">
        <v>1</v>
      </c>
      <c r="G98" s="488"/>
      <c r="H98" s="489">
        <v>1344569842.6196406</v>
      </c>
      <c r="I98" s="514"/>
      <c r="J98" s="514"/>
    </row>
    <row r="99" spans="1:10" ht="37.5" thickTop="1" thickBot="1">
      <c r="A99" s="508" t="s">
        <v>23</v>
      </c>
      <c r="B99" s="509" t="s">
        <v>1154</v>
      </c>
      <c r="C99" s="509" t="s">
        <v>1151</v>
      </c>
      <c r="D99" s="509" t="s">
        <v>27</v>
      </c>
      <c r="E99" s="507">
        <v>87731121.034071207</v>
      </c>
      <c r="F99" s="510">
        <v>0.77140636505360172</v>
      </c>
      <c r="G99" s="471" t="s">
        <v>66</v>
      </c>
      <c r="H99" s="507">
        <v>1802245.3979940701</v>
      </c>
      <c r="I99" s="510">
        <v>1.5846868876339393E-2</v>
      </c>
      <c r="J99" s="510">
        <f t="shared" si="2"/>
        <v>0.98415313112366065</v>
      </c>
    </row>
    <row r="100" spans="1:10" ht="37.5" thickTop="1" thickBot="1">
      <c r="A100" s="482" t="s">
        <v>23</v>
      </c>
      <c r="B100" s="483" t="s">
        <v>1154</v>
      </c>
      <c r="C100" s="509" t="s">
        <v>1151</v>
      </c>
      <c r="D100" s="483" t="s">
        <v>846</v>
      </c>
      <c r="E100" s="507">
        <v>218277.95426407701</v>
      </c>
      <c r="F100" s="510">
        <v>1.9192847564867615E-3</v>
      </c>
      <c r="G100" s="483" t="s">
        <v>66</v>
      </c>
      <c r="H100" s="507">
        <v>0</v>
      </c>
      <c r="I100" s="510">
        <v>0</v>
      </c>
      <c r="J100" s="510">
        <f t="shared" si="2"/>
        <v>1</v>
      </c>
    </row>
    <row r="101" spans="1:10" ht="37.5" thickTop="1" thickBot="1">
      <c r="A101" s="482" t="s">
        <v>23</v>
      </c>
      <c r="B101" s="483" t="s">
        <v>1154</v>
      </c>
      <c r="C101" s="509" t="s">
        <v>1151</v>
      </c>
      <c r="D101" s="483" t="s">
        <v>95</v>
      </c>
      <c r="E101" s="507">
        <v>16609.503780661798</v>
      </c>
      <c r="F101" s="510">
        <v>1.4604483318762619E-4</v>
      </c>
      <c r="G101" s="483" t="s">
        <v>66</v>
      </c>
      <c r="H101" s="507">
        <v>0</v>
      </c>
      <c r="I101" s="510">
        <v>0</v>
      </c>
      <c r="J101" s="510">
        <f t="shared" si="2"/>
        <v>1</v>
      </c>
    </row>
    <row r="102" spans="1:10" ht="37.5" thickTop="1" thickBot="1">
      <c r="A102" s="482" t="s">
        <v>23</v>
      </c>
      <c r="B102" s="483" t="s">
        <v>1154</v>
      </c>
      <c r="C102" s="509" t="s">
        <v>1151</v>
      </c>
      <c r="D102" s="483" t="s">
        <v>24</v>
      </c>
      <c r="E102" s="507">
        <v>3004572.2801522501</v>
      </c>
      <c r="F102" s="510">
        <v>2.641874575241026E-2</v>
      </c>
      <c r="G102" s="483" t="s">
        <v>66</v>
      </c>
      <c r="H102" s="507">
        <v>1038499.46874545</v>
      </c>
      <c r="I102" s="510">
        <v>9.1313674195945514E-3</v>
      </c>
      <c r="J102" s="510">
        <f t="shared" si="2"/>
        <v>0.99086863258040547</v>
      </c>
    </row>
    <row r="103" spans="1:10" ht="37.5" thickTop="1" thickBot="1">
      <c r="A103" s="482" t="s">
        <v>23</v>
      </c>
      <c r="B103" s="483" t="s">
        <v>1154</v>
      </c>
      <c r="C103" s="509" t="s">
        <v>1151</v>
      </c>
      <c r="D103" s="483" t="s">
        <v>1144</v>
      </c>
      <c r="E103" s="507">
        <v>18553250.133491699</v>
      </c>
      <c r="F103" s="510">
        <v>0.16313589837577527</v>
      </c>
      <c r="G103" s="483" t="s">
        <v>66</v>
      </c>
      <c r="H103" s="507">
        <v>774933.23275424703</v>
      </c>
      <c r="I103" s="510">
        <v>6.8138697099975913E-3</v>
      </c>
      <c r="J103" s="510">
        <f t="shared" si="2"/>
        <v>0.99318613029000236</v>
      </c>
    </row>
    <row r="104" spans="1:10" ht="37.5" thickTop="1" thickBot="1">
      <c r="A104" s="482" t="s">
        <v>23</v>
      </c>
      <c r="B104" s="483" t="s">
        <v>1154</v>
      </c>
      <c r="C104" s="509" t="s">
        <v>1151</v>
      </c>
      <c r="D104" s="483" t="s">
        <v>1145</v>
      </c>
      <c r="E104" s="507">
        <v>489796.41652323701</v>
      </c>
      <c r="F104" s="510">
        <v>4.3067051786530282E-3</v>
      </c>
      <c r="G104" s="483" t="s">
        <v>66</v>
      </c>
      <c r="H104" s="507">
        <v>0</v>
      </c>
      <c r="I104" s="510">
        <v>0</v>
      </c>
      <c r="J104" s="510">
        <f t="shared" si="2"/>
        <v>1</v>
      </c>
    </row>
    <row r="105" spans="1:10" ht="37.5" thickTop="1" thickBot="1">
      <c r="A105" s="484" t="s">
        <v>23</v>
      </c>
      <c r="B105" s="485" t="s">
        <v>1154</v>
      </c>
      <c r="C105" s="509" t="s">
        <v>1151</v>
      </c>
      <c r="D105" s="485" t="s">
        <v>1146</v>
      </c>
      <c r="E105" s="507">
        <v>3715173.7461072807</v>
      </c>
      <c r="F105" s="510">
        <v>3.2666956049885502E-2</v>
      </c>
      <c r="G105" s="485" t="s">
        <v>66</v>
      </c>
      <c r="H105" s="507">
        <v>30116.095520519899</v>
      </c>
      <c r="I105" s="510">
        <v>2.648062341078378E-4</v>
      </c>
      <c r="J105" s="510">
        <f t="shared" si="2"/>
        <v>0.99973519376589215</v>
      </c>
    </row>
    <row r="106" spans="1:10" ht="35.25" thickTop="1" thickBot="1">
      <c r="A106" s="486" t="s">
        <v>452</v>
      </c>
      <c r="B106" s="487" t="s">
        <v>1154</v>
      </c>
      <c r="C106" s="487" t="s">
        <v>1151</v>
      </c>
      <c r="D106" s="488"/>
      <c r="E106" s="489">
        <v>113728801.0683904</v>
      </c>
      <c r="F106" s="490">
        <v>1</v>
      </c>
      <c r="G106" s="488"/>
      <c r="H106" s="489">
        <v>3645794.1950142873</v>
      </c>
      <c r="I106" s="488"/>
      <c r="J106" s="488"/>
    </row>
    <row r="107" spans="1:10" ht="37.5" thickTop="1" thickBot="1">
      <c r="A107" s="478" t="s">
        <v>23</v>
      </c>
      <c r="B107" s="471" t="s">
        <v>1154</v>
      </c>
      <c r="C107" s="471" t="s">
        <v>1148</v>
      </c>
      <c r="D107" s="471" t="s">
        <v>107</v>
      </c>
      <c r="E107" s="479">
        <v>0</v>
      </c>
      <c r="F107" s="481">
        <v>0</v>
      </c>
      <c r="G107" s="471" t="s">
        <v>66</v>
      </c>
      <c r="H107" s="471">
        <v>0</v>
      </c>
      <c r="I107" s="505">
        <v>0</v>
      </c>
      <c r="J107" s="505">
        <f t="shared" si="2"/>
        <v>1</v>
      </c>
    </row>
    <row r="108" spans="1:10" ht="36.75" thickBot="1">
      <c r="A108" s="482" t="s">
        <v>23</v>
      </c>
      <c r="B108" s="483" t="s">
        <v>1154</v>
      </c>
      <c r="C108" s="483" t="s">
        <v>1148</v>
      </c>
      <c r="D108" s="483" t="s">
        <v>95</v>
      </c>
      <c r="E108" s="479">
        <v>3440403.7920686798</v>
      </c>
      <c r="F108" s="481">
        <v>0.38982162897143302</v>
      </c>
      <c r="G108" s="483" t="s">
        <v>66</v>
      </c>
      <c r="H108" s="483">
        <v>0</v>
      </c>
      <c r="I108" s="506">
        <v>0</v>
      </c>
      <c r="J108" s="506">
        <f t="shared" si="2"/>
        <v>1</v>
      </c>
    </row>
    <row r="109" spans="1:10" ht="36.75" thickBot="1">
      <c r="A109" s="482" t="s">
        <v>23</v>
      </c>
      <c r="B109" s="483" t="s">
        <v>1154</v>
      </c>
      <c r="C109" s="483" t="s">
        <v>1148</v>
      </c>
      <c r="D109" s="483" t="s">
        <v>24</v>
      </c>
      <c r="E109" s="479">
        <v>156368.64081270099</v>
      </c>
      <c r="F109" s="481">
        <v>1.7717652335513749E-2</v>
      </c>
      <c r="G109" s="483" t="s">
        <v>66</v>
      </c>
      <c r="H109" s="483">
        <v>0</v>
      </c>
      <c r="I109" s="506">
        <v>0</v>
      </c>
      <c r="J109" s="506">
        <f t="shared" si="2"/>
        <v>1</v>
      </c>
    </row>
    <row r="110" spans="1:10" ht="36.75" thickBot="1">
      <c r="A110" s="482" t="s">
        <v>23</v>
      </c>
      <c r="B110" s="483" t="s">
        <v>1154</v>
      </c>
      <c r="C110" s="483" t="s">
        <v>1148</v>
      </c>
      <c r="D110" s="483" t="s">
        <v>26</v>
      </c>
      <c r="E110" s="479">
        <v>5228812.2355383402</v>
      </c>
      <c r="F110" s="481">
        <v>0.59246071869305328</v>
      </c>
      <c r="G110" s="483" t="s">
        <v>66</v>
      </c>
      <c r="H110" s="483">
        <v>0</v>
      </c>
      <c r="I110" s="506">
        <v>0</v>
      </c>
      <c r="J110" s="506">
        <f t="shared" si="2"/>
        <v>1</v>
      </c>
    </row>
    <row r="111" spans="1:10" ht="16.5" thickTop="1" thickBot="1">
      <c r="A111" s="486" t="s">
        <v>452</v>
      </c>
      <c r="B111" s="487" t="s">
        <v>1154</v>
      </c>
      <c r="C111" s="487" t="s">
        <v>1148</v>
      </c>
      <c r="D111" s="488"/>
      <c r="E111" s="489">
        <v>8825584.6684197206</v>
      </c>
      <c r="F111" s="490">
        <v>1</v>
      </c>
      <c r="G111" s="488"/>
      <c r="H111" s="488"/>
      <c r="I111" s="488"/>
      <c r="J111" s="488"/>
    </row>
    <row r="112" spans="1:10" ht="46.5" thickTop="1" thickBot="1">
      <c r="A112" s="508" t="s">
        <v>23</v>
      </c>
      <c r="B112" s="509" t="s">
        <v>499</v>
      </c>
      <c r="C112" s="509" t="s">
        <v>1150</v>
      </c>
      <c r="D112" s="509" t="s">
        <v>27</v>
      </c>
      <c r="E112" s="507">
        <v>3307561214.0855098</v>
      </c>
      <c r="F112" s="510">
        <v>0.84767927678194332</v>
      </c>
      <c r="G112" s="471" t="s">
        <v>66</v>
      </c>
      <c r="H112" s="507">
        <v>954523070.60051799</v>
      </c>
      <c r="I112" s="510">
        <v>0.24463021960488154</v>
      </c>
      <c r="J112" s="510">
        <f t="shared" si="2"/>
        <v>0.75536978039511848</v>
      </c>
    </row>
    <row r="113" spans="1:10" ht="46.5" thickTop="1" thickBot="1">
      <c r="A113" s="482" t="s">
        <v>23</v>
      </c>
      <c r="B113" s="483" t="s">
        <v>499</v>
      </c>
      <c r="C113" s="483" t="s">
        <v>1150</v>
      </c>
      <c r="D113" s="483" t="s">
        <v>846</v>
      </c>
      <c r="E113" s="507">
        <v>79496522.540565699</v>
      </c>
      <c r="F113" s="510">
        <v>2.037378913711135E-2</v>
      </c>
      <c r="G113" s="483" t="s">
        <v>66</v>
      </c>
      <c r="H113" s="507">
        <v>12994674.695535799</v>
      </c>
      <c r="I113" s="510">
        <v>3.3303439407315616E-3</v>
      </c>
      <c r="J113" s="510">
        <f t="shared" si="2"/>
        <v>0.99666965605926849</v>
      </c>
    </row>
    <row r="114" spans="1:10" ht="46.5" thickTop="1" thickBot="1">
      <c r="A114" s="482" t="s">
        <v>23</v>
      </c>
      <c r="B114" s="483" t="s">
        <v>499</v>
      </c>
      <c r="C114" s="483" t="s">
        <v>1150</v>
      </c>
      <c r="D114" s="483" t="s">
        <v>95</v>
      </c>
      <c r="E114" s="507">
        <v>4785406.0278821401</v>
      </c>
      <c r="F114" s="510">
        <v>1.2264291598136428E-3</v>
      </c>
      <c r="G114" s="483" t="s">
        <v>66</v>
      </c>
      <c r="H114" s="507">
        <v>4184824.5293238</v>
      </c>
      <c r="I114" s="510">
        <v>1.0725089577691561E-3</v>
      </c>
      <c r="J114" s="510">
        <f t="shared" ref="J114:J138" si="3">1-I114</f>
        <v>0.99892749104223089</v>
      </c>
    </row>
    <row r="115" spans="1:10" ht="46.5" thickTop="1" thickBot="1">
      <c r="A115" s="482" t="s">
        <v>23</v>
      </c>
      <c r="B115" s="483" t="s">
        <v>499</v>
      </c>
      <c r="C115" s="483" t="s">
        <v>1150</v>
      </c>
      <c r="D115" s="483" t="s">
        <v>24</v>
      </c>
      <c r="E115" s="507">
        <v>95048780.552404195</v>
      </c>
      <c r="F115" s="510">
        <v>2.4359604053448863E-2</v>
      </c>
      <c r="G115" s="483" t="s">
        <v>66</v>
      </c>
      <c r="H115" s="507">
        <v>44300454.659016497</v>
      </c>
      <c r="I115" s="510">
        <v>1.1353554760089025E-2</v>
      </c>
      <c r="J115" s="510">
        <f t="shared" si="3"/>
        <v>0.98864644523991096</v>
      </c>
    </row>
    <row r="116" spans="1:10" ht="46.5" thickTop="1" thickBot="1">
      <c r="A116" s="482" t="s">
        <v>23</v>
      </c>
      <c r="B116" s="483" t="s">
        <v>499</v>
      </c>
      <c r="C116" s="483" t="s">
        <v>1150</v>
      </c>
      <c r="D116" s="483" t="s">
        <v>1144</v>
      </c>
      <c r="E116" s="507">
        <v>51162769.789154001</v>
      </c>
      <c r="F116" s="510">
        <v>1.311226516635223E-2</v>
      </c>
      <c r="G116" s="483" t="s">
        <v>66</v>
      </c>
      <c r="H116" s="507">
        <v>38219503.716805197</v>
      </c>
      <c r="I116" s="510">
        <v>9.7950964993957761E-3</v>
      </c>
      <c r="J116" s="510">
        <f t="shared" si="3"/>
        <v>0.99020490350060419</v>
      </c>
    </row>
    <row r="117" spans="1:10" ht="46.5" thickTop="1" thickBot="1">
      <c r="A117" s="482" t="s">
        <v>23</v>
      </c>
      <c r="B117" s="483" t="s">
        <v>499</v>
      </c>
      <c r="C117" s="483" t="s">
        <v>1150</v>
      </c>
      <c r="D117" s="483" t="s">
        <v>1145</v>
      </c>
      <c r="E117" s="507">
        <v>617025.01309755095</v>
      </c>
      <c r="F117" s="510">
        <v>1.5813443289620672E-4</v>
      </c>
      <c r="G117" s="483" t="s">
        <v>66</v>
      </c>
      <c r="H117" s="507">
        <v>0</v>
      </c>
      <c r="I117" s="510">
        <v>0</v>
      </c>
      <c r="J117" s="510">
        <f t="shared" si="3"/>
        <v>1</v>
      </c>
    </row>
    <row r="118" spans="1:10" ht="46.5" thickTop="1" thickBot="1">
      <c r="A118" s="484" t="s">
        <v>23</v>
      </c>
      <c r="B118" s="485" t="s">
        <v>499</v>
      </c>
      <c r="C118" s="485" t="s">
        <v>1150</v>
      </c>
      <c r="D118" s="485" t="s">
        <v>1146</v>
      </c>
      <c r="E118" s="507">
        <v>363229985.4776988</v>
      </c>
      <c r="F118" s="558">
        <v>9.3090501268434378E-2</v>
      </c>
      <c r="G118" s="485" t="s">
        <v>66</v>
      </c>
      <c r="H118" s="507">
        <v>286013383.67844999</v>
      </c>
      <c r="I118" s="510">
        <v>7.3301022274061836E-2</v>
      </c>
      <c r="J118" s="510">
        <f t="shared" si="3"/>
        <v>0.92669897772593812</v>
      </c>
    </row>
    <row r="119" spans="1:10" ht="46.5" thickTop="1" thickBot="1">
      <c r="A119" s="486" t="s">
        <v>452</v>
      </c>
      <c r="B119" s="487" t="s">
        <v>499</v>
      </c>
      <c r="C119" s="487" t="s">
        <v>1150</v>
      </c>
      <c r="D119" s="488"/>
      <c r="E119" s="489">
        <v>3901901703.4863124</v>
      </c>
      <c r="F119" s="490">
        <v>1</v>
      </c>
      <c r="G119" s="488"/>
      <c r="H119" s="489">
        <v>1340235911.8796492</v>
      </c>
      <c r="I119" s="488"/>
      <c r="J119" s="488"/>
    </row>
    <row r="120" spans="1:10" ht="37.5" thickTop="1" thickBot="1">
      <c r="A120" s="508" t="s">
        <v>23</v>
      </c>
      <c r="B120" s="509" t="s">
        <v>499</v>
      </c>
      <c r="C120" s="509" t="s">
        <v>1151</v>
      </c>
      <c r="D120" s="509" t="s">
        <v>27</v>
      </c>
      <c r="E120" s="507">
        <v>266887851.97646701</v>
      </c>
      <c r="F120" s="510">
        <v>0.66609954826932927</v>
      </c>
      <c r="G120" s="471" t="s">
        <v>66</v>
      </c>
      <c r="H120" s="507">
        <v>165614283.988157</v>
      </c>
      <c r="I120" s="510">
        <v>0.41334065576423062</v>
      </c>
      <c r="J120" s="510">
        <f t="shared" si="3"/>
        <v>0.58665934423576938</v>
      </c>
    </row>
    <row r="121" spans="1:10" ht="37.5" thickTop="1" thickBot="1">
      <c r="A121" s="482" t="s">
        <v>23</v>
      </c>
      <c r="B121" s="483" t="s">
        <v>499</v>
      </c>
      <c r="C121" s="483" t="s">
        <v>1151</v>
      </c>
      <c r="D121" s="483" t="s">
        <v>846</v>
      </c>
      <c r="E121" s="507">
        <v>5278999.3350642296</v>
      </c>
      <c r="F121" s="510">
        <v>1.3175343300040603E-2</v>
      </c>
      <c r="G121" s="483" t="s">
        <v>66</v>
      </c>
      <c r="H121" s="507">
        <v>0</v>
      </c>
      <c r="I121" s="510">
        <v>0</v>
      </c>
      <c r="J121" s="510">
        <f t="shared" si="3"/>
        <v>1</v>
      </c>
    </row>
    <row r="122" spans="1:10" ht="37.5" thickTop="1" thickBot="1">
      <c r="A122" s="482" t="s">
        <v>23</v>
      </c>
      <c r="B122" s="483" t="s">
        <v>499</v>
      </c>
      <c r="C122" s="483" t="s">
        <v>1151</v>
      </c>
      <c r="D122" s="483" t="s">
        <v>95</v>
      </c>
      <c r="E122" s="507">
        <v>1916034.9637909899</v>
      </c>
      <c r="F122" s="510">
        <v>4.7820461455920999E-3</v>
      </c>
      <c r="G122" s="483" t="s">
        <v>66</v>
      </c>
      <c r="H122" s="507">
        <v>1891529.51359825</v>
      </c>
      <c r="I122" s="510">
        <v>4.7208853652019912E-3</v>
      </c>
      <c r="J122" s="510">
        <f t="shared" si="3"/>
        <v>0.99527911463479801</v>
      </c>
    </row>
    <row r="123" spans="1:10" ht="37.5" thickTop="1" thickBot="1">
      <c r="A123" s="482" t="s">
        <v>23</v>
      </c>
      <c r="B123" s="483" t="s">
        <v>499</v>
      </c>
      <c r="C123" s="483" t="s">
        <v>1151</v>
      </c>
      <c r="D123" s="483" t="s">
        <v>24</v>
      </c>
      <c r="E123" s="507">
        <v>22479267.010039899</v>
      </c>
      <c r="F123" s="510">
        <v>5.6103825970068889E-2</v>
      </c>
      <c r="G123" s="483" t="s">
        <v>66</v>
      </c>
      <c r="H123" s="507">
        <v>16461908.319709299</v>
      </c>
      <c r="I123" s="510">
        <v>4.1085683047036345E-2</v>
      </c>
      <c r="J123" s="510">
        <f t="shared" si="3"/>
        <v>0.9589143169529637</v>
      </c>
    </row>
    <row r="124" spans="1:10" ht="37.5" thickTop="1" thickBot="1">
      <c r="A124" s="482" t="s">
        <v>23</v>
      </c>
      <c r="B124" s="483" t="s">
        <v>499</v>
      </c>
      <c r="C124" s="483" t="s">
        <v>1151</v>
      </c>
      <c r="D124" s="483" t="s">
        <v>1144</v>
      </c>
      <c r="E124" s="507">
        <v>101735714.48070399</v>
      </c>
      <c r="F124" s="510">
        <v>0.25391231918802248</v>
      </c>
      <c r="G124" s="483" t="s">
        <v>66</v>
      </c>
      <c r="H124" s="507">
        <v>59796412.891263999</v>
      </c>
      <c r="I124" s="510">
        <v>0.1492400771336318</v>
      </c>
      <c r="J124" s="510">
        <f t="shared" si="3"/>
        <v>0.85075992286636826</v>
      </c>
    </row>
    <row r="125" spans="1:10" ht="37.5" thickTop="1" thickBot="1">
      <c r="A125" s="482" t="s">
        <v>23</v>
      </c>
      <c r="B125" s="483" t="s">
        <v>499</v>
      </c>
      <c r="C125" s="483" t="s">
        <v>1151</v>
      </c>
      <c r="D125" s="483" t="s">
        <v>1145</v>
      </c>
      <c r="E125" s="507">
        <v>217211.88143322401</v>
      </c>
      <c r="F125" s="510">
        <v>5.4211810327792394E-4</v>
      </c>
      <c r="G125" s="483" t="s">
        <v>66</v>
      </c>
      <c r="H125" s="507">
        <v>0</v>
      </c>
      <c r="I125" s="510">
        <v>0</v>
      </c>
      <c r="J125" s="510">
        <f t="shared" si="3"/>
        <v>1</v>
      </c>
    </row>
    <row r="126" spans="1:10" ht="37.5" thickTop="1" thickBot="1">
      <c r="A126" s="484" t="s">
        <v>23</v>
      </c>
      <c r="B126" s="485" t="s">
        <v>499</v>
      </c>
      <c r="C126" s="485" t="s">
        <v>1151</v>
      </c>
      <c r="D126" s="485" t="s">
        <v>1146</v>
      </c>
      <c r="E126" s="507">
        <v>2157541.539377796</v>
      </c>
      <c r="F126" s="510">
        <v>5.3847990236685012E-3</v>
      </c>
      <c r="G126" s="485" t="s">
        <v>66</v>
      </c>
      <c r="H126" s="507">
        <v>1414108.6416654391</v>
      </c>
      <c r="I126" s="510">
        <v>3.5293368373325571E-3</v>
      </c>
      <c r="J126" s="510">
        <f t="shared" si="3"/>
        <v>0.99647066316266741</v>
      </c>
    </row>
    <row r="127" spans="1:10" ht="35.25" thickTop="1" thickBot="1">
      <c r="A127" s="486" t="s">
        <v>452</v>
      </c>
      <c r="B127" s="487" t="s">
        <v>499</v>
      </c>
      <c r="C127" s="487" t="s">
        <v>1151</v>
      </c>
      <c r="D127" s="488"/>
      <c r="E127" s="489">
        <v>400672621.18687725</v>
      </c>
      <c r="F127" s="490">
        <v>1</v>
      </c>
      <c r="G127" s="488"/>
      <c r="H127" s="489">
        <v>245178243.35439399</v>
      </c>
      <c r="I127" s="488"/>
      <c r="J127" s="488"/>
    </row>
    <row r="128" spans="1:10" ht="57.75" thickTop="1" thickBot="1">
      <c r="A128" s="508" t="s">
        <v>23</v>
      </c>
      <c r="B128" s="509" t="s">
        <v>499</v>
      </c>
      <c r="C128" s="483" t="s">
        <v>1155</v>
      </c>
      <c r="D128" s="509" t="s">
        <v>27</v>
      </c>
      <c r="E128" s="513">
        <v>63401094.229686402</v>
      </c>
      <c r="F128" s="510">
        <v>0.31182743504241944</v>
      </c>
      <c r="G128" s="471" t="s">
        <v>66</v>
      </c>
      <c r="H128" s="513">
        <v>25425373.2021158</v>
      </c>
      <c r="I128" s="510">
        <v>0.12505034821464867</v>
      </c>
      <c r="J128" s="510">
        <f t="shared" si="3"/>
        <v>0.87494965178535133</v>
      </c>
    </row>
    <row r="129" spans="1:11" ht="57.75" thickTop="1" thickBot="1">
      <c r="A129" s="482" t="s">
        <v>23</v>
      </c>
      <c r="B129" s="483" t="s">
        <v>499</v>
      </c>
      <c r="C129" s="483" t="s">
        <v>1155</v>
      </c>
      <c r="D129" s="483" t="s">
        <v>846</v>
      </c>
      <c r="E129" s="513">
        <v>78085223.686290294</v>
      </c>
      <c r="F129" s="510">
        <v>0.38404881355199783</v>
      </c>
      <c r="G129" s="483" t="s">
        <v>66</v>
      </c>
      <c r="H129" s="513">
        <v>19808463.2645429</v>
      </c>
      <c r="I129" s="510">
        <v>9.7424537651311066E-2</v>
      </c>
      <c r="J129" s="510">
        <f t="shared" si="3"/>
        <v>0.90257546234868891</v>
      </c>
    </row>
    <row r="130" spans="1:11" ht="57.75" thickTop="1" thickBot="1">
      <c r="A130" s="482" t="s">
        <v>23</v>
      </c>
      <c r="B130" s="483" t="s">
        <v>499</v>
      </c>
      <c r="C130" s="483" t="s">
        <v>1155</v>
      </c>
      <c r="D130" s="483" t="s">
        <v>95</v>
      </c>
      <c r="E130" s="513">
        <v>12322506.976554399</v>
      </c>
      <c r="F130" s="510">
        <v>6.0606142377777755E-2</v>
      </c>
      <c r="G130" s="483" t="s">
        <v>66</v>
      </c>
      <c r="H130" s="513">
        <v>883525.65882904897</v>
      </c>
      <c r="I130" s="510">
        <v>4.3454697956589019E-3</v>
      </c>
      <c r="J130" s="510">
        <f t="shared" si="3"/>
        <v>0.99565453020434114</v>
      </c>
    </row>
    <row r="131" spans="1:11" ht="57.75" thickTop="1" thickBot="1">
      <c r="A131" s="482" t="s">
        <v>23</v>
      </c>
      <c r="B131" s="483" t="s">
        <v>499</v>
      </c>
      <c r="C131" s="483" t="s">
        <v>1155</v>
      </c>
      <c r="D131" s="483" t="s">
        <v>24</v>
      </c>
      <c r="E131" s="513">
        <v>10798600.4398297</v>
      </c>
      <c r="F131" s="510">
        <v>5.3111068793247444E-2</v>
      </c>
      <c r="G131" s="483" t="s">
        <v>66</v>
      </c>
      <c r="H131" s="513">
        <v>1374557.1159061899</v>
      </c>
      <c r="I131" s="510">
        <v>6.7605240095625543E-3</v>
      </c>
      <c r="J131" s="510">
        <f t="shared" si="3"/>
        <v>0.99323947599043749</v>
      </c>
    </row>
    <row r="132" spans="1:11" s="384" customFormat="1" ht="57.75" thickTop="1" thickBot="1">
      <c r="A132" s="482" t="s">
        <v>23</v>
      </c>
      <c r="B132" s="483" t="s">
        <v>499</v>
      </c>
      <c r="C132" s="483" t="s">
        <v>1155</v>
      </c>
      <c r="D132" s="483" t="s">
        <v>26</v>
      </c>
      <c r="E132" s="513">
        <v>35288868.389986597</v>
      </c>
      <c r="F132" s="510">
        <v>0.17356226180788212</v>
      </c>
      <c r="G132" s="483" t="s">
        <v>66</v>
      </c>
      <c r="H132" s="513">
        <v>3531174.34580355</v>
      </c>
      <c r="I132" s="510">
        <v>1.7367476891651763E-2</v>
      </c>
      <c r="J132" s="510">
        <f t="shared" si="3"/>
        <v>0.98263252310834825</v>
      </c>
      <c r="K132" s="384" t="s">
        <v>1291</v>
      </c>
    </row>
    <row r="133" spans="1:11" ht="57.75" thickTop="1" thickBot="1">
      <c r="A133" s="484" t="s">
        <v>23</v>
      </c>
      <c r="B133" s="485" t="s">
        <v>499</v>
      </c>
      <c r="C133" s="485" t="s">
        <v>1155</v>
      </c>
      <c r="D133" s="485" t="s">
        <v>1290</v>
      </c>
      <c r="E133" s="513">
        <v>3424797.06320721</v>
      </c>
      <c r="F133" s="510">
        <v>1.684427842667531E-2</v>
      </c>
      <c r="G133" s="485" t="s">
        <v>66</v>
      </c>
      <c r="H133" s="513">
        <v>94683.095160463898</v>
      </c>
      <c r="I133" s="510">
        <v>4.6568260476394642E-4</v>
      </c>
      <c r="J133" s="510">
        <f t="shared" si="3"/>
        <v>0.99953431739523602</v>
      </c>
    </row>
    <row r="134" spans="1:11" ht="57.75" thickTop="1" thickBot="1">
      <c r="A134" s="486" t="s">
        <v>452</v>
      </c>
      <c r="B134" s="487" t="s">
        <v>499</v>
      </c>
      <c r="C134" s="487" t="s">
        <v>1155</v>
      </c>
      <c r="D134" s="488"/>
      <c r="E134" s="489">
        <v>203321090.78555462</v>
      </c>
      <c r="F134" s="490">
        <v>1</v>
      </c>
      <c r="G134" s="488"/>
      <c r="H134" s="489">
        <v>51117776.682357945</v>
      </c>
      <c r="I134" s="488"/>
      <c r="J134" s="488"/>
    </row>
    <row r="135" spans="1:11" ht="37.5" thickTop="1" thickBot="1">
      <c r="A135" s="478" t="s">
        <v>23</v>
      </c>
      <c r="B135" s="471" t="s">
        <v>499</v>
      </c>
      <c r="C135" s="471" t="s">
        <v>1148</v>
      </c>
      <c r="D135" s="471" t="s">
        <v>107</v>
      </c>
      <c r="E135" s="479">
        <v>0</v>
      </c>
      <c r="F135" s="481">
        <v>0</v>
      </c>
      <c r="G135" s="471" t="s">
        <v>66</v>
      </c>
      <c r="H135" s="471">
        <v>0</v>
      </c>
      <c r="I135" s="505">
        <v>0</v>
      </c>
      <c r="J135" s="505">
        <f t="shared" si="3"/>
        <v>1</v>
      </c>
    </row>
    <row r="136" spans="1:11" ht="36.75" thickBot="1">
      <c r="A136" s="482" t="s">
        <v>23</v>
      </c>
      <c r="B136" s="483" t="s">
        <v>499</v>
      </c>
      <c r="C136" s="483" t="s">
        <v>1148</v>
      </c>
      <c r="D136" s="483" t="s">
        <v>95</v>
      </c>
      <c r="E136" s="479">
        <v>1369891.87976221</v>
      </c>
      <c r="F136" s="481">
        <v>0.50232308983418594</v>
      </c>
      <c r="G136" s="483" t="s">
        <v>66</v>
      </c>
      <c r="H136" s="483">
        <v>0</v>
      </c>
      <c r="I136" s="506">
        <v>0</v>
      </c>
      <c r="J136" s="506">
        <f t="shared" si="3"/>
        <v>1</v>
      </c>
    </row>
    <row r="137" spans="1:11" ht="36.75" thickBot="1">
      <c r="A137" s="482" t="s">
        <v>23</v>
      </c>
      <c r="B137" s="483" t="s">
        <v>499</v>
      </c>
      <c r="C137" s="483" t="s">
        <v>1148</v>
      </c>
      <c r="D137" s="483" t="s">
        <v>24</v>
      </c>
      <c r="E137" s="479">
        <v>110448.250166563</v>
      </c>
      <c r="F137" s="481">
        <v>4.0500062165546649E-2</v>
      </c>
      <c r="G137" s="483" t="s">
        <v>66</v>
      </c>
      <c r="H137" s="483">
        <v>0</v>
      </c>
      <c r="I137" s="506">
        <v>0</v>
      </c>
      <c r="J137" s="506">
        <f t="shared" si="3"/>
        <v>1</v>
      </c>
    </row>
    <row r="138" spans="1:11" ht="36.75" thickBot="1">
      <c r="A138" s="482" t="s">
        <v>23</v>
      </c>
      <c r="B138" s="483" t="s">
        <v>499</v>
      </c>
      <c r="C138" s="483" t="s">
        <v>1148</v>
      </c>
      <c r="D138" s="483" t="s">
        <v>26</v>
      </c>
      <c r="E138" s="479">
        <v>1246772.9721474301</v>
      </c>
      <c r="F138" s="481">
        <v>0.45717684800026742</v>
      </c>
      <c r="G138" s="483" t="s">
        <v>66</v>
      </c>
      <c r="H138" s="483">
        <v>0</v>
      </c>
      <c r="I138" s="506">
        <v>0</v>
      </c>
      <c r="J138" s="506">
        <f t="shared" si="3"/>
        <v>1</v>
      </c>
    </row>
    <row r="139" spans="1:11" ht="16.5" thickTop="1" thickBot="1">
      <c r="A139" s="486" t="s">
        <v>452</v>
      </c>
      <c r="B139" s="487" t="s">
        <v>499</v>
      </c>
      <c r="C139" s="487" t="s">
        <v>1148</v>
      </c>
      <c r="D139" s="488"/>
      <c r="E139" s="489">
        <v>2727113.1020762031</v>
      </c>
      <c r="F139" s="490">
        <v>1</v>
      </c>
      <c r="G139" s="488"/>
      <c r="H139" s="488"/>
      <c r="I139" s="488"/>
      <c r="J139" s="488"/>
    </row>
    <row r="140" spans="1:11" ht="69" thickTop="1" thickBot="1">
      <c r="A140" s="508" t="s">
        <v>23</v>
      </c>
      <c r="B140" s="509" t="s">
        <v>502</v>
      </c>
      <c r="C140" s="509" t="s">
        <v>1156</v>
      </c>
      <c r="D140" s="509" t="s">
        <v>27</v>
      </c>
      <c r="E140" s="513">
        <v>365391303.27673298</v>
      </c>
      <c r="F140" s="510">
        <v>0.55172730052875429</v>
      </c>
      <c r="G140" s="509" t="s">
        <v>66</v>
      </c>
      <c r="H140" s="513">
        <v>10941329.6250879</v>
      </c>
      <c r="I140" s="510">
        <v>1.652100146913767E-2</v>
      </c>
      <c r="J140" s="510">
        <f>1-I140</f>
        <v>0.98347899853086229</v>
      </c>
    </row>
    <row r="141" spans="1:11" ht="69" thickTop="1" thickBot="1">
      <c r="A141" s="482" t="s">
        <v>23</v>
      </c>
      <c r="B141" s="483" t="s">
        <v>502</v>
      </c>
      <c r="C141" s="483" t="s">
        <v>1156</v>
      </c>
      <c r="D141" s="483" t="s">
        <v>846</v>
      </c>
      <c r="E141" s="513">
        <v>40533528.149044499</v>
      </c>
      <c r="F141" s="510">
        <v>6.1204122446344586E-2</v>
      </c>
      <c r="G141" s="483" t="s">
        <v>66</v>
      </c>
      <c r="H141" s="513">
        <v>2327116.8755655</v>
      </c>
      <c r="I141" s="510">
        <v>3.5138600734518884E-3</v>
      </c>
      <c r="J141" s="510">
        <f t="shared" ref="J141:J187" si="4">1-I141</f>
        <v>0.99648613992654811</v>
      </c>
    </row>
    <row r="142" spans="1:11" ht="69" thickTop="1" thickBot="1">
      <c r="A142" s="482" t="s">
        <v>23</v>
      </c>
      <c r="B142" s="483" t="s">
        <v>502</v>
      </c>
      <c r="C142" s="483" t="s">
        <v>1156</v>
      </c>
      <c r="D142" s="483" t="s">
        <v>95</v>
      </c>
      <c r="E142" s="513">
        <v>3310221.7978100101</v>
      </c>
      <c r="F142" s="510">
        <v>4.9983120021714336E-3</v>
      </c>
      <c r="G142" s="483" t="s">
        <v>66</v>
      </c>
      <c r="H142" s="513">
        <v>20380.735097263099</v>
      </c>
      <c r="I142" s="510">
        <v>3.077415323562965E-5</v>
      </c>
      <c r="J142" s="510">
        <f t="shared" si="4"/>
        <v>0.9999692258467644</v>
      </c>
    </row>
    <row r="143" spans="1:11" ht="69" thickTop="1" thickBot="1">
      <c r="A143" s="482" t="s">
        <v>23</v>
      </c>
      <c r="B143" s="483" t="s">
        <v>502</v>
      </c>
      <c r="C143" s="483" t="s">
        <v>1156</v>
      </c>
      <c r="D143" s="483" t="s">
        <v>24</v>
      </c>
      <c r="E143" s="513">
        <v>84309373.242643699</v>
      </c>
      <c r="F143" s="510">
        <v>0.12730402308783406</v>
      </c>
      <c r="G143" s="483" t="s">
        <v>66</v>
      </c>
      <c r="H143" s="513">
        <v>13111185.590276301</v>
      </c>
      <c r="I143" s="510">
        <v>1.9797403407207124E-2</v>
      </c>
      <c r="J143" s="510">
        <f t="shared" si="4"/>
        <v>0.98020259659279285</v>
      </c>
    </row>
    <row r="144" spans="1:11" s="384" customFormat="1" ht="69" thickTop="1" thickBot="1">
      <c r="A144" s="482" t="s">
        <v>23</v>
      </c>
      <c r="B144" s="483" t="s">
        <v>502</v>
      </c>
      <c r="C144" s="483" t="s">
        <v>1156</v>
      </c>
      <c r="D144" s="731" t="s">
        <v>26</v>
      </c>
      <c r="E144" s="513">
        <v>168024077.651382</v>
      </c>
      <c r="F144" s="510">
        <v>0.25371011831724088</v>
      </c>
      <c r="G144" s="483" t="s">
        <v>66</v>
      </c>
      <c r="H144" s="513">
        <v>33977767.909658499</v>
      </c>
      <c r="I144" s="510">
        <v>5.1305167908144177E-2</v>
      </c>
      <c r="J144" s="510">
        <f t="shared" si="4"/>
        <v>0.94869483209185579</v>
      </c>
      <c r="K144" s="384" t="s">
        <v>1291</v>
      </c>
    </row>
    <row r="145" spans="1:11" ht="69" thickTop="1" thickBot="1">
      <c r="A145" s="484" t="s">
        <v>23</v>
      </c>
      <c r="B145" s="485" t="s">
        <v>502</v>
      </c>
      <c r="C145" s="485" t="s">
        <v>1156</v>
      </c>
      <c r="D145" s="485" t="s">
        <v>107</v>
      </c>
      <c r="E145" s="513">
        <v>699436.81363310094</v>
      </c>
      <c r="F145" s="510">
        <v>1.0561236176547966E-3</v>
      </c>
      <c r="G145" s="485" t="s">
        <v>66</v>
      </c>
      <c r="H145" s="513">
        <v>0</v>
      </c>
      <c r="I145" s="510">
        <v>0</v>
      </c>
      <c r="J145" s="510">
        <f t="shared" si="4"/>
        <v>1</v>
      </c>
    </row>
    <row r="146" spans="1:11" ht="24" thickTop="1" thickBot="1">
      <c r="A146" s="486" t="s">
        <v>452</v>
      </c>
      <c r="B146" s="487" t="s">
        <v>502</v>
      </c>
      <c r="C146" s="487" t="s">
        <v>108</v>
      </c>
      <c r="D146" s="488"/>
      <c r="E146" s="491">
        <v>662267940.93124628</v>
      </c>
      <c r="F146" s="515">
        <v>1</v>
      </c>
      <c r="G146" s="488"/>
      <c r="H146" s="491">
        <v>60377780.735685468</v>
      </c>
      <c r="I146" s="515"/>
      <c r="J146" s="515"/>
    </row>
    <row r="147" spans="1:11" ht="125.25" thickTop="1" thickBot="1">
      <c r="A147" s="508" t="s">
        <v>23</v>
      </c>
      <c r="B147" s="509" t="s">
        <v>502</v>
      </c>
      <c r="C147" s="509" t="s">
        <v>1157</v>
      </c>
      <c r="D147" s="509" t="s">
        <v>27</v>
      </c>
      <c r="E147" s="513">
        <v>705760.94230380596</v>
      </c>
      <c r="F147" s="510">
        <v>2.4127020532692982E-2</v>
      </c>
      <c r="G147" s="471" t="s">
        <v>66</v>
      </c>
      <c r="H147" s="513">
        <v>0</v>
      </c>
      <c r="I147" s="510">
        <v>0</v>
      </c>
      <c r="J147" s="510">
        <f t="shared" si="4"/>
        <v>1</v>
      </c>
    </row>
    <row r="148" spans="1:11" ht="125.25" thickTop="1" thickBot="1">
      <c r="A148" s="482" t="s">
        <v>23</v>
      </c>
      <c r="B148" s="483" t="s">
        <v>502</v>
      </c>
      <c r="C148" s="483" t="s">
        <v>1157</v>
      </c>
      <c r="D148" s="483" t="s">
        <v>846</v>
      </c>
      <c r="E148" s="513">
        <v>14905900.179290401</v>
      </c>
      <c r="F148" s="510">
        <v>0.50957050486537259</v>
      </c>
      <c r="G148" s="483" t="s">
        <v>66</v>
      </c>
      <c r="H148" s="513">
        <v>1912707.6439594701</v>
      </c>
      <c r="I148" s="510">
        <v>6.5387490058898504E-2</v>
      </c>
      <c r="J148" s="510">
        <f t="shared" si="4"/>
        <v>0.93461250994110145</v>
      </c>
    </row>
    <row r="149" spans="1:11" ht="125.25" thickTop="1" thickBot="1">
      <c r="A149" s="482" t="s">
        <v>23</v>
      </c>
      <c r="B149" s="483" t="s">
        <v>502</v>
      </c>
      <c r="C149" s="483" t="s">
        <v>1157</v>
      </c>
      <c r="D149" s="483" t="s">
        <v>95</v>
      </c>
      <c r="E149" s="513">
        <v>271674.90320441697</v>
      </c>
      <c r="F149" s="510">
        <v>9.287430877704719E-3</v>
      </c>
      <c r="G149" s="483" t="s">
        <v>66</v>
      </c>
      <c r="H149" s="513">
        <v>0</v>
      </c>
      <c r="I149" s="510">
        <v>0</v>
      </c>
      <c r="J149" s="510">
        <f t="shared" si="4"/>
        <v>1</v>
      </c>
    </row>
    <row r="150" spans="1:11" ht="125.25" thickTop="1" thickBot="1">
      <c r="A150" s="482" t="s">
        <v>23</v>
      </c>
      <c r="B150" s="483" t="s">
        <v>502</v>
      </c>
      <c r="C150" s="483" t="s">
        <v>1157</v>
      </c>
      <c r="D150" s="483" t="s">
        <v>24</v>
      </c>
      <c r="E150" s="513">
        <v>431583.94935415097</v>
      </c>
      <c r="F150" s="510">
        <v>1.4754053651166712E-2</v>
      </c>
      <c r="G150" s="483" t="s">
        <v>66</v>
      </c>
      <c r="H150" s="513">
        <v>0</v>
      </c>
      <c r="I150" s="510">
        <v>0</v>
      </c>
      <c r="J150" s="510">
        <f t="shared" si="4"/>
        <v>1</v>
      </c>
    </row>
    <row r="151" spans="1:11" s="384" customFormat="1" ht="125.25" thickTop="1" thickBot="1">
      <c r="A151" s="482" t="s">
        <v>23</v>
      </c>
      <c r="B151" s="483" t="s">
        <v>502</v>
      </c>
      <c r="C151" s="483" t="s">
        <v>1157</v>
      </c>
      <c r="D151" s="731" t="s">
        <v>26</v>
      </c>
      <c r="E151" s="513">
        <v>12936969.679916799</v>
      </c>
      <c r="F151" s="510">
        <v>0.44226099007306308</v>
      </c>
      <c r="G151" s="483" t="s">
        <v>66</v>
      </c>
      <c r="H151" s="513">
        <v>767925.59335870901</v>
      </c>
      <c r="I151" s="510">
        <v>2.6252170455999032E-2</v>
      </c>
      <c r="J151" s="510">
        <f t="shared" si="4"/>
        <v>0.97374782954400096</v>
      </c>
      <c r="K151" s="384" t="s">
        <v>1291</v>
      </c>
    </row>
    <row r="152" spans="1:11" ht="125.25" thickTop="1" thickBot="1">
      <c r="A152" s="484" t="s">
        <v>23</v>
      </c>
      <c r="B152" s="485" t="s">
        <v>502</v>
      </c>
      <c r="C152" s="485" t="s">
        <v>1157</v>
      </c>
      <c r="D152" s="485" t="s">
        <v>1292</v>
      </c>
      <c r="E152" s="513">
        <v>0</v>
      </c>
      <c r="F152" s="510">
        <v>0</v>
      </c>
      <c r="G152" s="485" t="s">
        <v>66</v>
      </c>
      <c r="H152" s="513">
        <v>0</v>
      </c>
      <c r="I152" s="510">
        <v>0</v>
      </c>
      <c r="J152" s="510">
        <f t="shared" si="4"/>
        <v>1</v>
      </c>
    </row>
    <row r="153" spans="1:11" ht="125.25" thickTop="1" thickBot="1">
      <c r="A153" s="486" t="s">
        <v>452</v>
      </c>
      <c r="B153" s="487" t="s">
        <v>502</v>
      </c>
      <c r="C153" s="487" t="s">
        <v>1157</v>
      </c>
      <c r="D153" s="488"/>
      <c r="E153" s="491">
        <v>29251889.654069573</v>
      </c>
      <c r="F153" s="490">
        <v>1</v>
      </c>
      <c r="G153" s="488"/>
      <c r="H153" s="491">
        <v>2680633.2373181791</v>
      </c>
      <c r="I153" s="488"/>
      <c r="J153" s="488"/>
    </row>
    <row r="154" spans="1:11" ht="37.5" thickTop="1" thickBot="1">
      <c r="A154" s="508" t="s">
        <v>23</v>
      </c>
      <c r="B154" s="509" t="s">
        <v>502</v>
      </c>
      <c r="C154" s="509" t="s">
        <v>1158</v>
      </c>
      <c r="D154" s="509" t="s">
        <v>27</v>
      </c>
      <c r="E154" s="513">
        <v>377157.07816931902</v>
      </c>
      <c r="F154" s="510">
        <v>0.34186101411524789</v>
      </c>
      <c r="G154" s="509" t="s">
        <v>66</v>
      </c>
      <c r="H154" s="513">
        <v>0</v>
      </c>
      <c r="I154" s="510">
        <v>0</v>
      </c>
      <c r="J154" s="510">
        <f t="shared" si="4"/>
        <v>1</v>
      </c>
    </row>
    <row r="155" spans="1:11" ht="37.5" thickTop="1" thickBot="1">
      <c r="A155" s="482" t="s">
        <v>23</v>
      </c>
      <c r="B155" s="483" t="s">
        <v>502</v>
      </c>
      <c r="C155" s="483" t="s">
        <v>1158</v>
      </c>
      <c r="D155" s="483" t="s">
        <v>846</v>
      </c>
      <c r="E155" s="513">
        <v>146558.46084013101</v>
      </c>
      <c r="F155" s="510">
        <v>0.132842857658061</v>
      </c>
      <c r="G155" s="483" t="s">
        <v>66</v>
      </c>
      <c r="H155" s="513">
        <v>0</v>
      </c>
      <c r="I155" s="510">
        <v>0</v>
      </c>
      <c r="J155" s="510">
        <f t="shared" si="4"/>
        <v>1</v>
      </c>
    </row>
    <row r="156" spans="1:11" ht="37.5" thickTop="1" thickBot="1">
      <c r="A156" s="482" t="s">
        <v>23</v>
      </c>
      <c r="B156" s="483" t="s">
        <v>502</v>
      </c>
      <c r="C156" s="483" t="s">
        <v>1158</v>
      </c>
      <c r="D156" s="483" t="s">
        <v>95</v>
      </c>
      <c r="E156" s="513">
        <v>145101.756739128</v>
      </c>
      <c r="F156" s="510">
        <v>0.13152247851085813</v>
      </c>
      <c r="G156" s="483" t="s">
        <v>66</v>
      </c>
      <c r="H156" s="513">
        <v>0</v>
      </c>
      <c r="I156" s="510">
        <v>0</v>
      </c>
      <c r="J156" s="510">
        <f t="shared" si="4"/>
        <v>1</v>
      </c>
    </row>
    <row r="157" spans="1:11" ht="37.5" thickTop="1" thickBot="1">
      <c r="A157" s="482" t="s">
        <v>23</v>
      </c>
      <c r="B157" s="483" t="s">
        <v>502</v>
      </c>
      <c r="C157" s="483" t="s">
        <v>1158</v>
      </c>
      <c r="D157" s="483" t="s">
        <v>24</v>
      </c>
      <c r="E157" s="513">
        <v>434429.52853590198</v>
      </c>
      <c r="F157" s="510">
        <v>0.39377364971583301</v>
      </c>
      <c r="G157" s="483" t="s">
        <v>66</v>
      </c>
      <c r="H157" s="513">
        <v>434429.52853590198</v>
      </c>
      <c r="I157" s="510">
        <v>0.39377364971583301</v>
      </c>
      <c r="J157" s="510">
        <f t="shared" si="4"/>
        <v>0.60622635028416694</v>
      </c>
    </row>
    <row r="158" spans="1:11" ht="37.5" thickTop="1" thickBot="1">
      <c r="A158" s="484" t="s">
        <v>23</v>
      </c>
      <c r="B158" s="485" t="s">
        <v>502</v>
      </c>
      <c r="C158" s="485" t="s">
        <v>1158</v>
      </c>
      <c r="D158" s="485" t="s">
        <v>1146</v>
      </c>
      <c r="E158" s="513">
        <v>0</v>
      </c>
      <c r="F158" s="510">
        <v>0</v>
      </c>
      <c r="G158" s="485" t="s">
        <v>66</v>
      </c>
      <c r="H158" s="513">
        <v>0</v>
      </c>
      <c r="I158" s="510">
        <v>0</v>
      </c>
      <c r="J158" s="510">
        <f t="shared" si="4"/>
        <v>1</v>
      </c>
    </row>
    <row r="159" spans="1:11" ht="24" thickTop="1" thickBot="1">
      <c r="A159" s="486" t="s">
        <v>452</v>
      </c>
      <c r="B159" s="487" t="s">
        <v>502</v>
      </c>
      <c r="C159" s="487" t="s">
        <v>1158</v>
      </c>
      <c r="D159" s="488"/>
      <c r="E159" s="491">
        <v>1103246.82428448</v>
      </c>
      <c r="F159" s="490">
        <v>1</v>
      </c>
      <c r="G159" s="488"/>
      <c r="H159" s="491">
        <v>434429.52853590198</v>
      </c>
      <c r="I159" s="488"/>
      <c r="J159" s="488"/>
    </row>
    <row r="160" spans="1:11" ht="37.5" thickTop="1" thickBot="1">
      <c r="A160" s="478" t="s">
        <v>23</v>
      </c>
      <c r="B160" s="471" t="s">
        <v>502</v>
      </c>
      <c r="C160" s="471" t="s">
        <v>1148</v>
      </c>
      <c r="D160" s="471" t="s">
        <v>107</v>
      </c>
      <c r="E160" s="479">
        <v>0</v>
      </c>
      <c r="F160" s="481">
        <v>0</v>
      </c>
      <c r="G160" s="471" t="s">
        <v>66</v>
      </c>
      <c r="H160" s="471">
        <v>0</v>
      </c>
      <c r="I160" s="505">
        <v>0</v>
      </c>
      <c r="J160" s="505">
        <f t="shared" si="4"/>
        <v>1</v>
      </c>
    </row>
    <row r="161" spans="1:10" ht="36.75" thickBot="1">
      <c r="A161" s="482" t="s">
        <v>23</v>
      </c>
      <c r="B161" s="483" t="s">
        <v>502</v>
      </c>
      <c r="C161" s="483" t="s">
        <v>1148</v>
      </c>
      <c r="D161" s="483" t="s">
        <v>95</v>
      </c>
      <c r="E161" s="479">
        <v>581301.81513254298</v>
      </c>
      <c r="F161" s="481">
        <v>0.3067533293672236</v>
      </c>
      <c r="G161" s="483" t="s">
        <v>66</v>
      </c>
      <c r="H161" s="483">
        <v>0</v>
      </c>
      <c r="I161" s="506">
        <v>0</v>
      </c>
      <c r="J161" s="506">
        <f t="shared" si="4"/>
        <v>1</v>
      </c>
    </row>
    <row r="162" spans="1:10" ht="36.75" thickBot="1">
      <c r="A162" s="482" t="s">
        <v>23</v>
      </c>
      <c r="B162" s="483" t="s">
        <v>502</v>
      </c>
      <c r="C162" s="483" t="s">
        <v>1148</v>
      </c>
      <c r="D162" s="483" t="s">
        <v>24</v>
      </c>
      <c r="E162" s="479">
        <v>92670.548855490793</v>
      </c>
      <c r="F162" s="481">
        <v>4.8902306264480007E-2</v>
      </c>
      <c r="G162" s="483" t="s">
        <v>66</v>
      </c>
      <c r="H162" s="483">
        <v>0</v>
      </c>
      <c r="I162" s="506">
        <v>0</v>
      </c>
      <c r="J162" s="506">
        <f t="shared" si="4"/>
        <v>1</v>
      </c>
    </row>
    <row r="163" spans="1:10" ht="36.75" thickBot="1">
      <c r="A163" s="482" t="s">
        <v>23</v>
      </c>
      <c r="B163" s="483" t="s">
        <v>502</v>
      </c>
      <c r="C163" s="483" t="s">
        <v>1148</v>
      </c>
      <c r="D163" s="483" t="s">
        <v>26</v>
      </c>
      <c r="E163" s="479">
        <v>1221041.5102921999</v>
      </c>
      <c r="F163" s="481">
        <v>0.64434436436829645</v>
      </c>
      <c r="G163" s="483" t="s">
        <v>66</v>
      </c>
      <c r="H163" s="483">
        <v>0</v>
      </c>
      <c r="I163" s="506">
        <v>0</v>
      </c>
      <c r="J163" s="506">
        <f t="shared" si="4"/>
        <v>1</v>
      </c>
    </row>
    <row r="164" spans="1:10" ht="16.5" thickTop="1" thickBot="1">
      <c r="A164" s="486" t="s">
        <v>452</v>
      </c>
      <c r="B164" s="487" t="s">
        <v>502</v>
      </c>
      <c r="C164" s="487" t="s">
        <v>1148</v>
      </c>
      <c r="D164" s="488"/>
      <c r="E164" s="489">
        <v>1895013.8742802336</v>
      </c>
      <c r="F164" s="490">
        <v>1</v>
      </c>
      <c r="G164" s="488"/>
      <c r="H164" s="488"/>
      <c r="I164" s="488"/>
      <c r="J164" s="488"/>
    </row>
    <row r="165" spans="1:10" ht="37.5" thickTop="1" thickBot="1">
      <c r="A165" s="508" t="s">
        <v>23</v>
      </c>
      <c r="B165" s="509" t="s">
        <v>1170</v>
      </c>
      <c r="C165" s="509" t="s">
        <v>108</v>
      </c>
      <c r="D165" s="509" t="s">
        <v>27</v>
      </c>
      <c r="E165" s="513">
        <v>5581833984.0387897</v>
      </c>
      <c r="F165" s="510">
        <v>0.86423746645293475</v>
      </c>
      <c r="G165" s="471" t="s">
        <v>66</v>
      </c>
      <c r="H165" s="513">
        <v>1161869461.3445899</v>
      </c>
      <c r="I165" s="510">
        <v>0.17989268804711669</v>
      </c>
      <c r="J165" s="510">
        <f t="shared" si="4"/>
        <v>0.82010731195288333</v>
      </c>
    </row>
    <row r="166" spans="1:10" ht="37.5" thickTop="1" thickBot="1">
      <c r="A166" s="482" t="s">
        <v>23</v>
      </c>
      <c r="B166" s="483" t="s">
        <v>1170</v>
      </c>
      <c r="C166" s="483" t="s">
        <v>108</v>
      </c>
      <c r="D166" s="483" t="s">
        <v>846</v>
      </c>
      <c r="E166" s="513">
        <v>98847081.984608799</v>
      </c>
      <c r="F166" s="510">
        <v>1.5304531081526731E-2</v>
      </c>
      <c r="G166" s="483" t="s">
        <v>66</v>
      </c>
      <c r="H166" s="513">
        <v>3462751.1786082298</v>
      </c>
      <c r="I166" s="510">
        <v>5.3613907438213298E-4</v>
      </c>
      <c r="J166" s="510">
        <f t="shared" si="4"/>
        <v>0.9994638609256179</v>
      </c>
    </row>
    <row r="167" spans="1:10" ht="37.5" thickTop="1" thickBot="1">
      <c r="A167" s="482" t="s">
        <v>23</v>
      </c>
      <c r="B167" s="483" t="s">
        <v>1170</v>
      </c>
      <c r="C167" s="483" t="s">
        <v>108</v>
      </c>
      <c r="D167" s="483" t="s">
        <v>95</v>
      </c>
      <c r="E167" s="513">
        <v>5454876.6897797799</v>
      </c>
      <c r="F167" s="510">
        <v>8.4458062057541977E-4</v>
      </c>
      <c r="G167" s="483" t="s">
        <v>66</v>
      </c>
      <c r="H167" s="513">
        <v>486644.81221416203</v>
      </c>
      <c r="I167" s="510">
        <v>7.5347400294073112E-5</v>
      </c>
      <c r="J167" s="510">
        <f t="shared" si="4"/>
        <v>0.99992465259970598</v>
      </c>
    </row>
    <row r="168" spans="1:10" ht="37.5" thickTop="1" thickBot="1">
      <c r="A168" s="482" t="s">
        <v>23</v>
      </c>
      <c r="B168" s="483" t="s">
        <v>1170</v>
      </c>
      <c r="C168" s="483" t="s">
        <v>108</v>
      </c>
      <c r="D168" s="483" t="s">
        <v>24</v>
      </c>
      <c r="E168" s="513">
        <v>468303064.844293</v>
      </c>
      <c r="F168" s="510">
        <v>7.2507540613082427E-2</v>
      </c>
      <c r="G168" s="483" t="s">
        <v>66</v>
      </c>
      <c r="H168" s="513">
        <v>83804649.368407696</v>
      </c>
      <c r="I168" s="510">
        <v>1.2975505551443126E-2</v>
      </c>
      <c r="J168" s="510">
        <f t="shared" si="4"/>
        <v>0.98702449444855689</v>
      </c>
    </row>
    <row r="169" spans="1:10" ht="37.5" thickTop="1" thickBot="1">
      <c r="A169" s="482" t="s">
        <v>23</v>
      </c>
      <c r="B169" s="483" t="s">
        <v>1170</v>
      </c>
      <c r="C169" s="483" t="s">
        <v>108</v>
      </c>
      <c r="D169" s="483" t="s">
        <v>1144</v>
      </c>
      <c r="E169" s="513">
        <v>23608275.143384799</v>
      </c>
      <c r="F169" s="510">
        <v>3.6552781676390481E-3</v>
      </c>
      <c r="G169" s="483" t="s">
        <v>66</v>
      </c>
      <c r="H169" s="513">
        <v>750269.963661863</v>
      </c>
      <c r="I169" s="510">
        <v>1.1616458217943981E-4</v>
      </c>
      <c r="J169" s="510">
        <f t="shared" si="4"/>
        <v>0.99988383541782055</v>
      </c>
    </row>
    <row r="170" spans="1:10" ht="37.5" thickTop="1" thickBot="1">
      <c r="A170" s="482" t="s">
        <v>23</v>
      </c>
      <c r="B170" s="483" t="s">
        <v>1170</v>
      </c>
      <c r="C170" s="483" t="s">
        <v>108</v>
      </c>
      <c r="D170" s="483" t="s">
        <v>1145</v>
      </c>
      <c r="E170" s="513">
        <v>80379.836674080507</v>
      </c>
      <c r="F170" s="510">
        <v>1.2445240506928213E-5</v>
      </c>
      <c r="G170" s="483" t="s">
        <v>66</v>
      </c>
      <c r="H170" s="513">
        <v>0</v>
      </c>
      <c r="I170" s="510">
        <v>0</v>
      </c>
      <c r="J170" s="510">
        <f t="shared" si="4"/>
        <v>1</v>
      </c>
    </row>
    <row r="171" spans="1:10" ht="37.5" thickTop="1" thickBot="1">
      <c r="A171" s="484" t="s">
        <v>23</v>
      </c>
      <c r="B171" s="485" t="s">
        <v>1170</v>
      </c>
      <c r="C171" s="485" t="s">
        <v>108</v>
      </c>
      <c r="D171" s="485" t="s">
        <v>1146</v>
      </c>
      <c r="E171" s="513">
        <v>280553198.57828301</v>
      </c>
      <c r="F171" s="510">
        <v>4.3438157823734634E-2</v>
      </c>
      <c r="G171" s="485" t="s">
        <v>66</v>
      </c>
      <c r="H171" s="513">
        <v>20114621.590394001</v>
      </c>
      <c r="I171" s="510">
        <v>3.1143544669458962E-3</v>
      </c>
      <c r="J171" s="510">
        <f t="shared" si="4"/>
        <v>0.99688564553305414</v>
      </c>
    </row>
    <row r="172" spans="1:10" ht="24" thickTop="1" thickBot="1">
      <c r="A172" s="486" t="s">
        <v>452</v>
      </c>
      <c r="B172" s="487" t="s">
        <v>1170</v>
      </c>
      <c r="C172" s="487" t="s">
        <v>108</v>
      </c>
      <c r="D172" s="488"/>
      <c r="E172" s="489">
        <v>6458680861.1158133</v>
      </c>
      <c r="F172" s="490">
        <v>0.99999999999999989</v>
      </c>
      <c r="G172" s="488"/>
      <c r="H172" s="489">
        <v>1270488398.2578759</v>
      </c>
      <c r="I172" s="488"/>
      <c r="J172" s="488"/>
    </row>
    <row r="173" spans="1:10" ht="37.5" thickTop="1" thickBot="1">
      <c r="A173" s="478" t="s">
        <v>23</v>
      </c>
      <c r="B173" s="471" t="s">
        <v>1170</v>
      </c>
      <c r="C173" s="471" t="s">
        <v>1148</v>
      </c>
      <c r="D173" s="471" t="s">
        <v>107</v>
      </c>
      <c r="E173" s="479">
        <v>0</v>
      </c>
      <c r="F173" s="481">
        <v>0</v>
      </c>
      <c r="G173" s="471" t="s">
        <v>66</v>
      </c>
      <c r="H173" s="471">
        <v>0</v>
      </c>
      <c r="I173" s="505">
        <v>0</v>
      </c>
      <c r="J173" s="505">
        <f t="shared" si="4"/>
        <v>1</v>
      </c>
    </row>
    <row r="174" spans="1:10" ht="36.75" thickBot="1">
      <c r="A174" s="482" t="s">
        <v>23</v>
      </c>
      <c r="B174" s="483" t="s">
        <v>1170</v>
      </c>
      <c r="C174" s="483" t="s">
        <v>1148</v>
      </c>
      <c r="D174" s="483" t="s">
        <v>95</v>
      </c>
      <c r="E174" s="479">
        <v>4792147.5764936404</v>
      </c>
      <c r="F174" s="481">
        <v>0.49051874091288106</v>
      </c>
      <c r="G174" s="483" t="s">
        <v>66</v>
      </c>
      <c r="H174" s="483">
        <v>0</v>
      </c>
      <c r="I174" s="506">
        <v>0</v>
      </c>
      <c r="J174" s="506">
        <f t="shared" si="4"/>
        <v>1</v>
      </c>
    </row>
    <row r="175" spans="1:10" ht="36.75" thickBot="1">
      <c r="A175" s="482" t="s">
        <v>23</v>
      </c>
      <c r="B175" s="483" t="s">
        <v>1170</v>
      </c>
      <c r="C175" s="483" t="s">
        <v>1148</v>
      </c>
      <c r="D175" s="483" t="s">
        <v>24</v>
      </c>
      <c r="E175" s="479">
        <v>165001.76091768101</v>
      </c>
      <c r="F175" s="481">
        <v>1.6889391389104381E-2</v>
      </c>
      <c r="G175" s="483" t="s">
        <v>66</v>
      </c>
      <c r="H175" s="483">
        <v>0</v>
      </c>
      <c r="I175" s="506">
        <v>0</v>
      </c>
      <c r="J175" s="506">
        <f t="shared" si="4"/>
        <v>1</v>
      </c>
    </row>
    <row r="176" spans="1:10" ht="36.75" thickBot="1">
      <c r="A176" s="482" t="s">
        <v>23</v>
      </c>
      <c r="B176" s="483" t="s">
        <v>1170</v>
      </c>
      <c r="C176" s="483" t="s">
        <v>1148</v>
      </c>
      <c r="D176" s="483" t="s">
        <v>26</v>
      </c>
      <c r="E176" s="479">
        <v>4812401.09316999</v>
      </c>
      <c r="F176" s="481">
        <v>0.49259186769801444</v>
      </c>
      <c r="G176" s="483" t="s">
        <v>66</v>
      </c>
      <c r="H176" s="483">
        <v>0</v>
      </c>
      <c r="I176" s="506">
        <v>0</v>
      </c>
      <c r="J176" s="506">
        <f t="shared" si="4"/>
        <v>1</v>
      </c>
    </row>
    <row r="177" spans="1:10" ht="16.5" thickTop="1" thickBot="1">
      <c r="A177" s="486" t="s">
        <v>452</v>
      </c>
      <c r="B177" s="487" t="s">
        <v>1170</v>
      </c>
      <c r="C177" s="487" t="s">
        <v>1148</v>
      </c>
      <c r="D177" s="488"/>
      <c r="E177" s="489">
        <v>9769550.4305813126</v>
      </c>
      <c r="F177" s="490">
        <v>0.99999999999999989</v>
      </c>
      <c r="G177" s="488"/>
      <c r="H177" s="488"/>
      <c r="I177" s="488"/>
      <c r="J177" s="488"/>
    </row>
    <row r="178" spans="1:10" ht="37.5" thickTop="1" thickBot="1">
      <c r="A178" s="516" t="s">
        <v>23</v>
      </c>
      <c r="B178" s="517" t="s">
        <v>85</v>
      </c>
      <c r="C178" s="517" t="s">
        <v>1148</v>
      </c>
      <c r="D178" s="517" t="s">
        <v>107</v>
      </c>
      <c r="E178" s="518">
        <v>0</v>
      </c>
      <c r="F178" s="519">
        <v>0</v>
      </c>
      <c r="G178" s="517" t="s">
        <v>66</v>
      </c>
      <c r="H178" s="517">
        <v>0</v>
      </c>
      <c r="I178" s="520">
        <v>0</v>
      </c>
      <c r="J178" s="520">
        <f t="shared" si="4"/>
        <v>1</v>
      </c>
    </row>
    <row r="179" spans="1:10" ht="36.75" thickBot="1">
      <c r="A179" s="521" t="s">
        <v>23</v>
      </c>
      <c r="B179" s="517" t="s">
        <v>1171</v>
      </c>
      <c r="C179" s="522" t="s">
        <v>1148</v>
      </c>
      <c r="D179" s="522" t="s">
        <v>95</v>
      </c>
      <c r="E179" s="523">
        <v>31463504.692094199</v>
      </c>
      <c r="F179" s="524">
        <v>0.60758213806776118</v>
      </c>
      <c r="G179" s="522" t="s">
        <v>66</v>
      </c>
      <c r="H179" s="522">
        <v>0</v>
      </c>
      <c r="I179" s="525">
        <v>0</v>
      </c>
      <c r="J179" s="525">
        <f t="shared" si="4"/>
        <v>1</v>
      </c>
    </row>
    <row r="180" spans="1:10" ht="36.75" thickBot="1">
      <c r="A180" s="521" t="s">
        <v>23</v>
      </c>
      <c r="B180" s="517" t="s">
        <v>1171</v>
      </c>
      <c r="C180" s="522" t="s">
        <v>1148</v>
      </c>
      <c r="D180" s="522" t="s">
        <v>24</v>
      </c>
      <c r="E180" s="523">
        <v>1071504.8439784499</v>
      </c>
      <c r="F180" s="524">
        <v>2.0691503073971679E-2</v>
      </c>
      <c r="G180" s="522" t="s">
        <v>66</v>
      </c>
      <c r="H180" s="522">
        <v>0</v>
      </c>
      <c r="I180" s="525">
        <v>0</v>
      </c>
      <c r="J180" s="525">
        <f t="shared" si="4"/>
        <v>1</v>
      </c>
    </row>
    <row r="181" spans="1:10" ht="36.75" thickBot="1">
      <c r="A181" s="521" t="s">
        <v>23</v>
      </c>
      <c r="B181" s="517" t="s">
        <v>1171</v>
      </c>
      <c r="C181" s="522" t="s">
        <v>1148</v>
      </c>
      <c r="D181" s="522" t="s">
        <v>26</v>
      </c>
      <c r="E181" s="523">
        <v>19249766.086454298</v>
      </c>
      <c r="F181" s="524">
        <v>0.37172635885826721</v>
      </c>
      <c r="G181" s="522" t="s">
        <v>66</v>
      </c>
      <c r="H181" s="522">
        <v>0</v>
      </c>
      <c r="I181" s="525">
        <v>0</v>
      </c>
      <c r="J181" s="525">
        <f t="shared" si="4"/>
        <v>1</v>
      </c>
    </row>
    <row r="182" spans="1:10" ht="35.25" thickTop="1" thickBot="1">
      <c r="A182" s="526" t="s">
        <v>452</v>
      </c>
      <c r="B182" s="527" t="s">
        <v>1171</v>
      </c>
      <c r="C182" s="527" t="s">
        <v>1148</v>
      </c>
      <c r="D182" s="528"/>
      <c r="E182" s="529">
        <v>51784775.622526944</v>
      </c>
      <c r="F182" s="530">
        <v>1</v>
      </c>
      <c r="G182" s="528"/>
      <c r="H182" s="528"/>
      <c r="I182" s="528"/>
      <c r="J182" s="528"/>
    </row>
    <row r="183" spans="1:10" ht="57.75" thickTop="1" thickBot="1">
      <c r="A183" s="531" t="s">
        <v>23</v>
      </c>
      <c r="B183" s="517" t="s">
        <v>1171</v>
      </c>
      <c r="C183" s="532" t="s">
        <v>1159</v>
      </c>
      <c r="D183" s="532" t="s">
        <v>27</v>
      </c>
      <c r="E183" s="533">
        <v>351117108.77467299</v>
      </c>
      <c r="F183" s="534">
        <v>0.68473703818659359</v>
      </c>
      <c r="G183" s="532" t="s">
        <v>66</v>
      </c>
      <c r="H183" s="533">
        <v>63136180.683957197</v>
      </c>
      <c r="I183" s="534">
        <v>0.12312610318197313</v>
      </c>
      <c r="J183" s="534">
        <f t="shared" si="4"/>
        <v>0.87687389681802685</v>
      </c>
    </row>
    <row r="184" spans="1:10" ht="57.75" thickTop="1" thickBot="1">
      <c r="A184" s="521" t="s">
        <v>23</v>
      </c>
      <c r="B184" s="517" t="s">
        <v>1171</v>
      </c>
      <c r="C184" s="532" t="s">
        <v>1159</v>
      </c>
      <c r="D184" s="522" t="s">
        <v>846</v>
      </c>
      <c r="E184" s="533">
        <v>7260663.9701870997</v>
      </c>
      <c r="F184" s="534">
        <v>1.4159508089947698E-2</v>
      </c>
      <c r="G184" s="522" t="s">
        <v>66</v>
      </c>
      <c r="H184" s="533">
        <v>1922226.3511215199</v>
      </c>
      <c r="I184" s="534">
        <v>3.7486626128373814E-3</v>
      </c>
      <c r="J184" s="534">
        <f t="shared" si="4"/>
        <v>0.99625133738716265</v>
      </c>
    </row>
    <row r="185" spans="1:10" ht="57.75" thickTop="1" thickBot="1">
      <c r="A185" s="521" t="s">
        <v>23</v>
      </c>
      <c r="B185" s="517" t="s">
        <v>1171</v>
      </c>
      <c r="C185" s="532" t="s">
        <v>1159</v>
      </c>
      <c r="D185" s="522" t="s">
        <v>95</v>
      </c>
      <c r="E185" s="533">
        <v>989959.24181041995</v>
      </c>
      <c r="F185" s="534">
        <v>1.9305859561452642E-3</v>
      </c>
      <c r="G185" s="522" t="s">
        <v>66</v>
      </c>
      <c r="H185" s="533">
        <v>399440.74267978902</v>
      </c>
      <c r="I185" s="534">
        <v>7.7897619978733752E-4</v>
      </c>
      <c r="J185" s="534">
        <f t="shared" si="4"/>
        <v>0.99922102380021272</v>
      </c>
    </row>
    <row r="186" spans="1:10" ht="57.75" thickTop="1" thickBot="1">
      <c r="A186" s="521" t="s">
        <v>23</v>
      </c>
      <c r="B186" s="517" t="s">
        <v>1171</v>
      </c>
      <c r="C186" s="532" t="s">
        <v>1159</v>
      </c>
      <c r="D186" s="522" t="s">
        <v>24</v>
      </c>
      <c r="E186" s="533">
        <v>107322117.77991401</v>
      </c>
      <c r="F186" s="534">
        <v>0.20929606454378483</v>
      </c>
      <c r="G186" s="522" t="s">
        <v>66</v>
      </c>
      <c r="H186" s="533">
        <v>44863997.120729998</v>
      </c>
      <c r="I186" s="534">
        <v>8.7492291722460314E-2</v>
      </c>
      <c r="J186" s="534">
        <f t="shared" si="4"/>
        <v>0.91250770827753969</v>
      </c>
    </row>
    <row r="187" spans="1:10" ht="57.75" thickTop="1" thickBot="1">
      <c r="A187" s="535" t="s">
        <v>23</v>
      </c>
      <c r="B187" s="517" t="s">
        <v>1171</v>
      </c>
      <c r="C187" s="532" t="s">
        <v>1159</v>
      </c>
      <c r="D187" s="536" t="s">
        <v>1146</v>
      </c>
      <c r="E187" s="533">
        <v>46086718.745826103</v>
      </c>
      <c r="F187" s="534">
        <v>8.9876803223528479E-2</v>
      </c>
      <c r="G187" s="536" t="s">
        <v>66</v>
      </c>
      <c r="H187" s="533">
        <v>417145.20350287203</v>
      </c>
      <c r="I187" s="534">
        <v>8.1350285702997348E-4</v>
      </c>
      <c r="J187" s="534">
        <f t="shared" si="4"/>
        <v>0.99918649714297003</v>
      </c>
    </row>
    <row r="188" spans="1:10" ht="57.75" thickTop="1" thickBot="1">
      <c r="A188" s="526" t="s">
        <v>452</v>
      </c>
      <c r="B188" s="527" t="s">
        <v>1171</v>
      </c>
      <c r="C188" s="527" t="s">
        <v>1159</v>
      </c>
      <c r="D188" s="528"/>
      <c r="E188" s="529">
        <v>512776568.5124107</v>
      </c>
      <c r="F188" s="537">
        <v>1</v>
      </c>
      <c r="G188" s="528"/>
      <c r="H188" s="529">
        <v>110738990.10199139</v>
      </c>
      <c r="I188" s="528"/>
      <c r="J188" s="528"/>
    </row>
    <row r="189" spans="1:10" ht="15.75" thickTop="1"/>
  </sheetData>
  <sheetProtection password="CD9A" sheet="1" objects="1" scenarios="1"/>
  <autoFilter ref="A2:I188"/>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B125"/>
  <sheetViews>
    <sheetView workbookViewId="0">
      <selection activeCell="F8" sqref="F8"/>
    </sheetView>
  </sheetViews>
  <sheetFormatPr defaultRowHeight="15"/>
  <cols>
    <col min="3" max="3" width="40.85546875" bestFit="1" customWidth="1"/>
    <col min="4" max="4" width="14.42578125" customWidth="1"/>
    <col min="5" max="5" width="12.7109375" customWidth="1"/>
    <col min="6" max="6" width="12.140625" customWidth="1"/>
    <col min="7" max="7" width="11" customWidth="1"/>
    <col min="12" max="12" width="24.28515625" customWidth="1"/>
    <col min="13" max="13" width="38" bestFit="1" customWidth="1"/>
    <col min="14" max="14" width="33.28515625" customWidth="1"/>
    <col min="16" max="16" width="17.28515625" customWidth="1"/>
    <col min="17" max="17" width="14" customWidth="1"/>
    <col min="18" max="18" width="12.85546875" customWidth="1"/>
    <col min="19" max="19" width="12" customWidth="1"/>
    <col min="20" max="20" width="11.28515625" customWidth="1"/>
    <col min="21" max="21" width="10.85546875" customWidth="1"/>
    <col min="22" max="22" width="11.28515625" customWidth="1"/>
    <col min="23" max="23" width="10.42578125" customWidth="1"/>
    <col min="24" max="24" width="25.140625" customWidth="1"/>
    <col min="25" max="25" width="18.28515625" customWidth="1"/>
    <col min="26" max="26" width="29.28515625" customWidth="1"/>
    <col min="27" max="27" width="29.140625" customWidth="1"/>
    <col min="28" max="28" width="17" customWidth="1"/>
  </cols>
  <sheetData>
    <row r="3" spans="2:12">
      <c r="B3" t="s">
        <v>555</v>
      </c>
      <c r="J3" s="165" t="s">
        <v>556</v>
      </c>
      <c r="K3" s="2"/>
      <c r="L3" s="2"/>
    </row>
    <row r="4" spans="2:12">
      <c r="J4" s="166"/>
      <c r="K4" s="2"/>
      <c r="L4" s="2"/>
    </row>
    <row r="5" spans="2:12">
      <c r="J5" s="166" t="s">
        <v>557</v>
      </c>
      <c r="K5" s="2"/>
      <c r="L5" s="2"/>
    </row>
    <row r="6" spans="2:12">
      <c r="J6" s="166" t="s">
        <v>558</v>
      </c>
      <c r="K6" s="2"/>
      <c r="L6" s="2"/>
    </row>
    <row r="7" spans="2:12" ht="15.75" thickBot="1">
      <c r="F7" s="64" t="s">
        <v>559</v>
      </c>
      <c r="G7" s="65" t="s">
        <v>470</v>
      </c>
      <c r="J7" s="166" t="s">
        <v>560</v>
      </c>
      <c r="K7" s="2"/>
      <c r="L7" s="2"/>
    </row>
    <row r="8" spans="2:12" ht="15.75" thickTop="1">
      <c r="F8" s="66" t="s">
        <v>561</v>
      </c>
      <c r="G8" s="69">
        <f>42.1/(45.8+42.1)</f>
        <v>0.47895335608646189</v>
      </c>
      <c r="J8" s="166" t="s">
        <v>562</v>
      </c>
      <c r="K8" s="2"/>
      <c r="L8" s="2"/>
    </row>
    <row r="9" spans="2:12">
      <c r="F9" s="89" t="s">
        <v>563</v>
      </c>
      <c r="G9" s="164">
        <f>45.8/(45.8+42.1)</f>
        <v>0.52104664391353805</v>
      </c>
      <c r="J9" s="166" t="s">
        <v>564</v>
      </c>
      <c r="K9" s="2"/>
      <c r="L9" s="2"/>
    </row>
    <row r="10" spans="2:12">
      <c r="J10" s="166" t="s">
        <v>565</v>
      </c>
      <c r="K10" s="2"/>
      <c r="L10" s="2"/>
    </row>
    <row r="11" spans="2:12">
      <c r="J11" s="166" t="s">
        <v>566</v>
      </c>
      <c r="K11" s="2"/>
      <c r="L11" s="2"/>
    </row>
    <row r="12" spans="2:12">
      <c r="J12" s="166" t="s">
        <v>567</v>
      </c>
      <c r="K12" s="2"/>
      <c r="L12" s="2"/>
    </row>
    <row r="13" spans="2:12">
      <c r="J13" s="166" t="s">
        <v>568</v>
      </c>
      <c r="K13" s="2"/>
      <c r="L13" s="2"/>
    </row>
    <row r="14" spans="2:12">
      <c r="J14" s="166" t="s">
        <v>569</v>
      </c>
      <c r="K14" s="2"/>
      <c r="L14" s="2"/>
    </row>
    <row r="15" spans="2:12">
      <c r="J15" s="166" t="s">
        <v>570</v>
      </c>
      <c r="K15" s="2"/>
      <c r="L15" s="2"/>
    </row>
    <row r="16" spans="2:12">
      <c r="B16" t="s">
        <v>571</v>
      </c>
      <c r="J16" s="166" t="s">
        <v>572</v>
      </c>
      <c r="K16" s="2"/>
      <c r="L16" s="2"/>
    </row>
    <row r="26" spans="7:8">
      <c r="G26" s="158" t="s">
        <v>32</v>
      </c>
      <c r="H26" s="161">
        <v>0.39</v>
      </c>
    </row>
    <row r="27" spans="7:8">
      <c r="G27" s="159" t="s">
        <v>573</v>
      </c>
      <c r="H27" s="162">
        <v>0.27</v>
      </c>
    </row>
    <row r="28" spans="7:8">
      <c r="G28" s="160" t="s">
        <v>574</v>
      </c>
      <c r="H28" s="163">
        <v>0.13</v>
      </c>
    </row>
    <row r="41" spans="11:11">
      <c r="K41" s="2" t="s">
        <v>575</v>
      </c>
    </row>
    <row r="42" spans="11:11">
      <c r="K42" s="2">
        <v>12</v>
      </c>
    </row>
    <row r="52" spans="3:19">
      <c r="C52" t="s">
        <v>576</v>
      </c>
      <c r="G52" t="s">
        <v>577</v>
      </c>
    </row>
    <row r="54" spans="3:19">
      <c r="L54" s="179" t="s">
        <v>578</v>
      </c>
      <c r="M54" s="180"/>
      <c r="N54" s="180"/>
      <c r="O54" s="180"/>
      <c r="P54" s="180"/>
      <c r="Q54" s="180"/>
    </row>
    <row r="55" spans="3:19" ht="15.75" thickBot="1">
      <c r="L55" s="181" t="s">
        <v>579</v>
      </c>
      <c r="M55" s="182"/>
      <c r="N55" s="182"/>
      <c r="O55" s="182"/>
      <c r="P55" s="182"/>
      <c r="Q55" s="182"/>
    </row>
    <row r="56" spans="3:19" ht="16.5" thickTop="1" thickBot="1">
      <c r="L56" s="199" t="s">
        <v>580</v>
      </c>
      <c r="M56" s="200" t="s">
        <v>581</v>
      </c>
      <c r="N56" s="200" t="s">
        <v>582</v>
      </c>
      <c r="O56" s="200" t="s">
        <v>583</v>
      </c>
      <c r="P56" s="201" t="s">
        <v>584</v>
      </c>
      <c r="Q56" s="202" t="s">
        <v>452</v>
      </c>
    </row>
    <row r="57" spans="3:19" ht="16.5" thickTop="1" thickBot="1">
      <c r="L57" s="183" t="s">
        <v>585</v>
      </c>
      <c r="M57" s="184">
        <v>0.5</v>
      </c>
      <c r="N57" s="184">
        <v>0.5</v>
      </c>
      <c r="O57" s="184">
        <v>6.4</v>
      </c>
      <c r="P57" s="185">
        <v>2.4</v>
      </c>
      <c r="Q57" s="186">
        <v>3.9</v>
      </c>
    </row>
    <row r="58" spans="3:19" ht="15.75" thickBot="1">
      <c r="L58" s="187" t="s">
        <v>586</v>
      </c>
      <c r="M58" s="188">
        <v>0.7</v>
      </c>
      <c r="N58" s="188">
        <v>4.5</v>
      </c>
      <c r="O58" s="188">
        <v>3.8</v>
      </c>
      <c r="P58" s="189">
        <v>10.1</v>
      </c>
      <c r="Q58" s="190">
        <v>6.7</v>
      </c>
      <c r="R58" s="2"/>
      <c r="S58" s="2" t="s">
        <v>587</v>
      </c>
    </row>
    <row r="59" spans="3:19" ht="15.75" thickBot="1">
      <c r="L59" s="183" t="s">
        <v>588</v>
      </c>
      <c r="M59" s="184">
        <v>0</v>
      </c>
      <c r="N59" s="184">
        <v>0</v>
      </c>
      <c r="O59" s="184">
        <v>0.1</v>
      </c>
      <c r="P59" s="185">
        <v>2.8</v>
      </c>
      <c r="Q59" s="186">
        <v>1.4</v>
      </c>
      <c r="R59" s="2" t="s">
        <v>133</v>
      </c>
      <c r="S59" s="377">
        <f>SUM(Q59:Q61)/100</f>
        <v>0.87199999999999989</v>
      </c>
    </row>
    <row r="60" spans="3:19" ht="15.75" thickBot="1">
      <c r="L60" s="187" t="s">
        <v>589</v>
      </c>
      <c r="M60" s="188">
        <v>0</v>
      </c>
      <c r="N60" s="188">
        <v>0</v>
      </c>
      <c r="O60" s="188">
        <v>13.8</v>
      </c>
      <c r="P60" s="189">
        <v>13</v>
      </c>
      <c r="Q60" s="190">
        <v>12.2</v>
      </c>
      <c r="R60" s="2" t="s">
        <v>590</v>
      </c>
      <c r="S60" s="377">
        <f>SUM(Q57:Q58,Q62:Q63)/100</f>
        <v>0.128</v>
      </c>
    </row>
    <row r="61" spans="3:19" ht="15.75" thickBot="1">
      <c r="L61" s="183" t="s">
        <v>591</v>
      </c>
      <c r="M61" s="184">
        <v>98.2</v>
      </c>
      <c r="N61" s="184">
        <v>94.3</v>
      </c>
      <c r="O61" s="184">
        <v>73.8</v>
      </c>
      <c r="P61" s="185">
        <v>69.2</v>
      </c>
      <c r="Q61" s="186">
        <v>73.599999999999994</v>
      </c>
    </row>
    <row r="62" spans="3:19" ht="15.75" thickBot="1">
      <c r="L62" s="187" t="s">
        <v>592</v>
      </c>
      <c r="M62" s="188">
        <v>0.6</v>
      </c>
      <c r="N62" s="188">
        <v>0.8</v>
      </c>
      <c r="O62" s="188">
        <v>1.6</v>
      </c>
      <c r="P62" s="189">
        <v>1.4</v>
      </c>
      <c r="Q62" s="190">
        <v>1.4</v>
      </c>
    </row>
    <row r="63" spans="3:19" ht="15.75" thickBot="1">
      <c r="L63" s="191" t="s">
        <v>593</v>
      </c>
      <c r="M63" s="192">
        <v>0</v>
      </c>
      <c r="N63" s="192">
        <v>0</v>
      </c>
      <c r="O63" s="192">
        <v>0.5</v>
      </c>
      <c r="P63" s="193">
        <v>1.2</v>
      </c>
      <c r="Q63" s="194">
        <v>0.8</v>
      </c>
    </row>
    <row r="64" spans="3:19" ht="16.5" thickTop="1" thickBot="1">
      <c r="L64" s="195" t="s">
        <v>594</v>
      </c>
      <c r="M64" s="196">
        <v>100</v>
      </c>
      <c r="N64" s="196">
        <v>100</v>
      </c>
      <c r="O64" s="196">
        <v>100</v>
      </c>
      <c r="P64" s="197">
        <v>100</v>
      </c>
      <c r="Q64" s="198">
        <v>100</v>
      </c>
    </row>
    <row r="65" spans="3:28" ht="15.75" thickTop="1"/>
    <row r="66" spans="3:28" ht="15.75" thickBot="1"/>
    <row r="67" spans="3:28">
      <c r="M67" s="30" t="s">
        <v>595</v>
      </c>
      <c r="N67" s="11"/>
      <c r="O67" s="11"/>
      <c r="P67" s="11"/>
      <c r="Q67" s="11"/>
      <c r="R67" s="11"/>
      <c r="S67" s="12"/>
    </row>
    <row r="68" spans="3:28" ht="15.75" thickBot="1">
      <c r="M68" s="203"/>
      <c r="N68" s="64" t="s">
        <v>596</v>
      </c>
      <c r="O68" s="64" t="s">
        <v>597</v>
      </c>
      <c r="P68" s="64" t="s">
        <v>598</v>
      </c>
      <c r="Q68" s="64" t="s">
        <v>519</v>
      </c>
      <c r="R68" s="64" t="s">
        <v>599</v>
      </c>
      <c r="S68" s="204" t="s">
        <v>600</v>
      </c>
    </row>
    <row r="69" spans="3:28" ht="15.75" thickTop="1">
      <c r="M69" s="205" t="s">
        <v>601</v>
      </c>
      <c r="N69" s="66">
        <v>700.79999999999984</v>
      </c>
      <c r="O69" s="66">
        <v>7.9908675799086755</v>
      </c>
      <c r="P69" s="66">
        <v>347.12477737069372</v>
      </c>
      <c r="Q69" s="66">
        <v>8760</v>
      </c>
      <c r="R69" s="66">
        <v>7.9999999999999988E-2</v>
      </c>
      <c r="S69" s="206">
        <v>70000</v>
      </c>
    </row>
    <row r="70" spans="3:28">
      <c r="M70" s="207" t="s">
        <v>602</v>
      </c>
      <c r="N70" s="68">
        <v>165.29833333333337</v>
      </c>
      <c r="O70" s="68">
        <v>16.949152542372882</v>
      </c>
      <c r="P70" s="68">
        <v>264.11650954798165</v>
      </c>
      <c r="Q70" s="68">
        <v>4130</v>
      </c>
      <c r="R70" s="68">
        <v>4.0023809523809531E-2</v>
      </c>
      <c r="S70" s="208">
        <v>70000</v>
      </c>
    </row>
    <row r="71" spans="3:28">
      <c r="M71" s="205" t="s">
        <v>603</v>
      </c>
      <c r="N71" s="66">
        <v>700.79999999999984</v>
      </c>
      <c r="O71" s="66">
        <v>7.9908675799086755</v>
      </c>
      <c r="P71" s="66">
        <v>177.05668543801548</v>
      </c>
      <c r="Q71" s="66">
        <v>8760</v>
      </c>
      <c r="R71" s="66">
        <v>7.9999999999999988E-2</v>
      </c>
      <c r="S71" s="206">
        <v>70000</v>
      </c>
    </row>
    <row r="72" spans="3:28" ht="15.75" thickBot="1">
      <c r="M72" s="209" t="s">
        <v>604</v>
      </c>
      <c r="N72" s="210">
        <v>165.29833333333337</v>
      </c>
      <c r="O72" s="210">
        <v>16.949152542372882</v>
      </c>
      <c r="P72" s="210">
        <v>187.92905487067929</v>
      </c>
      <c r="Q72" s="210">
        <v>4130</v>
      </c>
      <c r="R72" s="210">
        <v>4.0023809523809531E-2</v>
      </c>
      <c r="S72" s="211">
        <v>70000</v>
      </c>
    </row>
    <row r="74" spans="3:28" ht="15.75" thickBot="1"/>
    <row r="75" spans="3:28" ht="15.75" thickBot="1">
      <c r="M75" s="212" t="s">
        <v>595</v>
      </c>
      <c r="N75" s="213" t="s">
        <v>605</v>
      </c>
      <c r="O75" s="213" t="s">
        <v>606</v>
      </c>
      <c r="P75" s="213" t="s">
        <v>519</v>
      </c>
      <c r="Q75" s="213" t="s">
        <v>607</v>
      </c>
      <c r="R75" s="213" t="s">
        <v>600</v>
      </c>
      <c r="S75" s="213" t="s">
        <v>608</v>
      </c>
      <c r="T75" s="213" t="s">
        <v>609</v>
      </c>
      <c r="U75" s="213" t="s">
        <v>610</v>
      </c>
      <c r="V75" s="213" t="s">
        <v>611</v>
      </c>
      <c r="W75" s="213" t="s">
        <v>612</v>
      </c>
      <c r="X75" s="213" t="s">
        <v>613</v>
      </c>
      <c r="Y75" s="213" t="s">
        <v>614</v>
      </c>
      <c r="Z75" s="213" t="s">
        <v>615</v>
      </c>
      <c r="AA75" s="213" t="s">
        <v>616</v>
      </c>
      <c r="AB75" s="214" t="s">
        <v>617</v>
      </c>
    </row>
    <row r="76" spans="3:28" ht="15.75" thickTop="1">
      <c r="M76" s="205" t="s">
        <v>618</v>
      </c>
      <c r="N76" s="66">
        <v>1219.5131489361702</v>
      </c>
      <c r="O76" s="66">
        <v>604.05712089769088</v>
      </c>
      <c r="P76" s="66">
        <v>8760</v>
      </c>
      <c r="Q76" s="66">
        <v>139.21382978723403</v>
      </c>
      <c r="R76" s="66">
        <v>70000</v>
      </c>
      <c r="S76" s="66"/>
      <c r="T76" s="66">
        <v>-18.399999999999999</v>
      </c>
      <c r="U76" s="66">
        <v>1.1415525114155252</v>
      </c>
      <c r="V76" s="66"/>
      <c r="W76" s="66"/>
      <c r="X76" s="66">
        <v>4.3390597171336722</v>
      </c>
      <c r="Y76" s="66">
        <v>0.4953264517275881</v>
      </c>
      <c r="Z76" s="66">
        <v>1</v>
      </c>
      <c r="AA76" s="66">
        <v>1</v>
      </c>
      <c r="AB76" s="206">
        <v>0.35</v>
      </c>
    </row>
    <row r="77" spans="3:28">
      <c r="M77" s="207" t="s">
        <v>619</v>
      </c>
      <c r="N77" s="68">
        <v>394.2</v>
      </c>
      <c r="O77" s="68">
        <v>535.52723890512891</v>
      </c>
      <c r="P77" s="68">
        <v>8760</v>
      </c>
      <c r="Q77" s="68">
        <v>45</v>
      </c>
      <c r="R77" s="68">
        <v>100000</v>
      </c>
      <c r="S77" s="68"/>
      <c r="T77" s="68">
        <v>-18.399999999999999</v>
      </c>
      <c r="U77" s="68">
        <v>1.1415525114155252</v>
      </c>
      <c r="V77" s="68"/>
      <c r="W77" s="68"/>
      <c r="X77" s="68">
        <v>11.900605309002865</v>
      </c>
      <c r="Y77" s="68">
        <v>1.3585165877857153</v>
      </c>
      <c r="Z77" s="68">
        <v>1</v>
      </c>
      <c r="AA77" s="68">
        <v>1</v>
      </c>
      <c r="AB77" s="208">
        <v>0.35</v>
      </c>
    </row>
    <row r="78" spans="3:28">
      <c r="M78" s="205" t="s">
        <v>620</v>
      </c>
      <c r="N78" s="66">
        <v>1831.4597234042553</v>
      </c>
      <c r="O78" s="66">
        <v>704.05712089769088</v>
      </c>
      <c r="P78" s="66">
        <v>8760</v>
      </c>
      <c r="Q78" s="66">
        <v>139.21382978723403</v>
      </c>
      <c r="R78" s="66">
        <v>70000</v>
      </c>
      <c r="S78" s="66"/>
      <c r="T78" s="66">
        <v>-18.399999999999999</v>
      </c>
      <c r="U78" s="66">
        <v>1.1415525114155252</v>
      </c>
      <c r="V78" s="66"/>
      <c r="W78" s="66"/>
      <c r="X78" s="66">
        <v>4.3390597171336722</v>
      </c>
      <c r="Y78" s="66">
        <v>0.38442402631110739</v>
      </c>
      <c r="Z78" s="66">
        <v>0.5</v>
      </c>
      <c r="AA78" s="66">
        <v>0.5</v>
      </c>
      <c r="AB78" s="206">
        <v>0.5</v>
      </c>
    </row>
    <row r="79" spans="3:28" ht="15.75" thickBot="1">
      <c r="C79" t="s">
        <v>621</v>
      </c>
      <c r="M79" s="207" t="s">
        <v>622</v>
      </c>
      <c r="N79" s="68">
        <v>593.49</v>
      </c>
      <c r="O79" s="68">
        <v>635.52723890512891</v>
      </c>
      <c r="P79" s="68">
        <v>8760</v>
      </c>
      <c r="Q79" s="68">
        <v>45</v>
      </c>
      <c r="R79" s="68">
        <v>100000</v>
      </c>
      <c r="S79" s="68"/>
      <c r="T79" s="68">
        <v>-18.399999999999999</v>
      </c>
      <c r="U79" s="68">
        <v>1.1415525114155252</v>
      </c>
      <c r="V79" s="68"/>
      <c r="W79" s="68"/>
      <c r="X79" s="68">
        <v>11.900605309002865</v>
      </c>
      <c r="Y79" s="68">
        <v>1.0708305765979695</v>
      </c>
      <c r="Z79" s="68">
        <v>0.5</v>
      </c>
      <c r="AA79" s="68">
        <v>0.5</v>
      </c>
      <c r="AB79" s="208">
        <v>0.5</v>
      </c>
    </row>
    <row r="80" spans="3:28" ht="15.75" thickBot="1">
      <c r="C80" s="18" t="s">
        <v>623</v>
      </c>
      <c r="D80" s="19"/>
      <c r="E80" s="19"/>
      <c r="F80" s="19"/>
      <c r="G80" s="19" t="s">
        <v>624</v>
      </c>
      <c r="H80" s="20"/>
      <c r="I80" s="21"/>
      <c r="M80" s="215" t="s">
        <v>625</v>
      </c>
      <c r="N80" s="216">
        <v>963.6</v>
      </c>
      <c r="O80" s="216">
        <v>425</v>
      </c>
      <c r="P80" s="216">
        <v>8760</v>
      </c>
      <c r="Q80" s="216">
        <v>110</v>
      </c>
      <c r="R80" s="216">
        <v>70000</v>
      </c>
      <c r="S80" s="216"/>
      <c r="T80" s="216">
        <v>-20</v>
      </c>
      <c r="U80" s="216">
        <v>2.5</v>
      </c>
      <c r="V80" s="216"/>
      <c r="W80" s="216"/>
      <c r="X80" s="216">
        <v>3.8636363636363638</v>
      </c>
      <c r="Y80" s="216">
        <v>0.44105437941054376</v>
      </c>
      <c r="Z80" s="216"/>
      <c r="AA80" s="216"/>
      <c r="AB80" s="217">
        <v>0.5</v>
      </c>
    </row>
    <row r="81" spans="3:9" ht="15.75" thickBot="1">
      <c r="C81" s="224" t="s">
        <v>626</v>
      </c>
      <c r="D81" s="225" t="s">
        <v>627</v>
      </c>
      <c r="E81" s="226" t="s">
        <v>628</v>
      </c>
      <c r="F81" s="23"/>
      <c r="G81" s="23"/>
      <c r="H81" s="24"/>
      <c r="I81" s="25"/>
    </row>
    <row r="82" spans="3:9" ht="15.75" thickTop="1">
      <c r="C82" s="227" t="s">
        <v>29</v>
      </c>
      <c r="D82" s="228">
        <v>0.6</v>
      </c>
      <c r="E82" s="229">
        <v>0.7</v>
      </c>
      <c r="F82" s="23"/>
      <c r="G82" s="23"/>
      <c r="H82" s="24"/>
      <c r="I82" s="25"/>
    </row>
    <row r="83" spans="3:9">
      <c r="C83" s="230" t="s">
        <v>32</v>
      </c>
      <c r="D83" s="231">
        <v>0.2</v>
      </c>
      <c r="E83" s="232">
        <v>0.1</v>
      </c>
      <c r="F83" s="23"/>
      <c r="G83" s="23"/>
      <c r="H83" s="24"/>
      <c r="I83" s="25"/>
    </row>
    <row r="84" spans="3:9">
      <c r="C84" s="227" t="s">
        <v>465</v>
      </c>
      <c r="D84" s="228">
        <v>0.2</v>
      </c>
      <c r="E84" s="229">
        <v>0.2</v>
      </c>
      <c r="F84" s="23"/>
      <c r="G84" s="23"/>
      <c r="H84" s="24"/>
      <c r="I84" s="25"/>
    </row>
    <row r="85" spans="3:9">
      <c r="C85" s="233" t="s">
        <v>107</v>
      </c>
      <c r="D85" s="234">
        <v>0</v>
      </c>
      <c r="E85" s="235">
        <v>0</v>
      </c>
      <c r="F85" s="23"/>
      <c r="G85" s="23"/>
      <c r="H85" s="24"/>
      <c r="I85" s="25"/>
    </row>
    <row r="86" spans="3:9">
      <c r="C86" s="22"/>
      <c r="D86" s="23"/>
      <c r="E86" s="23"/>
      <c r="F86" s="23"/>
      <c r="G86" s="23"/>
      <c r="H86" s="24"/>
      <c r="I86" s="25"/>
    </row>
    <row r="87" spans="3:9">
      <c r="C87" s="22" t="s">
        <v>120</v>
      </c>
      <c r="D87" s="26">
        <f>SUM(D82:D83)</f>
        <v>0.8</v>
      </c>
      <c r="E87" s="26">
        <f>SUM(E82:E83)</f>
        <v>0.79999999999999993</v>
      </c>
      <c r="F87" s="23"/>
      <c r="G87" s="23"/>
      <c r="H87" s="24"/>
      <c r="I87" s="25"/>
    </row>
    <row r="88" spans="3:9">
      <c r="C88" s="22"/>
      <c r="D88" s="23"/>
      <c r="E88" s="23"/>
      <c r="F88" s="23"/>
      <c r="G88" s="23"/>
      <c r="H88" s="24"/>
      <c r="I88" s="25"/>
    </row>
    <row r="89" spans="3:9">
      <c r="C89" s="218" t="s">
        <v>629</v>
      </c>
      <c r="D89" s="219" t="s">
        <v>630</v>
      </c>
      <c r="E89" s="219" t="s">
        <v>631</v>
      </c>
      <c r="F89" s="24"/>
      <c r="G89" s="24"/>
      <c r="H89" s="24"/>
      <c r="I89" s="25"/>
    </row>
    <row r="90" spans="3:9">
      <c r="C90" s="220" t="s">
        <v>632</v>
      </c>
      <c r="D90" s="221">
        <v>0.44600000000000001</v>
      </c>
      <c r="E90" s="221">
        <v>0.91500000000000004</v>
      </c>
      <c r="F90" s="24"/>
      <c r="G90" s="24"/>
      <c r="H90" s="24"/>
      <c r="I90" s="25"/>
    </row>
    <row r="91" spans="3:9">
      <c r="C91" s="222" t="s">
        <v>633</v>
      </c>
      <c r="D91" s="223">
        <v>0.22900000000000001</v>
      </c>
      <c r="E91" s="223">
        <v>0.157</v>
      </c>
      <c r="F91" s="24"/>
      <c r="G91" s="24"/>
      <c r="H91" s="24"/>
      <c r="I91" s="25"/>
    </row>
    <row r="92" spans="3:9">
      <c r="C92" s="220" t="s">
        <v>634</v>
      </c>
      <c r="D92" s="221">
        <v>0.14599999999999999</v>
      </c>
      <c r="E92" s="221">
        <v>5.5E-2</v>
      </c>
      <c r="F92" s="24"/>
      <c r="G92" s="24"/>
      <c r="H92" s="24"/>
      <c r="I92" s="25"/>
    </row>
    <row r="93" spans="3:9">
      <c r="C93" s="222" t="s">
        <v>635</v>
      </c>
      <c r="D93" s="223">
        <v>0.107</v>
      </c>
      <c r="E93" s="223">
        <v>6.5000000000000002E-2</v>
      </c>
      <c r="F93" s="24"/>
      <c r="G93" s="24"/>
      <c r="H93" s="24"/>
      <c r="I93" s="25"/>
    </row>
    <row r="94" spans="3:9">
      <c r="C94" s="220" t="s">
        <v>636</v>
      </c>
      <c r="D94" s="221">
        <v>6.6000000000000003E-2</v>
      </c>
      <c r="E94" s="221">
        <v>0.379</v>
      </c>
      <c r="F94" s="24"/>
      <c r="G94" s="24"/>
      <c r="H94" s="24"/>
      <c r="I94" s="25"/>
    </row>
    <row r="95" spans="3:9">
      <c r="C95" s="222" t="s">
        <v>637</v>
      </c>
      <c r="D95" s="223">
        <v>4.0000000000000001E-3</v>
      </c>
      <c r="E95" s="223">
        <v>0.25</v>
      </c>
      <c r="F95" s="24"/>
      <c r="G95" s="24"/>
      <c r="H95" s="24"/>
      <c r="I95" s="25"/>
    </row>
    <row r="96" spans="3:9">
      <c r="C96" s="220" t="s">
        <v>638</v>
      </c>
      <c r="D96" s="221">
        <v>1E-3</v>
      </c>
      <c r="E96" s="221">
        <v>1</v>
      </c>
      <c r="F96" s="24"/>
      <c r="G96" s="24"/>
      <c r="H96" s="24"/>
      <c r="I96" s="25"/>
    </row>
    <row r="97" spans="3:9" ht="15.75" thickBot="1">
      <c r="C97" s="27"/>
      <c r="D97" s="28"/>
      <c r="E97" s="28"/>
      <c r="F97" s="28"/>
      <c r="G97" s="28"/>
      <c r="H97" s="28"/>
      <c r="I97" s="29"/>
    </row>
    <row r="110" spans="3:9">
      <c r="C110" t="s">
        <v>639</v>
      </c>
    </row>
    <row r="112" spans="3:9" ht="15.75" thickBot="1">
      <c r="C112" s="176" t="s">
        <v>640</v>
      </c>
      <c r="D112" s="176" t="s">
        <v>641</v>
      </c>
      <c r="E112" s="177" t="s">
        <v>642</v>
      </c>
    </row>
    <row r="113" spans="3:9" ht="15.75" thickTop="1">
      <c r="C113" s="167" t="s">
        <v>643</v>
      </c>
      <c r="D113" s="168">
        <v>0.15</v>
      </c>
      <c r="E113" s="169">
        <v>4300</v>
      </c>
    </row>
    <row r="114" spans="3:9">
      <c r="C114" s="170" t="s">
        <v>644</v>
      </c>
      <c r="D114" s="171">
        <v>0.15</v>
      </c>
      <c r="E114" s="172">
        <v>2500</v>
      </c>
    </row>
    <row r="115" spans="3:9">
      <c r="C115" s="167" t="s">
        <v>645</v>
      </c>
      <c r="D115" s="168">
        <v>0.4</v>
      </c>
      <c r="E115" s="169">
        <v>4300</v>
      </c>
    </row>
    <row r="116" spans="3:9">
      <c r="C116" s="170" t="s">
        <v>646</v>
      </c>
      <c r="D116" s="171">
        <v>0.2</v>
      </c>
      <c r="E116" s="172">
        <v>3000</v>
      </c>
    </row>
    <row r="117" spans="3:9">
      <c r="C117" s="167" t="s">
        <v>647</v>
      </c>
      <c r="D117" s="168">
        <v>0.1</v>
      </c>
      <c r="E117" s="169">
        <v>7000</v>
      </c>
    </row>
    <row r="118" spans="3:9">
      <c r="C118" s="170"/>
      <c r="D118" s="170"/>
      <c r="E118" s="172"/>
    </row>
    <row r="119" spans="3:9">
      <c r="C119" s="173" t="s">
        <v>452</v>
      </c>
      <c r="D119" s="174">
        <v>0.99999999999999989</v>
      </c>
      <c r="E119" s="175">
        <v>4040</v>
      </c>
    </row>
    <row r="123" spans="3:9">
      <c r="C123" t="s">
        <v>648</v>
      </c>
      <c r="F123" s="2" t="s">
        <v>649</v>
      </c>
      <c r="G123" s="2"/>
      <c r="H123" s="2"/>
      <c r="I123" s="178">
        <v>0.65</v>
      </c>
    </row>
    <row r="124" spans="3:9">
      <c r="C124" t="s">
        <v>650</v>
      </c>
    </row>
    <row r="125" spans="3:9">
      <c r="C125" s="38" t="s">
        <v>651</v>
      </c>
    </row>
  </sheetData>
  <sheetProtection password="CD9A" sheet="1" objects="1" scenarios="1"/>
  <customSheetViews>
    <customSheetView guid="{A8BE391E-BE5F-48EE-9984-3EE3CF1986D2}" state="hidden">
      <selection activeCell="H29" sqref="H29"/>
      <pageMargins left="0" right="0" top="0" bottom="0" header="0" footer="0"/>
    </customSheetView>
  </customSheetViews>
  <hyperlinks>
    <hyperlink ref="C125"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9"/>
  <sheetViews>
    <sheetView workbookViewId="0"/>
  </sheetViews>
  <sheetFormatPr defaultRowHeight="15"/>
  <cols>
    <col min="1" max="1" width="17.28515625" customWidth="1"/>
    <col min="2" max="2" width="12.85546875" customWidth="1"/>
    <col min="3" max="3" width="11.85546875" customWidth="1"/>
    <col min="5" max="5" width="12.5703125" bestFit="1" customWidth="1"/>
    <col min="8" max="8" width="12.5703125" bestFit="1" customWidth="1"/>
    <col min="10" max="10" width="9.140625" style="384"/>
  </cols>
  <sheetData>
    <row r="1" spans="1:10" s="384" customFormat="1" ht="15.75" thickBot="1">
      <c r="A1" s="384" t="s">
        <v>1389</v>
      </c>
    </row>
    <row r="2" spans="1:10" ht="120.75" thickBot="1">
      <c r="A2" s="538" t="s">
        <v>9</v>
      </c>
      <c r="B2" s="477" t="s">
        <v>11</v>
      </c>
      <c r="C2" s="477" t="s">
        <v>36</v>
      </c>
      <c r="D2" s="477" t="s">
        <v>1160</v>
      </c>
      <c r="E2" s="477" t="s">
        <v>1165</v>
      </c>
      <c r="F2" s="477" t="s">
        <v>1166</v>
      </c>
      <c r="G2" s="477" t="s">
        <v>50</v>
      </c>
      <c r="H2" s="477" t="s">
        <v>1167</v>
      </c>
      <c r="I2" s="477" t="s">
        <v>1168</v>
      </c>
      <c r="J2" s="477" t="s">
        <v>1368</v>
      </c>
    </row>
    <row r="3" spans="1:10" ht="24.75" thickBot="1">
      <c r="A3" s="482" t="s">
        <v>30</v>
      </c>
      <c r="B3" s="471" t="s">
        <v>85</v>
      </c>
      <c r="C3" s="471" t="s">
        <v>1172</v>
      </c>
      <c r="D3" s="471" t="s">
        <v>27</v>
      </c>
      <c r="E3" s="479">
        <v>13145811.7941659</v>
      </c>
      <c r="F3" s="481">
        <v>5.1757584804418277E-2</v>
      </c>
      <c r="G3" s="471" t="s">
        <v>66</v>
      </c>
      <c r="H3" s="479">
        <v>12771889.7081242</v>
      </c>
      <c r="I3" s="481">
        <v>5.0285381765033728E-2</v>
      </c>
      <c r="J3" s="481">
        <f>1-I3</f>
        <v>0.94971461823496628</v>
      </c>
    </row>
    <row r="4" spans="1:10" ht="24.75" thickBot="1">
      <c r="A4" s="482" t="s">
        <v>30</v>
      </c>
      <c r="B4" s="471" t="s">
        <v>85</v>
      </c>
      <c r="C4" s="471" t="s">
        <v>1172</v>
      </c>
      <c r="D4" s="483" t="s">
        <v>846</v>
      </c>
      <c r="E4" s="479">
        <v>4370820.3610053305</v>
      </c>
      <c r="F4" s="481">
        <v>1.7208758883951854E-2</v>
      </c>
      <c r="G4" s="483" t="s">
        <v>66</v>
      </c>
      <c r="H4" s="479">
        <v>4370820.3610053305</v>
      </c>
      <c r="I4" s="481">
        <v>1.7208758883951854E-2</v>
      </c>
      <c r="J4" s="481">
        <f t="shared" ref="J4:J27" si="0">1-I4</f>
        <v>0.9827912411160481</v>
      </c>
    </row>
    <row r="5" spans="1:10" ht="24.75" thickBot="1">
      <c r="A5" s="482" t="s">
        <v>30</v>
      </c>
      <c r="B5" s="471" t="s">
        <v>85</v>
      </c>
      <c r="C5" s="471" t="s">
        <v>1172</v>
      </c>
      <c r="D5" s="483" t="s">
        <v>95</v>
      </c>
      <c r="E5" s="479">
        <v>2706286.9046003199</v>
      </c>
      <c r="F5" s="481">
        <v>1.0655171104161176E-2</v>
      </c>
      <c r="G5" s="483" t="s">
        <v>66</v>
      </c>
      <c r="H5" s="479">
        <v>2064695.74929001</v>
      </c>
      <c r="I5" s="481">
        <v>8.1291035511877347E-3</v>
      </c>
      <c r="J5" s="481">
        <f t="shared" si="0"/>
        <v>0.99187089644881221</v>
      </c>
    </row>
    <row r="6" spans="1:10" ht="24.75" thickBot="1">
      <c r="A6" s="482" t="s">
        <v>30</v>
      </c>
      <c r="B6" s="471" t="s">
        <v>85</v>
      </c>
      <c r="C6" s="471" t="s">
        <v>1172</v>
      </c>
      <c r="D6" s="483" t="s">
        <v>1144</v>
      </c>
      <c r="E6" s="479">
        <v>172020353.46662301</v>
      </c>
      <c r="F6" s="481">
        <v>0.67727715656069643</v>
      </c>
      <c r="G6" s="483" t="s">
        <v>66</v>
      </c>
      <c r="H6" s="479">
        <v>170044902.50992399</v>
      </c>
      <c r="I6" s="481">
        <v>0.66949942689141162</v>
      </c>
      <c r="J6" s="481">
        <f t="shared" si="0"/>
        <v>0.33050057310858838</v>
      </c>
    </row>
    <row r="7" spans="1:10" ht="24.75" thickBot="1">
      <c r="A7" s="482" t="s">
        <v>30</v>
      </c>
      <c r="B7" s="471" t="s">
        <v>85</v>
      </c>
      <c r="C7" s="471" t="s">
        <v>1172</v>
      </c>
      <c r="D7" s="483" t="s">
        <v>1145</v>
      </c>
      <c r="E7" s="479">
        <v>34959528.645964302</v>
      </c>
      <c r="F7" s="481">
        <v>0.13764237591009837</v>
      </c>
      <c r="G7" s="483"/>
      <c r="H7" s="479">
        <v>34632486.694254503</v>
      </c>
      <c r="I7" s="481">
        <v>0.13635474895976163</v>
      </c>
      <c r="J7" s="481">
        <f t="shared" si="0"/>
        <v>0.86364525104023837</v>
      </c>
    </row>
    <row r="8" spans="1:10" ht="24.75" thickBot="1">
      <c r="A8" s="482" t="s">
        <v>30</v>
      </c>
      <c r="B8" s="471" t="s">
        <v>85</v>
      </c>
      <c r="C8" s="471" t="s">
        <v>1172</v>
      </c>
      <c r="D8" s="483" t="s">
        <v>26</v>
      </c>
      <c r="E8" s="479">
        <v>10602968.3644694</v>
      </c>
      <c r="F8" s="481">
        <v>4.1745922039302205E-2</v>
      </c>
      <c r="G8" s="483" t="s">
        <v>66</v>
      </c>
      <c r="H8" s="479">
        <v>10348004.2765898</v>
      </c>
      <c r="I8" s="481">
        <v>4.0742079476580741E-2</v>
      </c>
      <c r="J8" s="481">
        <f t="shared" si="0"/>
        <v>0.95925792052341929</v>
      </c>
    </row>
    <row r="9" spans="1:10" ht="34.5" thickBot="1">
      <c r="A9" s="539" t="s">
        <v>30</v>
      </c>
      <c r="B9" s="471" t="s">
        <v>85</v>
      </c>
      <c r="C9" s="471" t="s">
        <v>1172</v>
      </c>
      <c r="D9" s="485" t="s">
        <v>1146</v>
      </c>
      <c r="E9" s="479">
        <v>16182353.051220149</v>
      </c>
      <c r="F9" s="481">
        <v>6.3713030697371761E-2</v>
      </c>
      <c r="G9" s="485" t="s">
        <v>66</v>
      </c>
      <c r="H9" s="479">
        <v>16089866.676185552</v>
      </c>
      <c r="I9" s="481">
        <v>6.3348894083060062E-2</v>
      </c>
      <c r="J9" s="481">
        <f t="shared" si="0"/>
        <v>0.9366511059169399</v>
      </c>
    </row>
    <row r="10" spans="1:10" ht="16.5" thickTop="1" thickBot="1">
      <c r="A10" s="486" t="s">
        <v>452</v>
      </c>
      <c r="B10" s="487" t="s">
        <v>85</v>
      </c>
      <c r="C10" s="487" t="s">
        <v>1172</v>
      </c>
      <c r="D10" s="488"/>
      <c r="E10" s="489">
        <v>253988122.5880484</v>
      </c>
      <c r="F10" s="490">
        <v>1</v>
      </c>
      <c r="G10" s="488"/>
      <c r="H10" s="489">
        <v>250322665.97537339</v>
      </c>
      <c r="I10" s="488"/>
      <c r="J10" s="488"/>
    </row>
    <row r="11" spans="1:10" ht="25.5" thickTop="1" thickBot="1">
      <c r="A11" s="478" t="s">
        <v>30</v>
      </c>
      <c r="B11" s="471" t="s">
        <v>85</v>
      </c>
      <c r="C11" s="471" t="s">
        <v>1043</v>
      </c>
      <c r="D11" s="471" t="s">
        <v>27</v>
      </c>
      <c r="E11" s="479">
        <v>36017173.977256998</v>
      </c>
      <c r="F11" s="481">
        <v>0.7023056986264814</v>
      </c>
      <c r="G11" s="471" t="s">
        <v>66</v>
      </c>
      <c r="H11" s="479">
        <v>20870775.419016201</v>
      </c>
      <c r="I11" s="481">
        <v>0.40696320374230732</v>
      </c>
      <c r="J11" s="481">
        <f t="shared" si="0"/>
        <v>0.59303679625769268</v>
      </c>
    </row>
    <row r="12" spans="1:10" ht="24.75" thickBot="1">
      <c r="A12" s="478" t="s">
        <v>30</v>
      </c>
      <c r="B12" s="471" t="s">
        <v>85</v>
      </c>
      <c r="C12" s="471" t="s">
        <v>1043</v>
      </c>
      <c r="D12" s="483" t="s">
        <v>846</v>
      </c>
      <c r="E12" s="479">
        <v>757413.79769612395</v>
      </c>
      <c r="F12" s="481">
        <v>1.4768955128911646E-2</v>
      </c>
      <c r="G12" s="483" t="s">
        <v>66</v>
      </c>
      <c r="H12" s="479">
        <v>757413.79769612395</v>
      </c>
      <c r="I12" s="481">
        <v>1.4768955128911646E-2</v>
      </c>
      <c r="J12" s="481">
        <f t="shared" si="0"/>
        <v>0.98523104487108837</v>
      </c>
    </row>
    <row r="13" spans="1:10" ht="24.75" thickBot="1">
      <c r="A13" s="478" t="s">
        <v>30</v>
      </c>
      <c r="B13" s="471" t="s">
        <v>85</v>
      </c>
      <c r="C13" s="471" t="s">
        <v>1043</v>
      </c>
      <c r="D13" s="483" t="s">
        <v>95</v>
      </c>
      <c r="E13" s="479">
        <v>1225950.8873945901</v>
      </c>
      <c r="F13" s="481">
        <v>2.3905048602566238E-2</v>
      </c>
      <c r="G13" s="483" t="s">
        <v>66</v>
      </c>
      <c r="H13" s="479">
        <v>0</v>
      </c>
      <c r="I13" s="481">
        <v>0</v>
      </c>
      <c r="J13" s="481">
        <f t="shared" si="0"/>
        <v>1</v>
      </c>
    </row>
    <row r="14" spans="1:10" ht="24.75" thickBot="1">
      <c r="A14" s="478" t="s">
        <v>30</v>
      </c>
      <c r="B14" s="471" t="s">
        <v>85</v>
      </c>
      <c r="C14" s="471" t="s">
        <v>1043</v>
      </c>
      <c r="D14" s="483" t="s">
        <v>1144</v>
      </c>
      <c r="E14" s="479">
        <v>2180326.0326545499</v>
      </c>
      <c r="F14" s="481">
        <v>4.2514590360805862E-2</v>
      </c>
      <c r="G14" s="483" t="s">
        <v>66</v>
      </c>
      <c r="H14" s="479">
        <v>683872.97243046598</v>
      </c>
      <c r="I14" s="481">
        <v>1.3334968645175329E-2</v>
      </c>
      <c r="J14" s="481">
        <f t="shared" si="0"/>
        <v>0.98666503135482464</v>
      </c>
    </row>
    <row r="15" spans="1:10" ht="24.75" thickBot="1">
      <c r="A15" s="478" t="s">
        <v>30</v>
      </c>
      <c r="B15" s="471" t="s">
        <v>85</v>
      </c>
      <c r="C15" s="471" t="s">
        <v>1043</v>
      </c>
      <c r="D15" s="483" t="s">
        <v>1145</v>
      </c>
      <c r="E15" s="479">
        <v>1479739.67959488</v>
      </c>
      <c r="F15" s="481">
        <v>2.885372434048902E-2</v>
      </c>
      <c r="G15" s="483"/>
      <c r="H15" s="479">
        <v>1479739.67959488</v>
      </c>
      <c r="I15" s="481">
        <v>2.885372434048902E-2</v>
      </c>
      <c r="J15" s="481">
        <f t="shared" si="0"/>
        <v>0.97114627565951095</v>
      </c>
    </row>
    <row r="16" spans="1:10" ht="24.75" thickBot="1">
      <c r="A16" s="478" t="s">
        <v>30</v>
      </c>
      <c r="B16" s="471" t="s">
        <v>85</v>
      </c>
      <c r="C16" s="471" t="s">
        <v>1043</v>
      </c>
      <c r="D16" s="483" t="s">
        <v>26</v>
      </c>
      <c r="E16" s="479">
        <v>109412.730385038</v>
      </c>
      <c r="F16" s="481">
        <v>2.1334595573827149E-3</v>
      </c>
      <c r="G16" s="483" t="s">
        <v>66</v>
      </c>
      <c r="H16" s="479">
        <v>0</v>
      </c>
      <c r="I16" s="481">
        <v>0</v>
      </c>
      <c r="J16" s="481">
        <f t="shared" si="0"/>
        <v>1</v>
      </c>
    </row>
    <row r="17" spans="1:11" s="384" customFormat="1" ht="24.75" thickBot="1">
      <c r="A17" s="478" t="s">
        <v>30</v>
      </c>
      <c r="B17" s="471" t="s">
        <v>85</v>
      </c>
      <c r="C17" s="471" t="s">
        <v>1043</v>
      </c>
      <c r="D17" s="731" t="s">
        <v>24</v>
      </c>
      <c r="E17" s="479">
        <v>9514165.9049190395</v>
      </c>
      <c r="F17" s="481">
        <v>0.18551852338336328</v>
      </c>
      <c r="G17" s="483" t="s">
        <v>66</v>
      </c>
      <c r="H17" s="479">
        <v>9453571.0882172007</v>
      </c>
      <c r="I17" s="481">
        <v>0.18433697357315884</v>
      </c>
      <c r="J17" s="481">
        <f t="shared" si="0"/>
        <v>0.81566302642684119</v>
      </c>
      <c r="K17" s="384" t="s">
        <v>1291</v>
      </c>
    </row>
    <row r="18" spans="1:11" ht="24.75" thickBot="1">
      <c r="A18" s="478" t="s">
        <v>30</v>
      </c>
      <c r="B18" s="471" t="s">
        <v>85</v>
      </c>
      <c r="C18" s="471" t="s">
        <v>1043</v>
      </c>
      <c r="D18" s="485" t="s">
        <v>107</v>
      </c>
      <c r="E18" s="479">
        <v>0</v>
      </c>
      <c r="F18" s="481">
        <v>0</v>
      </c>
      <c r="G18" s="485" t="s">
        <v>66</v>
      </c>
      <c r="H18" s="479">
        <v>0</v>
      </c>
      <c r="I18" s="481">
        <v>0</v>
      </c>
      <c r="J18" s="481">
        <f t="shared" si="0"/>
        <v>1</v>
      </c>
    </row>
    <row r="19" spans="1:11" ht="16.5" thickTop="1" thickBot="1">
      <c r="A19" s="486" t="s">
        <v>452</v>
      </c>
      <c r="B19" s="487" t="s">
        <v>85</v>
      </c>
      <c r="C19" s="487" t="s">
        <v>1043</v>
      </c>
      <c r="D19" s="488"/>
      <c r="E19" s="489">
        <v>51284183.009901211</v>
      </c>
      <c r="F19" s="490">
        <v>1</v>
      </c>
      <c r="G19" s="488"/>
      <c r="H19" s="489">
        <v>33245372.956954874</v>
      </c>
      <c r="I19" s="488"/>
      <c r="J19" s="488"/>
    </row>
    <row r="20" spans="1:11" ht="69" thickTop="1" thickBot="1">
      <c r="A20" s="478" t="s">
        <v>30</v>
      </c>
      <c r="B20" s="471" t="s">
        <v>85</v>
      </c>
      <c r="C20" s="471" t="s">
        <v>1173</v>
      </c>
      <c r="D20" s="471" t="s">
        <v>27</v>
      </c>
      <c r="E20" s="479">
        <v>64499339.946435198</v>
      </c>
      <c r="F20" s="481">
        <v>7.8508223668573393E-2</v>
      </c>
      <c r="G20" s="471" t="s">
        <v>66</v>
      </c>
      <c r="H20" s="479">
        <v>46112516.291137598</v>
      </c>
      <c r="I20" s="481">
        <v>5.612788822198559E-2</v>
      </c>
      <c r="J20" s="481">
        <f t="shared" si="0"/>
        <v>0.94387211177801444</v>
      </c>
    </row>
    <row r="21" spans="1:11" ht="68.25" thickBot="1">
      <c r="A21" s="478" t="s">
        <v>30</v>
      </c>
      <c r="B21" s="471" t="s">
        <v>85</v>
      </c>
      <c r="C21" s="471" t="s">
        <v>1173</v>
      </c>
      <c r="D21" s="483" t="s">
        <v>846</v>
      </c>
      <c r="E21" s="479">
        <v>76406673.265470594</v>
      </c>
      <c r="F21" s="481">
        <v>9.300176094017075E-2</v>
      </c>
      <c r="G21" s="483" t="s">
        <v>66</v>
      </c>
      <c r="H21" s="479">
        <v>67295437.605695501</v>
      </c>
      <c r="I21" s="481">
        <v>8.1911617573296819E-2</v>
      </c>
      <c r="J21" s="481">
        <f t="shared" si="0"/>
        <v>0.91808838242670321</v>
      </c>
    </row>
    <row r="22" spans="1:11" ht="68.25" thickBot="1">
      <c r="A22" s="478" t="s">
        <v>30</v>
      </c>
      <c r="B22" s="471" t="s">
        <v>85</v>
      </c>
      <c r="C22" s="471" t="s">
        <v>1173</v>
      </c>
      <c r="D22" s="483" t="s">
        <v>95</v>
      </c>
      <c r="E22" s="479">
        <v>15364577.9625213</v>
      </c>
      <c r="F22" s="481">
        <v>1.8701675462983146E-2</v>
      </c>
      <c r="G22" s="483" t="s">
        <v>66</v>
      </c>
      <c r="H22" s="479">
        <v>11477537.8983305</v>
      </c>
      <c r="I22" s="481">
        <v>1.3970392770452844E-2</v>
      </c>
      <c r="J22" s="481">
        <f t="shared" si="0"/>
        <v>0.98602960722954713</v>
      </c>
    </row>
    <row r="23" spans="1:11" ht="68.25" thickBot="1">
      <c r="A23" s="478" t="s">
        <v>30</v>
      </c>
      <c r="B23" s="471" t="s">
        <v>85</v>
      </c>
      <c r="C23" s="471" t="s">
        <v>1173</v>
      </c>
      <c r="D23" s="483" t="s">
        <v>1144</v>
      </c>
      <c r="E23" s="479">
        <v>303729132.77987701</v>
      </c>
      <c r="F23" s="481">
        <v>0.36969734435650309</v>
      </c>
      <c r="G23" s="483" t="s">
        <v>66</v>
      </c>
      <c r="H23" s="479">
        <v>209159761.195061</v>
      </c>
      <c r="I23" s="481">
        <v>0.25458805203284568</v>
      </c>
      <c r="J23" s="481">
        <f t="shared" si="0"/>
        <v>0.74541194796715438</v>
      </c>
    </row>
    <row r="24" spans="1:11" ht="68.25" thickBot="1">
      <c r="A24" s="478" t="s">
        <v>30</v>
      </c>
      <c r="B24" s="471" t="s">
        <v>85</v>
      </c>
      <c r="C24" s="471" t="s">
        <v>1173</v>
      </c>
      <c r="D24" s="483" t="s">
        <v>1145</v>
      </c>
      <c r="E24" s="479">
        <v>69265431.823616594</v>
      </c>
      <c r="F24" s="481">
        <v>8.4309483145483866E-2</v>
      </c>
      <c r="G24" s="483" t="s">
        <v>66</v>
      </c>
      <c r="H24" s="479">
        <v>64626494.591876701</v>
      </c>
      <c r="I24" s="481">
        <v>7.8662995567837943E-2</v>
      </c>
      <c r="J24" s="481">
        <f t="shared" si="0"/>
        <v>0.92133700443216204</v>
      </c>
    </row>
    <row r="25" spans="1:11" ht="68.25" thickBot="1">
      <c r="A25" s="478" t="s">
        <v>30</v>
      </c>
      <c r="B25" s="471" t="s">
        <v>85</v>
      </c>
      <c r="C25" s="471" t="s">
        <v>1173</v>
      </c>
      <c r="D25" s="483" t="s">
        <v>26</v>
      </c>
      <c r="E25" s="479">
        <v>64752160.436213903</v>
      </c>
      <c r="F25" s="481">
        <v>7.8815955307006094E-2</v>
      </c>
      <c r="G25" s="483" t="s">
        <v>66</v>
      </c>
      <c r="H25" s="479">
        <v>51201734.627699099</v>
      </c>
      <c r="I25" s="481">
        <v>6.2322455357041326E-2</v>
      </c>
      <c r="J25" s="481">
        <f t="shared" si="0"/>
        <v>0.93767754464295872</v>
      </c>
    </row>
    <row r="26" spans="1:11" s="384" customFormat="1" ht="68.25" thickBot="1">
      <c r="A26" s="478" t="s">
        <v>30</v>
      </c>
      <c r="B26" s="471" t="s">
        <v>85</v>
      </c>
      <c r="C26" s="471" t="s">
        <v>1173</v>
      </c>
      <c r="D26" s="731" t="s">
        <v>24</v>
      </c>
      <c r="E26" s="479">
        <v>214730449.97977701</v>
      </c>
      <c r="F26" s="481">
        <v>0.26136866221368937</v>
      </c>
      <c r="G26" s="483" t="s">
        <v>66</v>
      </c>
      <c r="H26" s="479">
        <v>203494177.22012299</v>
      </c>
      <c r="I26" s="481">
        <v>0.24769193597511691</v>
      </c>
      <c r="J26" s="481">
        <f t="shared" si="0"/>
        <v>0.75230806402488315</v>
      </c>
      <c r="K26" s="384" t="s">
        <v>1291</v>
      </c>
    </row>
    <row r="27" spans="1:11" ht="68.25" thickBot="1">
      <c r="A27" s="478" t="s">
        <v>30</v>
      </c>
      <c r="B27" s="471" t="s">
        <v>85</v>
      </c>
      <c r="C27" s="471" t="s">
        <v>1173</v>
      </c>
      <c r="D27" s="485" t="s">
        <v>107</v>
      </c>
      <c r="E27" s="479">
        <v>535176.44313730905</v>
      </c>
      <c r="F27" s="481">
        <v>6.5141367237041877E-4</v>
      </c>
      <c r="G27" s="485" t="s">
        <v>66</v>
      </c>
      <c r="H27" s="479">
        <v>535176.44313730905</v>
      </c>
      <c r="I27" s="481">
        <v>6.5141367237041877E-4</v>
      </c>
      <c r="J27" s="481">
        <f t="shared" si="0"/>
        <v>0.99934858632762957</v>
      </c>
    </row>
    <row r="28" spans="1:11" ht="69" thickTop="1" thickBot="1">
      <c r="A28" s="486" t="s">
        <v>452</v>
      </c>
      <c r="B28" s="487" t="s">
        <v>85</v>
      </c>
      <c r="C28" s="487" t="s">
        <v>1173</v>
      </c>
      <c r="D28" s="488"/>
      <c r="E28" s="489">
        <v>821561575.7493453</v>
      </c>
      <c r="F28" s="490">
        <v>1</v>
      </c>
      <c r="G28" s="488"/>
      <c r="H28" s="489">
        <v>659620096.91224122</v>
      </c>
      <c r="I28" s="490"/>
      <c r="J28" s="490"/>
    </row>
    <row r="29" spans="1:11" ht="15.75" thickTop="1"/>
  </sheetData>
  <sheetProtection password="CD9A" sheet="1" objects="1" scenarios="1"/>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heetViews>
  <sheetFormatPr defaultRowHeight="15"/>
  <cols>
    <col min="1" max="1" width="39.140625" bestFit="1" customWidth="1"/>
    <col min="2" max="2" width="38.42578125" bestFit="1" customWidth="1"/>
    <col min="3" max="3" width="58.7109375" bestFit="1" customWidth="1"/>
    <col min="4" max="4" width="24.140625" style="384" bestFit="1" customWidth="1"/>
    <col min="5" max="5" width="20.85546875" customWidth="1"/>
    <col min="6" max="6" width="46.7109375" customWidth="1"/>
    <col min="9" max="9" width="25.7109375" customWidth="1"/>
    <col min="10" max="10" width="18.28515625" customWidth="1"/>
  </cols>
  <sheetData>
    <row r="1" spans="1:11">
      <c r="A1" t="s">
        <v>893</v>
      </c>
      <c r="I1" s="384" t="s">
        <v>898</v>
      </c>
    </row>
    <row r="2" spans="1:11">
      <c r="I2" s="38" t="s">
        <v>881</v>
      </c>
    </row>
    <row r="3" spans="1:11">
      <c r="A3" s="1" t="s">
        <v>9</v>
      </c>
      <c r="B3" s="1" t="s">
        <v>291</v>
      </c>
      <c r="C3" s="1" t="s">
        <v>36</v>
      </c>
      <c r="D3" s="1" t="s">
        <v>894</v>
      </c>
      <c r="E3" s="1" t="s">
        <v>866</v>
      </c>
      <c r="F3" s="1" t="s">
        <v>171</v>
      </c>
      <c r="I3" s="384">
        <v>2010</v>
      </c>
    </row>
    <row r="4" spans="1:11">
      <c r="A4" t="s">
        <v>30</v>
      </c>
      <c r="B4" t="s">
        <v>108</v>
      </c>
      <c r="C4" t="s">
        <v>868</v>
      </c>
      <c r="D4" s="384" t="s">
        <v>867</v>
      </c>
      <c r="E4" s="8">
        <v>1</v>
      </c>
      <c r="F4" s="384" t="s">
        <v>895</v>
      </c>
      <c r="I4" t="s">
        <v>337</v>
      </c>
      <c r="J4" s="33">
        <v>0.97</v>
      </c>
      <c r="K4" s="33"/>
    </row>
    <row r="5" spans="1:11">
      <c r="A5" t="s">
        <v>30</v>
      </c>
      <c r="B5" t="s">
        <v>108</v>
      </c>
      <c r="C5" t="s">
        <v>869</v>
      </c>
      <c r="D5" s="384" t="s">
        <v>110</v>
      </c>
      <c r="E5" s="8">
        <v>1</v>
      </c>
      <c r="F5" s="384" t="s">
        <v>895</v>
      </c>
      <c r="I5" t="s">
        <v>448</v>
      </c>
      <c r="J5" s="33">
        <v>0.92</v>
      </c>
      <c r="K5" s="33"/>
    </row>
    <row r="6" spans="1:11">
      <c r="A6" t="s">
        <v>30</v>
      </c>
      <c r="B6" t="s">
        <v>108</v>
      </c>
      <c r="C6" t="s">
        <v>872</v>
      </c>
      <c r="D6" s="384" t="s">
        <v>110</v>
      </c>
      <c r="E6" s="8">
        <v>1</v>
      </c>
      <c r="F6" s="384" t="s">
        <v>895</v>
      </c>
      <c r="I6" t="s">
        <v>311</v>
      </c>
      <c r="J6" s="33">
        <v>0.88</v>
      </c>
      <c r="K6" s="33"/>
    </row>
    <row r="7" spans="1:11">
      <c r="A7" t="s">
        <v>30</v>
      </c>
      <c r="B7" t="s">
        <v>115</v>
      </c>
      <c r="C7" t="s">
        <v>116</v>
      </c>
      <c r="D7" s="384" t="s">
        <v>110</v>
      </c>
      <c r="E7" s="8">
        <v>1</v>
      </c>
      <c r="F7" s="384" t="s">
        <v>895</v>
      </c>
      <c r="I7" t="s">
        <v>897</v>
      </c>
      <c r="J7" s="33">
        <v>0.99</v>
      </c>
      <c r="K7" s="33"/>
    </row>
    <row r="8" spans="1:11">
      <c r="A8" t="s">
        <v>30</v>
      </c>
      <c r="B8" t="s">
        <v>115</v>
      </c>
      <c r="C8" t="s">
        <v>118</v>
      </c>
      <c r="D8" s="384" t="s">
        <v>867</v>
      </c>
      <c r="E8" s="8">
        <v>1</v>
      </c>
      <c r="F8" s="384" t="s">
        <v>895</v>
      </c>
      <c r="I8" t="s">
        <v>861</v>
      </c>
      <c r="J8" s="33">
        <v>0.73</v>
      </c>
      <c r="K8" s="33"/>
    </row>
    <row r="9" spans="1:11">
      <c r="I9" t="s">
        <v>181</v>
      </c>
      <c r="J9" s="33">
        <v>0.86</v>
      </c>
      <c r="K9" s="33"/>
    </row>
    <row r="10" spans="1:11">
      <c r="I10" t="s">
        <v>107</v>
      </c>
      <c r="J10" s="33">
        <v>0.9</v>
      </c>
      <c r="K10" s="33"/>
    </row>
    <row r="12" spans="1:11">
      <c r="I12" s="1" t="s">
        <v>899</v>
      </c>
    </row>
    <row r="13" spans="1:11">
      <c r="I13" s="379" t="s">
        <v>900</v>
      </c>
      <c r="J13" s="379" t="s">
        <v>896</v>
      </c>
    </row>
    <row r="14" spans="1:11">
      <c r="I14" s="384" t="s">
        <v>187</v>
      </c>
      <c r="J14" s="33">
        <v>0.83</v>
      </c>
    </row>
    <row r="15" spans="1:11">
      <c r="I15" t="s">
        <v>901</v>
      </c>
      <c r="J15" s="33">
        <v>0.95</v>
      </c>
    </row>
    <row r="16" spans="1:11">
      <c r="I16" t="s">
        <v>902</v>
      </c>
      <c r="J16" s="33">
        <v>0.6</v>
      </c>
    </row>
    <row r="17" spans="9:10">
      <c r="I17" t="s">
        <v>903</v>
      </c>
      <c r="J17" s="33">
        <v>0.92</v>
      </c>
    </row>
    <row r="18" spans="9:10">
      <c r="I18" t="s">
        <v>904</v>
      </c>
      <c r="J18" s="33">
        <v>0.78</v>
      </c>
    </row>
    <row r="19" spans="9:10">
      <c r="I19" t="s">
        <v>186</v>
      </c>
      <c r="J19" s="33">
        <v>0.95</v>
      </c>
    </row>
    <row r="20" spans="9:10">
      <c r="I20" t="s">
        <v>905</v>
      </c>
      <c r="J20" s="33">
        <v>0.52</v>
      </c>
    </row>
    <row r="21" spans="9:10">
      <c r="I21" t="s">
        <v>906</v>
      </c>
      <c r="J21" s="33">
        <v>0.77</v>
      </c>
    </row>
    <row r="22" spans="9:10">
      <c r="I22" t="s">
        <v>907</v>
      </c>
      <c r="J22" s="33">
        <v>0.96</v>
      </c>
    </row>
    <row r="23" spans="9:10">
      <c r="I23" t="s">
        <v>908</v>
      </c>
      <c r="J23" s="33">
        <v>0.95</v>
      </c>
    </row>
    <row r="24" spans="9:10">
      <c r="I24" t="s">
        <v>909</v>
      </c>
      <c r="J24" s="33">
        <v>0.5</v>
      </c>
    </row>
    <row r="25" spans="9:10">
      <c r="I25" t="s">
        <v>910</v>
      </c>
      <c r="J25" s="33">
        <v>0.81</v>
      </c>
    </row>
    <row r="26" spans="9:10">
      <c r="I26" t="s">
        <v>911</v>
      </c>
      <c r="J26" s="33">
        <v>0.85</v>
      </c>
    </row>
    <row r="27" spans="9:10">
      <c r="I27" t="s">
        <v>107</v>
      </c>
      <c r="J27" s="33">
        <v>0.88</v>
      </c>
    </row>
  </sheetData>
  <sheetProtection password="CD9A" sheet="1" objects="1" scenarios="1"/>
  <hyperlinks>
    <hyperlink ref="I2"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8"/>
  <sheetViews>
    <sheetView workbookViewId="0"/>
  </sheetViews>
  <sheetFormatPr defaultRowHeight="15"/>
  <cols>
    <col min="9" max="9" width="22" customWidth="1"/>
    <col min="10" max="10" width="5.7109375" bestFit="1" customWidth="1"/>
    <col min="11" max="11" width="17.5703125" bestFit="1" customWidth="1"/>
  </cols>
  <sheetData>
    <row r="2" spans="2:12">
      <c r="B2" t="s">
        <v>829</v>
      </c>
      <c r="D2" t="s">
        <v>830</v>
      </c>
    </row>
    <row r="3" spans="2:12" ht="15.75" thickBot="1">
      <c r="B3" s="38" t="s">
        <v>831</v>
      </c>
      <c r="I3" s="64" t="s">
        <v>1222</v>
      </c>
      <c r="J3" s="64" t="s">
        <v>470</v>
      </c>
      <c r="K3" s="64" t="s">
        <v>297</v>
      </c>
      <c r="L3" s="65" t="s">
        <v>822</v>
      </c>
    </row>
    <row r="4" spans="2:12" ht="15.75" thickTop="1">
      <c r="I4" s="66" t="s">
        <v>832</v>
      </c>
      <c r="J4" s="142">
        <v>0.8</v>
      </c>
      <c r="K4" s="66"/>
      <c r="L4" s="102">
        <f>$L$8*J4</f>
        <v>10736.3256</v>
      </c>
    </row>
    <row r="5" spans="2:12">
      <c r="I5" s="68" t="s">
        <v>833</v>
      </c>
      <c r="J5" s="145">
        <v>0.08</v>
      </c>
      <c r="K5" s="68" t="s">
        <v>834</v>
      </c>
      <c r="L5" s="236">
        <f t="shared" ref="L5:L7" si="0">$L$8*J5</f>
        <v>1073.63256</v>
      </c>
    </row>
    <row r="6" spans="2:12">
      <c r="G6" s="2">
        <f>AVERAGE(16,18)</f>
        <v>17</v>
      </c>
      <c r="I6" s="66" t="s">
        <v>835</v>
      </c>
      <c r="J6" s="142">
        <v>0.08</v>
      </c>
      <c r="K6" s="66" t="s">
        <v>834</v>
      </c>
      <c r="L6" s="102">
        <f t="shared" si="0"/>
        <v>1073.63256</v>
      </c>
    </row>
    <row r="7" spans="2:12">
      <c r="I7" s="68" t="s">
        <v>680</v>
      </c>
      <c r="J7" s="145">
        <v>0.04</v>
      </c>
      <c r="K7" s="68" t="s">
        <v>834</v>
      </c>
      <c r="L7" s="236">
        <f t="shared" si="0"/>
        <v>536.81628000000001</v>
      </c>
    </row>
    <row r="8" spans="2:12">
      <c r="I8" s="72" t="s">
        <v>452</v>
      </c>
      <c r="J8" s="148">
        <f>SUM(J4:J7)</f>
        <v>1</v>
      </c>
      <c r="K8" s="72"/>
      <c r="L8" s="237">
        <f>SUM('Ref-ComSources'!G35:G37)</f>
        <v>13420.406999999999</v>
      </c>
    </row>
  </sheetData>
  <sheetProtection password="CD9A" sheet="1" objects="1" scenarios="1"/>
  <hyperlinks>
    <hyperlink ref="B3" r:id="rId1"/>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topLeftCell="A2" zoomScale="60" zoomScaleNormal="60" workbookViewId="0">
      <selection activeCell="A2" sqref="A2"/>
    </sheetView>
  </sheetViews>
  <sheetFormatPr defaultRowHeight="15"/>
  <cols>
    <col min="1" max="1" width="16.42578125" customWidth="1"/>
    <col min="2" max="2" width="9.42578125" customWidth="1"/>
    <col min="3" max="3" width="12.85546875" customWidth="1"/>
    <col min="4" max="4" width="16" customWidth="1"/>
    <col min="5" max="5" width="18.28515625" customWidth="1"/>
    <col min="6" max="6" width="28.7109375" customWidth="1"/>
    <col min="7" max="7" width="44.85546875" customWidth="1"/>
    <col min="8" max="8" width="31.28515625" customWidth="1"/>
    <col min="9" max="9" width="48" customWidth="1"/>
    <col min="10" max="10" width="11.5703125" customWidth="1"/>
    <col min="11" max="11" width="53.42578125" customWidth="1"/>
  </cols>
  <sheetData>
    <row r="1" spans="1:10">
      <c r="A1" s="38" t="s">
        <v>242</v>
      </c>
    </row>
    <row r="3" spans="1:10" ht="23.25">
      <c r="A3" s="91" t="s">
        <v>243</v>
      </c>
    </row>
    <row r="5" spans="1:10" ht="45.75" thickBot="1">
      <c r="A5" s="246" t="s">
        <v>244</v>
      </c>
      <c r="B5" s="246" t="s">
        <v>245</v>
      </c>
      <c r="C5" s="246" t="s">
        <v>246</v>
      </c>
      <c r="D5" s="246" t="s">
        <v>247</v>
      </c>
      <c r="E5" s="246" t="s">
        <v>248</v>
      </c>
      <c r="F5" s="246" t="s">
        <v>249</v>
      </c>
      <c r="G5" s="246" t="s">
        <v>250</v>
      </c>
      <c r="H5" s="246" t="s">
        <v>251</v>
      </c>
      <c r="I5" s="246" t="s">
        <v>252</v>
      </c>
      <c r="J5" s="246" t="s">
        <v>253</v>
      </c>
    </row>
    <row r="6" spans="1:10" ht="45.75" thickTop="1">
      <c r="A6" s="240" t="s">
        <v>254</v>
      </c>
      <c r="B6" s="241" t="s">
        <v>89</v>
      </c>
      <c r="C6" s="241">
        <v>2005</v>
      </c>
      <c r="D6" s="241">
        <v>2007</v>
      </c>
      <c r="E6" s="241" t="s">
        <v>255</v>
      </c>
      <c r="F6" s="241">
        <v>2013</v>
      </c>
      <c r="G6" s="241">
        <v>2016</v>
      </c>
      <c r="H6" s="241"/>
      <c r="I6" s="241" t="s">
        <v>256</v>
      </c>
      <c r="J6" s="241"/>
    </row>
    <row r="7" spans="1:10" ht="105">
      <c r="A7" s="242" t="s">
        <v>257</v>
      </c>
      <c r="B7" s="243" t="s">
        <v>89</v>
      </c>
      <c r="C7" s="243">
        <v>2005</v>
      </c>
      <c r="D7" s="243">
        <v>2006</v>
      </c>
      <c r="E7" s="243" t="s">
        <v>255</v>
      </c>
      <c r="F7" s="243">
        <v>2013</v>
      </c>
      <c r="G7" s="243">
        <v>2016</v>
      </c>
      <c r="H7" s="243"/>
      <c r="I7" s="243" t="s">
        <v>258</v>
      </c>
      <c r="J7" s="243" t="s">
        <v>259</v>
      </c>
    </row>
    <row r="8" spans="1:10" ht="90">
      <c r="A8" s="240" t="s">
        <v>260</v>
      </c>
      <c r="B8" s="241" t="s">
        <v>261</v>
      </c>
      <c r="C8" s="241">
        <v>2000</v>
      </c>
      <c r="D8" s="241">
        <v>2005</v>
      </c>
      <c r="E8" s="241" t="s">
        <v>7</v>
      </c>
      <c r="F8" s="241">
        <v>2011</v>
      </c>
      <c r="G8" s="241">
        <v>2014</v>
      </c>
      <c r="H8" s="241"/>
      <c r="I8" s="241" t="s">
        <v>262</v>
      </c>
      <c r="J8" s="241"/>
    </row>
    <row r="9" spans="1:10" ht="90">
      <c r="A9" s="242" t="s">
        <v>263</v>
      </c>
      <c r="B9" s="243" t="s">
        <v>264</v>
      </c>
      <c r="C9" s="243">
        <v>2007</v>
      </c>
      <c r="D9" s="243">
        <v>2012</v>
      </c>
      <c r="E9" s="243" t="s">
        <v>255</v>
      </c>
      <c r="F9" s="243">
        <v>2017</v>
      </c>
      <c r="G9" s="243">
        <v>2020</v>
      </c>
      <c r="H9" s="243" t="s">
        <v>265</v>
      </c>
      <c r="I9" s="243" t="s">
        <v>266</v>
      </c>
      <c r="J9" s="243" t="s">
        <v>148</v>
      </c>
    </row>
    <row r="10" spans="1:10" ht="30">
      <c r="A10" s="240" t="s">
        <v>267</v>
      </c>
      <c r="B10" s="241" t="s">
        <v>268</v>
      </c>
      <c r="C10" s="241" t="s">
        <v>76</v>
      </c>
      <c r="D10" s="241" t="s">
        <v>76</v>
      </c>
      <c r="E10" s="241" t="s">
        <v>98</v>
      </c>
      <c r="F10" s="241">
        <v>2014</v>
      </c>
      <c r="G10" s="241">
        <v>2017</v>
      </c>
      <c r="H10" s="241"/>
      <c r="I10" s="241" t="s">
        <v>269</v>
      </c>
      <c r="J10" s="241"/>
    </row>
    <row r="11" spans="1:10" ht="30">
      <c r="A11" s="242" t="s">
        <v>270</v>
      </c>
      <c r="B11" s="243" t="s">
        <v>89</v>
      </c>
      <c r="C11" s="243">
        <v>2005</v>
      </c>
      <c r="D11" s="243">
        <v>2006</v>
      </c>
      <c r="E11" s="243" t="s">
        <v>255</v>
      </c>
      <c r="F11" s="243">
        <v>2013</v>
      </c>
      <c r="G11" s="243">
        <v>2016</v>
      </c>
      <c r="H11" s="243"/>
      <c r="I11" s="243" t="s">
        <v>271</v>
      </c>
      <c r="J11" s="243"/>
    </row>
    <row r="12" spans="1:10" ht="45">
      <c r="A12" s="240" t="s">
        <v>272</v>
      </c>
      <c r="B12" s="241" t="s">
        <v>268</v>
      </c>
      <c r="C12" s="241">
        <v>2009</v>
      </c>
      <c r="D12" s="241">
        <v>2012</v>
      </c>
      <c r="E12" s="241" t="s">
        <v>7</v>
      </c>
      <c r="F12" s="241">
        <v>2014</v>
      </c>
      <c r="G12" s="241">
        <v>2017</v>
      </c>
      <c r="H12" s="241" t="s">
        <v>273</v>
      </c>
      <c r="I12" s="241" t="str">
        <f>I13</f>
        <v>Requires efficiency which can be met by halogen infrared lamps, average wattage drops from 75W to 55W</v>
      </c>
      <c r="J12" s="241"/>
    </row>
    <row r="13" spans="1:10" ht="48" customHeight="1">
      <c r="A13" s="242" t="s">
        <v>274</v>
      </c>
      <c r="B13" s="243" t="s">
        <v>268</v>
      </c>
      <c r="C13" s="243" t="s">
        <v>76</v>
      </c>
      <c r="D13" s="243" t="s">
        <v>76</v>
      </c>
      <c r="E13" s="243" t="s">
        <v>98</v>
      </c>
      <c r="F13" s="243">
        <v>2011</v>
      </c>
      <c r="G13" s="243">
        <v>2013</v>
      </c>
      <c r="H13" s="243"/>
      <c r="I13" s="243" t="s">
        <v>275</v>
      </c>
      <c r="J13" s="243"/>
    </row>
    <row r="14" spans="1:10" ht="45">
      <c r="A14" s="240" t="s">
        <v>276</v>
      </c>
      <c r="B14" s="241" t="s">
        <v>89</v>
      </c>
      <c r="C14" s="241">
        <v>2009</v>
      </c>
      <c r="D14" s="241">
        <v>2012</v>
      </c>
      <c r="E14" s="241" t="s">
        <v>7</v>
      </c>
      <c r="F14" s="241">
        <v>2014</v>
      </c>
      <c r="G14" s="241">
        <v>2017</v>
      </c>
      <c r="H14" s="241"/>
      <c r="I14" s="241" t="s">
        <v>277</v>
      </c>
      <c r="J14" s="241"/>
    </row>
    <row r="15" spans="1:10" ht="30">
      <c r="A15" s="242" t="s">
        <v>278</v>
      </c>
      <c r="B15" s="243" t="s">
        <v>89</v>
      </c>
      <c r="C15" s="243">
        <v>2005</v>
      </c>
      <c r="D15" s="243">
        <v>2008</v>
      </c>
      <c r="E15" s="243" t="s">
        <v>255</v>
      </c>
      <c r="F15" s="243" t="s">
        <v>76</v>
      </c>
      <c r="G15" s="243" t="s">
        <v>76</v>
      </c>
      <c r="H15" s="243"/>
      <c r="I15" s="243" t="s">
        <v>279</v>
      </c>
      <c r="J15" s="243"/>
    </row>
    <row r="16" spans="1:10" ht="30">
      <c r="A16" s="240" t="s">
        <v>280</v>
      </c>
      <c r="B16" s="241" t="s">
        <v>264</v>
      </c>
      <c r="C16" s="241">
        <v>2007</v>
      </c>
      <c r="D16" s="241">
        <v>2009</v>
      </c>
      <c r="E16" s="241" t="s">
        <v>255</v>
      </c>
      <c r="F16" s="241">
        <v>2011</v>
      </c>
      <c r="G16" s="241">
        <v>2015</v>
      </c>
      <c r="H16" s="241" t="s">
        <v>281</v>
      </c>
      <c r="I16" s="241" t="s">
        <v>282</v>
      </c>
      <c r="J16" s="241"/>
    </row>
    <row r="17" spans="1:11" ht="60">
      <c r="A17" s="242" t="s">
        <v>283</v>
      </c>
      <c r="B17" s="243" t="s">
        <v>76</v>
      </c>
      <c r="C17" s="243">
        <v>2008</v>
      </c>
      <c r="D17" s="243">
        <v>2010</v>
      </c>
      <c r="E17" s="270" t="s">
        <v>284</v>
      </c>
      <c r="F17" s="243"/>
      <c r="G17" s="243"/>
      <c r="H17" s="243" t="s">
        <v>281</v>
      </c>
      <c r="I17" s="243" t="s">
        <v>285</v>
      </c>
      <c r="J17" s="243"/>
    </row>
    <row r="18" spans="1:11" ht="28.5" customHeight="1">
      <c r="A18" s="240" t="s">
        <v>286</v>
      </c>
      <c r="B18" s="241" t="s">
        <v>89</v>
      </c>
      <c r="C18" s="241">
        <v>2005</v>
      </c>
      <c r="D18" s="241">
        <v>2006</v>
      </c>
      <c r="E18" s="241" t="s">
        <v>255</v>
      </c>
      <c r="F18" s="241">
        <v>2013</v>
      </c>
      <c r="G18" s="241">
        <v>2016</v>
      </c>
      <c r="H18" s="241"/>
      <c r="I18" s="241" t="s">
        <v>287</v>
      </c>
      <c r="J18" s="241"/>
    </row>
    <row r="19" spans="1:11" ht="30">
      <c r="A19" s="244" t="s">
        <v>117</v>
      </c>
      <c r="B19" s="245" t="s">
        <v>89</v>
      </c>
      <c r="C19" s="245">
        <v>2005</v>
      </c>
      <c r="D19" s="245">
        <v>2006</v>
      </c>
      <c r="E19" s="245" t="s">
        <v>255</v>
      </c>
      <c r="F19" s="245">
        <v>2013</v>
      </c>
      <c r="G19" s="245">
        <v>2016</v>
      </c>
      <c r="H19" s="89"/>
      <c r="I19" s="89" t="s">
        <v>288</v>
      </c>
      <c r="J19" s="89" t="s">
        <v>289</v>
      </c>
    </row>
    <row r="20" spans="1:11" s="384" customFormat="1" ht="28.5" customHeight="1">
      <c r="A20" s="388" t="s">
        <v>923</v>
      </c>
      <c r="B20" s="241" t="s">
        <v>268</v>
      </c>
      <c r="C20" s="241"/>
      <c r="D20" s="241">
        <v>2012</v>
      </c>
      <c r="E20" s="241" t="s">
        <v>7</v>
      </c>
      <c r="F20" s="241"/>
      <c r="G20" s="241"/>
      <c r="H20" s="241"/>
      <c r="I20" s="241" t="s">
        <v>924</v>
      </c>
      <c r="J20" s="241" t="s">
        <v>925</v>
      </c>
    </row>
    <row r="21" spans="1:11">
      <c r="A21" s="38"/>
    </row>
    <row r="22" spans="1:11" ht="23.25">
      <c r="A22" s="91"/>
      <c r="E22" s="37"/>
    </row>
    <row r="25" spans="1:11" s="354" customFormat="1" ht="23.25">
      <c r="A25" s="91" t="s">
        <v>1072</v>
      </c>
      <c r="C25" s="355"/>
    </row>
    <row r="26" spans="1:11" s="354" customFormat="1" ht="30">
      <c r="A26" s="356" t="s">
        <v>9</v>
      </c>
      <c r="B26" s="356" t="s">
        <v>290</v>
      </c>
      <c r="C26" s="356"/>
      <c r="D26" s="356" t="s">
        <v>291</v>
      </c>
      <c r="E26" s="356" t="s">
        <v>36</v>
      </c>
      <c r="F26" s="356" t="s">
        <v>292</v>
      </c>
      <c r="G26" s="356" t="s">
        <v>293</v>
      </c>
      <c r="H26" s="356" t="s">
        <v>294</v>
      </c>
      <c r="I26" s="356" t="s">
        <v>295</v>
      </c>
      <c r="J26" s="356" t="s">
        <v>296</v>
      </c>
      <c r="K26" s="356" t="s">
        <v>297</v>
      </c>
    </row>
    <row r="27" spans="1:11" s="354" customFormat="1" ht="45">
      <c r="A27" s="357" t="s">
        <v>10</v>
      </c>
      <c r="B27" s="357" t="s">
        <v>298</v>
      </c>
      <c r="C27" s="357" t="s">
        <v>299</v>
      </c>
      <c r="D27" s="357" t="s">
        <v>300</v>
      </c>
      <c r="E27" s="357" t="s">
        <v>301</v>
      </c>
      <c r="F27" s="357" t="s">
        <v>302</v>
      </c>
      <c r="G27" s="357" t="s">
        <v>303</v>
      </c>
      <c r="H27" s="357" t="s">
        <v>304</v>
      </c>
      <c r="I27" s="357"/>
      <c r="J27" s="357" t="s">
        <v>305</v>
      </c>
      <c r="K27" s="357"/>
    </row>
    <row r="28" spans="1:11" s="354" customFormat="1" ht="30">
      <c r="A28" s="357" t="s">
        <v>306</v>
      </c>
      <c r="B28" s="357" t="s">
        <v>298</v>
      </c>
      <c r="C28" s="357" t="s">
        <v>299</v>
      </c>
      <c r="D28" s="357" t="s">
        <v>300</v>
      </c>
      <c r="E28" s="357" t="s">
        <v>301</v>
      </c>
      <c r="F28" s="357" t="s">
        <v>307</v>
      </c>
      <c r="G28" s="357" t="s">
        <v>308</v>
      </c>
      <c r="H28" s="357" t="s">
        <v>309</v>
      </c>
      <c r="I28" s="357"/>
      <c r="J28" s="357" t="s">
        <v>305</v>
      </c>
      <c r="K28" s="357"/>
    </row>
    <row r="29" spans="1:11" s="354" customFormat="1" ht="120">
      <c r="A29" s="357" t="s">
        <v>306</v>
      </c>
      <c r="B29" s="357" t="s">
        <v>298</v>
      </c>
      <c r="C29" s="357" t="s">
        <v>299</v>
      </c>
      <c r="D29" s="357" t="s">
        <v>300</v>
      </c>
      <c r="E29" s="357" t="s">
        <v>310</v>
      </c>
      <c r="F29" s="357" t="s">
        <v>311</v>
      </c>
      <c r="G29" s="357" t="s">
        <v>312</v>
      </c>
      <c r="H29" s="357" t="s">
        <v>313</v>
      </c>
      <c r="I29" s="357"/>
      <c r="J29" s="357" t="s">
        <v>305</v>
      </c>
      <c r="K29" s="357"/>
    </row>
    <row r="30" spans="1:11" s="354" customFormat="1" ht="30">
      <c r="A30" s="357" t="s">
        <v>306</v>
      </c>
      <c r="B30" s="357" t="s">
        <v>298</v>
      </c>
      <c r="C30" s="357" t="s">
        <v>299</v>
      </c>
      <c r="D30" s="357" t="s">
        <v>300</v>
      </c>
      <c r="E30" s="357" t="s">
        <v>310</v>
      </c>
      <c r="F30" s="357" t="s">
        <v>314</v>
      </c>
      <c r="G30" s="357" t="s">
        <v>315</v>
      </c>
      <c r="H30" s="357" t="s">
        <v>316</v>
      </c>
      <c r="I30" s="357"/>
      <c r="J30" s="357" t="s">
        <v>305</v>
      </c>
      <c r="K30" s="357"/>
    </row>
    <row r="31" spans="1:11" s="354" customFormat="1" ht="60">
      <c r="A31" s="357" t="s">
        <v>306</v>
      </c>
      <c r="B31" s="357" t="s">
        <v>298</v>
      </c>
      <c r="C31" s="357" t="s">
        <v>317</v>
      </c>
      <c r="D31" s="357" t="s">
        <v>318</v>
      </c>
      <c r="E31" s="357" t="s">
        <v>319</v>
      </c>
      <c r="F31" s="357" t="s">
        <v>320</v>
      </c>
      <c r="G31" s="357" t="s">
        <v>321</v>
      </c>
      <c r="H31" s="357" t="s">
        <v>322</v>
      </c>
      <c r="I31" s="357"/>
      <c r="J31" s="357" t="s">
        <v>323</v>
      </c>
      <c r="K31" s="357"/>
    </row>
    <row r="32" spans="1:11" s="354" customFormat="1" ht="60">
      <c r="A32" s="357" t="s">
        <v>306</v>
      </c>
      <c r="B32" s="357" t="s">
        <v>298</v>
      </c>
      <c r="C32" s="357" t="s">
        <v>317</v>
      </c>
      <c r="D32" s="357" t="s">
        <v>318</v>
      </c>
      <c r="E32" s="357" t="s">
        <v>319</v>
      </c>
      <c r="F32" s="357" t="s">
        <v>324</v>
      </c>
      <c r="G32" s="357" t="s">
        <v>325</v>
      </c>
      <c r="H32" s="357" t="s">
        <v>326</v>
      </c>
      <c r="I32" s="357"/>
      <c r="J32" s="357" t="s">
        <v>323</v>
      </c>
      <c r="K32" s="357"/>
    </row>
    <row r="33" spans="1:11" s="354" customFormat="1" ht="45">
      <c r="A33" s="357" t="s">
        <v>306</v>
      </c>
      <c r="B33" s="357" t="s">
        <v>298</v>
      </c>
      <c r="C33" s="357" t="s">
        <v>327</v>
      </c>
      <c r="D33" s="357" t="s">
        <v>318</v>
      </c>
      <c r="E33" s="357" t="s">
        <v>328</v>
      </c>
      <c r="F33" s="357" t="s">
        <v>329</v>
      </c>
      <c r="G33" s="357" t="s">
        <v>330</v>
      </c>
      <c r="H33" s="357"/>
      <c r="I33" s="357"/>
      <c r="J33" s="357"/>
      <c r="K33" s="357"/>
    </row>
    <row r="34" spans="1:11" s="354" customFormat="1" ht="75">
      <c r="A34" s="357" t="s">
        <v>306</v>
      </c>
      <c r="B34" s="357" t="s">
        <v>298</v>
      </c>
      <c r="C34" s="357" t="s">
        <v>327</v>
      </c>
      <c r="D34" s="357" t="s">
        <v>318</v>
      </c>
      <c r="E34" s="357" t="s">
        <v>331</v>
      </c>
      <c r="F34" s="357" t="s">
        <v>332</v>
      </c>
      <c r="G34" s="357" t="s">
        <v>333</v>
      </c>
      <c r="H34" s="357" t="s">
        <v>334</v>
      </c>
      <c r="I34" s="357" t="s">
        <v>335</v>
      </c>
      <c r="J34" s="357" t="s">
        <v>336</v>
      </c>
      <c r="K34" s="357"/>
    </row>
    <row r="35" spans="1:11" s="354" customFormat="1" ht="30">
      <c r="A35" s="357" t="s">
        <v>306</v>
      </c>
      <c r="B35" s="357" t="s">
        <v>298</v>
      </c>
      <c r="C35" s="357" t="s">
        <v>317</v>
      </c>
      <c r="D35" s="357" t="s">
        <v>300</v>
      </c>
      <c r="E35" s="357" t="s">
        <v>337</v>
      </c>
      <c r="F35" s="357" t="s">
        <v>338</v>
      </c>
      <c r="G35" s="357" t="s">
        <v>308</v>
      </c>
      <c r="H35" s="357" t="s">
        <v>309</v>
      </c>
      <c r="I35" s="357"/>
      <c r="J35" s="357" t="s">
        <v>305</v>
      </c>
      <c r="K35" s="357"/>
    </row>
    <row r="36" spans="1:11" s="354" customFormat="1" ht="30">
      <c r="A36" s="357" t="s">
        <v>306</v>
      </c>
      <c r="B36" s="357" t="s">
        <v>298</v>
      </c>
      <c r="C36" s="357" t="s">
        <v>317</v>
      </c>
      <c r="D36" s="357" t="s">
        <v>300</v>
      </c>
      <c r="E36" s="357" t="s">
        <v>337</v>
      </c>
      <c r="F36" s="357" t="s">
        <v>339</v>
      </c>
      <c r="G36" s="357" t="s">
        <v>340</v>
      </c>
      <c r="H36" s="357"/>
      <c r="I36" s="357"/>
      <c r="J36" s="357" t="s">
        <v>305</v>
      </c>
      <c r="K36" s="357"/>
    </row>
    <row r="37" spans="1:11" s="354" customFormat="1" ht="120">
      <c r="A37" s="357" t="s">
        <v>306</v>
      </c>
      <c r="B37" s="357" t="s">
        <v>298</v>
      </c>
      <c r="C37" s="357" t="s">
        <v>327</v>
      </c>
      <c r="D37" s="357" t="s">
        <v>318</v>
      </c>
      <c r="E37" s="357" t="s">
        <v>337</v>
      </c>
      <c r="F37" s="357" t="s">
        <v>341</v>
      </c>
      <c r="G37" s="357" t="s">
        <v>342</v>
      </c>
      <c r="H37" s="357" t="s">
        <v>343</v>
      </c>
      <c r="I37" s="357"/>
      <c r="J37" s="357"/>
      <c r="K37" s="357" t="s">
        <v>344</v>
      </c>
    </row>
    <row r="38" spans="1:11" s="354" customFormat="1" ht="66.75" customHeight="1">
      <c r="A38" s="359" t="s">
        <v>306</v>
      </c>
      <c r="B38" s="359" t="s">
        <v>6</v>
      </c>
      <c r="C38" s="359" t="s">
        <v>317</v>
      </c>
      <c r="D38" s="359" t="s">
        <v>345</v>
      </c>
      <c r="E38" s="359" t="s">
        <v>346</v>
      </c>
      <c r="F38" s="359" t="s">
        <v>85</v>
      </c>
      <c r="G38" s="359" t="s">
        <v>347</v>
      </c>
      <c r="H38" s="359" t="s">
        <v>348</v>
      </c>
      <c r="I38" s="359"/>
      <c r="J38" s="359" t="s">
        <v>305</v>
      </c>
      <c r="K38" s="359"/>
    </row>
    <row r="39" spans="1:11" s="354" customFormat="1" ht="75">
      <c r="A39" s="359" t="s">
        <v>306</v>
      </c>
      <c r="B39" s="359" t="s">
        <v>6</v>
      </c>
      <c r="C39" s="359" t="s">
        <v>317</v>
      </c>
      <c r="D39" s="359" t="s">
        <v>318</v>
      </c>
      <c r="E39" s="359" t="s">
        <v>346</v>
      </c>
      <c r="F39" s="359" t="s">
        <v>349</v>
      </c>
      <c r="G39" s="359" t="s">
        <v>350</v>
      </c>
      <c r="H39" s="359" t="s">
        <v>351</v>
      </c>
      <c r="I39" s="359"/>
      <c r="J39" s="359" t="s">
        <v>305</v>
      </c>
      <c r="K39" s="359"/>
    </row>
    <row r="40" spans="1:11" s="354" customFormat="1" ht="75">
      <c r="A40" s="359" t="s">
        <v>306</v>
      </c>
      <c r="B40" s="359" t="s">
        <v>6</v>
      </c>
      <c r="C40" s="359" t="s">
        <v>317</v>
      </c>
      <c r="D40" s="359" t="s">
        <v>318</v>
      </c>
      <c r="E40" s="359" t="s">
        <v>352</v>
      </c>
      <c r="F40" s="359" t="s">
        <v>353</v>
      </c>
      <c r="G40" s="359" t="s">
        <v>354</v>
      </c>
      <c r="H40" s="359" t="s">
        <v>351</v>
      </c>
      <c r="I40" s="359"/>
      <c r="J40" s="359" t="s">
        <v>305</v>
      </c>
      <c r="K40" s="359"/>
    </row>
    <row r="41" spans="1:11" s="354" customFormat="1" ht="45">
      <c r="A41" s="359" t="s">
        <v>306</v>
      </c>
      <c r="B41" s="359" t="s">
        <v>6</v>
      </c>
      <c r="C41" s="359" t="s">
        <v>317</v>
      </c>
      <c r="D41" s="359" t="s">
        <v>318</v>
      </c>
      <c r="E41" s="359" t="s">
        <v>352</v>
      </c>
      <c r="F41" s="359" t="s">
        <v>355</v>
      </c>
      <c r="G41" s="359" t="s">
        <v>340</v>
      </c>
      <c r="H41" s="359" t="s">
        <v>356</v>
      </c>
      <c r="I41" s="359"/>
      <c r="J41" s="359" t="s">
        <v>305</v>
      </c>
      <c r="K41" s="359"/>
    </row>
    <row r="42" spans="1:11" s="354" customFormat="1" ht="30">
      <c r="A42" s="359" t="s">
        <v>306</v>
      </c>
      <c r="B42" s="359" t="s">
        <v>6</v>
      </c>
      <c r="C42" s="359" t="s">
        <v>327</v>
      </c>
      <c r="D42" s="359" t="s">
        <v>318</v>
      </c>
      <c r="E42" s="359" t="s">
        <v>108</v>
      </c>
      <c r="F42" s="359" t="s">
        <v>357</v>
      </c>
      <c r="G42" s="359" t="s">
        <v>358</v>
      </c>
      <c r="H42" s="359" t="s">
        <v>356</v>
      </c>
      <c r="I42" s="359"/>
      <c r="J42" s="359"/>
      <c r="K42" s="359"/>
    </row>
    <row r="43" spans="1:11" s="354" customFormat="1" ht="75">
      <c r="A43" s="358" t="s">
        <v>180</v>
      </c>
      <c r="B43" s="358" t="s">
        <v>298</v>
      </c>
      <c r="C43" s="358" t="s">
        <v>85</v>
      </c>
      <c r="D43" s="358" t="s">
        <v>359</v>
      </c>
      <c r="E43" s="358" t="s">
        <v>331</v>
      </c>
      <c r="F43" s="358" t="s">
        <v>332</v>
      </c>
      <c r="G43" s="358" t="s">
        <v>333</v>
      </c>
      <c r="H43" s="358" t="s">
        <v>334</v>
      </c>
      <c r="I43" s="358" t="s">
        <v>1050</v>
      </c>
      <c r="J43" s="358" t="s">
        <v>336</v>
      </c>
      <c r="K43" s="358"/>
    </row>
    <row r="44" spans="1:11" s="354" customFormat="1" ht="60">
      <c r="A44" s="358" t="s">
        <v>180</v>
      </c>
      <c r="B44" s="358" t="s">
        <v>298</v>
      </c>
      <c r="C44" s="358" t="s">
        <v>85</v>
      </c>
      <c r="D44" s="358" t="s">
        <v>359</v>
      </c>
      <c r="E44" s="358" t="s">
        <v>360</v>
      </c>
      <c r="F44" s="358" t="s">
        <v>361</v>
      </c>
      <c r="G44" s="358" t="s">
        <v>362</v>
      </c>
      <c r="H44" s="358" t="s">
        <v>363</v>
      </c>
      <c r="I44" s="358" t="s">
        <v>364</v>
      </c>
      <c r="J44" s="358" t="s">
        <v>365</v>
      </c>
      <c r="K44" s="358" t="s">
        <v>366</v>
      </c>
    </row>
    <row r="45" spans="1:11" s="354" customFormat="1" ht="135">
      <c r="A45" s="358" t="s">
        <v>180</v>
      </c>
      <c r="B45" s="358" t="s">
        <v>298</v>
      </c>
      <c r="C45" s="358" t="s">
        <v>85</v>
      </c>
      <c r="D45" s="358" t="s">
        <v>85</v>
      </c>
      <c r="E45" s="358" t="s">
        <v>367</v>
      </c>
      <c r="F45" s="358" t="s">
        <v>368</v>
      </c>
      <c r="G45" s="358" t="s">
        <v>369</v>
      </c>
      <c r="H45" s="358" t="s">
        <v>370</v>
      </c>
      <c r="I45" s="358" t="s">
        <v>371</v>
      </c>
      <c r="J45" s="358" t="s">
        <v>372</v>
      </c>
      <c r="K45" s="358" t="s">
        <v>373</v>
      </c>
    </row>
    <row r="46" spans="1:11" s="354" customFormat="1" ht="45">
      <c r="A46" s="358" t="s">
        <v>180</v>
      </c>
      <c r="B46" s="358" t="s">
        <v>298</v>
      </c>
      <c r="C46" s="358" t="s">
        <v>85</v>
      </c>
      <c r="D46" s="358" t="s">
        <v>106</v>
      </c>
      <c r="E46" s="358" t="s">
        <v>374</v>
      </c>
      <c r="F46" s="358" t="s">
        <v>375</v>
      </c>
      <c r="G46" s="358" t="s">
        <v>376</v>
      </c>
      <c r="H46" s="358" t="s">
        <v>377</v>
      </c>
      <c r="I46" s="358"/>
      <c r="J46" s="358" t="s">
        <v>378</v>
      </c>
      <c r="K46" s="358" t="s">
        <v>373</v>
      </c>
    </row>
    <row r="47" spans="1:11" s="354" customFormat="1" ht="45">
      <c r="A47" s="358" t="s">
        <v>180</v>
      </c>
      <c r="B47" s="358" t="s">
        <v>298</v>
      </c>
      <c r="C47" s="358" t="s">
        <v>85</v>
      </c>
      <c r="D47" s="358" t="s">
        <v>379</v>
      </c>
      <c r="E47" s="358" t="s">
        <v>380</v>
      </c>
      <c r="F47" s="358" t="s">
        <v>375</v>
      </c>
      <c r="G47" s="358" t="s">
        <v>376</v>
      </c>
      <c r="H47" s="358" t="s">
        <v>377</v>
      </c>
      <c r="I47" s="358"/>
      <c r="J47" s="358" t="s">
        <v>378</v>
      </c>
      <c r="K47" s="358" t="s">
        <v>373</v>
      </c>
    </row>
    <row r="48" spans="1:11" s="354" customFormat="1" ht="165">
      <c r="A48" s="358" t="s">
        <v>180</v>
      </c>
      <c r="B48" s="358" t="s">
        <v>298</v>
      </c>
      <c r="C48" s="358" t="s">
        <v>85</v>
      </c>
      <c r="D48" s="358" t="s">
        <v>85</v>
      </c>
      <c r="E48" s="358" t="s">
        <v>96</v>
      </c>
      <c r="F48" s="358" t="s">
        <v>381</v>
      </c>
      <c r="G48" s="358" t="s">
        <v>382</v>
      </c>
      <c r="H48" s="358" t="s">
        <v>382</v>
      </c>
      <c r="I48" s="358" t="s">
        <v>383</v>
      </c>
      <c r="J48" s="358" t="s">
        <v>365</v>
      </c>
      <c r="K48" s="358" t="s">
        <v>384</v>
      </c>
    </row>
    <row r="49" spans="1:11" s="354" customFormat="1" ht="105">
      <c r="A49" s="358" t="s">
        <v>180</v>
      </c>
      <c r="B49" s="358" t="s">
        <v>298</v>
      </c>
      <c r="C49" s="358" t="s">
        <v>85</v>
      </c>
      <c r="D49" s="358" t="s">
        <v>385</v>
      </c>
      <c r="E49" s="358" t="s">
        <v>386</v>
      </c>
      <c r="F49" s="358" t="s">
        <v>387</v>
      </c>
      <c r="G49" s="358" t="s">
        <v>388</v>
      </c>
      <c r="H49" s="358" t="s">
        <v>389</v>
      </c>
      <c r="I49" s="358"/>
      <c r="J49" s="358" t="s">
        <v>365</v>
      </c>
      <c r="K49" s="358"/>
    </row>
    <row r="50" spans="1:11" s="354" customFormat="1" ht="45">
      <c r="A50" s="358" t="s">
        <v>180</v>
      </c>
      <c r="B50" s="358" t="s">
        <v>298</v>
      </c>
      <c r="C50" s="358" t="s">
        <v>85</v>
      </c>
      <c r="D50" s="358" t="s">
        <v>390</v>
      </c>
      <c r="E50" s="358" t="s">
        <v>391</v>
      </c>
      <c r="F50" s="358" t="s">
        <v>392</v>
      </c>
      <c r="G50" s="358" t="s">
        <v>393</v>
      </c>
      <c r="H50" s="358" t="s">
        <v>394</v>
      </c>
      <c r="I50" s="358" t="s">
        <v>395</v>
      </c>
      <c r="J50" s="358" t="s">
        <v>365</v>
      </c>
      <c r="K50" s="358"/>
    </row>
    <row r="51" spans="1:11" s="354" customFormat="1" ht="75">
      <c r="A51" s="358" t="s">
        <v>180</v>
      </c>
      <c r="B51" s="358" t="s">
        <v>298</v>
      </c>
      <c r="C51" s="358" t="s">
        <v>85</v>
      </c>
      <c r="D51" s="358" t="s">
        <v>85</v>
      </c>
      <c r="E51" s="358" t="s">
        <v>396</v>
      </c>
      <c r="F51" s="358" t="s">
        <v>397</v>
      </c>
      <c r="G51" s="358" t="s">
        <v>393</v>
      </c>
      <c r="H51" s="358" t="s">
        <v>394</v>
      </c>
      <c r="I51" s="358"/>
      <c r="J51" s="358" t="s">
        <v>365</v>
      </c>
      <c r="K51" s="358"/>
    </row>
    <row r="52" spans="1:11" s="354" customFormat="1" ht="45">
      <c r="A52" s="358" t="s">
        <v>180</v>
      </c>
      <c r="B52" s="358" t="s">
        <v>298</v>
      </c>
      <c r="C52" s="358" t="s">
        <v>85</v>
      </c>
      <c r="D52" s="358" t="s">
        <v>398</v>
      </c>
      <c r="E52" s="358" t="s">
        <v>399</v>
      </c>
      <c r="F52" s="358" t="s">
        <v>400</v>
      </c>
      <c r="G52" s="358" t="s">
        <v>393</v>
      </c>
      <c r="H52" s="358" t="s">
        <v>394</v>
      </c>
      <c r="I52" s="358"/>
      <c r="J52" s="358" t="s">
        <v>365</v>
      </c>
      <c r="K52" s="358"/>
    </row>
    <row r="53" spans="1:11" s="354" customFormat="1" ht="75">
      <c r="A53" s="358" t="s">
        <v>180</v>
      </c>
      <c r="B53" s="358" t="s">
        <v>298</v>
      </c>
      <c r="C53" s="358" t="s">
        <v>85</v>
      </c>
      <c r="D53" s="358" t="s">
        <v>341</v>
      </c>
      <c r="E53" s="358" t="s">
        <v>401</v>
      </c>
      <c r="F53" s="358" t="s">
        <v>341</v>
      </c>
      <c r="G53" s="358" t="s">
        <v>402</v>
      </c>
      <c r="H53" s="358" t="s">
        <v>334</v>
      </c>
      <c r="I53" s="358" t="s">
        <v>403</v>
      </c>
      <c r="J53" s="358" t="s">
        <v>404</v>
      </c>
      <c r="K53" s="358" t="s">
        <v>405</v>
      </c>
    </row>
    <row r="54" spans="1:11" s="354" customFormat="1" ht="90">
      <c r="A54" s="358" t="s">
        <v>180</v>
      </c>
      <c r="B54" s="358" t="s">
        <v>298</v>
      </c>
      <c r="C54" s="358" t="s">
        <v>85</v>
      </c>
      <c r="D54" s="358" t="s">
        <v>341</v>
      </c>
      <c r="E54" s="358" t="s">
        <v>401</v>
      </c>
      <c r="F54" s="358" t="s">
        <v>341</v>
      </c>
      <c r="G54" s="358" t="s">
        <v>406</v>
      </c>
      <c r="H54" s="358" t="s">
        <v>90</v>
      </c>
      <c r="I54" s="358" t="s">
        <v>407</v>
      </c>
      <c r="J54" s="358" t="s">
        <v>408</v>
      </c>
      <c r="K54" s="358"/>
    </row>
    <row r="55" spans="1:11" s="354" customFormat="1" ht="75">
      <c r="A55" s="358" t="s">
        <v>180</v>
      </c>
      <c r="B55" s="358" t="s">
        <v>298</v>
      </c>
      <c r="C55" s="358" t="s">
        <v>85</v>
      </c>
      <c r="D55" s="358" t="s">
        <v>341</v>
      </c>
      <c r="E55" s="358" t="s">
        <v>401</v>
      </c>
      <c r="F55" s="358" t="s">
        <v>409</v>
      </c>
      <c r="G55" s="358" t="s">
        <v>402</v>
      </c>
      <c r="H55" s="358" t="s">
        <v>334</v>
      </c>
      <c r="I55" s="358" t="s">
        <v>403</v>
      </c>
      <c r="J55" s="358" t="s">
        <v>404</v>
      </c>
      <c r="K55" s="358" t="s">
        <v>405</v>
      </c>
    </row>
    <row r="56" spans="1:11" s="354" customFormat="1" ht="105">
      <c r="A56" s="358" t="s">
        <v>180</v>
      </c>
      <c r="B56" s="358" t="s">
        <v>298</v>
      </c>
      <c r="C56" s="358" t="s">
        <v>85</v>
      </c>
      <c r="D56" s="358" t="s">
        <v>85</v>
      </c>
      <c r="E56" s="358" t="s">
        <v>85</v>
      </c>
      <c r="F56" s="358" t="s">
        <v>410</v>
      </c>
      <c r="G56" s="358" t="s">
        <v>411</v>
      </c>
      <c r="H56" s="358" t="s">
        <v>412</v>
      </c>
      <c r="I56" s="358"/>
      <c r="J56" s="360" t="s">
        <v>413</v>
      </c>
      <c r="K56" s="360"/>
    </row>
    <row r="57" spans="1:11" ht="150">
      <c r="A57" s="358" t="s">
        <v>180</v>
      </c>
      <c r="B57" s="358" t="s">
        <v>298</v>
      </c>
      <c r="C57" s="358" t="s">
        <v>85</v>
      </c>
      <c r="D57" s="358" t="s">
        <v>414</v>
      </c>
      <c r="E57" s="358" t="s">
        <v>391</v>
      </c>
      <c r="F57" s="358" t="s">
        <v>415</v>
      </c>
      <c r="G57" s="358" t="s">
        <v>416</v>
      </c>
      <c r="H57" s="358" t="s">
        <v>90</v>
      </c>
      <c r="I57" s="358" t="s">
        <v>417</v>
      </c>
      <c r="J57" s="360" t="s">
        <v>418</v>
      </c>
      <c r="K57" s="360"/>
    </row>
    <row r="58" spans="1:11" s="412" customFormat="1" ht="225">
      <c r="A58" s="358" t="s">
        <v>180</v>
      </c>
      <c r="B58" s="358" t="s">
        <v>298</v>
      </c>
      <c r="C58" s="410" t="s">
        <v>85</v>
      </c>
      <c r="D58" s="358" t="s">
        <v>1026</v>
      </c>
      <c r="E58" s="358" t="s">
        <v>1027</v>
      </c>
      <c r="F58" s="411" t="s">
        <v>1028</v>
      </c>
      <c r="G58" s="411" t="s">
        <v>1032</v>
      </c>
      <c r="H58" s="410" t="s">
        <v>1031</v>
      </c>
      <c r="I58" s="358" t="s">
        <v>1029</v>
      </c>
      <c r="J58" s="360" t="s">
        <v>1030</v>
      </c>
      <c r="K58" s="410"/>
    </row>
    <row r="59" spans="1:11" s="412" customFormat="1" ht="48.75" customHeight="1">
      <c r="A59" s="358" t="s">
        <v>180</v>
      </c>
      <c r="B59" s="358" t="s">
        <v>298</v>
      </c>
      <c r="C59" s="410" t="s">
        <v>85</v>
      </c>
      <c r="D59" s="358" t="s">
        <v>85</v>
      </c>
      <c r="E59" s="358" t="s">
        <v>1224</v>
      </c>
      <c r="F59" s="411"/>
      <c r="G59" s="411" t="s">
        <v>1263</v>
      </c>
      <c r="H59" s="410" t="s">
        <v>1052</v>
      </c>
      <c r="I59" s="358"/>
      <c r="J59" s="360" t="s">
        <v>1264</v>
      </c>
      <c r="K59" s="410"/>
    </row>
    <row r="60" spans="1:11" ht="75">
      <c r="A60" s="361" t="s">
        <v>180</v>
      </c>
      <c r="B60" s="361" t="s">
        <v>6</v>
      </c>
      <c r="C60" s="361"/>
      <c r="D60" s="361" t="s">
        <v>108</v>
      </c>
      <c r="E60" s="361" t="s">
        <v>419</v>
      </c>
      <c r="F60" s="361" t="s">
        <v>85</v>
      </c>
      <c r="G60" s="361" t="s">
        <v>420</v>
      </c>
      <c r="H60" s="361" t="s">
        <v>421</v>
      </c>
      <c r="I60" s="361" t="s">
        <v>422</v>
      </c>
      <c r="J60" s="362" t="s">
        <v>423</v>
      </c>
      <c r="K60" s="362" t="s">
        <v>424</v>
      </c>
    </row>
    <row r="61" spans="1:11" ht="409.5">
      <c r="A61" s="361" t="s">
        <v>180</v>
      </c>
      <c r="B61" s="361" t="s">
        <v>6</v>
      </c>
      <c r="C61" s="361"/>
      <c r="D61" s="361" t="s">
        <v>108</v>
      </c>
      <c r="E61" s="361" t="s">
        <v>425</v>
      </c>
      <c r="F61" s="361" t="s">
        <v>426</v>
      </c>
      <c r="G61" s="361" t="s">
        <v>427</v>
      </c>
      <c r="H61" s="361" t="s">
        <v>377</v>
      </c>
      <c r="I61" s="361" t="s">
        <v>428</v>
      </c>
      <c r="J61" s="362" t="s">
        <v>423</v>
      </c>
      <c r="K61" s="362" t="s">
        <v>429</v>
      </c>
    </row>
    <row r="62" spans="1:11" ht="75">
      <c r="A62" s="361" t="s">
        <v>180</v>
      </c>
      <c r="B62" s="361" t="s">
        <v>6</v>
      </c>
      <c r="C62" s="361"/>
      <c r="D62" s="361" t="s">
        <v>108</v>
      </c>
      <c r="E62" s="361" t="s">
        <v>109</v>
      </c>
      <c r="F62" s="361" t="s">
        <v>430</v>
      </c>
      <c r="G62" s="361" t="s">
        <v>431</v>
      </c>
      <c r="H62" s="361" t="s">
        <v>432</v>
      </c>
      <c r="I62" s="361"/>
      <c r="J62" s="362" t="s">
        <v>423</v>
      </c>
      <c r="K62" s="362" t="s">
        <v>433</v>
      </c>
    </row>
    <row r="63" spans="1:11" ht="210">
      <c r="A63" s="361" t="s">
        <v>180</v>
      </c>
      <c r="B63" s="361" t="s">
        <v>6</v>
      </c>
      <c r="C63" s="361"/>
      <c r="D63" s="361" t="s">
        <v>108</v>
      </c>
      <c r="E63" s="361" t="s">
        <v>113</v>
      </c>
      <c r="F63" s="361" t="s">
        <v>434</v>
      </c>
      <c r="G63" s="361" t="s">
        <v>435</v>
      </c>
      <c r="H63" s="361" t="s">
        <v>436</v>
      </c>
      <c r="I63" s="361"/>
      <c r="J63" s="362" t="s">
        <v>423</v>
      </c>
      <c r="K63" s="362" t="s">
        <v>437</v>
      </c>
    </row>
    <row r="64" spans="1:11">
      <c r="A64" s="407"/>
    </row>
    <row r="65" spans="5:10" ht="60">
      <c r="E65" s="413" t="s">
        <v>1036</v>
      </c>
      <c r="G65" s="269" t="s">
        <v>1037</v>
      </c>
      <c r="H65" s="413" t="s">
        <v>1038</v>
      </c>
      <c r="J65" s="414" t="s">
        <v>1039</v>
      </c>
    </row>
  </sheetData>
  <sheetProtection password="CD9A" sheet="1" objects="1" scenarios="1"/>
  <hyperlinks>
    <hyperlink ref="A6" r:id="rId1" display="http://www.appliance-standards.org/node/6814"/>
    <hyperlink ref="A7" r:id="rId2" display="http://www.appliance-standards.org/node/6809"/>
    <hyperlink ref="A8" r:id="rId3" display="http://www.appliance-standards.org/node/6811"/>
    <hyperlink ref="A9" r:id="rId4" display="http://www.appliance-standards.org/node/6810"/>
    <hyperlink ref="A10" r:id="rId5" display="http://www.appliance-standards.org/node/6800"/>
    <hyperlink ref="A11" r:id="rId6" display="http://www.appliance-standards.org/node/6799"/>
    <hyperlink ref="A12" r:id="rId7" display="http://www.appliance-standards.org/node/6801"/>
    <hyperlink ref="A13" r:id="rId8" display="http://www.appliance-standards.org/node/6815"/>
    <hyperlink ref="A14" r:id="rId9" display="http://www.appliance-standards.org/node/6802"/>
    <hyperlink ref="A15" r:id="rId10" display="http://www.appliance-standards.org/node/6803"/>
    <hyperlink ref="A16" r:id="rId11" display="http://www.appliance-standards.org/node/6804"/>
    <hyperlink ref="A17" r:id="rId12" display="http://www.appliance-standards.org/node/6805"/>
    <hyperlink ref="A18" r:id="rId13" display="http://www.appliance-standards.org/node/6812"/>
    <hyperlink ref="A19" r:id="rId14" display="http://www.appliance-standards.org/node/6813"/>
    <hyperlink ref="A1" r:id="rId15"/>
    <hyperlink ref="J19" r:id="rId16"/>
    <hyperlink ref="J7" r:id="rId17"/>
    <hyperlink ref="J9" r:id="rId18"/>
    <hyperlink ref="A20" r:id="rId19"/>
  </hyperlinks>
  <pageMargins left="0.7" right="0.7" top="0.75" bottom="0.75" header="0.3" footer="0.3"/>
  <pageSetup orientation="portrait" r:id="rId2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0"/>
  <sheetViews>
    <sheetView zoomScale="60" zoomScaleNormal="60" workbookViewId="0"/>
  </sheetViews>
  <sheetFormatPr defaultRowHeight="15"/>
  <cols>
    <col min="1" max="1" width="38" customWidth="1"/>
    <col min="2" max="2" width="35.7109375" customWidth="1"/>
    <col min="3" max="3" width="11.5703125" customWidth="1"/>
    <col min="4" max="4" width="36.7109375" customWidth="1"/>
    <col min="5" max="5" width="9.85546875" bestFit="1" customWidth="1"/>
    <col min="6" max="6" width="18.5703125" bestFit="1" customWidth="1"/>
    <col min="7" max="7" width="20.28515625" customWidth="1"/>
    <col min="8" max="8" width="16.5703125" customWidth="1"/>
    <col min="9" max="9" width="22.7109375" customWidth="1"/>
    <col min="12" max="12" width="19.5703125" customWidth="1"/>
    <col min="16" max="16" width="17.42578125" customWidth="1"/>
    <col min="20" max="20" width="16.5703125" customWidth="1"/>
    <col min="21" max="21" width="12.42578125" bestFit="1" customWidth="1"/>
    <col min="28" max="28" width="15.85546875" bestFit="1" customWidth="1"/>
    <col min="29" max="29" width="12.85546875" bestFit="1" customWidth="1"/>
    <col min="30" max="30" width="8.42578125" bestFit="1" customWidth="1"/>
    <col min="31" max="31" width="8.140625" bestFit="1" customWidth="1"/>
    <col min="32" max="32" width="17.7109375" bestFit="1" customWidth="1"/>
    <col min="33" max="33" width="7.140625" bestFit="1" customWidth="1"/>
    <col min="34" max="35" width="8.140625" bestFit="1" customWidth="1"/>
    <col min="36" max="36" width="17.42578125" customWidth="1"/>
    <col min="37" max="37" width="11" bestFit="1" customWidth="1"/>
    <col min="38" max="38" width="10.140625" customWidth="1"/>
    <col min="39" max="39" width="9" customWidth="1"/>
    <col min="41" max="41" width="23.42578125" customWidth="1"/>
    <col min="42" max="42" width="21.42578125" customWidth="1"/>
  </cols>
  <sheetData>
    <row r="1" spans="1:16">
      <c r="A1" s="30" t="s">
        <v>836</v>
      </c>
      <c r="B1" s="11"/>
      <c r="C1" s="11"/>
      <c r="D1" s="11"/>
      <c r="E1" s="11"/>
      <c r="F1" s="11"/>
      <c r="G1" s="11"/>
      <c r="H1" s="11"/>
      <c r="I1" s="11"/>
      <c r="J1" s="11"/>
      <c r="K1" s="11"/>
      <c r="L1" s="11"/>
      <c r="M1" s="11"/>
      <c r="N1" s="12"/>
      <c r="O1" s="13"/>
      <c r="P1" s="13"/>
    </row>
    <row r="2" spans="1:16">
      <c r="A2" s="376" t="s">
        <v>881</v>
      </c>
      <c r="B2" s="13"/>
      <c r="C2" s="13"/>
      <c r="D2" s="13"/>
      <c r="E2" s="13"/>
      <c r="F2" s="13"/>
      <c r="G2" s="13"/>
      <c r="H2" s="13"/>
      <c r="I2" s="13"/>
      <c r="J2" s="13"/>
      <c r="K2" s="13"/>
      <c r="L2" s="13"/>
      <c r="M2" s="13"/>
      <c r="N2" s="14"/>
      <c r="O2" s="13"/>
      <c r="P2" s="13"/>
    </row>
    <row r="3" spans="1:16">
      <c r="A3" s="31">
        <v>2010</v>
      </c>
      <c r="B3" s="13"/>
      <c r="C3" s="13"/>
      <c r="D3" s="13"/>
      <c r="E3" s="13"/>
      <c r="F3" s="13"/>
      <c r="G3" s="13"/>
      <c r="H3" s="13"/>
      <c r="I3" s="13"/>
      <c r="J3" s="13"/>
      <c r="K3" s="13"/>
      <c r="L3" s="13"/>
      <c r="M3" s="13"/>
      <c r="N3" s="14"/>
      <c r="O3" s="13"/>
      <c r="P3" s="13"/>
    </row>
    <row r="4" spans="1:16">
      <c r="A4" s="31"/>
      <c r="B4" s="13"/>
      <c r="C4" s="13"/>
      <c r="D4" s="13"/>
      <c r="E4" s="13"/>
      <c r="F4" s="13"/>
      <c r="G4" s="13"/>
      <c r="H4" s="13"/>
      <c r="I4" s="13"/>
      <c r="J4" s="13"/>
      <c r="K4" s="13"/>
      <c r="L4" s="13"/>
      <c r="M4" s="13"/>
      <c r="N4" s="14"/>
      <c r="O4" s="13"/>
      <c r="P4" s="13"/>
    </row>
    <row r="5" spans="1:16">
      <c r="A5" s="31"/>
      <c r="B5" s="13"/>
      <c r="C5" s="13"/>
      <c r="D5" s="13"/>
      <c r="E5" s="13"/>
      <c r="F5" s="13"/>
      <c r="G5" s="13"/>
      <c r="H5" s="13"/>
      <c r="I5" s="13"/>
      <c r="J5" s="13"/>
      <c r="K5" s="13"/>
      <c r="L5" s="13"/>
      <c r="M5" s="13"/>
      <c r="N5" s="14"/>
      <c r="O5" s="13"/>
      <c r="P5" s="13"/>
    </row>
    <row r="6" spans="1:16">
      <c r="A6" s="823" t="s">
        <v>887</v>
      </c>
      <c r="B6" s="13"/>
      <c r="C6" s="13"/>
      <c r="D6" s="13"/>
      <c r="E6" s="13"/>
      <c r="F6" s="13"/>
      <c r="G6" s="13"/>
      <c r="H6" s="13"/>
      <c r="I6" s="13"/>
      <c r="J6" s="13"/>
      <c r="K6" s="13"/>
      <c r="L6" s="13"/>
      <c r="M6" s="13"/>
      <c r="N6" s="14"/>
      <c r="O6" s="13"/>
      <c r="P6" s="13"/>
    </row>
    <row r="7" spans="1:16">
      <c r="A7" s="31"/>
      <c r="B7" s="370" t="s">
        <v>26</v>
      </c>
      <c r="C7" s="370" t="s">
        <v>25</v>
      </c>
      <c r="D7" s="370" t="s">
        <v>24</v>
      </c>
      <c r="E7" s="370" t="s">
        <v>27</v>
      </c>
      <c r="F7" s="370" t="s">
        <v>574</v>
      </c>
      <c r="G7" s="370" t="s">
        <v>573</v>
      </c>
      <c r="H7" s="370" t="s">
        <v>32</v>
      </c>
      <c r="I7" s="370" t="s">
        <v>884</v>
      </c>
      <c r="J7" s="370" t="s">
        <v>95</v>
      </c>
      <c r="K7" s="370" t="s">
        <v>107</v>
      </c>
      <c r="L7" s="370" t="s">
        <v>452</v>
      </c>
      <c r="M7" s="13"/>
      <c r="N7" s="14"/>
      <c r="O7" s="13"/>
      <c r="P7" s="13"/>
    </row>
    <row r="8" spans="1:16">
      <c r="A8" s="824" t="s">
        <v>886</v>
      </c>
      <c r="B8" s="825">
        <v>14775</v>
      </c>
      <c r="C8" s="825">
        <v>2621</v>
      </c>
      <c r="D8" s="825">
        <v>12052</v>
      </c>
      <c r="E8" s="825">
        <v>12468</v>
      </c>
      <c r="F8" s="825">
        <v>1815</v>
      </c>
      <c r="G8" s="825">
        <v>9865</v>
      </c>
      <c r="H8" s="825">
        <v>7919</v>
      </c>
      <c r="I8" s="825">
        <v>274</v>
      </c>
      <c r="J8" s="825">
        <v>1</v>
      </c>
      <c r="K8" s="825">
        <v>294</v>
      </c>
      <c r="L8" s="825">
        <v>62084</v>
      </c>
      <c r="M8" s="13"/>
      <c r="N8" s="14"/>
      <c r="O8" s="13"/>
      <c r="P8" s="13"/>
    </row>
    <row r="9" spans="1:16">
      <c r="A9" s="824" t="s">
        <v>885</v>
      </c>
      <c r="B9" s="825"/>
      <c r="C9" s="825"/>
      <c r="D9" s="825"/>
      <c r="E9" s="825">
        <v>5</v>
      </c>
      <c r="F9" s="825">
        <v>5</v>
      </c>
      <c r="G9" s="825">
        <v>502</v>
      </c>
      <c r="H9" s="825"/>
      <c r="I9" s="825"/>
      <c r="J9" s="825">
        <v>7</v>
      </c>
      <c r="K9" s="825"/>
      <c r="L9" s="825">
        <v>519</v>
      </c>
      <c r="M9" s="13"/>
      <c r="N9" s="14"/>
      <c r="O9" s="13"/>
      <c r="P9" s="13"/>
    </row>
    <row r="10" spans="1:16">
      <c r="A10" s="824" t="s">
        <v>117</v>
      </c>
      <c r="B10" s="825">
        <v>785</v>
      </c>
      <c r="C10" s="825"/>
      <c r="D10" s="825"/>
      <c r="E10" s="825"/>
      <c r="F10" s="825"/>
      <c r="G10" s="825"/>
      <c r="H10" s="825"/>
      <c r="I10" s="825"/>
      <c r="J10" s="825">
        <v>14908</v>
      </c>
      <c r="K10" s="825"/>
      <c r="L10" s="825">
        <v>15693</v>
      </c>
      <c r="M10" s="13"/>
      <c r="N10" s="14"/>
      <c r="O10" s="13"/>
      <c r="P10" s="13"/>
    </row>
    <row r="11" spans="1:16">
      <c r="A11" s="824" t="s">
        <v>215</v>
      </c>
      <c r="B11" s="825">
        <v>992</v>
      </c>
      <c r="C11" s="825">
        <v>824</v>
      </c>
      <c r="D11" s="825"/>
      <c r="E11" s="825">
        <v>16595</v>
      </c>
      <c r="F11" s="825">
        <v>429</v>
      </c>
      <c r="G11" s="825">
        <v>14191</v>
      </c>
      <c r="H11" s="825">
        <v>14205</v>
      </c>
      <c r="I11" s="825"/>
      <c r="J11" s="825">
        <v>2231</v>
      </c>
      <c r="K11" s="825">
        <v>2701</v>
      </c>
      <c r="L11" s="825">
        <v>52168</v>
      </c>
      <c r="M11" s="13"/>
      <c r="N11" s="14"/>
      <c r="O11" s="13"/>
      <c r="P11" s="13"/>
    </row>
    <row r="12" spans="1:16">
      <c r="A12" s="824" t="s">
        <v>115</v>
      </c>
      <c r="B12" s="825">
        <v>300</v>
      </c>
      <c r="C12" s="825"/>
      <c r="D12" s="825">
        <v>2</v>
      </c>
      <c r="E12" s="825">
        <v>55</v>
      </c>
      <c r="F12" s="825">
        <v>1922</v>
      </c>
      <c r="G12" s="825">
        <v>4116</v>
      </c>
      <c r="H12" s="825">
        <v>35698</v>
      </c>
      <c r="I12" s="825">
        <v>1182</v>
      </c>
      <c r="J12" s="825">
        <v>1546</v>
      </c>
      <c r="K12" s="825">
        <v>61</v>
      </c>
      <c r="L12" s="825">
        <v>44882</v>
      </c>
      <c r="M12" s="13"/>
      <c r="N12" s="14"/>
      <c r="O12" s="13"/>
      <c r="P12" s="13"/>
    </row>
    <row r="13" spans="1:16">
      <c r="A13" s="31"/>
      <c r="B13" s="825"/>
      <c r="C13" s="825"/>
      <c r="D13" s="825"/>
      <c r="E13" s="825"/>
      <c r="F13" s="825"/>
      <c r="G13" s="825"/>
      <c r="H13" s="825"/>
      <c r="I13" s="825"/>
      <c r="J13" s="825"/>
      <c r="K13" s="825"/>
      <c r="L13" s="825"/>
      <c r="M13" s="13"/>
      <c r="N13" s="14"/>
      <c r="O13" s="13"/>
      <c r="P13" s="13"/>
    </row>
    <row r="14" spans="1:16">
      <c r="A14" s="31"/>
      <c r="B14" s="825"/>
      <c r="C14" s="825"/>
      <c r="D14" s="825"/>
      <c r="E14" s="825"/>
      <c r="F14" s="825"/>
      <c r="G14" s="825"/>
      <c r="H14" s="825"/>
      <c r="I14" s="825"/>
      <c r="J14" s="825"/>
      <c r="K14" s="825"/>
      <c r="L14" s="825"/>
      <c r="M14" s="13"/>
      <c r="N14" s="14"/>
      <c r="O14" s="13"/>
      <c r="P14" s="13"/>
    </row>
    <row r="15" spans="1:16">
      <c r="A15" s="823" t="s">
        <v>888</v>
      </c>
      <c r="B15" s="825"/>
      <c r="C15" s="825"/>
      <c r="D15" s="825"/>
      <c r="E15" s="825"/>
      <c r="F15" s="825"/>
      <c r="G15" s="825"/>
      <c r="H15" s="825"/>
      <c r="I15" s="825"/>
      <c r="J15" s="825"/>
      <c r="K15" s="825"/>
      <c r="L15" s="825"/>
      <c r="M15" s="13"/>
      <c r="N15" s="14"/>
      <c r="O15" s="13"/>
      <c r="P15" s="13"/>
    </row>
    <row r="16" spans="1:16">
      <c r="A16" s="31"/>
      <c r="B16" s="826" t="s">
        <v>26</v>
      </c>
      <c r="C16" s="826" t="s">
        <v>25</v>
      </c>
      <c r="D16" s="826" t="s">
        <v>24</v>
      </c>
      <c r="E16" s="826" t="s">
        <v>27</v>
      </c>
      <c r="F16" s="826" t="s">
        <v>574</v>
      </c>
      <c r="G16" s="826" t="s">
        <v>573</v>
      </c>
      <c r="H16" s="826" t="s">
        <v>32</v>
      </c>
      <c r="I16" s="826" t="s">
        <v>884</v>
      </c>
      <c r="J16" s="826" t="s">
        <v>95</v>
      </c>
      <c r="K16" s="826" t="s">
        <v>107</v>
      </c>
      <c r="L16" s="826"/>
      <c r="M16" s="13"/>
      <c r="N16" s="14"/>
      <c r="O16" s="13"/>
      <c r="P16" s="13"/>
    </row>
    <row r="17" spans="1:16">
      <c r="A17" s="824" t="s">
        <v>886</v>
      </c>
      <c r="B17" s="825">
        <v>61</v>
      </c>
      <c r="C17" s="825">
        <v>74</v>
      </c>
      <c r="D17" s="825">
        <v>22</v>
      </c>
      <c r="E17" s="825">
        <v>42</v>
      </c>
      <c r="F17" s="825">
        <v>79</v>
      </c>
      <c r="G17" s="825">
        <v>72</v>
      </c>
      <c r="H17" s="825">
        <v>78</v>
      </c>
      <c r="I17" s="825">
        <v>74</v>
      </c>
      <c r="J17" s="825">
        <v>28</v>
      </c>
      <c r="K17" s="825">
        <v>68</v>
      </c>
      <c r="L17" s="825"/>
      <c r="M17" s="13"/>
      <c r="N17" s="14"/>
      <c r="O17" s="13"/>
      <c r="P17" s="13"/>
    </row>
    <row r="18" spans="1:16">
      <c r="A18" s="824" t="s">
        <v>885</v>
      </c>
      <c r="B18" s="825"/>
      <c r="C18" s="825"/>
      <c r="D18" s="825"/>
      <c r="E18" s="825">
        <v>148</v>
      </c>
      <c r="F18" s="825">
        <v>400</v>
      </c>
      <c r="G18" s="825">
        <v>400</v>
      </c>
      <c r="H18" s="825"/>
      <c r="I18" s="825"/>
      <c r="J18" s="825">
        <v>125</v>
      </c>
      <c r="K18" s="825"/>
      <c r="L18" s="825"/>
      <c r="M18" s="13"/>
      <c r="N18" s="14"/>
      <c r="O18" s="13"/>
      <c r="P18" s="13"/>
    </row>
    <row r="19" spans="1:16">
      <c r="A19" s="824" t="s">
        <v>117</v>
      </c>
      <c r="B19" s="825">
        <v>130</v>
      </c>
      <c r="C19" s="825"/>
      <c r="D19" s="825"/>
      <c r="E19" s="825"/>
      <c r="F19" s="825"/>
      <c r="G19" s="825"/>
      <c r="H19" s="825"/>
      <c r="I19" s="825"/>
      <c r="J19" s="825">
        <v>9</v>
      </c>
      <c r="K19" s="825"/>
      <c r="L19" s="825"/>
      <c r="M19" s="13"/>
      <c r="N19" s="14"/>
      <c r="O19" s="13"/>
      <c r="P19" s="13"/>
    </row>
    <row r="20" spans="1:16">
      <c r="A20" s="824" t="s">
        <v>215</v>
      </c>
      <c r="B20" s="825">
        <v>112</v>
      </c>
      <c r="C20" s="825">
        <v>108</v>
      </c>
      <c r="D20" s="825"/>
      <c r="E20" s="825">
        <v>73</v>
      </c>
      <c r="F20" s="825">
        <v>350</v>
      </c>
      <c r="G20" s="825">
        <v>224</v>
      </c>
      <c r="H20" s="825">
        <v>201</v>
      </c>
      <c r="I20" s="825"/>
      <c r="J20" s="825">
        <v>60</v>
      </c>
      <c r="K20" s="825">
        <v>97</v>
      </c>
      <c r="L20" s="825"/>
      <c r="M20" s="13"/>
      <c r="N20" s="14"/>
      <c r="O20" s="13"/>
      <c r="P20" s="13"/>
    </row>
    <row r="21" spans="1:16">
      <c r="A21" s="824" t="s">
        <v>115</v>
      </c>
      <c r="B21" s="825">
        <v>181</v>
      </c>
      <c r="C21" s="825"/>
      <c r="D21" s="825">
        <v>44</v>
      </c>
      <c r="E21" s="825">
        <v>50</v>
      </c>
      <c r="F21" s="825">
        <v>243</v>
      </c>
      <c r="G21" s="825">
        <v>233</v>
      </c>
      <c r="H21" s="825">
        <v>230</v>
      </c>
      <c r="I21" s="825">
        <v>78</v>
      </c>
      <c r="J21" s="825">
        <v>71</v>
      </c>
      <c r="K21" s="825">
        <v>62</v>
      </c>
      <c r="L21" s="825"/>
      <c r="M21" s="13"/>
      <c r="N21" s="14"/>
      <c r="O21" s="13"/>
      <c r="P21" s="13"/>
    </row>
    <row r="22" spans="1:16">
      <c r="A22" s="31"/>
      <c r="B22" s="825"/>
      <c r="C22" s="825"/>
      <c r="D22" s="825"/>
      <c r="E22" s="825"/>
      <c r="F22" s="825"/>
      <c r="G22" s="825"/>
      <c r="H22" s="825"/>
      <c r="I22" s="825"/>
      <c r="J22" s="825"/>
      <c r="K22" s="825"/>
      <c r="L22" s="825"/>
      <c r="M22" s="13"/>
      <c r="N22" s="14"/>
      <c r="O22" s="13"/>
      <c r="P22" s="13"/>
    </row>
    <row r="23" spans="1:16">
      <c r="A23" s="31"/>
      <c r="B23" s="825"/>
      <c r="C23" s="825"/>
      <c r="D23" s="825"/>
      <c r="E23" s="825"/>
      <c r="F23" s="825"/>
      <c r="G23" s="825"/>
      <c r="H23" s="825"/>
      <c r="I23" s="825"/>
      <c r="J23" s="825"/>
      <c r="K23" s="825"/>
      <c r="L23" s="825"/>
      <c r="M23" s="13"/>
      <c r="N23" s="14"/>
      <c r="O23" s="13"/>
      <c r="P23" s="13"/>
    </row>
    <row r="24" spans="1:16">
      <c r="A24" s="823" t="s">
        <v>889</v>
      </c>
      <c r="B24" s="825"/>
      <c r="C24" s="825"/>
      <c r="D24" s="825"/>
      <c r="E24" s="825"/>
      <c r="F24" s="825"/>
      <c r="G24" s="825"/>
      <c r="H24" s="825"/>
      <c r="I24" s="825"/>
      <c r="J24" s="825"/>
      <c r="K24" s="825"/>
      <c r="L24" s="825"/>
      <c r="M24" s="13"/>
      <c r="N24" s="14"/>
      <c r="O24" s="13"/>
      <c r="P24" s="13"/>
    </row>
    <row r="25" spans="1:16">
      <c r="A25" s="31"/>
      <c r="B25" s="826" t="s">
        <v>26</v>
      </c>
      <c r="C25" s="826" t="s">
        <v>25</v>
      </c>
      <c r="D25" s="826" t="s">
        <v>24</v>
      </c>
      <c r="E25" s="826" t="s">
        <v>27</v>
      </c>
      <c r="F25" s="826" t="s">
        <v>574</v>
      </c>
      <c r="G25" s="826" t="s">
        <v>573</v>
      </c>
      <c r="H25" s="826" t="s">
        <v>32</v>
      </c>
      <c r="I25" s="826" t="s">
        <v>884</v>
      </c>
      <c r="J25" s="826" t="s">
        <v>95</v>
      </c>
      <c r="K25" s="826" t="s">
        <v>107</v>
      </c>
      <c r="L25" s="826"/>
      <c r="M25" s="836" t="s">
        <v>1391</v>
      </c>
      <c r="N25" s="14"/>
      <c r="O25" s="13"/>
      <c r="P25" s="13"/>
    </row>
    <row r="26" spans="1:16">
      <c r="A26" s="824" t="s">
        <v>886</v>
      </c>
      <c r="B26" s="825">
        <v>8.4</v>
      </c>
      <c r="C26" s="825">
        <v>8.1999999999999993</v>
      </c>
      <c r="D26" s="825">
        <v>9</v>
      </c>
      <c r="E26" s="825">
        <v>8.6999999999999993</v>
      </c>
      <c r="F26" s="825">
        <v>8.9</v>
      </c>
      <c r="G26" s="825">
        <v>8.8000000000000007</v>
      </c>
      <c r="H26" s="825">
        <v>8.9</v>
      </c>
      <c r="I26" s="825">
        <v>9.1</v>
      </c>
      <c r="J26" s="825">
        <v>8.9</v>
      </c>
      <c r="K26" s="825">
        <v>8.9</v>
      </c>
      <c r="L26" s="825"/>
      <c r="M26" s="825">
        <f>AVERAGE(B26:K26)</f>
        <v>8.7800000000000011</v>
      </c>
      <c r="N26" s="14"/>
      <c r="O26" s="13"/>
      <c r="P26" s="13"/>
    </row>
    <row r="27" spans="1:16">
      <c r="A27" s="824" t="s">
        <v>885</v>
      </c>
      <c r="B27" s="825"/>
      <c r="C27" s="825"/>
      <c r="D27" s="825"/>
      <c r="E27" s="825">
        <v>12</v>
      </c>
      <c r="F27" s="825">
        <v>12</v>
      </c>
      <c r="G27" s="825">
        <v>12</v>
      </c>
      <c r="H27" s="825"/>
      <c r="I27" s="825"/>
      <c r="J27" s="825">
        <v>24</v>
      </c>
      <c r="K27" s="825"/>
      <c r="L27" s="825"/>
      <c r="M27" s="825">
        <f t="shared" ref="M27:M30" si="0">AVERAGE(B27:K27)</f>
        <v>15</v>
      </c>
      <c r="N27" s="14"/>
      <c r="O27" s="13"/>
      <c r="P27" s="13"/>
    </row>
    <row r="28" spans="1:16">
      <c r="A28" s="824" t="s">
        <v>117</v>
      </c>
      <c r="B28" s="825">
        <v>8</v>
      </c>
      <c r="C28" s="825"/>
      <c r="D28" s="825"/>
      <c r="E28" s="825"/>
      <c r="F28" s="825"/>
      <c r="G28" s="825"/>
      <c r="H28" s="825"/>
      <c r="I28" s="825"/>
      <c r="J28" s="825">
        <v>8</v>
      </c>
      <c r="K28" s="825"/>
      <c r="L28" s="825"/>
      <c r="M28" s="825">
        <f t="shared" si="0"/>
        <v>8</v>
      </c>
      <c r="N28" s="14"/>
      <c r="O28" s="13"/>
      <c r="P28" s="13"/>
    </row>
    <row r="29" spans="1:16">
      <c r="A29" s="824" t="s">
        <v>215</v>
      </c>
      <c r="B29" s="825">
        <v>15.9</v>
      </c>
      <c r="C29" s="825">
        <v>17.899999999999999</v>
      </c>
      <c r="D29" s="825"/>
      <c r="E29" s="825">
        <v>18</v>
      </c>
      <c r="F29" s="825">
        <v>13.5</v>
      </c>
      <c r="G29" s="825">
        <v>15</v>
      </c>
      <c r="H29" s="825">
        <v>16</v>
      </c>
      <c r="I29" s="825"/>
      <c r="J29" s="825">
        <v>16.3</v>
      </c>
      <c r="K29" s="825">
        <v>13.1</v>
      </c>
      <c r="L29" s="825"/>
      <c r="M29" s="825">
        <f t="shared" si="0"/>
        <v>15.712499999999999</v>
      </c>
      <c r="N29" s="14"/>
      <c r="O29" s="13"/>
      <c r="P29" s="13"/>
    </row>
    <row r="30" spans="1:16">
      <c r="A30" s="824" t="s">
        <v>115</v>
      </c>
      <c r="B30" s="825">
        <v>12</v>
      </c>
      <c r="C30" s="825"/>
      <c r="D30" s="825">
        <v>12</v>
      </c>
      <c r="E30" s="825">
        <v>12</v>
      </c>
      <c r="F30" s="825">
        <v>12</v>
      </c>
      <c r="G30" s="825">
        <v>12</v>
      </c>
      <c r="H30" s="825">
        <v>12</v>
      </c>
      <c r="I30" s="825">
        <v>12</v>
      </c>
      <c r="J30" s="825">
        <v>12</v>
      </c>
      <c r="K30" s="825">
        <v>12</v>
      </c>
      <c r="L30" s="825"/>
      <c r="M30" s="825">
        <f t="shared" si="0"/>
        <v>12</v>
      </c>
      <c r="N30" s="14"/>
      <c r="O30" s="13"/>
      <c r="P30" s="13"/>
    </row>
    <row r="31" spans="1:16">
      <c r="A31" s="31"/>
      <c r="B31" s="825"/>
      <c r="C31" s="825"/>
      <c r="D31" s="825"/>
      <c r="E31" s="825"/>
      <c r="F31" s="825"/>
      <c r="G31" s="825"/>
      <c r="H31" s="825"/>
      <c r="I31" s="825"/>
      <c r="J31" s="825"/>
      <c r="K31" s="825"/>
      <c r="L31" s="825"/>
      <c r="M31" s="13"/>
      <c r="N31" s="14"/>
      <c r="O31" s="13"/>
      <c r="P31" s="13"/>
    </row>
    <row r="32" spans="1:16">
      <c r="A32" s="31"/>
      <c r="B32" s="825"/>
      <c r="C32" s="825"/>
      <c r="D32" s="825"/>
      <c r="E32" s="825"/>
      <c r="F32" s="825"/>
      <c r="G32" s="825"/>
      <c r="H32" s="825"/>
      <c r="I32" s="825"/>
      <c r="J32" s="825"/>
      <c r="K32" s="825"/>
      <c r="L32" s="825"/>
      <c r="M32" s="13"/>
      <c r="N32" s="14"/>
      <c r="O32" s="13"/>
      <c r="P32" s="13"/>
    </row>
    <row r="33" spans="1:16">
      <c r="A33" s="31"/>
      <c r="B33" s="13"/>
      <c r="C33" s="13"/>
      <c r="D33" s="13"/>
      <c r="E33" s="13"/>
      <c r="F33" s="13"/>
      <c r="G33" s="13"/>
      <c r="H33" s="13"/>
      <c r="I33" s="13"/>
      <c r="J33" s="13"/>
      <c r="K33" s="13"/>
      <c r="L33" s="13"/>
      <c r="M33" s="13"/>
      <c r="N33" s="14"/>
      <c r="O33" s="13"/>
      <c r="P33" s="13"/>
    </row>
    <row r="34" spans="1:16">
      <c r="A34" s="823" t="s">
        <v>682</v>
      </c>
      <c r="B34" s="13"/>
      <c r="C34" s="13"/>
      <c r="D34" s="13"/>
      <c r="E34" s="13"/>
      <c r="F34" s="13"/>
      <c r="G34" s="13"/>
      <c r="H34" s="13"/>
      <c r="I34" s="13"/>
      <c r="J34" s="13"/>
      <c r="K34" s="13"/>
      <c r="L34" s="13"/>
      <c r="M34" s="13"/>
      <c r="N34" s="14"/>
      <c r="O34" s="13"/>
      <c r="P34" s="13"/>
    </row>
    <row r="35" spans="1:16">
      <c r="A35" s="31"/>
      <c r="B35" s="370" t="s">
        <v>26</v>
      </c>
      <c r="C35" s="370" t="s">
        <v>25</v>
      </c>
      <c r="D35" s="370" t="s">
        <v>24</v>
      </c>
      <c r="E35" s="370" t="s">
        <v>27</v>
      </c>
      <c r="F35" s="370" t="s">
        <v>574</v>
      </c>
      <c r="G35" s="370" t="s">
        <v>573</v>
      </c>
      <c r="H35" s="370" t="s">
        <v>32</v>
      </c>
      <c r="I35" s="370" t="s">
        <v>884</v>
      </c>
      <c r="J35" s="370" t="s">
        <v>95</v>
      </c>
      <c r="K35" s="370" t="s">
        <v>107</v>
      </c>
      <c r="L35" s="370" t="s">
        <v>452</v>
      </c>
      <c r="M35" s="370" t="s">
        <v>470</v>
      </c>
      <c r="N35" s="827" t="s">
        <v>891</v>
      </c>
      <c r="O35" s="370" t="s">
        <v>892</v>
      </c>
      <c r="P35" s="13"/>
    </row>
    <row r="36" spans="1:16">
      <c r="A36" s="824" t="s">
        <v>886</v>
      </c>
      <c r="B36" s="547">
        <f t="shared" ref="B36:K36" si="1">(B8*B17*B26*365)/1000000000</f>
        <v>2.76330915</v>
      </c>
      <c r="C36" s="547">
        <f t="shared" si="1"/>
        <v>0.58050432199999991</v>
      </c>
      <c r="D36" s="547">
        <f t="shared" si="1"/>
        <v>0.87099804000000003</v>
      </c>
      <c r="E36" s="547">
        <f t="shared" si="1"/>
        <v>1.6628696279999997</v>
      </c>
      <c r="F36" s="547">
        <f t="shared" si="1"/>
        <v>0.46578617249999998</v>
      </c>
      <c r="G36" s="547">
        <f t="shared" si="1"/>
        <v>2.2814193600000006</v>
      </c>
      <c r="H36" s="547">
        <f t="shared" si="1"/>
        <v>2.0065399770000001</v>
      </c>
      <c r="I36" s="547">
        <f t="shared" si="1"/>
        <v>6.7346734000000005E-2</v>
      </c>
      <c r="J36" s="547">
        <f t="shared" si="1"/>
        <v>9.0958000000000006E-5</v>
      </c>
      <c r="K36" s="547">
        <f t="shared" si="1"/>
        <v>6.4944012000000009E-2</v>
      </c>
      <c r="L36" s="828">
        <f>SUM(B36:K36)</f>
        <v>10.763808353499998</v>
      </c>
      <c r="M36" s="47">
        <f>L36/$L$41</f>
        <v>0.10577108535017885</v>
      </c>
      <c r="N36" s="829">
        <f>L36/SUM(L36,L37,L39)</f>
        <v>0.18649747904899194</v>
      </c>
      <c r="O36" s="13"/>
      <c r="P36" s="13"/>
    </row>
    <row r="37" spans="1:16">
      <c r="A37" s="824" t="s">
        <v>885</v>
      </c>
      <c r="B37" s="547"/>
      <c r="C37" s="547"/>
      <c r="D37" s="547"/>
      <c r="E37" s="547">
        <f>(E9*E18*E27*365)/1000000000</f>
        <v>3.2412000000000001E-3</v>
      </c>
      <c r="F37" s="547">
        <f>(F9*F18*F27*365)/1000000000</f>
        <v>8.7600000000000004E-3</v>
      </c>
      <c r="G37" s="547">
        <f>(G9*G18*G27*365)/1000000000</f>
        <v>0.87950399999999995</v>
      </c>
      <c r="H37" s="547"/>
      <c r="I37" s="547"/>
      <c r="J37" s="547">
        <f>(J9*J18*J27*365)/1000000000</f>
        <v>7.6649999999999999E-3</v>
      </c>
      <c r="K37" s="547"/>
      <c r="L37" s="828">
        <f>SUM(B37:K37)</f>
        <v>0.89917020000000003</v>
      </c>
      <c r="M37" s="47">
        <f>L37/$L$41</f>
        <v>8.8357396234774385E-3</v>
      </c>
      <c r="N37" s="829">
        <f>L37/SUM(L36,L37,L39)</f>
        <v>1.5579334936918519E-2</v>
      </c>
      <c r="O37" s="13"/>
      <c r="P37" s="13"/>
    </row>
    <row r="38" spans="1:16">
      <c r="A38" s="824" t="s">
        <v>117</v>
      </c>
      <c r="B38" s="547">
        <f>(B10*B19*B28*365)/1000000000</f>
        <v>0.29798599999999997</v>
      </c>
      <c r="C38" s="547"/>
      <c r="D38" s="547"/>
      <c r="E38" s="547"/>
      <c r="F38" s="547"/>
      <c r="G38" s="547"/>
      <c r="H38" s="547"/>
      <c r="I38" s="547"/>
      <c r="J38" s="547">
        <f>(J10*J19*J28*365)/1000000000</f>
        <v>0.39178224</v>
      </c>
      <c r="K38" s="547"/>
      <c r="L38" s="828">
        <f>SUM(B38:K38)</f>
        <v>0.68976824000000003</v>
      </c>
      <c r="M38" s="47">
        <f>L38/$L$41</f>
        <v>6.7780410974299368E-3</v>
      </c>
      <c r="N38" s="829"/>
      <c r="O38" s="49">
        <f>L38/SUM(L38,L40)</f>
        <v>1.5658913022640469E-2</v>
      </c>
      <c r="P38" s="13"/>
    </row>
    <row r="39" spans="1:16">
      <c r="A39" s="824" t="s">
        <v>215</v>
      </c>
      <c r="B39" s="547">
        <f>(B11*B20*B29*365)/1000000000</f>
        <v>0.644792064</v>
      </c>
      <c r="C39" s="547">
        <f>(C11*C20*C29*365)/1000000000</f>
        <v>0.58142923199999985</v>
      </c>
      <c r="D39" s="547"/>
      <c r="E39" s="547">
        <f t="shared" ref="E39:H40" si="2">(E11*E20*E29*365)/1000000000</f>
        <v>7.9591279500000001</v>
      </c>
      <c r="F39" s="547">
        <f t="shared" si="2"/>
        <v>0.73986412499999998</v>
      </c>
      <c r="G39" s="547">
        <f t="shared" si="2"/>
        <v>17.403842399999998</v>
      </c>
      <c r="H39" s="547">
        <f t="shared" si="2"/>
        <v>16.674397200000001</v>
      </c>
      <c r="I39" s="547"/>
      <c r="J39" s="547">
        <f>(J11*J20*J29*365)/1000000000</f>
        <v>0.79640007000000002</v>
      </c>
      <c r="K39" s="547">
        <f>(K11*K20*K29*365)/1000000000</f>
        <v>1.2527386555</v>
      </c>
      <c r="L39" s="828">
        <f>SUM(B39:K39)</f>
        <v>46.052591696500002</v>
      </c>
      <c r="M39" s="47">
        <f>L39/$L$41</f>
        <v>0.45253802808032689</v>
      </c>
      <c r="N39" s="829">
        <f>L39/SUM(L36,L37,L39)</f>
        <v>0.79792318601408951</v>
      </c>
      <c r="O39" s="49"/>
      <c r="P39" s="13"/>
    </row>
    <row r="40" spans="1:16">
      <c r="A40" s="824" t="s">
        <v>115</v>
      </c>
      <c r="B40" s="547">
        <f>(B12*B21*B30*365)/1000000000</f>
        <v>0.23783399999999999</v>
      </c>
      <c r="C40" s="547"/>
      <c r="D40" s="547">
        <f>(D12*D21*D30*365)/1000000000</f>
        <v>3.8544000000000002E-4</v>
      </c>
      <c r="E40" s="547">
        <f t="shared" si="2"/>
        <v>1.2045E-2</v>
      </c>
      <c r="F40" s="547">
        <f t="shared" si="2"/>
        <v>2.0456614800000001</v>
      </c>
      <c r="G40" s="547">
        <f t="shared" si="2"/>
        <v>4.2005426400000001</v>
      </c>
      <c r="H40" s="547">
        <f t="shared" si="2"/>
        <v>35.962165200000001</v>
      </c>
      <c r="I40" s="547">
        <f>(I12*I21*I30*365)/1000000000</f>
        <v>0.40381847999999998</v>
      </c>
      <c r="J40" s="547">
        <f>(J12*J21*J30*365)/1000000000</f>
        <v>0.48077508000000002</v>
      </c>
      <c r="K40" s="547">
        <f>(K12*K21*K30*365)/1000000000</f>
        <v>1.6565159999999999E-2</v>
      </c>
      <c r="L40" s="828">
        <f>SUM(B40:K40)</f>
        <v>43.359792479999996</v>
      </c>
      <c r="M40" s="47">
        <f>L40/$L$41</f>
        <v>0.42607710584858688</v>
      </c>
      <c r="N40" s="14"/>
      <c r="O40" s="49">
        <f>L40/SUM(L38,L40)</f>
        <v>0.98434108697735956</v>
      </c>
      <c r="P40" s="13"/>
    </row>
    <row r="41" spans="1:16">
      <c r="A41" s="830" t="s">
        <v>452</v>
      </c>
      <c r="B41" s="831"/>
      <c r="C41" s="831"/>
      <c r="D41" s="831"/>
      <c r="E41" s="831"/>
      <c r="F41" s="831"/>
      <c r="G41" s="831"/>
      <c r="H41" s="831"/>
      <c r="I41" s="831"/>
      <c r="J41" s="831"/>
      <c r="K41" s="831"/>
      <c r="L41" s="832">
        <f>SUM(L36:L40)</f>
        <v>101.76513097</v>
      </c>
      <c r="M41" s="833"/>
      <c r="N41" s="14"/>
      <c r="O41" s="13"/>
      <c r="P41" s="13"/>
    </row>
    <row r="42" spans="1:16">
      <c r="A42" s="31"/>
      <c r="B42" s="831"/>
      <c r="C42" s="831"/>
      <c r="D42" s="831"/>
      <c r="E42" s="831"/>
      <c r="F42" s="831"/>
      <c r="G42" s="831"/>
      <c r="H42" s="831"/>
      <c r="I42" s="831"/>
      <c r="J42" s="831"/>
      <c r="K42" s="831"/>
      <c r="L42" s="831"/>
      <c r="M42" s="13"/>
      <c r="N42" s="14"/>
      <c r="O42" s="13"/>
      <c r="P42" s="13"/>
    </row>
    <row r="43" spans="1:16">
      <c r="A43" s="31"/>
      <c r="B43" s="831"/>
      <c r="C43" s="831"/>
      <c r="D43" s="831"/>
      <c r="E43" s="831"/>
      <c r="F43" s="831"/>
      <c r="G43" s="831"/>
      <c r="H43" s="831"/>
      <c r="I43" s="831"/>
      <c r="J43" s="831"/>
      <c r="K43" s="831"/>
      <c r="L43" s="831"/>
      <c r="M43" s="13"/>
      <c r="N43" s="14"/>
      <c r="O43" s="13"/>
      <c r="P43" s="13"/>
    </row>
    <row r="44" spans="1:16">
      <c r="A44" s="823" t="s">
        <v>890</v>
      </c>
      <c r="B44" s="831"/>
      <c r="C44" s="831"/>
      <c r="D44" s="831"/>
      <c r="E44" s="831"/>
      <c r="F44" s="831"/>
      <c r="G44" s="831"/>
      <c r="H44" s="831"/>
      <c r="I44" s="831"/>
      <c r="J44" s="831"/>
      <c r="K44" s="831"/>
      <c r="L44" s="831"/>
      <c r="M44" s="13"/>
      <c r="N44" s="14"/>
      <c r="O44" s="13"/>
      <c r="P44" s="13"/>
    </row>
    <row r="45" spans="1:16">
      <c r="A45" s="31"/>
      <c r="B45" s="834" t="s">
        <v>26</v>
      </c>
      <c r="C45" s="834" t="s">
        <v>25</v>
      </c>
      <c r="D45" s="834" t="s">
        <v>24</v>
      </c>
      <c r="E45" s="834" t="s">
        <v>27</v>
      </c>
      <c r="F45" s="834" t="s">
        <v>574</v>
      </c>
      <c r="G45" s="834" t="s">
        <v>573</v>
      </c>
      <c r="H45" s="834" t="s">
        <v>32</v>
      </c>
      <c r="I45" s="834" t="s">
        <v>884</v>
      </c>
      <c r="J45" s="834" t="s">
        <v>95</v>
      </c>
      <c r="K45" s="834" t="s">
        <v>107</v>
      </c>
      <c r="L45" s="834" t="s">
        <v>452</v>
      </c>
      <c r="M45" s="13"/>
      <c r="N45" s="14"/>
      <c r="O45" s="13"/>
      <c r="P45" s="13"/>
    </row>
    <row r="46" spans="1:16">
      <c r="A46" s="824" t="s">
        <v>886</v>
      </c>
      <c r="B46" s="49">
        <f t="shared" ref="B46:K46" si="3">IF(B36="","",B36/$L36)</f>
        <v>0.25672225473073129</v>
      </c>
      <c r="C46" s="49">
        <f t="shared" si="3"/>
        <v>5.3931127620944777E-2</v>
      </c>
      <c r="D46" s="49">
        <f t="shared" si="3"/>
        <v>8.0919133023841253E-2</v>
      </c>
      <c r="E46" s="49">
        <f t="shared" si="3"/>
        <v>0.15448710840892063</v>
      </c>
      <c r="F46" s="49">
        <f t="shared" si="3"/>
        <v>4.3273361732471136E-2</v>
      </c>
      <c r="G46" s="49">
        <f t="shared" si="3"/>
        <v>0.2119528037916214</v>
      </c>
      <c r="H46" s="49">
        <f t="shared" si="3"/>
        <v>0.18641543133267943</v>
      </c>
      <c r="I46" s="49">
        <f t="shared" si="3"/>
        <v>6.2567756493082955E-3</v>
      </c>
      <c r="J46" s="49">
        <f t="shared" si="3"/>
        <v>8.4503548384363222E-6</v>
      </c>
      <c r="K46" s="49">
        <f t="shared" si="3"/>
        <v>6.0335533546435338E-3</v>
      </c>
      <c r="L46" s="49">
        <f>SUM(B46:K46)</f>
        <v>1.0000000000000002</v>
      </c>
      <c r="M46" s="13"/>
      <c r="N46" s="14"/>
      <c r="O46" s="13"/>
      <c r="P46" s="13"/>
    </row>
    <row r="47" spans="1:16">
      <c r="A47" s="824" t="s">
        <v>885</v>
      </c>
      <c r="B47" s="49" t="str">
        <f t="shared" ref="B47:K47" si="4">IF(B37="","",B37/$L37)</f>
        <v/>
      </c>
      <c r="C47" s="49" t="str">
        <f t="shared" si="4"/>
        <v/>
      </c>
      <c r="D47" s="49" t="str">
        <f t="shared" si="4"/>
        <v/>
      </c>
      <c r="E47" s="49">
        <f t="shared" si="4"/>
        <v>3.6046568269277606E-3</v>
      </c>
      <c r="F47" s="49">
        <f t="shared" si="4"/>
        <v>9.7423157484534083E-3</v>
      </c>
      <c r="G47" s="49">
        <f t="shared" si="4"/>
        <v>0.97812850114472205</v>
      </c>
      <c r="H47" s="49" t="str">
        <f t="shared" si="4"/>
        <v/>
      </c>
      <c r="I47" s="49" t="str">
        <f t="shared" si="4"/>
        <v/>
      </c>
      <c r="J47" s="49">
        <f t="shared" si="4"/>
        <v>8.5245262798967318E-3</v>
      </c>
      <c r="K47" s="49" t="str">
        <f t="shared" si="4"/>
        <v/>
      </c>
      <c r="L47" s="49">
        <f>SUM(B47:K47)</f>
        <v>1</v>
      </c>
      <c r="M47" s="13"/>
      <c r="N47" s="14"/>
      <c r="O47" s="13"/>
      <c r="P47" s="13"/>
    </row>
    <row r="48" spans="1:16">
      <c r="A48" s="824" t="s">
        <v>117</v>
      </c>
      <c r="B48" s="49">
        <f t="shared" ref="B48:K48" si="5">IF(B38="","",B38/$L38)</f>
        <v>0.43200887300928781</v>
      </c>
      <c r="C48" s="49" t="str">
        <f t="shared" si="5"/>
        <v/>
      </c>
      <c r="D48" s="49" t="str">
        <f t="shared" si="5"/>
        <v/>
      </c>
      <c r="E48" s="49" t="str">
        <f t="shared" si="5"/>
        <v/>
      </c>
      <c r="F48" s="49" t="str">
        <f t="shared" si="5"/>
        <v/>
      </c>
      <c r="G48" s="49" t="str">
        <f t="shared" si="5"/>
        <v/>
      </c>
      <c r="H48" s="49" t="str">
        <f t="shared" si="5"/>
        <v/>
      </c>
      <c r="I48" s="49" t="str">
        <f t="shared" si="5"/>
        <v/>
      </c>
      <c r="J48" s="49">
        <f t="shared" si="5"/>
        <v>0.56799112699071208</v>
      </c>
      <c r="K48" s="49" t="str">
        <f t="shared" si="5"/>
        <v/>
      </c>
      <c r="L48" s="49">
        <f>SUM(B48:K48)</f>
        <v>0.99999999999999989</v>
      </c>
      <c r="M48" s="13"/>
      <c r="N48" s="14"/>
      <c r="O48" s="13"/>
      <c r="P48" s="13"/>
    </row>
    <row r="49" spans="1:28">
      <c r="A49" s="824" t="s">
        <v>215</v>
      </c>
      <c r="B49" s="49">
        <f t="shared" ref="B49:K49" si="6">IF(B39="","",B39/$L39)</f>
        <v>1.4001211229312947E-2</v>
      </c>
      <c r="C49" s="49">
        <f t="shared" si="6"/>
        <v>1.2625331400060781E-2</v>
      </c>
      <c r="D49" s="49" t="str">
        <f t="shared" si="6"/>
        <v/>
      </c>
      <c r="E49" s="49">
        <f t="shared" si="6"/>
        <v>0.17282692801423583</v>
      </c>
      <c r="F49" s="49">
        <f t="shared" si="6"/>
        <v>1.6065634913142786E-2</v>
      </c>
      <c r="G49" s="49">
        <f t="shared" si="6"/>
        <v>0.37791233367920724</v>
      </c>
      <c r="H49" s="49">
        <f t="shared" si="6"/>
        <v>0.36207293847627808</v>
      </c>
      <c r="I49" s="49" t="str">
        <f t="shared" si="6"/>
        <v/>
      </c>
      <c r="J49" s="49">
        <f t="shared" si="6"/>
        <v>1.7293273639158217E-2</v>
      </c>
      <c r="K49" s="49">
        <f t="shared" si="6"/>
        <v>2.7202348648604029E-2</v>
      </c>
      <c r="L49" s="49">
        <f>SUM(B49:K49)</f>
        <v>0.99999999999999989</v>
      </c>
      <c r="M49" s="13"/>
      <c r="N49" s="14"/>
      <c r="O49" s="13"/>
      <c r="P49" s="13"/>
    </row>
    <row r="50" spans="1:28">
      <c r="A50" s="824" t="s">
        <v>115</v>
      </c>
      <c r="B50" s="49">
        <f t="shared" ref="B50:K50" si="7">IF(B40="","",B40/$L40)</f>
        <v>5.4851277277146232E-3</v>
      </c>
      <c r="C50" s="49" t="str">
        <f t="shared" si="7"/>
        <v/>
      </c>
      <c r="D50" s="49">
        <f t="shared" si="7"/>
        <v>8.8893414371802368E-6</v>
      </c>
      <c r="E50" s="49">
        <f t="shared" si="7"/>
        <v>2.777919199118824E-4</v>
      </c>
      <c r="F50" s="49">
        <f t="shared" si="7"/>
        <v>4.717876546442365E-2</v>
      </c>
      <c r="G50" s="49">
        <f t="shared" si="7"/>
        <v>9.687644704336465E-2</v>
      </c>
      <c r="H50" s="49">
        <f t="shared" si="7"/>
        <v>0.82938969822302078</v>
      </c>
      <c r="I50" s="49">
        <f t="shared" si="7"/>
        <v>9.3132013993439677E-3</v>
      </c>
      <c r="J50" s="49">
        <f t="shared" si="7"/>
        <v>1.1088039229471885E-2</v>
      </c>
      <c r="K50" s="49">
        <f t="shared" si="7"/>
        <v>3.8203965131154152E-4</v>
      </c>
      <c r="L50" s="49">
        <f>SUM(B50:K50)</f>
        <v>1.0000000000000002</v>
      </c>
      <c r="M50" s="13"/>
      <c r="N50" s="14"/>
      <c r="O50" s="13"/>
      <c r="P50" s="13"/>
    </row>
    <row r="51" spans="1:28">
      <c r="A51" s="31"/>
      <c r="B51" s="13"/>
      <c r="C51" s="13"/>
      <c r="D51" s="13"/>
      <c r="E51" s="13"/>
      <c r="F51" s="13"/>
      <c r="G51" s="13"/>
      <c r="H51" s="13"/>
      <c r="I51" s="13"/>
      <c r="J51" s="13"/>
      <c r="K51" s="13"/>
      <c r="L51" s="13"/>
      <c r="M51" s="13"/>
      <c r="N51" s="14"/>
      <c r="O51" s="13"/>
      <c r="P51" s="13"/>
    </row>
    <row r="52" spans="1:28">
      <c r="A52" s="31"/>
      <c r="B52" s="13" t="s">
        <v>10</v>
      </c>
      <c r="C52" s="13" t="s">
        <v>827</v>
      </c>
      <c r="D52" s="13" t="s">
        <v>828</v>
      </c>
      <c r="E52" s="13" t="s">
        <v>450</v>
      </c>
      <c r="F52" s="13" t="s">
        <v>998</v>
      </c>
      <c r="G52" s="13"/>
      <c r="H52" s="13"/>
      <c r="I52" s="13"/>
      <c r="J52" s="13"/>
      <c r="K52" s="13"/>
      <c r="L52" s="13"/>
      <c r="M52" s="13"/>
      <c r="N52" s="14"/>
      <c r="O52" s="13"/>
      <c r="P52" s="13"/>
      <c r="AB52" s="384"/>
    </row>
    <row r="53" spans="1:28">
      <c r="A53" s="31" t="s">
        <v>27</v>
      </c>
      <c r="B53" s="835">
        <f>SUM(B54:B63)</f>
        <v>5.1999999999999998E-2</v>
      </c>
      <c r="C53" s="835">
        <f t="shared" ref="C53:E53" si="8">SUM(C54:C63)</f>
        <v>0.71599999999999997</v>
      </c>
      <c r="D53" s="835">
        <f t="shared" si="8"/>
        <v>0.47000000000000003</v>
      </c>
      <c r="E53" s="835">
        <f t="shared" si="8"/>
        <v>6.8000000000000005E-2</v>
      </c>
      <c r="F53" s="13"/>
      <c r="G53" s="13"/>
      <c r="H53" s="13"/>
      <c r="I53" s="13"/>
      <c r="J53" s="13"/>
      <c r="K53" s="13"/>
      <c r="L53" s="13"/>
      <c r="M53" s="13"/>
      <c r="N53" s="14"/>
      <c r="AB53" s="38"/>
    </row>
    <row r="54" spans="1:28">
      <c r="A54" s="31" t="s">
        <v>946</v>
      </c>
      <c r="B54" s="835">
        <v>0</v>
      </c>
      <c r="C54" s="835">
        <v>4.4999999999999998E-2</v>
      </c>
      <c r="D54" s="835">
        <v>4.9000000000000002E-2</v>
      </c>
      <c r="E54" s="835"/>
      <c r="F54" s="13"/>
      <c r="G54" s="13"/>
      <c r="H54" s="13"/>
      <c r="I54" s="13"/>
      <c r="J54" s="13"/>
      <c r="K54" s="13"/>
      <c r="L54" s="13"/>
      <c r="M54" s="13"/>
      <c r="N54" s="14"/>
      <c r="AB54" s="384"/>
    </row>
    <row r="55" spans="1:28">
      <c r="A55" s="31" t="s">
        <v>947</v>
      </c>
      <c r="B55" s="835">
        <v>0</v>
      </c>
      <c r="C55" s="835">
        <v>3.0000000000000001E-3</v>
      </c>
      <c r="D55" s="835">
        <v>2E-3</v>
      </c>
      <c r="E55" s="835"/>
      <c r="F55" s="13"/>
      <c r="G55" s="13"/>
      <c r="H55" s="13"/>
      <c r="I55" s="13"/>
      <c r="J55" s="13"/>
      <c r="K55" s="13"/>
      <c r="L55" s="13"/>
      <c r="M55" s="13"/>
      <c r="N55" s="14"/>
    </row>
    <row r="56" spans="1:28">
      <c r="A56" s="31" t="s">
        <v>948</v>
      </c>
      <c r="B56" s="835">
        <v>6.0000000000000001E-3</v>
      </c>
      <c r="C56" s="835">
        <v>0.318</v>
      </c>
      <c r="D56" s="835">
        <v>0.217</v>
      </c>
      <c r="E56" s="835"/>
      <c r="F56" s="13"/>
      <c r="G56" s="13"/>
      <c r="H56" s="13"/>
      <c r="I56" s="13"/>
      <c r="J56" s="13"/>
      <c r="K56" s="13"/>
      <c r="L56" s="13"/>
      <c r="M56" s="13"/>
      <c r="N56" s="14"/>
    </row>
    <row r="57" spans="1:28">
      <c r="A57" s="31" t="s">
        <v>949</v>
      </c>
      <c r="B57" s="835">
        <v>0</v>
      </c>
      <c r="C57" s="835">
        <v>1.7999999999999999E-2</v>
      </c>
      <c r="D57" s="835">
        <v>2.3E-2</v>
      </c>
      <c r="E57" s="835"/>
      <c r="F57" s="13"/>
      <c r="G57" s="13"/>
      <c r="H57" s="13"/>
      <c r="I57" s="13"/>
      <c r="J57" s="13"/>
      <c r="K57" s="13"/>
      <c r="L57" s="13"/>
      <c r="M57" s="13"/>
      <c r="N57" s="14"/>
    </row>
    <row r="58" spans="1:28">
      <c r="A58" s="31" t="s">
        <v>950</v>
      </c>
      <c r="B58" s="835">
        <v>0</v>
      </c>
      <c r="C58" s="835">
        <v>3.0000000000000001E-3</v>
      </c>
      <c r="D58" s="835">
        <v>0</v>
      </c>
      <c r="E58" s="835"/>
      <c r="F58" s="13"/>
      <c r="G58" s="13"/>
      <c r="H58" s="13"/>
      <c r="I58" s="13"/>
      <c r="J58" s="13"/>
      <c r="K58" s="13"/>
      <c r="L58" s="13"/>
      <c r="M58" s="13"/>
      <c r="N58" s="14"/>
    </row>
    <row r="59" spans="1:28">
      <c r="A59" s="31" t="s">
        <v>951</v>
      </c>
      <c r="B59" s="835">
        <v>3.3000000000000002E-2</v>
      </c>
      <c r="C59" s="835">
        <v>0.20399999999999999</v>
      </c>
      <c r="D59" s="835">
        <v>8.5999999999999993E-2</v>
      </c>
      <c r="E59" s="835"/>
      <c r="F59" s="13"/>
      <c r="G59" s="13"/>
      <c r="H59" s="13"/>
      <c r="I59" s="13"/>
      <c r="J59" s="13"/>
      <c r="K59" s="13"/>
      <c r="L59" s="13"/>
      <c r="M59" s="13"/>
      <c r="N59" s="14"/>
    </row>
    <row r="60" spans="1:28">
      <c r="A60" s="31" t="s">
        <v>952</v>
      </c>
      <c r="B60" s="835">
        <v>5.0000000000000001E-3</v>
      </c>
      <c r="C60" s="835">
        <v>9.9000000000000005E-2</v>
      </c>
      <c r="D60" s="835">
        <v>8.5000000000000006E-2</v>
      </c>
      <c r="E60" s="835"/>
      <c r="F60" s="13"/>
      <c r="G60" s="13"/>
      <c r="H60" s="13"/>
      <c r="I60" s="13"/>
      <c r="J60" s="13"/>
      <c r="K60" s="13"/>
      <c r="L60" s="13"/>
      <c r="M60" s="13"/>
      <c r="N60" s="14"/>
    </row>
    <row r="61" spans="1:28">
      <c r="A61" s="31" t="s">
        <v>953</v>
      </c>
      <c r="B61" s="835">
        <v>0</v>
      </c>
      <c r="C61" s="835">
        <v>1.6E-2</v>
      </c>
      <c r="D61" s="835">
        <v>2E-3</v>
      </c>
      <c r="E61" s="835"/>
      <c r="F61" s="13"/>
      <c r="G61" s="13"/>
      <c r="H61" s="13"/>
      <c r="I61" s="13"/>
      <c r="J61" s="13"/>
      <c r="K61" s="13"/>
      <c r="L61" s="13"/>
      <c r="M61" s="13"/>
      <c r="N61" s="14"/>
    </row>
    <row r="62" spans="1:28">
      <c r="A62" s="31" t="s">
        <v>954</v>
      </c>
      <c r="B62" s="835">
        <v>0</v>
      </c>
      <c r="C62" s="835">
        <v>5.0000000000000001E-3</v>
      </c>
      <c r="D62" s="835">
        <v>4.0000000000000001E-3</v>
      </c>
      <c r="E62" s="835"/>
      <c r="F62" s="13"/>
      <c r="G62" s="13"/>
      <c r="H62" s="13"/>
      <c r="I62" s="13"/>
      <c r="J62" s="13"/>
      <c r="K62" s="13"/>
      <c r="L62" s="13"/>
      <c r="M62" s="13"/>
      <c r="N62" s="14"/>
    </row>
    <row r="63" spans="1:28" ht="75" customHeight="1">
      <c r="A63" s="31" t="s">
        <v>541</v>
      </c>
      <c r="B63" s="835">
        <v>8.0000000000000002E-3</v>
      </c>
      <c r="C63" s="835">
        <v>5.0000000000000001E-3</v>
      </c>
      <c r="D63" s="835">
        <v>2E-3</v>
      </c>
      <c r="E63" s="835">
        <v>6.8000000000000005E-2</v>
      </c>
      <c r="F63" s="13"/>
      <c r="G63" s="13"/>
      <c r="H63" s="13"/>
      <c r="I63" s="13"/>
      <c r="J63" s="13"/>
      <c r="K63" s="13"/>
      <c r="L63" s="13"/>
      <c r="M63" s="13"/>
      <c r="N63" s="14"/>
    </row>
    <row r="64" spans="1:28">
      <c r="A64" s="31"/>
      <c r="B64" s="13"/>
      <c r="C64" s="13"/>
      <c r="D64" s="13"/>
      <c r="E64" s="13"/>
      <c r="F64" s="13"/>
      <c r="G64" s="13"/>
      <c r="H64" s="13"/>
      <c r="I64" s="13"/>
      <c r="J64" s="13"/>
      <c r="K64" s="13"/>
      <c r="L64" s="13"/>
      <c r="M64" s="13"/>
      <c r="N64" s="14"/>
    </row>
    <row r="65" spans="1:14">
      <c r="A65" s="31" t="s">
        <v>946</v>
      </c>
      <c r="B65" s="835">
        <f t="shared" ref="B65:B74" si="9">B54/$B$53</f>
        <v>0</v>
      </c>
      <c r="C65" s="835">
        <f t="shared" ref="C65:C74" si="10">C54/$C$53</f>
        <v>6.2849162011173187E-2</v>
      </c>
      <c r="D65" s="835">
        <f t="shared" ref="D65:D74" si="11">D54/$D$53</f>
        <v>0.10425531914893617</v>
      </c>
      <c r="E65" s="835">
        <f t="shared" ref="E65:E74" si="12">E54/$E$53</f>
        <v>0</v>
      </c>
      <c r="F65" s="13"/>
      <c r="G65" s="13"/>
      <c r="H65" s="13"/>
      <c r="I65" s="13"/>
      <c r="J65" s="13"/>
      <c r="K65" s="13"/>
      <c r="L65" s="13"/>
      <c r="M65" s="13"/>
      <c r="N65" s="14"/>
    </row>
    <row r="66" spans="1:14">
      <c r="A66" s="31" t="s">
        <v>947</v>
      </c>
      <c r="B66" s="835">
        <f t="shared" si="9"/>
        <v>0</v>
      </c>
      <c r="C66" s="835">
        <f t="shared" si="10"/>
        <v>4.1899441340782122E-3</v>
      </c>
      <c r="D66" s="835">
        <f t="shared" si="11"/>
        <v>4.2553191489361703E-3</v>
      </c>
      <c r="E66" s="835">
        <f t="shared" si="12"/>
        <v>0</v>
      </c>
      <c r="F66" s="13"/>
      <c r="G66" s="13"/>
      <c r="H66" s="13"/>
      <c r="I66" s="13"/>
      <c r="J66" s="13"/>
      <c r="K66" s="13"/>
      <c r="L66" s="13"/>
      <c r="M66" s="13"/>
      <c r="N66" s="14"/>
    </row>
    <row r="67" spans="1:14">
      <c r="A67" s="31" t="s">
        <v>948</v>
      </c>
      <c r="B67" s="835">
        <f t="shared" si="9"/>
        <v>0.11538461538461539</v>
      </c>
      <c r="C67" s="835">
        <f t="shared" si="10"/>
        <v>0.44413407821229051</v>
      </c>
      <c r="D67" s="835">
        <f t="shared" si="11"/>
        <v>0.46170212765957441</v>
      </c>
      <c r="E67" s="835">
        <f t="shared" si="12"/>
        <v>0</v>
      </c>
      <c r="F67" s="13"/>
      <c r="G67" s="13"/>
      <c r="H67" s="13"/>
      <c r="I67" s="13"/>
      <c r="J67" s="13"/>
      <c r="K67" s="13"/>
      <c r="L67" s="13"/>
      <c r="M67" s="13"/>
      <c r="N67" s="14"/>
    </row>
    <row r="68" spans="1:14">
      <c r="A68" s="31" t="s">
        <v>949</v>
      </c>
      <c r="B68" s="835">
        <f t="shared" si="9"/>
        <v>0</v>
      </c>
      <c r="C68" s="835">
        <f t="shared" si="10"/>
        <v>2.5139664804469272E-2</v>
      </c>
      <c r="D68" s="835">
        <f t="shared" si="11"/>
        <v>4.8936170212765952E-2</v>
      </c>
      <c r="E68" s="835">
        <f t="shared" si="12"/>
        <v>0</v>
      </c>
      <c r="F68" s="13"/>
      <c r="G68" s="13"/>
      <c r="H68" s="13"/>
      <c r="I68" s="13"/>
      <c r="J68" s="13"/>
      <c r="K68" s="13"/>
      <c r="L68" s="13"/>
      <c r="M68" s="13"/>
      <c r="N68" s="14"/>
    </row>
    <row r="69" spans="1:14">
      <c r="A69" s="31" t="s">
        <v>950</v>
      </c>
      <c r="B69" s="835">
        <f t="shared" si="9"/>
        <v>0</v>
      </c>
      <c r="C69" s="835">
        <f t="shared" si="10"/>
        <v>4.1899441340782122E-3</v>
      </c>
      <c r="D69" s="835">
        <f t="shared" si="11"/>
        <v>0</v>
      </c>
      <c r="E69" s="835">
        <f t="shared" si="12"/>
        <v>0</v>
      </c>
      <c r="F69" s="13"/>
      <c r="G69" s="13"/>
      <c r="H69" s="13"/>
      <c r="I69" s="13"/>
      <c r="J69" s="13"/>
      <c r="K69" s="13"/>
      <c r="L69" s="13"/>
      <c r="M69" s="13"/>
      <c r="N69" s="14"/>
    </row>
    <row r="70" spans="1:14">
      <c r="A70" s="31" t="s">
        <v>951</v>
      </c>
      <c r="B70" s="835">
        <f t="shared" si="9"/>
        <v>0.63461538461538469</v>
      </c>
      <c r="C70" s="835">
        <f t="shared" si="10"/>
        <v>0.28491620111731841</v>
      </c>
      <c r="D70" s="835">
        <f t="shared" si="11"/>
        <v>0.18297872340425531</v>
      </c>
      <c r="E70" s="835">
        <f t="shared" si="12"/>
        <v>0</v>
      </c>
      <c r="F70" s="13"/>
      <c r="G70" s="13"/>
      <c r="H70" s="13"/>
      <c r="I70" s="13"/>
      <c r="J70" s="13"/>
      <c r="K70" s="13"/>
      <c r="L70" s="13"/>
      <c r="M70" s="13"/>
      <c r="N70" s="14"/>
    </row>
    <row r="71" spans="1:14">
      <c r="A71" s="31" t="s">
        <v>955</v>
      </c>
      <c r="B71" s="835">
        <f t="shared" si="9"/>
        <v>9.6153846153846159E-2</v>
      </c>
      <c r="C71" s="835">
        <f t="shared" si="10"/>
        <v>0.13826815642458101</v>
      </c>
      <c r="D71" s="835">
        <f t="shared" si="11"/>
        <v>0.18085106382978725</v>
      </c>
      <c r="E71" s="835">
        <f t="shared" si="12"/>
        <v>0</v>
      </c>
      <c r="F71" s="13"/>
      <c r="G71" s="13"/>
      <c r="H71" s="13"/>
      <c r="I71" s="13"/>
      <c r="J71" s="13"/>
      <c r="K71" s="13"/>
      <c r="L71" s="13"/>
      <c r="M71" s="13"/>
      <c r="N71" s="14"/>
    </row>
    <row r="72" spans="1:14">
      <c r="A72" s="31" t="s">
        <v>953</v>
      </c>
      <c r="B72" s="835">
        <f t="shared" si="9"/>
        <v>0</v>
      </c>
      <c r="C72" s="835">
        <f t="shared" si="10"/>
        <v>2.23463687150838E-2</v>
      </c>
      <c r="D72" s="835">
        <f t="shared" si="11"/>
        <v>4.2553191489361703E-3</v>
      </c>
      <c r="E72" s="835">
        <f t="shared" si="12"/>
        <v>0</v>
      </c>
      <c r="F72" s="13"/>
      <c r="G72" s="13"/>
      <c r="H72" s="13"/>
      <c r="I72" s="13"/>
      <c r="J72" s="13"/>
      <c r="K72" s="13"/>
      <c r="L72" s="13"/>
      <c r="M72" s="13"/>
      <c r="N72" s="14"/>
    </row>
    <row r="73" spans="1:14">
      <c r="A73" s="31" t="s">
        <v>954</v>
      </c>
      <c r="B73" s="835">
        <f t="shared" si="9"/>
        <v>0</v>
      </c>
      <c r="C73" s="835">
        <f t="shared" si="10"/>
        <v>6.9832402234636876E-3</v>
      </c>
      <c r="D73" s="835">
        <f t="shared" si="11"/>
        <v>8.5106382978723406E-3</v>
      </c>
      <c r="E73" s="835">
        <f t="shared" si="12"/>
        <v>0</v>
      </c>
      <c r="F73" s="13"/>
      <c r="G73" s="13"/>
      <c r="H73" s="13"/>
      <c r="I73" s="13"/>
      <c r="J73" s="13"/>
      <c r="K73" s="13"/>
      <c r="L73" s="13"/>
      <c r="M73" s="13"/>
      <c r="N73" s="14"/>
    </row>
    <row r="74" spans="1:14">
      <c r="A74" s="31" t="s">
        <v>541</v>
      </c>
      <c r="B74" s="835">
        <f t="shared" si="9"/>
        <v>0.15384615384615385</v>
      </c>
      <c r="C74" s="835">
        <f t="shared" si="10"/>
        <v>6.9832402234636876E-3</v>
      </c>
      <c r="D74" s="835">
        <f t="shared" si="11"/>
        <v>4.2553191489361703E-3</v>
      </c>
      <c r="E74" s="835">
        <f t="shared" si="12"/>
        <v>1</v>
      </c>
      <c r="F74" s="13"/>
      <c r="G74" s="13"/>
      <c r="H74" s="13"/>
      <c r="I74" s="13"/>
      <c r="J74" s="13"/>
      <c r="K74" s="13"/>
      <c r="L74" s="13"/>
      <c r="M74" s="13"/>
      <c r="N74" s="14"/>
    </row>
    <row r="75" spans="1:14">
      <c r="A75" s="31"/>
      <c r="B75" s="13"/>
      <c r="C75" s="13"/>
      <c r="D75" s="13"/>
      <c r="E75" s="13"/>
      <c r="F75" s="13"/>
      <c r="G75" s="13"/>
      <c r="H75" s="13"/>
      <c r="I75" s="13"/>
      <c r="J75" s="13"/>
      <c r="K75" s="13"/>
      <c r="L75" s="13"/>
      <c r="M75" s="13"/>
      <c r="N75" s="14"/>
    </row>
    <row r="76" spans="1:14">
      <c r="A76" s="31" t="s">
        <v>946</v>
      </c>
      <c r="B76" s="835">
        <f>B65</f>
        <v>0</v>
      </c>
      <c r="C76" s="835">
        <f t="shared" ref="C76:D76" si="13">C65</f>
        <v>6.2849162011173187E-2</v>
      </c>
      <c r="D76" s="835">
        <f t="shared" si="13"/>
        <v>0.10425531914893617</v>
      </c>
      <c r="E76" s="835"/>
      <c r="F76" s="835">
        <f>SUM(B76:D76)/3</f>
        <v>5.5701493720036445E-2</v>
      </c>
      <c r="G76" s="13"/>
      <c r="H76" s="13"/>
      <c r="I76" s="13"/>
      <c r="J76" s="13"/>
      <c r="K76" s="13"/>
      <c r="L76" s="13"/>
      <c r="M76" s="13"/>
      <c r="N76" s="14"/>
    </row>
    <row r="77" spans="1:14">
      <c r="A77" s="31" t="s">
        <v>956</v>
      </c>
      <c r="B77" s="835">
        <f>SUM(B66,B67,B68,B72)+0.5*B74</f>
        <v>0.19230769230769232</v>
      </c>
      <c r="C77" s="835">
        <f t="shared" ref="C77:D77" si="14">SUM(C66,C67,C68,C72)+0.5*C74</f>
        <v>0.49930167597765357</v>
      </c>
      <c r="D77" s="835">
        <f t="shared" si="14"/>
        <v>0.52127659574468077</v>
      </c>
      <c r="E77" s="835"/>
      <c r="F77" s="835">
        <f>SUM(B77:D77)/3</f>
        <v>0.40429532134334223</v>
      </c>
      <c r="G77" s="13"/>
      <c r="H77" s="13"/>
      <c r="I77" s="13"/>
      <c r="J77" s="13"/>
      <c r="K77" s="13"/>
      <c r="L77" s="13"/>
      <c r="M77" s="13"/>
      <c r="N77" s="14"/>
    </row>
    <row r="78" spans="1:14">
      <c r="A78" s="31" t="s">
        <v>951</v>
      </c>
      <c r="B78" s="835">
        <f>SUM(B69,B70,B71,B73)+0.5*B74</f>
        <v>0.80769230769230771</v>
      </c>
      <c r="C78" s="835">
        <f t="shared" ref="C78:D78" si="15">SUM(C69,C70,C71,C73)+0.5*C74</f>
        <v>0.43784916201117313</v>
      </c>
      <c r="D78" s="835">
        <f t="shared" si="15"/>
        <v>0.37446808510638302</v>
      </c>
      <c r="E78" s="835"/>
      <c r="F78" s="835">
        <f>SUM(B78:D78)/3</f>
        <v>0.54000318493662125</v>
      </c>
      <c r="G78" s="13"/>
      <c r="H78" s="13"/>
      <c r="I78" s="13"/>
      <c r="J78" s="13"/>
      <c r="K78" s="13"/>
      <c r="L78" s="13"/>
      <c r="M78" s="13"/>
      <c r="N78" s="14"/>
    </row>
    <row r="79" spans="1:14" ht="15.75" thickBot="1">
      <c r="A79" s="15"/>
      <c r="B79" s="16"/>
      <c r="C79" s="16"/>
      <c r="D79" s="16"/>
      <c r="E79" s="16"/>
      <c r="F79" s="16"/>
      <c r="G79" s="16"/>
      <c r="H79" s="16"/>
      <c r="I79" s="16"/>
      <c r="J79" s="16"/>
      <c r="K79" s="16"/>
      <c r="L79" s="16"/>
      <c r="M79" s="16"/>
      <c r="N79" s="17"/>
    </row>
    <row r="80" spans="1:14">
      <c r="A80" s="13"/>
      <c r="J80" s="13"/>
      <c r="K80" s="384"/>
      <c r="L80" s="384"/>
      <c r="M80" s="384"/>
      <c r="N80" s="384"/>
    </row>
    <row r="81" spans="1:40" ht="15.75" thickBot="1">
      <c r="A81" s="13"/>
      <c r="B81" s="64" t="s">
        <v>681</v>
      </c>
      <c r="C81" s="64" t="s">
        <v>682</v>
      </c>
      <c r="D81" s="65" t="s">
        <v>470</v>
      </c>
      <c r="J81" s="13"/>
      <c r="K81" s="384"/>
      <c r="L81" s="384"/>
      <c r="M81" s="384"/>
      <c r="N81" s="384"/>
    </row>
    <row r="82" spans="1:40" ht="15.75" thickTop="1">
      <c r="A82" s="384"/>
      <c r="B82" s="66" t="s">
        <v>215</v>
      </c>
      <c r="C82" s="66">
        <v>34</v>
      </c>
      <c r="D82" s="69">
        <f>C82/SUM($C$82:$C$86)</f>
        <v>0.32380952380952382</v>
      </c>
      <c r="J82" s="384"/>
      <c r="K82" s="384"/>
      <c r="L82" s="384"/>
      <c r="M82" s="384"/>
      <c r="N82" s="384"/>
      <c r="AK82" s="404"/>
      <c r="AL82" s="404"/>
      <c r="AM82" s="404"/>
      <c r="AN82" s="404"/>
    </row>
    <row r="83" spans="1:40">
      <c r="A83" s="384"/>
      <c r="B83" s="68" t="s">
        <v>115</v>
      </c>
      <c r="C83" s="68">
        <v>31</v>
      </c>
      <c r="D83" s="81">
        <f>C83/SUM($C$82:$C$86)</f>
        <v>0.29523809523809524</v>
      </c>
      <c r="F83" t="s">
        <v>837</v>
      </c>
      <c r="G83" t="s">
        <v>838</v>
      </c>
      <c r="J83" s="384"/>
      <c r="K83" s="384"/>
      <c r="L83" s="384"/>
      <c r="M83" s="384"/>
      <c r="N83" s="384"/>
    </row>
    <row r="84" spans="1:40">
      <c r="A84" s="384"/>
      <c r="B84" s="66" t="s">
        <v>647</v>
      </c>
      <c r="C84" s="66">
        <v>22</v>
      </c>
      <c r="D84" s="69">
        <f>C84/SUM($C$82:$C$86)</f>
        <v>0.20952380952380953</v>
      </c>
      <c r="F84" t="s">
        <v>26</v>
      </c>
      <c r="G84">
        <f>150</f>
        <v>150</v>
      </c>
      <c r="J84" s="384"/>
      <c r="K84" s="384"/>
      <c r="L84" s="384"/>
      <c r="M84" s="384"/>
      <c r="N84" s="384"/>
    </row>
    <row r="85" spans="1:40">
      <c r="A85" s="384"/>
      <c r="B85" s="68" t="s">
        <v>683</v>
      </c>
      <c r="C85" s="68">
        <v>4</v>
      </c>
      <c r="D85" s="81">
        <f>C85/SUM($C$82:$C$86)</f>
        <v>3.8095238095238099E-2</v>
      </c>
      <c r="F85" t="s">
        <v>95</v>
      </c>
      <c r="G85">
        <v>15</v>
      </c>
      <c r="J85" s="384"/>
      <c r="K85" s="384"/>
      <c r="L85" s="384"/>
      <c r="M85" s="384"/>
      <c r="N85" s="384"/>
    </row>
    <row r="86" spans="1:40" ht="15.75" thickBot="1">
      <c r="A86" s="384"/>
      <c r="B86" s="72" t="s">
        <v>638</v>
      </c>
      <c r="C86" s="72">
        <f>14</f>
        <v>14</v>
      </c>
      <c r="D86" s="82">
        <f>C86/SUM($C$82:$C$86)</f>
        <v>0.13333333333333333</v>
      </c>
      <c r="H86" s="13"/>
      <c r="I86" s="13"/>
      <c r="J86" s="384"/>
      <c r="K86" s="384"/>
      <c r="L86" s="384"/>
      <c r="M86" s="384"/>
      <c r="N86" s="384"/>
    </row>
    <row r="87" spans="1:40" ht="15.75" thickTop="1">
      <c r="A87" s="384"/>
      <c r="B87" s="83" t="s">
        <v>452</v>
      </c>
      <c r="C87" s="83">
        <f>SUBTOTAL(109,'Ref-DOE'!$C$82:$C$86)</f>
        <v>105</v>
      </c>
      <c r="D87" s="84">
        <f>SUBTOTAL(109,'Ref-DOE'!$D$82:$D$86)</f>
        <v>1</v>
      </c>
      <c r="H87" s="13"/>
      <c r="I87" s="13"/>
      <c r="J87" s="384"/>
      <c r="K87" s="384"/>
      <c r="L87" s="384"/>
      <c r="M87" s="384"/>
      <c r="N87" s="384"/>
    </row>
    <row r="88" spans="1:40">
      <c r="A88" s="384"/>
      <c r="B88" s="13" t="s">
        <v>839</v>
      </c>
      <c r="C88" s="62">
        <v>41699</v>
      </c>
      <c r="D88" s="13"/>
      <c r="E88" s="13"/>
      <c r="F88" s="13"/>
      <c r="G88" s="13"/>
      <c r="H88" s="13"/>
      <c r="I88" s="13"/>
      <c r="J88" s="384"/>
      <c r="K88" s="384"/>
      <c r="L88" s="384"/>
      <c r="M88" s="384"/>
      <c r="N88" s="384"/>
    </row>
    <row r="89" spans="1:40" ht="15.75" thickBot="1">
      <c r="A89" s="384"/>
      <c r="B89" s="63" t="s">
        <v>1074</v>
      </c>
      <c r="C89" s="13"/>
      <c r="I89" s="13"/>
      <c r="J89" s="384"/>
      <c r="K89" s="384"/>
      <c r="L89" s="384"/>
      <c r="M89" s="384"/>
      <c r="N89" s="384"/>
    </row>
    <row r="90" spans="1:40" ht="45.75" thickBot="1">
      <c r="A90" s="384"/>
      <c r="B90" s="422" t="s">
        <v>1079</v>
      </c>
      <c r="C90" s="420" t="s">
        <v>840</v>
      </c>
      <c r="D90" s="423" t="s">
        <v>841</v>
      </c>
      <c r="E90" s="424" t="s">
        <v>1075</v>
      </c>
      <c r="F90" s="425" t="s">
        <v>1076</v>
      </c>
      <c r="G90" s="420" t="s">
        <v>1077</v>
      </c>
      <c r="H90" s="421" t="s">
        <v>1078</v>
      </c>
      <c r="I90" s="421" t="s">
        <v>1080</v>
      </c>
      <c r="J90" s="384"/>
      <c r="K90" s="384"/>
      <c r="L90" s="384"/>
      <c r="M90" s="384"/>
      <c r="N90" s="384"/>
    </row>
    <row r="91" spans="1:40" ht="15.75" thickTop="1">
      <c r="A91" s="384"/>
      <c r="B91" s="418" t="s">
        <v>842</v>
      </c>
      <c r="C91" s="31" t="s">
        <v>1086</v>
      </c>
      <c r="D91" s="13">
        <v>94</v>
      </c>
      <c r="E91" s="13">
        <v>2700</v>
      </c>
      <c r="F91" s="14">
        <v>30000</v>
      </c>
      <c r="G91" s="31">
        <f>D91*H91</f>
        <v>940</v>
      </c>
      <c r="H91" s="14">
        <v>10</v>
      </c>
      <c r="I91" s="14" t="s">
        <v>1081</v>
      </c>
      <c r="J91" s="384"/>
      <c r="K91" s="384"/>
      <c r="L91" s="384"/>
      <c r="M91" s="384"/>
      <c r="N91" s="384"/>
    </row>
    <row r="92" spans="1:40">
      <c r="A92" s="384"/>
      <c r="B92" s="418"/>
      <c r="C92" s="31" t="s">
        <v>1087</v>
      </c>
      <c r="D92" s="13">
        <v>78</v>
      </c>
      <c r="E92" s="13">
        <v>3000</v>
      </c>
      <c r="F92" s="14">
        <v>50000</v>
      </c>
      <c r="G92" s="31">
        <f>D92*H92</f>
        <v>1560</v>
      </c>
      <c r="H92" s="14">
        <v>20</v>
      </c>
      <c r="I92" s="14" t="s">
        <v>1082</v>
      </c>
      <c r="J92" s="384"/>
      <c r="K92" s="384"/>
      <c r="L92" s="384"/>
      <c r="M92" s="384"/>
      <c r="N92" s="384"/>
    </row>
    <row r="93" spans="1:40">
      <c r="A93" s="384"/>
      <c r="B93" s="418"/>
      <c r="C93" s="31" t="s">
        <v>1088</v>
      </c>
      <c r="D93" s="13">
        <v>87</v>
      </c>
      <c r="E93" s="13">
        <v>3500</v>
      </c>
      <c r="F93" s="14">
        <v>60000</v>
      </c>
      <c r="G93" s="31"/>
      <c r="H93" s="14"/>
      <c r="I93" s="14" t="s">
        <v>1083</v>
      </c>
      <c r="J93" s="384"/>
      <c r="K93" s="384"/>
      <c r="L93" s="384"/>
      <c r="M93" s="384"/>
      <c r="N93" s="384"/>
    </row>
    <row r="94" spans="1:40">
      <c r="A94" s="384"/>
      <c r="B94" s="418"/>
      <c r="C94" s="31" t="s">
        <v>1089</v>
      </c>
      <c r="D94" s="13">
        <v>131</v>
      </c>
      <c r="E94" s="13">
        <v>3000</v>
      </c>
      <c r="F94" s="14">
        <v>75000</v>
      </c>
      <c r="G94" s="31"/>
      <c r="H94" s="14"/>
      <c r="I94" s="14" t="s">
        <v>1084</v>
      </c>
      <c r="J94" s="384"/>
      <c r="K94" s="384"/>
      <c r="L94" s="384"/>
      <c r="M94" s="384"/>
      <c r="N94" s="384"/>
    </row>
    <row r="95" spans="1:40">
      <c r="A95" s="384"/>
      <c r="B95" s="418"/>
      <c r="C95" s="31" t="s">
        <v>1090</v>
      </c>
      <c r="D95" s="13">
        <v>119</v>
      </c>
      <c r="E95" s="13">
        <v>3500</v>
      </c>
      <c r="F95" s="14">
        <v>75000</v>
      </c>
      <c r="G95" s="31"/>
      <c r="H95" s="14"/>
      <c r="I95" s="14" t="s">
        <v>1085</v>
      </c>
      <c r="J95" s="384"/>
      <c r="K95" s="384"/>
      <c r="L95" s="384"/>
      <c r="M95" s="384"/>
      <c r="N95" s="384"/>
    </row>
    <row r="96" spans="1:40">
      <c r="B96" s="418"/>
      <c r="C96" s="31" t="s">
        <v>1073</v>
      </c>
      <c r="D96" s="13">
        <v>52</v>
      </c>
      <c r="E96" s="13">
        <v>3500</v>
      </c>
      <c r="F96" s="14">
        <v>15000</v>
      </c>
      <c r="G96" s="31">
        <f t="shared" ref="G96:G102" si="16">D96*H96</f>
        <v>104</v>
      </c>
      <c r="H96" s="14">
        <v>2</v>
      </c>
      <c r="I96" s="14" t="s">
        <v>1091</v>
      </c>
    </row>
    <row r="97" spans="2:9">
      <c r="B97" s="418"/>
      <c r="C97" s="31" t="s">
        <v>1093</v>
      </c>
      <c r="D97" s="13">
        <v>115</v>
      </c>
      <c r="E97" s="13">
        <v>3100</v>
      </c>
      <c r="F97" s="14">
        <v>15000</v>
      </c>
      <c r="G97" s="31">
        <f t="shared" si="16"/>
        <v>36225</v>
      </c>
      <c r="H97" s="14">
        <v>315</v>
      </c>
      <c r="I97" s="14" t="s">
        <v>1092</v>
      </c>
    </row>
    <row r="98" spans="2:9">
      <c r="B98" s="418" t="s">
        <v>843</v>
      </c>
      <c r="C98" s="31" t="s">
        <v>1094</v>
      </c>
      <c r="D98" s="13">
        <v>108</v>
      </c>
      <c r="E98" s="13">
        <v>4100</v>
      </c>
      <c r="F98" s="14">
        <v>25000</v>
      </c>
      <c r="G98" s="31">
        <f t="shared" si="16"/>
        <v>2808</v>
      </c>
      <c r="H98" s="14">
        <v>26</v>
      </c>
      <c r="I98" s="14" t="s">
        <v>1092</v>
      </c>
    </row>
    <row r="99" spans="2:9">
      <c r="B99" s="418"/>
      <c r="C99" s="31" t="s">
        <v>1095</v>
      </c>
      <c r="D99" s="13">
        <v>104</v>
      </c>
      <c r="E99" s="13">
        <v>3000</v>
      </c>
      <c r="F99" s="14">
        <v>15000</v>
      </c>
      <c r="G99" s="31">
        <f t="shared" si="16"/>
        <v>7280</v>
      </c>
      <c r="H99" s="14">
        <v>70</v>
      </c>
      <c r="I99" s="14" t="s">
        <v>1092</v>
      </c>
    </row>
    <row r="100" spans="2:9">
      <c r="B100" s="418" t="s">
        <v>844</v>
      </c>
      <c r="C100" s="31" t="s">
        <v>24</v>
      </c>
      <c r="D100" s="13">
        <v>73</v>
      </c>
      <c r="E100" s="13">
        <v>2700</v>
      </c>
      <c r="F100" s="14">
        <v>12000</v>
      </c>
      <c r="G100" s="31">
        <f t="shared" si="16"/>
        <v>949</v>
      </c>
      <c r="H100" s="14">
        <v>13</v>
      </c>
      <c r="I100" s="14" t="s">
        <v>1096</v>
      </c>
    </row>
    <row r="101" spans="2:9">
      <c r="B101" s="418" t="s">
        <v>845</v>
      </c>
      <c r="C101" s="31" t="s">
        <v>25</v>
      </c>
      <c r="D101" s="13">
        <v>20</v>
      </c>
      <c r="E101" s="13">
        <v>2750</v>
      </c>
      <c r="F101" s="14">
        <v>8400</v>
      </c>
      <c r="G101" s="31">
        <f t="shared" si="16"/>
        <v>960</v>
      </c>
      <c r="H101" s="14">
        <v>48</v>
      </c>
      <c r="I101" s="14"/>
    </row>
    <row r="102" spans="2:9" ht="15.75" thickBot="1">
      <c r="B102" s="419" t="s">
        <v>847</v>
      </c>
      <c r="C102" s="15" t="s">
        <v>26</v>
      </c>
      <c r="D102" s="16">
        <v>15</v>
      </c>
      <c r="E102" s="16">
        <v>2760</v>
      </c>
      <c r="F102" s="17">
        <v>1000</v>
      </c>
      <c r="G102" s="15">
        <f t="shared" si="16"/>
        <v>900</v>
      </c>
      <c r="H102" s="17">
        <v>60</v>
      </c>
      <c r="I102" s="17"/>
    </row>
    <row r="104" spans="2:9" ht="15.75" thickBot="1">
      <c r="B104" s="64" t="s">
        <v>681</v>
      </c>
      <c r="C104" s="64" t="s">
        <v>682</v>
      </c>
      <c r="D104" s="65" t="s">
        <v>470</v>
      </c>
    </row>
    <row r="105" spans="2:9" ht="15.75" thickTop="1">
      <c r="B105" s="66" t="s">
        <v>215</v>
      </c>
      <c r="C105" s="66">
        <v>52</v>
      </c>
      <c r="D105" s="69">
        <f>C105/$C$110</f>
        <v>0.44444444444444442</v>
      </c>
    </row>
    <row r="106" spans="2:9">
      <c r="B106" s="68" t="s">
        <v>115</v>
      </c>
      <c r="C106" s="68">
        <v>51</v>
      </c>
      <c r="D106" s="81">
        <f t="shared" ref="D106:D109" si="17">C106/$C$110</f>
        <v>0.4358974358974359</v>
      </c>
    </row>
    <row r="107" spans="2:9">
      <c r="B107" s="66" t="s">
        <v>647</v>
      </c>
      <c r="C107" s="66">
        <v>1</v>
      </c>
      <c r="D107" s="69">
        <f t="shared" si="17"/>
        <v>8.5470085470085479E-3</v>
      </c>
    </row>
    <row r="108" spans="2:9">
      <c r="B108" s="68" t="s">
        <v>683</v>
      </c>
      <c r="C108" s="68">
        <v>1</v>
      </c>
      <c r="D108" s="81">
        <f t="shared" si="17"/>
        <v>8.5470085470085479E-3</v>
      </c>
    </row>
    <row r="109" spans="2:9" ht="15.75" thickBot="1">
      <c r="B109" s="72" t="s">
        <v>882</v>
      </c>
      <c r="C109" s="72">
        <v>12</v>
      </c>
      <c r="D109" s="82">
        <f t="shared" si="17"/>
        <v>0.10256410256410256</v>
      </c>
    </row>
    <row r="110" spans="2:9" ht="15.75" thickTop="1">
      <c r="B110" s="83" t="s">
        <v>452</v>
      </c>
      <c r="C110" s="83">
        <f>SUM(C105:C109)</f>
        <v>117</v>
      </c>
      <c r="D110" s="84">
        <f>SUM(D105:D109)</f>
        <v>0.99999999999999989</v>
      </c>
    </row>
  </sheetData>
  <sheetProtection password="CD9A" sheet="1" objects="1" scenarios="1"/>
  <hyperlinks>
    <hyperlink ref="A2" r:id="rId1"/>
    <hyperlink ref="B89" r:id="rId2"/>
  </hyperlinks>
  <pageMargins left="0.7" right="0.7" top="0.75" bottom="0.75" header="0.3" footer="0.3"/>
  <pageSetup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workbookViewId="0">
      <selection activeCell="N29" sqref="N29"/>
    </sheetView>
  </sheetViews>
  <sheetFormatPr defaultRowHeight="15"/>
  <cols>
    <col min="1" max="1" width="30" bestFit="1" customWidth="1"/>
    <col min="2" max="2" width="36.5703125" bestFit="1" customWidth="1"/>
    <col min="3" max="6" width="10.28515625" customWidth="1"/>
    <col min="7" max="7" width="12.28515625" customWidth="1"/>
  </cols>
  <sheetData>
    <row r="1" spans="1:7" s="384" customFormat="1">
      <c r="A1" s="384" t="s">
        <v>931</v>
      </c>
    </row>
    <row r="2" spans="1:7" ht="55.5" customHeight="1">
      <c r="A2" t="s">
        <v>653</v>
      </c>
      <c r="B2" t="s">
        <v>784</v>
      </c>
      <c r="C2" s="882" t="s">
        <v>785</v>
      </c>
      <c r="D2" s="882"/>
      <c r="E2" s="882" t="s">
        <v>786</v>
      </c>
      <c r="F2" s="882"/>
      <c r="G2" t="s">
        <v>787</v>
      </c>
    </row>
    <row r="3" spans="1:7" ht="15.75" thickBot="1">
      <c r="A3" s="64"/>
      <c r="B3" s="64"/>
      <c r="C3" s="64" t="s">
        <v>788</v>
      </c>
      <c r="D3" s="64" t="s">
        <v>789</v>
      </c>
      <c r="E3" s="64">
        <v>2005</v>
      </c>
      <c r="F3" s="64">
        <v>2008</v>
      </c>
      <c r="G3" s="65">
        <v>2008</v>
      </c>
    </row>
    <row r="4" spans="1:7" ht="15.75" thickTop="1">
      <c r="A4" s="66" t="s">
        <v>751</v>
      </c>
      <c r="B4" s="66" t="s">
        <v>790</v>
      </c>
      <c r="C4" s="66" t="s">
        <v>791</v>
      </c>
      <c r="D4" s="66">
        <v>2431</v>
      </c>
      <c r="E4" s="66" t="s">
        <v>791</v>
      </c>
      <c r="F4" s="66">
        <v>2291</v>
      </c>
      <c r="G4" s="102">
        <f>D4/8760*24</f>
        <v>6.6602739726027398</v>
      </c>
    </row>
    <row r="5" spans="1:7">
      <c r="A5" s="68" t="s">
        <v>751</v>
      </c>
      <c r="B5" s="68" t="s">
        <v>778</v>
      </c>
      <c r="C5" s="68" t="s">
        <v>791</v>
      </c>
      <c r="D5" s="68">
        <v>3173</v>
      </c>
      <c r="E5" s="68" t="s">
        <v>791</v>
      </c>
      <c r="F5" s="68">
        <v>2338</v>
      </c>
      <c r="G5" s="236">
        <f t="shared" ref="G5:G68" si="0">D5/8760*24</f>
        <v>8.6931506849315063</v>
      </c>
    </row>
    <row r="6" spans="1:7">
      <c r="A6" s="66" t="s">
        <v>755</v>
      </c>
      <c r="B6" s="66" t="s">
        <v>792</v>
      </c>
      <c r="C6" s="66">
        <v>1440</v>
      </c>
      <c r="D6" s="66">
        <v>2445</v>
      </c>
      <c r="E6" s="66">
        <v>1440</v>
      </c>
      <c r="F6" s="66">
        <v>2660</v>
      </c>
      <c r="G6" s="102">
        <f t="shared" si="0"/>
        <v>6.6986301369863011</v>
      </c>
    </row>
    <row r="7" spans="1:7">
      <c r="A7" s="68" t="s">
        <v>755</v>
      </c>
      <c r="B7" s="68" t="s">
        <v>757</v>
      </c>
      <c r="C7" s="68">
        <v>1440</v>
      </c>
      <c r="D7" s="68">
        <v>2051</v>
      </c>
      <c r="E7" s="68">
        <v>1440</v>
      </c>
      <c r="F7" s="68">
        <v>2434</v>
      </c>
      <c r="G7" s="236">
        <f t="shared" si="0"/>
        <v>5.6191780821917812</v>
      </c>
    </row>
    <row r="8" spans="1:7">
      <c r="A8" s="66" t="s">
        <v>755</v>
      </c>
      <c r="B8" s="66" t="s">
        <v>767</v>
      </c>
      <c r="C8" s="66">
        <v>1440</v>
      </c>
      <c r="D8" s="66">
        <v>1347</v>
      </c>
      <c r="E8" s="66">
        <v>1440</v>
      </c>
      <c r="F8" s="66">
        <v>1530</v>
      </c>
      <c r="G8" s="102">
        <f t="shared" si="0"/>
        <v>3.6904109589041094</v>
      </c>
    </row>
    <row r="9" spans="1:7">
      <c r="A9" s="68" t="s">
        <v>755</v>
      </c>
      <c r="B9" s="68" t="s">
        <v>775</v>
      </c>
      <c r="C9" s="68">
        <v>1440</v>
      </c>
      <c r="D9" s="68">
        <v>1669</v>
      </c>
      <c r="E9" s="68">
        <v>1440</v>
      </c>
      <c r="F9" s="68">
        <v>1846</v>
      </c>
      <c r="G9" s="236">
        <f t="shared" si="0"/>
        <v>4.5726027397260278</v>
      </c>
    </row>
    <row r="10" spans="1:7">
      <c r="A10" s="66" t="s">
        <v>756</v>
      </c>
      <c r="B10" s="66" t="s">
        <v>792</v>
      </c>
      <c r="C10" s="66">
        <v>2305</v>
      </c>
      <c r="D10" s="66">
        <v>2445</v>
      </c>
      <c r="E10" s="66">
        <v>2305</v>
      </c>
      <c r="F10" s="66">
        <v>2608</v>
      </c>
      <c r="G10" s="102">
        <f t="shared" si="0"/>
        <v>6.6986301369863011</v>
      </c>
    </row>
    <row r="11" spans="1:7">
      <c r="A11" s="68" t="s">
        <v>756</v>
      </c>
      <c r="B11" s="68" t="s">
        <v>778</v>
      </c>
      <c r="C11" s="68">
        <v>2305</v>
      </c>
      <c r="D11" s="68">
        <v>2323</v>
      </c>
      <c r="E11" s="68">
        <v>2305</v>
      </c>
      <c r="F11" s="68">
        <v>2452</v>
      </c>
      <c r="G11" s="236">
        <f t="shared" si="0"/>
        <v>6.3643835616438356</v>
      </c>
    </row>
    <row r="12" spans="1:7">
      <c r="A12" s="66" t="s">
        <v>756</v>
      </c>
      <c r="B12" s="66" t="s">
        <v>757</v>
      </c>
      <c r="C12" s="66">
        <v>2305</v>
      </c>
      <c r="D12" s="66">
        <v>2366</v>
      </c>
      <c r="E12" s="66">
        <v>2305</v>
      </c>
      <c r="F12" s="66">
        <v>2532</v>
      </c>
      <c r="G12" s="102">
        <f t="shared" si="0"/>
        <v>6.4821917808219176</v>
      </c>
    </row>
    <row r="13" spans="1:7">
      <c r="A13" s="68" t="s">
        <v>756</v>
      </c>
      <c r="B13" s="68" t="s">
        <v>793</v>
      </c>
      <c r="C13" s="68">
        <v>2305</v>
      </c>
      <c r="D13" s="68">
        <v>2137</v>
      </c>
      <c r="E13" s="68">
        <v>2305</v>
      </c>
      <c r="F13" s="68">
        <v>2522</v>
      </c>
      <c r="G13" s="236">
        <f t="shared" si="0"/>
        <v>5.8547945205479452</v>
      </c>
    </row>
    <row r="14" spans="1:7">
      <c r="A14" s="66" t="s">
        <v>756</v>
      </c>
      <c r="B14" s="66" t="s">
        <v>767</v>
      </c>
      <c r="C14" s="66">
        <v>2305</v>
      </c>
      <c r="D14" s="66">
        <v>2365</v>
      </c>
      <c r="E14" s="66">
        <v>2305</v>
      </c>
      <c r="F14" s="66">
        <v>2493</v>
      </c>
      <c r="G14" s="102">
        <f t="shared" si="0"/>
        <v>6.4794520547945211</v>
      </c>
    </row>
    <row r="15" spans="1:7">
      <c r="A15" s="68" t="s">
        <v>756</v>
      </c>
      <c r="B15" s="68" t="s">
        <v>775</v>
      </c>
      <c r="C15" s="68">
        <v>2305</v>
      </c>
      <c r="D15" s="68">
        <v>1168</v>
      </c>
      <c r="E15" s="68">
        <v>2305</v>
      </c>
      <c r="F15" s="68">
        <v>1354</v>
      </c>
      <c r="G15" s="236">
        <f t="shared" si="0"/>
        <v>3.2</v>
      </c>
    </row>
    <row r="16" spans="1:7">
      <c r="A16" s="66" t="s">
        <v>759</v>
      </c>
      <c r="B16" s="66" t="s">
        <v>792</v>
      </c>
      <c r="C16" s="66">
        <v>3792</v>
      </c>
      <c r="D16" s="66">
        <v>2471</v>
      </c>
      <c r="E16" s="66">
        <v>3792</v>
      </c>
      <c r="F16" s="66">
        <v>2619</v>
      </c>
      <c r="G16" s="102">
        <f t="shared" si="0"/>
        <v>6.7698630136986306</v>
      </c>
    </row>
    <row r="17" spans="1:7">
      <c r="A17" s="68" t="s">
        <v>759</v>
      </c>
      <c r="B17" s="68" t="s">
        <v>778</v>
      </c>
      <c r="C17" s="68">
        <v>3792</v>
      </c>
      <c r="D17" s="68">
        <v>2629</v>
      </c>
      <c r="E17" s="68">
        <v>3792</v>
      </c>
      <c r="F17" s="68">
        <v>2568</v>
      </c>
      <c r="G17" s="236">
        <f t="shared" si="0"/>
        <v>7.2027397260273975</v>
      </c>
    </row>
    <row r="18" spans="1:7">
      <c r="A18" s="66" t="s">
        <v>759</v>
      </c>
      <c r="B18" s="66" t="s">
        <v>793</v>
      </c>
      <c r="C18" s="66">
        <v>3792</v>
      </c>
      <c r="D18" s="66">
        <v>2189</v>
      </c>
      <c r="E18" s="66">
        <v>3792</v>
      </c>
      <c r="F18" s="66">
        <v>2629</v>
      </c>
      <c r="G18" s="102">
        <f t="shared" si="0"/>
        <v>5.9972602739726026</v>
      </c>
    </row>
    <row r="19" spans="1:7">
      <c r="A19" s="68" t="s">
        <v>759</v>
      </c>
      <c r="B19" s="68" t="s">
        <v>794</v>
      </c>
      <c r="C19" s="68">
        <v>3792</v>
      </c>
      <c r="D19" s="68">
        <v>3078</v>
      </c>
      <c r="E19" s="68">
        <v>3792</v>
      </c>
      <c r="F19" s="68">
        <v>2740</v>
      </c>
      <c r="G19" s="236">
        <f t="shared" si="0"/>
        <v>8.4328767123287669</v>
      </c>
    </row>
    <row r="20" spans="1:7">
      <c r="A20" s="66" t="s">
        <v>759</v>
      </c>
      <c r="B20" s="66" t="s">
        <v>767</v>
      </c>
      <c r="C20" s="66">
        <v>3792</v>
      </c>
      <c r="D20" s="66">
        <v>2580</v>
      </c>
      <c r="E20" s="66">
        <v>3792</v>
      </c>
      <c r="F20" s="66">
        <v>2620</v>
      </c>
      <c r="G20" s="102">
        <f t="shared" si="0"/>
        <v>7.0684931506849313</v>
      </c>
    </row>
    <row r="21" spans="1:7">
      <c r="A21" s="68" t="s">
        <v>759</v>
      </c>
      <c r="B21" s="68" t="s">
        <v>775</v>
      </c>
      <c r="C21" s="68">
        <v>3792</v>
      </c>
      <c r="D21" s="68">
        <v>2957</v>
      </c>
      <c r="E21" s="68">
        <v>3792</v>
      </c>
      <c r="F21" s="68">
        <v>2602</v>
      </c>
      <c r="G21" s="236">
        <f t="shared" si="0"/>
        <v>8.1013698630136997</v>
      </c>
    </row>
    <row r="22" spans="1:7">
      <c r="A22" s="66" t="s">
        <v>760</v>
      </c>
      <c r="B22" s="66" t="s">
        <v>792</v>
      </c>
      <c r="C22" s="66">
        <v>3073</v>
      </c>
      <c r="D22" s="66">
        <v>2522</v>
      </c>
      <c r="E22" s="66">
        <v>3073</v>
      </c>
      <c r="F22" s="66">
        <v>2716</v>
      </c>
      <c r="G22" s="102">
        <f t="shared" si="0"/>
        <v>6.9095890410958898</v>
      </c>
    </row>
    <row r="23" spans="1:7">
      <c r="A23" s="68" t="s">
        <v>760</v>
      </c>
      <c r="B23" s="68" t="s">
        <v>778</v>
      </c>
      <c r="C23" s="68">
        <v>3073</v>
      </c>
      <c r="D23" s="68">
        <v>2870</v>
      </c>
      <c r="E23" s="68">
        <v>3073</v>
      </c>
      <c r="F23" s="68">
        <v>2640</v>
      </c>
      <c r="G23" s="236">
        <f t="shared" si="0"/>
        <v>7.8630136986301373</v>
      </c>
    </row>
    <row r="24" spans="1:7">
      <c r="A24" s="66" t="s">
        <v>760</v>
      </c>
      <c r="B24" s="66" t="s">
        <v>793</v>
      </c>
      <c r="C24" s="66">
        <v>3073</v>
      </c>
      <c r="D24" s="66">
        <v>2372</v>
      </c>
      <c r="E24" s="66">
        <v>3073</v>
      </c>
      <c r="F24" s="66">
        <v>2830</v>
      </c>
      <c r="G24" s="102">
        <f t="shared" si="0"/>
        <v>6.4986301369863009</v>
      </c>
    </row>
    <row r="25" spans="1:7">
      <c r="A25" s="68" t="s">
        <v>760</v>
      </c>
      <c r="B25" s="68" t="s">
        <v>794</v>
      </c>
      <c r="C25" s="68">
        <v>3073</v>
      </c>
      <c r="D25" s="68">
        <v>3099</v>
      </c>
      <c r="E25" s="68">
        <v>3073</v>
      </c>
      <c r="F25" s="68">
        <v>2772</v>
      </c>
      <c r="G25" s="236">
        <f t="shared" si="0"/>
        <v>8.4904109589041106</v>
      </c>
    </row>
    <row r="26" spans="1:7">
      <c r="A26" s="66" t="s">
        <v>760</v>
      </c>
      <c r="B26" s="66" t="s">
        <v>767</v>
      </c>
      <c r="C26" s="66">
        <v>3073</v>
      </c>
      <c r="D26" s="66">
        <v>2963</v>
      </c>
      <c r="E26" s="66">
        <v>3073</v>
      </c>
      <c r="F26" s="66">
        <v>2713</v>
      </c>
      <c r="G26" s="102">
        <f t="shared" si="0"/>
        <v>8.117808219178082</v>
      </c>
    </row>
    <row r="27" spans="1:7">
      <c r="A27" s="68" t="s">
        <v>760</v>
      </c>
      <c r="B27" s="68" t="s">
        <v>775</v>
      </c>
      <c r="C27" s="68">
        <v>3073</v>
      </c>
      <c r="D27" s="68">
        <v>3072</v>
      </c>
      <c r="E27" s="68">
        <v>3073</v>
      </c>
      <c r="F27" s="68">
        <v>2823</v>
      </c>
      <c r="G27" s="236">
        <f t="shared" si="0"/>
        <v>8.4164383561643845</v>
      </c>
    </row>
    <row r="28" spans="1:7">
      <c r="A28" s="66" t="s">
        <v>760</v>
      </c>
      <c r="B28" s="66" t="s">
        <v>761</v>
      </c>
      <c r="C28" s="66">
        <v>3073</v>
      </c>
      <c r="D28" s="66">
        <v>1196</v>
      </c>
      <c r="E28" s="66">
        <v>3073</v>
      </c>
      <c r="F28" s="66">
        <v>1196</v>
      </c>
      <c r="G28" s="102">
        <f t="shared" si="0"/>
        <v>3.2767123287671236</v>
      </c>
    </row>
    <row r="29" spans="1:7">
      <c r="A29" s="68" t="s">
        <v>760</v>
      </c>
      <c r="B29" s="68" t="s">
        <v>795</v>
      </c>
      <c r="C29" s="68">
        <v>3073</v>
      </c>
      <c r="D29" s="68">
        <v>2972</v>
      </c>
      <c r="E29" s="68">
        <v>3073</v>
      </c>
      <c r="F29" s="68">
        <v>2765</v>
      </c>
      <c r="G29" s="236">
        <f t="shared" si="0"/>
        <v>8.1424657534246574</v>
      </c>
    </row>
    <row r="30" spans="1:7">
      <c r="A30" s="66" t="s">
        <v>763</v>
      </c>
      <c r="B30" s="66" t="s">
        <v>778</v>
      </c>
      <c r="C30" s="66">
        <v>8736</v>
      </c>
      <c r="D30" s="66">
        <v>4873</v>
      </c>
      <c r="E30" s="66">
        <v>8736</v>
      </c>
      <c r="F30" s="66">
        <v>4216</v>
      </c>
      <c r="G30" s="102">
        <f t="shared" si="0"/>
        <v>13.350684931506851</v>
      </c>
    </row>
    <row r="31" spans="1:7">
      <c r="A31" s="68" t="s">
        <v>763</v>
      </c>
      <c r="B31" s="68" t="s">
        <v>778</v>
      </c>
      <c r="C31" s="68">
        <v>8736</v>
      </c>
      <c r="D31" s="68">
        <v>4873</v>
      </c>
      <c r="E31" s="68">
        <v>8736</v>
      </c>
      <c r="F31" s="68">
        <v>4216</v>
      </c>
      <c r="G31" s="236">
        <f t="shared" si="0"/>
        <v>13.350684931506851</v>
      </c>
    </row>
    <row r="32" spans="1:7">
      <c r="A32" s="66" t="s">
        <v>763</v>
      </c>
      <c r="B32" s="66" t="s">
        <v>767</v>
      </c>
      <c r="C32" s="66">
        <v>8736</v>
      </c>
      <c r="D32" s="66">
        <v>5858</v>
      </c>
      <c r="E32" s="66">
        <v>8736</v>
      </c>
      <c r="F32" s="66">
        <v>4463</v>
      </c>
      <c r="G32" s="102">
        <f t="shared" si="0"/>
        <v>16.049315068493151</v>
      </c>
    </row>
    <row r="33" spans="1:7">
      <c r="A33" s="68" t="s">
        <v>763</v>
      </c>
      <c r="B33" s="68" t="s">
        <v>775</v>
      </c>
      <c r="C33" s="68">
        <v>8736</v>
      </c>
      <c r="D33" s="68">
        <v>5858</v>
      </c>
      <c r="E33" s="68">
        <v>8736</v>
      </c>
      <c r="F33" s="68">
        <v>4463</v>
      </c>
      <c r="G33" s="236">
        <f t="shared" si="0"/>
        <v>16.049315068493151</v>
      </c>
    </row>
    <row r="34" spans="1:7">
      <c r="A34" s="66" t="s">
        <v>763</v>
      </c>
      <c r="B34" s="66" t="s">
        <v>796</v>
      </c>
      <c r="C34" s="66">
        <v>8736</v>
      </c>
      <c r="D34" s="66">
        <v>5193</v>
      </c>
      <c r="E34" s="66">
        <v>8736</v>
      </c>
      <c r="F34" s="66">
        <v>4317</v>
      </c>
      <c r="G34" s="102">
        <f t="shared" si="0"/>
        <v>14.227397260273975</v>
      </c>
    </row>
    <row r="35" spans="1:7">
      <c r="A35" s="68" t="s">
        <v>763</v>
      </c>
      <c r="B35" s="68" t="s">
        <v>797</v>
      </c>
      <c r="C35" s="68">
        <v>8736</v>
      </c>
      <c r="D35" s="68">
        <v>4257</v>
      </c>
      <c r="E35" s="68">
        <v>8736</v>
      </c>
      <c r="F35" s="68">
        <v>3449</v>
      </c>
      <c r="G35" s="236">
        <f t="shared" si="0"/>
        <v>11.663013698630136</v>
      </c>
    </row>
    <row r="36" spans="1:7">
      <c r="A36" s="66" t="s">
        <v>763</v>
      </c>
      <c r="B36" s="66" t="s">
        <v>796</v>
      </c>
      <c r="C36" s="66">
        <v>8736</v>
      </c>
      <c r="D36" s="66">
        <v>5193</v>
      </c>
      <c r="E36" s="66">
        <v>8736</v>
      </c>
      <c r="F36" s="66">
        <v>4317</v>
      </c>
      <c r="G36" s="102">
        <f t="shared" si="0"/>
        <v>14.227397260273975</v>
      </c>
    </row>
    <row r="37" spans="1:7">
      <c r="A37" s="68" t="s">
        <v>763</v>
      </c>
      <c r="B37" s="68" t="s">
        <v>778</v>
      </c>
      <c r="C37" s="68">
        <v>8736</v>
      </c>
      <c r="D37" s="68">
        <v>4873</v>
      </c>
      <c r="E37" s="68">
        <v>8736</v>
      </c>
      <c r="F37" s="68">
        <v>4216</v>
      </c>
      <c r="G37" s="236">
        <f t="shared" si="0"/>
        <v>13.350684931506851</v>
      </c>
    </row>
    <row r="38" spans="1:7">
      <c r="A38" s="66" t="s">
        <v>764</v>
      </c>
      <c r="B38" s="66" t="s">
        <v>761</v>
      </c>
      <c r="C38" s="66">
        <v>8736</v>
      </c>
      <c r="D38" s="66">
        <v>4367</v>
      </c>
      <c r="E38" s="66">
        <v>8736</v>
      </c>
      <c r="F38" s="66">
        <v>3529</v>
      </c>
      <c r="G38" s="102">
        <f t="shared" si="0"/>
        <v>11.964383561643835</v>
      </c>
    </row>
    <row r="39" spans="1:7">
      <c r="A39" s="68" t="s">
        <v>764</v>
      </c>
      <c r="B39" s="68" t="s">
        <v>778</v>
      </c>
      <c r="C39" s="68">
        <v>8736</v>
      </c>
      <c r="D39" s="68">
        <v>3723</v>
      </c>
      <c r="E39" s="68">
        <v>8736</v>
      </c>
      <c r="F39" s="68">
        <v>3468</v>
      </c>
      <c r="G39" s="236">
        <f t="shared" si="0"/>
        <v>10.199999999999999</v>
      </c>
    </row>
    <row r="40" spans="1:7">
      <c r="A40" s="66" t="s">
        <v>764</v>
      </c>
      <c r="B40" s="66" t="s">
        <v>778</v>
      </c>
      <c r="C40" s="66">
        <v>8736</v>
      </c>
      <c r="D40" s="66">
        <v>3723</v>
      </c>
      <c r="E40" s="66">
        <v>8736</v>
      </c>
      <c r="F40" s="66">
        <v>3468</v>
      </c>
      <c r="G40" s="102">
        <f t="shared" si="0"/>
        <v>10.199999999999999</v>
      </c>
    </row>
    <row r="41" spans="1:7">
      <c r="A41" s="68" t="s">
        <v>764</v>
      </c>
      <c r="B41" s="68" t="s">
        <v>795</v>
      </c>
      <c r="C41" s="68">
        <v>8736</v>
      </c>
      <c r="D41" s="68">
        <v>7884</v>
      </c>
      <c r="E41" s="68">
        <v>8736</v>
      </c>
      <c r="F41" s="68">
        <v>4709</v>
      </c>
      <c r="G41" s="236">
        <f t="shared" si="0"/>
        <v>21.6</v>
      </c>
    </row>
    <row r="42" spans="1:7">
      <c r="A42" s="66" t="s">
        <v>764</v>
      </c>
      <c r="B42" s="66" t="s">
        <v>767</v>
      </c>
      <c r="C42" s="66">
        <v>8736</v>
      </c>
      <c r="D42" s="66">
        <v>3814</v>
      </c>
      <c r="E42" s="66">
        <v>8736</v>
      </c>
      <c r="F42" s="66">
        <v>3522</v>
      </c>
      <c r="G42" s="102">
        <f t="shared" si="0"/>
        <v>10.449315068493149</v>
      </c>
    </row>
    <row r="43" spans="1:7">
      <c r="A43" s="68" t="s">
        <v>764</v>
      </c>
      <c r="B43" s="68" t="s">
        <v>775</v>
      </c>
      <c r="C43" s="68">
        <v>8736</v>
      </c>
      <c r="D43" s="68">
        <v>3814</v>
      </c>
      <c r="E43" s="68">
        <v>8736</v>
      </c>
      <c r="F43" s="68">
        <v>3522</v>
      </c>
      <c r="G43" s="236">
        <f t="shared" si="0"/>
        <v>10.449315068493149</v>
      </c>
    </row>
    <row r="44" spans="1:7">
      <c r="A44" s="66" t="s">
        <v>765</v>
      </c>
      <c r="B44" s="66" t="s">
        <v>761</v>
      </c>
      <c r="C44" s="66">
        <v>8736</v>
      </c>
      <c r="D44" s="66">
        <v>799</v>
      </c>
      <c r="E44" s="66">
        <v>1145</v>
      </c>
      <c r="F44" s="66">
        <v>799</v>
      </c>
      <c r="G44" s="102">
        <f t="shared" si="0"/>
        <v>2.1890410958904112</v>
      </c>
    </row>
    <row r="45" spans="1:7">
      <c r="A45" s="68" t="s">
        <v>765</v>
      </c>
      <c r="B45" s="68" t="s">
        <v>795</v>
      </c>
      <c r="C45" s="68">
        <v>8736</v>
      </c>
      <c r="D45" s="68">
        <v>7884</v>
      </c>
      <c r="E45" s="68">
        <v>8736</v>
      </c>
      <c r="F45" s="68">
        <v>5913</v>
      </c>
      <c r="G45" s="236">
        <f t="shared" si="0"/>
        <v>21.6</v>
      </c>
    </row>
    <row r="46" spans="1:7">
      <c r="A46" s="66" t="s">
        <v>765</v>
      </c>
      <c r="B46" s="66" t="s">
        <v>767</v>
      </c>
      <c r="C46" s="66">
        <v>8736</v>
      </c>
      <c r="D46" s="66">
        <v>3485</v>
      </c>
      <c r="E46" s="66">
        <v>8736</v>
      </c>
      <c r="F46" s="66">
        <v>3108</v>
      </c>
      <c r="G46" s="102">
        <f t="shared" si="0"/>
        <v>9.5479452054794525</v>
      </c>
    </row>
    <row r="47" spans="1:7">
      <c r="A47" s="68" t="s">
        <v>765</v>
      </c>
      <c r="B47" s="68" t="s">
        <v>775</v>
      </c>
      <c r="C47" s="68">
        <v>8736</v>
      </c>
      <c r="D47" s="68">
        <v>4524</v>
      </c>
      <c r="E47" s="68">
        <v>8736</v>
      </c>
      <c r="F47" s="68">
        <v>3641</v>
      </c>
      <c r="G47" s="236">
        <f t="shared" si="0"/>
        <v>12.394520547945206</v>
      </c>
    </row>
    <row r="48" spans="1:7">
      <c r="A48" s="66" t="s">
        <v>765</v>
      </c>
      <c r="B48" s="66" t="s">
        <v>766</v>
      </c>
      <c r="C48" s="66">
        <v>8736</v>
      </c>
      <c r="D48" s="66">
        <v>3820</v>
      </c>
      <c r="E48" s="66">
        <v>8736</v>
      </c>
      <c r="F48" s="66">
        <v>3275</v>
      </c>
      <c r="G48" s="102">
        <f t="shared" si="0"/>
        <v>10.465753424657535</v>
      </c>
    </row>
    <row r="49" spans="1:7">
      <c r="A49" s="68" t="s">
        <v>765</v>
      </c>
      <c r="B49" s="68" t="s">
        <v>798</v>
      </c>
      <c r="C49" s="68">
        <v>8736</v>
      </c>
      <c r="D49" s="68">
        <v>7884</v>
      </c>
      <c r="E49" s="68">
        <v>8736</v>
      </c>
      <c r="F49" s="68">
        <v>5913</v>
      </c>
      <c r="G49" s="236">
        <f t="shared" si="0"/>
        <v>21.6</v>
      </c>
    </row>
    <row r="50" spans="1:7">
      <c r="A50" s="66" t="s">
        <v>765</v>
      </c>
      <c r="B50" s="66" t="s">
        <v>799</v>
      </c>
      <c r="C50" s="66">
        <v>8736</v>
      </c>
      <c r="D50" s="66">
        <v>4154</v>
      </c>
      <c r="E50" s="66">
        <v>8736</v>
      </c>
      <c r="F50" s="66">
        <v>3586</v>
      </c>
      <c r="G50" s="102">
        <f t="shared" si="0"/>
        <v>11.38082191780822</v>
      </c>
    </row>
    <row r="51" spans="1:7">
      <c r="A51" s="68" t="s">
        <v>765</v>
      </c>
      <c r="B51" s="68" t="s">
        <v>778</v>
      </c>
      <c r="C51" s="68">
        <v>8736</v>
      </c>
      <c r="D51" s="68">
        <v>3317</v>
      </c>
      <c r="E51" s="68">
        <v>8736</v>
      </c>
      <c r="F51" s="68">
        <v>3006</v>
      </c>
      <c r="G51" s="236">
        <f t="shared" si="0"/>
        <v>9.087671232876712</v>
      </c>
    </row>
    <row r="52" spans="1:7">
      <c r="A52" s="66" t="s">
        <v>768</v>
      </c>
      <c r="B52" s="66" t="s">
        <v>761</v>
      </c>
      <c r="C52" s="66">
        <v>8736</v>
      </c>
      <c r="D52" s="66">
        <v>755</v>
      </c>
      <c r="E52" s="66">
        <v>8736</v>
      </c>
      <c r="F52" s="66">
        <v>755</v>
      </c>
      <c r="G52" s="102">
        <f t="shared" si="0"/>
        <v>2.0684931506849313</v>
      </c>
    </row>
    <row r="53" spans="1:7">
      <c r="A53" s="68" t="s">
        <v>768</v>
      </c>
      <c r="B53" s="68" t="s">
        <v>778</v>
      </c>
      <c r="C53" s="68">
        <v>8736</v>
      </c>
      <c r="D53" s="68">
        <v>5858</v>
      </c>
      <c r="E53" s="68">
        <v>8736</v>
      </c>
      <c r="F53" s="68">
        <v>6132</v>
      </c>
      <c r="G53" s="236">
        <f t="shared" si="0"/>
        <v>16.049315068493151</v>
      </c>
    </row>
    <row r="54" spans="1:7">
      <c r="A54" s="66" t="s">
        <v>768</v>
      </c>
      <c r="B54" s="66" t="s">
        <v>799</v>
      </c>
      <c r="C54" s="66">
        <v>8736</v>
      </c>
      <c r="D54" s="66">
        <v>4709</v>
      </c>
      <c r="E54" s="66">
        <v>8736</v>
      </c>
      <c r="F54" s="66">
        <v>4709</v>
      </c>
      <c r="G54" s="102">
        <f t="shared" si="0"/>
        <v>12.901369863013699</v>
      </c>
    </row>
    <row r="55" spans="1:7">
      <c r="A55" s="68" t="s">
        <v>768</v>
      </c>
      <c r="B55" s="68" t="s">
        <v>795</v>
      </c>
      <c r="C55" s="68">
        <v>8736</v>
      </c>
      <c r="D55" s="68">
        <v>7474</v>
      </c>
      <c r="E55" s="68">
        <v>8736</v>
      </c>
      <c r="F55" s="68">
        <v>6132</v>
      </c>
      <c r="G55" s="236">
        <f t="shared" si="0"/>
        <v>20.476712328767121</v>
      </c>
    </row>
    <row r="56" spans="1:7">
      <c r="A56" s="66" t="s">
        <v>769</v>
      </c>
      <c r="B56" s="66" t="s">
        <v>797</v>
      </c>
      <c r="C56" s="66" t="s">
        <v>791</v>
      </c>
      <c r="D56" s="66">
        <v>3177</v>
      </c>
      <c r="E56" s="66" t="s">
        <v>791</v>
      </c>
      <c r="F56" s="66">
        <v>2613</v>
      </c>
      <c r="G56" s="102">
        <f t="shared" si="0"/>
        <v>8.7041095890410958</v>
      </c>
    </row>
    <row r="57" spans="1:7">
      <c r="A57" s="68" t="s">
        <v>769</v>
      </c>
      <c r="B57" s="68" t="s">
        <v>778</v>
      </c>
      <c r="C57" s="68" t="s">
        <v>791</v>
      </c>
      <c r="D57" s="68">
        <v>3212</v>
      </c>
      <c r="E57" s="68" t="s">
        <v>791</v>
      </c>
      <c r="F57" s="68">
        <v>2613</v>
      </c>
      <c r="G57" s="236">
        <f t="shared" si="0"/>
        <v>8.7999999999999989</v>
      </c>
    </row>
    <row r="58" spans="1:7">
      <c r="A58" s="66" t="s">
        <v>769</v>
      </c>
      <c r="B58" s="66" t="s">
        <v>795</v>
      </c>
      <c r="C58" s="66" t="s">
        <v>791</v>
      </c>
      <c r="D58" s="66">
        <v>7008</v>
      </c>
      <c r="E58" s="66" t="s">
        <v>791</v>
      </c>
      <c r="F58" s="66">
        <v>7008</v>
      </c>
      <c r="G58" s="102">
        <f t="shared" si="0"/>
        <v>19.200000000000003</v>
      </c>
    </row>
    <row r="59" spans="1:7">
      <c r="A59" s="68" t="s">
        <v>769</v>
      </c>
      <c r="B59" s="68" t="s">
        <v>800</v>
      </c>
      <c r="C59" s="68" t="s">
        <v>791</v>
      </c>
      <c r="D59" s="68">
        <v>3068</v>
      </c>
      <c r="E59" s="68" t="s">
        <v>791</v>
      </c>
      <c r="F59" s="68">
        <v>2613</v>
      </c>
      <c r="G59" s="236">
        <f t="shared" si="0"/>
        <v>8.4054794520547951</v>
      </c>
    </row>
    <row r="60" spans="1:7">
      <c r="A60" s="66" t="s">
        <v>769</v>
      </c>
      <c r="B60" s="66" t="s">
        <v>767</v>
      </c>
      <c r="C60" s="66" t="s">
        <v>791</v>
      </c>
      <c r="D60" s="66">
        <v>3068</v>
      </c>
      <c r="E60" s="66" t="s">
        <v>791</v>
      </c>
      <c r="F60" s="66">
        <v>2847</v>
      </c>
      <c r="G60" s="102">
        <f t="shared" si="0"/>
        <v>8.4054794520547951</v>
      </c>
    </row>
    <row r="61" spans="1:7">
      <c r="A61" s="68" t="s">
        <v>769</v>
      </c>
      <c r="B61" s="68" t="s">
        <v>775</v>
      </c>
      <c r="C61" s="68" t="s">
        <v>791</v>
      </c>
      <c r="D61" s="68">
        <v>3068</v>
      </c>
      <c r="E61" s="68" t="s">
        <v>791</v>
      </c>
      <c r="F61" s="68">
        <v>2653</v>
      </c>
      <c r="G61" s="236">
        <f t="shared" si="0"/>
        <v>8.4054794520547951</v>
      </c>
    </row>
    <row r="62" spans="1:7">
      <c r="A62" s="66" t="s">
        <v>769</v>
      </c>
      <c r="B62" s="66" t="s">
        <v>801</v>
      </c>
      <c r="C62" s="66" t="s">
        <v>791</v>
      </c>
      <c r="D62" s="66">
        <v>3703</v>
      </c>
      <c r="E62" s="66" t="s">
        <v>791</v>
      </c>
      <c r="F62" s="66">
        <v>2676</v>
      </c>
      <c r="G62" s="102">
        <f t="shared" si="0"/>
        <v>10.145205479452056</v>
      </c>
    </row>
    <row r="63" spans="1:7">
      <c r="A63" s="68" t="s">
        <v>770</v>
      </c>
      <c r="B63" s="68" t="s">
        <v>802</v>
      </c>
      <c r="C63" s="68">
        <v>2860</v>
      </c>
      <c r="D63" s="68">
        <v>3068</v>
      </c>
      <c r="E63" s="68">
        <v>2860</v>
      </c>
      <c r="F63" s="68">
        <v>2613</v>
      </c>
      <c r="G63" s="236">
        <f t="shared" si="0"/>
        <v>8.4054794520547951</v>
      </c>
    </row>
    <row r="64" spans="1:7">
      <c r="A64" s="66" t="s">
        <v>770</v>
      </c>
      <c r="B64" s="66" t="s">
        <v>803</v>
      </c>
      <c r="C64" s="66">
        <v>2860</v>
      </c>
      <c r="D64" s="66">
        <v>3376</v>
      </c>
      <c r="E64" s="66">
        <v>2860</v>
      </c>
      <c r="F64" s="66">
        <v>2645</v>
      </c>
      <c r="G64" s="102">
        <f t="shared" si="0"/>
        <v>9.24931506849315</v>
      </c>
    </row>
    <row r="65" spans="1:7">
      <c r="A65" s="68" t="s">
        <v>771</v>
      </c>
      <c r="B65" s="68" t="s">
        <v>804</v>
      </c>
      <c r="C65" s="68">
        <v>2739</v>
      </c>
      <c r="D65" s="68">
        <v>2641</v>
      </c>
      <c r="E65" s="68">
        <v>2808</v>
      </c>
      <c r="F65" s="68">
        <v>3100</v>
      </c>
      <c r="G65" s="236">
        <f t="shared" si="0"/>
        <v>7.2356164383561641</v>
      </c>
    </row>
    <row r="66" spans="1:7">
      <c r="A66" s="66" t="s">
        <v>771</v>
      </c>
      <c r="B66" s="66" t="s">
        <v>805</v>
      </c>
      <c r="C66" s="66">
        <v>2739</v>
      </c>
      <c r="D66" s="66">
        <v>2641</v>
      </c>
      <c r="E66" s="66">
        <v>2808</v>
      </c>
      <c r="F66" s="66">
        <v>3100</v>
      </c>
      <c r="G66" s="102">
        <f t="shared" si="0"/>
        <v>7.2356164383561641</v>
      </c>
    </row>
    <row r="67" spans="1:7">
      <c r="A67" s="68" t="s">
        <v>771</v>
      </c>
      <c r="B67" s="68" t="s">
        <v>795</v>
      </c>
      <c r="C67" s="68">
        <v>2739</v>
      </c>
      <c r="D67" s="68">
        <v>2641</v>
      </c>
      <c r="E67" s="68">
        <v>2808</v>
      </c>
      <c r="F67" s="68">
        <v>3860</v>
      </c>
      <c r="G67" s="236">
        <f t="shared" si="0"/>
        <v>7.2356164383561641</v>
      </c>
    </row>
    <row r="68" spans="1:7">
      <c r="A68" s="66" t="s">
        <v>771</v>
      </c>
      <c r="B68" s="66" t="s">
        <v>806</v>
      </c>
      <c r="C68" s="66">
        <v>2739</v>
      </c>
      <c r="D68" s="66">
        <v>2692</v>
      </c>
      <c r="E68" s="66">
        <v>2808</v>
      </c>
      <c r="F68" s="66">
        <v>3860</v>
      </c>
      <c r="G68" s="102">
        <f t="shared" si="0"/>
        <v>7.3753424657534241</v>
      </c>
    </row>
    <row r="69" spans="1:7">
      <c r="A69" s="68" t="s">
        <v>771</v>
      </c>
      <c r="B69" s="68" t="s">
        <v>801</v>
      </c>
      <c r="C69" s="68">
        <v>2739</v>
      </c>
      <c r="D69" s="68">
        <v>2692</v>
      </c>
      <c r="E69" s="68">
        <v>2808</v>
      </c>
      <c r="F69" s="68">
        <v>1647</v>
      </c>
      <c r="G69" s="236">
        <f t="shared" ref="G69:G112" si="1">D69/8760*24</f>
        <v>7.3753424657534241</v>
      </c>
    </row>
    <row r="70" spans="1:7">
      <c r="A70" s="66" t="s">
        <v>771</v>
      </c>
      <c r="B70" s="66" t="s">
        <v>807</v>
      </c>
      <c r="C70" s="66">
        <v>2739</v>
      </c>
      <c r="D70" s="66">
        <v>2692</v>
      </c>
      <c r="E70" s="66">
        <v>2808</v>
      </c>
      <c r="F70" s="66">
        <v>3860</v>
      </c>
      <c r="G70" s="102">
        <f t="shared" si="1"/>
        <v>7.3753424657534241</v>
      </c>
    </row>
    <row r="71" spans="1:7">
      <c r="A71" s="68" t="s">
        <v>771</v>
      </c>
      <c r="B71" s="68" t="s">
        <v>808</v>
      </c>
      <c r="C71" s="68">
        <v>2739</v>
      </c>
      <c r="D71" s="68">
        <v>2692</v>
      </c>
      <c r="E71" s="68">
        <v>2808</v>
      </c>
      <c r="F71" s="68">
        <v>3860</v>
      </c>
      <c r="G71" s="236">
        <f t="shared" si="1"/>
        <v>7.3753424657534241</v>
      </c>
    </row>
    <row r="72" spans="1:7">
      <c r="A72" s="66" t="s">
        <v>771</v>
      </c>
      <c r="B72" s="66" t="s">
        <v>809</v>
      </c>
      <c r="C72" s="66">
        <v>2739</v>
      </c>
      <c r="D72" s="66">
        <v>2692</v>
      </c>
      <c r="E72" s="66">
        <v>2808</v>
      </c>
      <c r="F72" s="66">
        <v>1647</v>
      </c>
      <c r="G72" s="102">
        <f t="shared" si="1"/>
        <v>7.3753424657534241</v>
      </c>
    </row>
    <row r="73" spans="1:7">
      <c r="A73" s="68" t="s">
        <v>772</v>
      </c>
      <c r="B73" s="68" t="s">
        <v>805</v>
      </c>
      <c r="C73" s="68">
        <v>2492</v>
      </c>
      <c r="D73" s="68">
        <v>2594</v>
      </c>
      <c r="E73" s="68">
        <v>2808</v>
      </c>
      <c r="F73" s="68">
        <v>3066</v>
      </c>
      <c r="G73" s="236">
        <f t="shared" si="1"/>
        <v>7.1068493150684935</v>
      </c>
    </row>
    <row r="74" spans="1:7">
      <c r="A74" s="66" t="s">
        <v>772</v>
      </c>
      <c r="B74" s="66" t="s">
        <v>795</v>
      </c>
      <c r="C74" s="66">
        <v>2492</v>
      </c>
      <c r="D74" s="66">
        <v>2594</v>
      </c>
      <c r="E74" s="66">
        <v>2808</v>
      </c>
      <c r="F74" s="66">
        <v>3360</v>
      </c>
      <c r="G74" s="102">
        <f t="shared" si="1"/>
        <v>7.1068493150684935</v>
      </c>
    </row>
    <row r="75" spans="1:7">
      <c r="A75" s="68" t="s">
        <v>772</v>
      </c>
      <c r="B75" s="68" t="s">
        <v>806</v>
      </c>
      <c r="C75" s="68">
        <v>2492</v>
      </c>
      <c r="D75" s="68">
        <v>2594</v>
      </c>
      <c r="E75" s="68">
        <v>2808</v>
      </c>
      <c r="F75" s="68">
        <v>3957</v>
      </c>
      <c r="G75" s="236">
        <f t="shared" si="1"/>
        <v>7.1068493150684935</v>
      </c>
    </row>
    <row r="76" spans="1:7">
      <c r="A76" s="66" t="s">
        <v>772</v>
      </c>
      <c r="B76" s="66" t="s">
        <v>801</v>
      </c>
      <c r="C76" s="66">
        <v>2492</v>
      </c>
      <c r="D76" s="66">
        <v>2594</v>
      </c>
      <c r="E76" s="66">
        <v>2808</v>
      </c>
      <c r="F76" s="66">
        <v>1556</v>
      </c>
      <c r="G76" s="102">
        <f t="shared" si="1"/>
        <v>7.1068493150684935</v>
      </c>
    </row>
    <row r="77" spans="1:7">
      <c r="A77" s="68" t="s">
        <v>772</v>
      </c>
      <c r="B77" s="68" t="s">
        <v>807</v>
      </c>
      <c r="C77" s="68">
        <v>2492</v>
      </c>
      <c r="D77" s="68">
        <v>2594</v>
      </c>
      <c r="E77" s="68">
        <v>2808</v>
      </c>
      <c r="F77" s="68">
        <v>3957</v>
      </c>
      <c r="G77" s="236">
        <f t="shared" si="1"/>
        <v>7.1068493150684935</v>
      </c>
    </row>
    <row r="78" spans="1:7">
      <c r="A78" s="66" t="s">
        <v>772</v>
      </c>
      <c r="B78" s="66" t="s">
        <v>808</v>
      </c>
      <c r="C78" s="66">
        <v>2492</v>
      </c>
      <c r="D78" s="66">
        <v>2594</v>
      </c>
      <c r="E78" s="66">
        <v>2808</v>
      </c>
      <c r="F78" s="66">
        <v>3957</v>
      </c>
      <c r="G78" s="102">
        <f t="shared" si="1"/>
        <v>7.1068493150684935</v>
      </c>
    </row>
    <row r="79" spans="1:7">
      <c r="A79" s="68" t="s">
        <v>772</v>
      </c>
      <c r="B79" s="68" t="s">
        <v>809</v>
      </c>
      <c r="C79" s="68">
        <v>2492</v>
      </c>
      <c r="D79" s="68">
        <v>2594</v>
      </c>
      <c r="E79" s="68">
        <v>2808</v>
      </c>
      <c r="F79" s="68">
        <v>1556</v>
      </c>
      <c r="G79" s="236">
        <f t="shared" si="1"/>
        <v>7.1068493150684935</v>
      </c>
    </row>
    <row r="80" spans="1:7">
      <c r="A80" s="66" t="s">
        <v>773</v>
      </c>
      <c r="B80" s="66" t="s">
        <v>767</v>
      </c>
      <c r="C80" s="66">
        <v>3444</v>
      </c>
      <c r="D80" s="66">
        <v>4836</v>
      </c>
      <c r="E80" s="66">
        <v>4368</v>
      </c>
      <c r="F80" s="66">
        <v>4836</v>
      </c>
      <c r="G80" s="102">
        <f t="shared" si="1"/>
        <v>13.24931506849315</v>
      </c>
    </row>
    <row r="81" spans="1:7">
      <c r="A81" s="68" t="s">
        <v>773</v>
      </c>
      <c r="B81" s="68" t="s">
        <v>774</v>
      </c>
      <c r="C81" s="68">
        <v>3444</v>
      </c>
      <c r="D81" s="68">
        <v>4836</v>
      </c>
      <c r="E81" s="68">
        <v>4368</v>
      </c>
      <c r="F81" s="68">
        <v>4836</v>
      </c>
      <c r="G81" s="236">
        <f t="shared" si="1"/>
        <v>13.24931506849315</v>
      </c>
    </row>
    <row r="82" spans="1:7">
      <c r="A82" s="66" t="s">
        <v>773</v>
      </c>
      <c r="B82" s="66" t="s">
        <v>775</v>
      </c>
      <c r="C82" s="66">
        <v>3444</v>
      </c>
      <c r="D82" s="66">
        <v>4804</v>
      </c>
      <c r="E82" s="66">
        <v>4368</v>
      </c>
      <c r="F82" s="66">
        <v>4804</v>
      </c>
      <c r="G82" s="102">
        <f t="shared" si="1"/>
        <v>13.161643835616438</v>
      </c>
    </row>
    <row r="83" spans="1:7">
      <c r="A83" s="68" t="s">
        <v>773</v>
      </c>
      <c r="B83" s="68" t="s">
        <v>808</v>
      </c>
      <c r="C83" s="68">
        <v>3444</v>
      </c>
      <c r="D83" s="68">
        <v>4606</v>
      </c>
      <c r="E83" s="68">
        <v>4368</v>
      </c>
      <c r="F83" s="68">
        <v>4606</v>
      </c>
      <c r="G83" s="236">
        <f t="shared" si="1"/>
        <v>12.619178082191782</v>
      </c>
    </row>
    <row r="84" spans="1:7">
      <c r="A84" s="66" t="s">
        <v>776</v>
      </c>
      <c r="B84" s="66" t="s">
        <v>767</v>
      </c>
      <c r="C84" s="66">
        <v>6188</v>
      </c>
      <c r="D84" s="66">
        <v>4850</v>
      </c>
      <c r="E84" s="66">
        <v>6188</v>
      </c>
      <c r="F84" s="66">
        <v>4850</v>
      </c>
      <c r="G84" s="102">
        <f t="shared" si="1"/>
        <v>13.287671232876711</v>
      </c>
    </row>
    <row r="85" spans="1:7">
      <c r="A85" s="68" t="s">
        <v>776</v>
      </c>
      <c r="B85" s="68" t="s">
        <v>774</v>
      </c>
      <c r="C85" s="68">
        <v>6188</v>
      </c>
      <c r="D85" s="68">
        <v>4850</v>
      </c>
      <c r="E85" s="68">
        <v>6188</v>
      </c>
      <c r="F85" s="68">
        <v>4850</v>
      </c>
      <c r="G85" s="236">
        <f t="shared" si="1"/>
        <v>13.287671232876711</v>
      </c>
    </row>
    <row r="86" spans="1:7">
      <c r="A86" s="66" t="s">
        <v>776</v>
      </c>
      <c r="B86" s="66" t="s">
        <v>775</v>
      </c>
      <c r="C86" s="66">
        <v>6188</v>
      </c>
      <c r="D86" s="66">
        <v>4812</v>
      </c>
      <c r="E86" s="66">
        <v>6188</v>
      </c>
      <c r="F86" s="66">
        <v>4812</v>
      </c>
      <c r="G86" s="102">
        <f t="shared" si="1"/>
        <v>13.183561643835617</v>
      </c>
    </row>
    <row r="87" spans="1:7">
      <c r="A87" s="68" t="s">
        <v>776</v>
      </c>
      <c r="B87" s="68" t="s">
        <v>808</v>
      </c>
      <c r="C87" s="68">
        <v>6188</v>
      </c>
      <c r="D87" s="68">
        <v>4677</v>
      </c>
      <c r="E87" s="68">
        <v>6188</v>
      </c>
      <c r="F87" s="68">
        <v>4677</v>
      </c>
      <c r="G87" s="236">
        <f t="shared" si="1"/>
        <v>12.813698630136987</v>
      </c>
    </row>
    <row r="88" spans="1:7">
      <c r="A88" s="66" t="s">
        <v>810</v>
      </c>
      <c r="B88" s="66" t="s">
        <v>811</v>
      </c>
      <c r="C88" s="66">
        <v>4259</v>
      </c>
      <c r="D88" s="66">
        <v>3546</v>
      </c>
      <c r="E88" s="66">
        <v>4259</v>
      </c>
      <c r="F88" s="66">
        <v>3989</v>
      </c>
      <c r="G88" s="102">
        <f t="shared" si="1"/>
        <v>9.7150684931506852</v>
      </c>
    </row>
    <row r="89" spans="1:7">
      <c r="A89" s="68" t="s">
        <v>810</v>
      </c>
      <c r="B89" s="68" t="s">
        <v>779</v>
      </c>
      <c r="C89" s="68">
        <v>4259</v>
      </c>
      <c r="D89" s="68">
        <v>2702</v>
      </c>
      <c r="E89" s="68">
        <v>4259</v>
      </c>
      <c r="F89" s="68">
        <v>2559</v>
      </c>
      <c r="G89" s="236">
        <f t="shared" si="1"/>
        <v>7.4027397260273977</v>
      </c>
    </row>
    <row r="90" spans="1:7">
      <c r="A90" s="66" t="s">
        <v>810</v>
      </c>
      <c r="B90" s="66" t="s">
        <v>778</v>
      </c>
      <c r="C90" s="66">
        <v>4259</v>
      </c>
      <c r="D90" s="66">
        <v>2596</v>
      </c>
      <c r="E90" s="66">
        <v>4259</v>
      </c>
      <c r="F90" s="66">
        <v>2559</v>
      </c>
      <c r="G90" s="102">
        <f t="shared" si="1"/>
        <v>7.1123287671232882</v>
      </c>
    </row>
    <row r="91" spans="1:7">
      <c r="A91" s="68" t="s">
        <v>780</v>
      </c>
      <c r="B91" s="68" t="s">
        <v>811</v>
      </c>
      <c r="C91" s="68">
        <v>4368</v>
      </c>
      <c r="D91" s="68">
        <v>4454</v>
      </c>
      <c r="E91" s="68">
        <v>4368</v>
      </c>
      <c r="F91" s="68">
        <v>4512</v>
      </c>
      <c r="G91" s="236">
        <f t="shared" si="1"/>
        <v>12.202739726027396</v>
      </c>
    </row>
    <row r="92" spans="1:7">
      <c r="A92" s="66" t="s">
        <v>780</v>
      </c>
      <c r="B92" s="66" t="s">
        <v>779</v>
      </c>
      <c r="C92" s="66">
        <v>4368</v>
      </c>
      <c r="D92" s="66">
        <v>2738</v>
      </c>
      <c r="E92" s="66">
        <v>4368</v>
      </c>
      <c r="F92" s="66">
        <v>2633</v>
      </c>
      <c r="G92" s="102">
        <f t="shared" si="1"/>
        <v>7.5013698630136982</v>
      </c>
    </row>
    <row r="93" spans="1:7">
      <c r="A93" s="68" t="s">
        <v>780</v>
      </c>
      <c r="B93" s="68" t="s">
        <v>778</v>
      </c>
      <c r="C93" s="68">
        <v>4368</v>
      </c>
      <c r="D93" s="68">
        <v>2714</v>
      </c>
      <c r="E93" s="68">
        <v>4368</v>
      </c>
      <c r="F93" s="68">
        <v>2737</v>
      </c>
      <c r="G93" s="236">
        <f t="shared" si="1"/>
        <v>7.4356164383561651</v>
      </c>
    </row>
    <row r="94" spans="1:7">
      <c r="A94" s="66" t="s">
        <v>780</v>
      </c>
      <c r="B94" s="66" t="s">
        <v>812</v>
      </c>
      <c r="C94" s="66">
        <v>4368</v>
      </c>
      <c r="D94" s="66">
        <v>3429</v>
      </c>
      <c r="E94" s="66">
        <v>4368</v>
      </c>
      <c r="F94" s="66">
        <v>4022</v>
      </c>
      <c r="G94" s="102">
        <f t="shared" si="1"/>
        <v>9.3945205479452056</v>
      </c>
    </row>
    <row r="95" spans="1:7">
      <c r="A95" s="68" t="s">
        <v>780</v>
      </c>
      <c r="B95" s="68" t="s">
        <v>775</v>
      </c>
      <c r="C95" s="68">
        <v>4368</v>
      </c>
      <c r="D95" s="68">
        <v>3368</v>
      </c>
      <c r="E95" s="68">
        <v>4368</v>
      </c>
      <c r="F95" s="68">
        <v>3947</v>
      </c>
      <c r="G95" s="236">
        <f t="shared" si="1"/>
        <v>9.2273972602739729</v>
      </c>
    </row>
    <row r="96" spans="1:7">
      <c r="A96" s="66" t="s">
        <v>780</v>
      </c>
      <c r="B96" s="66" t="s">
        <v>811</v>
      </c>
      <c r="C96" s="66">
        <v>4368</v>
      </c>
      <c r="D96" s="66">
        <v>4454</v>
      </c>
      <c r="E96" s="66">
        <v>4368</v>
      </c>
      <c r="F96" s="66">
        <v>4512</v>
      </c>
      <c r="G96" s="102">
        <f t="shared" si="1"/>
        <v>12.202739726027396</v>
      </c>
    </row>
    <row r="97" spans="1:7">
      <c r="A97" s="68" t="s">
        <v>781</v>
      </c>
      <c r="B97" s="68" t="s">
        <v>811</v>
      </c>
      <c r="C97" s="68">
        <v>3724</v>
      </c>
      <c r="D97" s="68">
        <v>3378</v>
      </c>
      <c r="E97" s="68">
        <v>4004</v>
      </c>
      <c r="F97" s="68">
        <v>4013</v>
      </c>
      <c r="G97" s="236">
        <f t="shared" si="1"/>
        <v>9.2547945205479447</v>
      </c>
    </row>
    <row r="98" spans="1:7">
      <c r="A98" s="66" t="s">
        <v>781</v>
      </c>
      <c r="B98" s="66" t="s">
        <v>779</v>
      </c>
      <c r="C98" s="66">
        <v>3724</v>
      </c>
      <c r="D98" s="66">
        <v>2753</v>
      </c>
      <c r="E98" s="66">
        <v>4004</v>
      </c>
      <c r="F98" s="66">
        <v>2550</v>
      </c>
      <c r="G98" s="102">
        <f t="shared" si="1"/>
        <v>7.5424657534246577</v>
      </c>
    </row>
    <row r="99" spans="1:7">
      <c r="A99" s="68" t="s">
        <v>782</v>
      </c>
      <c r="B99" s="68" t="s">
        <v>779</v>
      </c>
      <c r="C99" s="68">
        <v>2860</v>
      </c>
      <c r="D99" s="68">
        <v>3441</v>
      </c>
      <c r="E99" s="68">
        <v>2860</v>
      </c>
      <c r="F99" s="68">
        <v>2780</v>
      </c>
      <c r="G99" s="236">
        <f t="shared" si="1"/>
        <v>9.4273972602739722</v>
      </c>
    </row>
    <row r="100" spans="1:7">
      <c r="A100" s="66" t="s">
        <v>782</v>
      </c>
      <c r="B100" s="66" t="s">
        <v>778</v>
      </c>
      <c r="C100" s="66">
        <v>2860</v>
      </c>
      <c r="D100" s="66">
        <v>3441</v>
      </c>
      <c r="E100" s="66">
        <v>2860</v>
      </c>
      <c r="F100" s="66">
        <v>2780</v>
      </c>
      <c r="G100" s="102">
        <f t="shared" si="1"/>
        <v>9.4273972602739722</v>
      </c>
    </row>
    <row r="101" spans="1:7">
      <c r="A101" s="68" t="s">
        <v>783</v>
      </c>
      <c r="B101" s="68" t="s">
        <v>803</v>
      </c>
      <c r="C101" s="68">
        <v>2860</v>
      </c>
      <c r="D101" s="68">
        <v>3441</v>
      </c>
      <c r="E101" s="68">
        <v>2860</v>
      </c>
      <c r="F101" s="68">
        <v>2780</v>
      </c>
      <c r="G101" s="236">
        <f t="shared" si="1"/>
        <v>9.4273972602739722</v>
      </c>
    </row>
    <row r="102" spans="1:7">
      <c r="A102" s="66" t="s">
        <v>783</v>
      </c>
      <c r="B102" s="66" t="s">
        <v>778</v>
      </c>
      <c r="C102" s="66">
        <v>2860</v>
      </c>
      <c r="D102" s="66">
        <v>3441</v>
      </c>
      <c r="E102" s="66">
        <v>2860</v>
      </c>
      <c r="F102" s="66">
        <v>2780</v>
      </c>
      <c r="G102" s="102">
        <f t="shared" si="1"/>
        <v>9.4273972602739722</v>
      </c>
    </row>
    <row r="103" spans="1:7">
      <c r="A103" s="68" t="s">
        <v>813</v>
      </c>
      <c r="B103" s="68" t="s">
        <v>814</v>
      </c>
      <c r="C103" s="68">
        <v>2492</v>
      </c>
      <c r="D103" s="68">
        <v>4964</v>
      </c>
      <c r="E103" s="68">
        <v>2808</v>
      </c>
      <c r="F103" s="68">
        <v>3942</v>
      </c>
      <c r="G103" s="236">
        <f t="shared" si="1"/>
        <v>13.6</v>
      </c>
    </row>
    <row r="104" spans="1:7">
      <c r="A104" s="66" t="s">
        <v>813</v>
      </c>
      <c r="B104" s="66" t="s">
        <v>778</v>
      </c>
      <c r="C104" s="66">
        <v>2492</v>
      </c>
      <c r="D104" s="66">
        <v>4526</v>
      </c>
      <c r="E104" s="66">
        <v>2808</v>
      </c>
      <c r="F104" s="66">
        <v>3504</v>
      </c>
      <c r="G104" s="102">
        <f t="shared" si="1"/>
        <v>12.400000000000002</v>
      </c>
    </row>
    <row r="105" spans="1:7">
      <c r="A105" s="68" t="s">
        <v>813</v>
      </c>
      <c r="B105" s="68" t="s">
        <v>815</v>
      </c>
      <c r="C105" s="68">
        <v>2492</v>
      </c>
      <c r="D105" s="68">
        <v>4964</v>
      </c>
      <c r="E105" s="68">
        <v>2808</v>
      </c>
      <c r="F105" s="68">
        <v>3942</v>
      </c>
      <c r="G105" s="236">
        <f t="shared" si="1"/>
        <v>13.6</v>
      </c>
    </row>
    <row r="106" spans="1:7">
      <c r="A106" s="66" t="s">
        <v>813</v>
      </c>
      <c r="B106" s="66" t="s">
        <v>816</v>
      </c>
      <c r="C106" s="66">
        <v>2492</v>
      </c>
      <c r="D106" s="66">
        <v>4380</v>
      </c>
      <c r="E106" s="66">
        <v>2808</v>
      </c>
      <c r="F106" s="66">
        <v>3504</v>
      </c>
      <c r="G106" s="102">
        <f t="shared" si="1"/>
        <v>12</v>
      </c>
    </row>
    <row r="107" spans="1:7">
      <c r="A107" s="68" t="s">
        <v>813</v>
      </c>
      <c r="B107" s="68" t="s">
        <v>817</v>
      </c>
      <c r="C107" s="68">
        <v>2492</v>
      </c>
      <c r="D107" s="68">
        <v>4380</v>
      </c>
      <c r="E107" s="68">
        <v>2808</v>
      </c>
      <c r="F107" s="68">
        <v>3504</v>
      </c>
      <c r="G107" s="236">
        <f t="shared" si="1"/>
        <v>12</v>
      </c>
    </row>
    <row r="108" spans="1:7">
      <c r="A108" s="66" t="s">
        <v>813</v>
      </c>
      <c r="B108" s="66" t="s">
        <v>818</v>
      </c>
      <c r="C108" s="66">
        <v>2492</v>
      </c>
      <c r="D108" s="66">
        <v>4380</v>
      </c>
      <c r="E108" s="66">
        <v>2808</v>
      </c>
      <c r="F108" s="66">
        <v>3504</v>
      </c>
      <c r="G108" s="102">
        <f t="shared" si="1"/>
        <v>12</v>
      </c>
    </row>
    <row r="109" spans="1:7">
      <c r="A109" s="68" t="s">
        <v>819</v>
      </c>
      <c r="B109" s="68" t="s">
        <v>820</v>
      </c>
      <c r="C109" s="68">
        <v>2492</v>
      </c>
      <c r="D109" s="68">
        <v>4818</v>
      </c>
      <c r="E109" s="68">
        <v>2808</v>
      </c>
      <c r="F109" s="68">
        <v>4818</v>
      </c>
      <c r="G109" s="236">
        <f t="shared" si="1"/>
        <v>13.200000000000001</v>
      </c>
    </row>
    <row r="110" spans="1:7">
      <c r="A110" s="66" t="s">
        <v>819</v>
      </c>
      <c r="B110" s="66" t="s">
        <v>821</v>
      </c>
      <c r="C110" s="66">
        <v>2492</v>
      </c>
      <c r="D110" s="66">
        <v>4818</v>
      </c>
      <c r="E110" s="66">
        <v>2808</v>
      </c>
      <c r="F110" s="66">
        <v>4818</v>
      </c>
      <c r="G110" s="102">
        <f t="shared" si="1"/>
        <v>13.200000000000001</v>
      </c>
    </row>
    <row r="111" spans="1:7">
      <c r="A111" s="68" t="s">
        <v>819</v>
      </c>
      <c r="B111" s="68" t="s">
        <v>815</v>
      </c>
      <c r="C111" s="68">
        <v>2492</v>
      </c>
      <c r="D111" s="68">
        <v>4818</v>
      </c>
      <c r="E111" s="68">
        <v>2808</v>
      </c>
      <c r="F111" s="68">
        <v>4818</v>
      </c>
      <c r="G111" s="236">
        <f t="shared" si="1"/>
        <v>13.200000000000001</v>
      </c>
    </row>
    <row r="112" spans="1:7">
      <c r="A112" s="72" t="s">
        <v>819</v>
      </c>
      <c r="B112" s="72" t="s">
        <v>778</v>
      </c>
      <c r="C112" s="72">
        <v>2492</v>
      </c>
      <c r="D112" s="72">
        <v>3522</v>
      </c>
      <c r="E112" s="72">
        <v>2808</v>
      </c>
      <c r="F112" s="72">
        <v>2719</v>
      </c>
      <c r="G112" s="237">
        <f t="shared" si="1"/>
        <v>9.6493150684931503</v>
      </c>
    </row>
  </sheetData>
  <sheetProtection password="CD9A" sheet="1" objects="1" scenarios="1"/>
  <mergeCells count="2">
    <mergeCell ref="C2:D2"/>
    <mergeCell ref="E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D691"/>
  <sheetViews>
    <sheetView zoomScale="70" zoomScaleNormal="70" workbookViewId="0"/>
  </sheetViews>
  <sheetFormatPr defaultColWidth="9.140625" defaultRowHeight="15"/>
  <cols>
    <col min="1" max="1" width="2.140625" style="37" customWidth="1"/>
    <col min="2" max="2" width="18" style="35" customWidth="1"/>
    <col min="3" max="3" width="21.140625" style="34" customWidth="1"/>
    <col min="4" max="4" width="22.85546875" style="34" customWidth="1"/>
    <col min="5" max="5" width="29.28515625" style="34" customWidth="1"/>
    <col min="6" max="7" width="20.5703125" style="34" customWidth="1"/>
    <col min="8" max="8" width="24.42578125" style="293" customWidth="1"/>
    <col min="9" max="9" width="12.85546875" style="34" customWidth="1"/>
    <col min="10" max="10" width="11" style="34" customWidth="1"/>
    <col min="11" max="11" width="21.5703125" style="34" customWidth="1"/>
    <col min="12" max="12" width="11.42578125" style="34" customWidth="1"/>
    <col min="13" max="13" width="19.42578125" style="34" customWidth="1"/>
    <col min="14" max="14" width="12.42578125" style="34" customWidth="1"/>
    <col min="15" max="15" width="17.85546875" style="262" customWidth="1"/>
    <col min="16" max="16" width="18.5703125" style="262" customWidth="1"/>
    <col min="17" max="17" width="17.85546875" style="262" customWidth="1"/>
    <col min="18" max="18" width="4.140625" style="804" customWidth="1"/>
    <col min="19" max="19" width="12.42578125" customWidth="1"/>
    <col min="20" max="20" width="19.28515625" style="34" customWidth="1"/>
    <col min="21" max="21" width="21.5703125" style="34" customWidth="1"/>
    <col min="22" max="22" width="20" style="34" customWidth="1"/>
    <col min="23" max="23" width="22.28515625" style="34" customWidth="1"/>
    <col min="24" max="24" width="4.85546875" style="807" customWidth="1"/>
    <col min="25" max="25" width="4.7109375" style="37" customWidth="1"/>
    <col min="26" max="26" width="11.140625" customWidth="1"/>
    <col min="27" max="27" width="18.42578125" style="34" customWidth="1"/>
    <col min="28" max="28" width="4.85546875" style="807" customWidth="1"/>
    <col min="29" max="29" width="17" bestFit="1" customWidth="1"/>
    <col min="30" max="30" width="36.140625" style="34" customWidth="1"/>
    <col min="31" max="31" width="28.42578125" style="34" customWidth="1"/>
    <col min="32" max="32" width="43" style="807" customWidth="1"/>
    <col min="33" max="33" width="9.140625" style="807"/>
    <col min="34" max="39" width="9.140625" style="807" customWidth="1"/>
    <col min="40" max="87" width="9.140625" style="807"/>
    <col min="88" max="16384" width="9.140625" style="34"/>
  </cols>
  <sheetData>
    <row r="1" spans="1:108" ht="18.75">
      <c r="B1" s="456"/>
      <c r="C1" s="389"/>
      <c r="S1" s="384"/>
      <c r="Z1" s="384"/>
      <c r="AC1" s="384"/>
      <c r="AG1" s="818"/>
      <c r="AH1" s="818"/>
      <c r="AI1" s="818"/>
      <c r="AJ1" s="818"/>
      <c r="AK1" s="818"/>
      <c r="AL1" s="818"/>
      <c r="AM1" s="818"/>
      <c r="AN1" s="818"/>
      <c r="AO1" s="818"/>
      <c r="AP1" s="818"/>
      <c r="AQ1" s="818"/>
      <c r="AR1" s="818"/>
      <c r="AS1" s="818"/>
      <c r="AT1" s="818"/>
      <c r="AU1" s="818"/>
      <c r="AV1" s="818"/>
      <c r="AW1" s="818"/>
      <c r="AX1" s="818"/>
      <c r="AY1" s="818"/>
      <c r="AZ1" s="818"/>
      <c r="BA1" s="818"/>
      <c r="BB1" s="818"/>
      <c r="BC1" s="818"/>
      <c r="BD1" s="818"/>
      <c r="BE1" s="818"/>
      <c r="BF1" s="818"/>
      <c r="BG1" s="818"/>
      <c r="BH1" s="818"/>
      <c r="BI1" s="818"/>
      <c r="BJ1" s="818"/>
      <c r="BK1" s="818"/>
      <c r="BL1" s="818"/>
      <c r="BM1" s="818"/>
      <c r="BN1" s="818"/>
      <c r="BO1" s="818"/>
      <c r="BP1" s="818"/>
      <c r="BQ1" s="818"/>
      <c r="BR1" s="818"/>
      <c r="BS1" s="818"/>
      <c r="BT1" s="818"/>
      <c r="BU1" s="818"/>
      <c r="BV1" s="818"/>
      <c r="BW1" s="818"/>
      <c r="BX1" s="818"/>
      <c r="BY1" s="818"/>
      <c r="BZ1" s="818"/>
      <c r="CA1" s="818"/>
      <c r="CB1" s="818"/>
      <c r="CC1" s="818"/>
      <c r="CD1" s="818"/>
      <c r="CE1" s="818"/>
      <c r="CF1" s="818"/>
      <c r="CG1" s="818"/>
      <c r="CH1" s="818"/>
      <c r="CI1" s="818"/>
      <c r="CJ1" s="298"/>
      <c r="CK1" s="298"/>
      <c r="CL1" s="298"/>
      <c r="CM1" s="298"/>
      <c r="CN1" s="298"/>
      <c r="CO1" s="298"/>
      <c r="CP1" s="298"/>
      <c r="CQ1" s="298"/>
      <c r="CR1" s="298"/>
      <c r="CS1" s="298"/>
      <c r="CT1" s="298"/>
      <c r="CU1" s="298"/>
      <c r="CV1" s="298"/>
      <c r="CW1" s="298"/>
      <c r="CX1" s="298"/>
      <c r="CY1" s="298"/>
      <c r="CZ1" s="298"/>
      <c r="DA1" s="298"/>
      <c r="DB1" s="298"/>
      <c r="DC1" s="298"/>
      <c r="DD1" s="298"/>
    </row>
    <row r="2" spans="1:108" ht="16.5" thickBot="1">
      <c r="B2" s="351" t="s">
        <v>37</v>
      </c>
      <c r="D2" s="297"/>
      <c r="N2" s="262" t="s">
        <v>38</v>
      </c>
      <c r="O2" s="262" t="s">
        <v>39</v>
      </c>
      <c r="P2" s="262" t="s">
        <v>38</v>
      </c>
      <c r="Q2" s="262" t="s">
        <v>39</v>
      </c>
      <c r="Z2" s="34" t="s">
        <v>40</v>
      </c>
      <c r="AA2" s="34" t="s">
        <v>40</v>
      </c>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298"/>
      <c r="CK2" s="298"/>
      <c r="CL2" s="298"/>
      <c r="CM2" s="298"/>
      <c r="CN2" s="298"/>
      <c r="CO2" s="298"/>
      <c r="CP2" s="298"/>
      <c r="CQ2" s="298"/>
      <c r="CR2" s="298"/>
      <c r="CS2" s="298"/>
      <c r="CT2" s="298"/>
      <c r="CU2" s="298"/>
      <c r="CV2" s="298"/>
      <c r="CW2" s="298"/>
      <c r="CX2" s="298"/>
      <c r="CY2" s="298"/>
      <c r="CZ2" s="298"/>
      <c r="DA2" s="298"/>
      <c r="DB2" s="298"/>
      <c r="DC2" s="298"/>
      <c r="DD2" s="298"/>
    </row>
    <row r="3" spans="1:108" s="428" customFormat="1" ht="30" customHeight="1">
      <c r="A3" s="805"/>
      <c r="B3" s="851" t="s">
        <v>41</v>
      </c>
      <c r="C3" s="852"/>
      <c r="D3" s="852"/>
      <c r="E3" s="852"/>
      <c r="F3" s="851" t="s">
        <v>42</v>
      </c>
      <c r="G3" s="852"/>
      <c r="H3" s="852"/>
      <c r="I3" s="852"/>
      <c r="J3" s="851" t="s">
        <v>912</v>
      </c>
      <c r="K3" s="853"/>
      <c r="L3" s="851" t="s">
        <v>43</v>
      </c>
      <c r="M3" s="852"/>
      <c r="N3" s="854" t="s">
        <v>913</v>
      </c>
      <c r="O3" s="855"/>
      <c r="P3" s="854" t="s">
        <v>914</v>
      </c>
      <c r="Q3" s="855"/>
      <c r="R3" s="805"/>
      <c r="S3" s="851" t="s">
        <v>1285</v>
      </c>
      <c r="T3" s="852"/>
      <c r="U3" s="852"/>
      <c r="V3" s="852"/>
      <c r="W3" s="853"/>
      <c r="X3" s="805"/>
      <c r="Y3" s="805"/>
      <c r="Z3" s="427"/>
      <c r="AA3" s="427"/>
      <c r="AB3" s="805"/>
      <c r="AC3" s="427"/>
      <c r="AD3" s="427"/>
      <c r="AE3" s="427"/>
      <c r="AF3" s="819"/>
      <c r="AG3" s="819"/>
      <c r="AH3" s="819"/>
      <c r="AI3" s="819"/>
      <c r="AJ3" s="819"/>
      <c r="AK3" s="819"/>
      <c r="AL3" s="819"/>
      <c r="AM3" s="819"/>
      <c r="AN3" s="819"/>
      <c r="AO3" s="819"/>
      <c r="AP3" s="819"/>
      <c r="AQ3" s="819"/>
      <c r="AR3" s="819"/>
      <c r="AS3" s="819"/>
      <c r="AT3" s="819"/>
      <c r="AU3" s="819"/>
      <c r="AV3" s="819"/>
      <c r="AW3" s="819"/>
      <c r="AX3" s="819"/>
      <c r="AY3" s="819"/>
      <c r="AZ3" s="819"/>
      <c r="BA3" s="819"/>
      <c r="BB3" s="819"/>
      <c r="BC3" s="819"/>
      <c r="BD3" s="819"/>
      <c r="BE3" s="819"/>
      <c r="BF3" s="819"/>
      <c r="BG3" s="819"/>
      <c r="BH3" s="819"/>
      <c r="BI3" s="819"/>
      <c r="BJ3" s="819"/>
      <c r="BK3" s="819"/>
      <c r="BL3" s="819"/>
      <c r="BM3" s="819"/>
      <c r="BN3" s="819"/>
      <c r="BO3" s="819"/>
      <c r="BP3" s="819"/>
      <c r="BQ3" s="819"/>
      <c r="BR3" s="819"/>
      <c r="BS3" s="819"/>
      <c r="BT3" s="819"/>
      <c r="BU3" s="819"/>
      <c r="BV3" s="819"/>
      <c r="BW3" s="819"/>
      <c r="BX3" s="819"/>
      <c r="BY3" s="819"/>
      <c r="BZ3" s="819"/>
      <c r="CA3" s="819"/>
      <c r="CB3" s="819"/>
      <c r="CC3" s="819"/>
      <c r="CD3" s="819"/>
      <c r="CE3" s="819"/>
      <c r="CF3" s="819"/>
      <c r="CG3" s="819"/>
      <c r="CH3" s="819"/>
      <c r="CI3" s="819"/>
    </row>
    <row r="4" spans="1:108" s="430" customFormat="1" ht="16.5" customHeight="1">
      <c r="A4" s="805"/>
      <c r="B4" s="429"/>
      <c r="C4" s="427"/>
      <c r="D4" s="427"/>
      <c r="E4" s="427" t="s">
        <v>46</v>
      </c>
      <c r="F4" s="429"/>
      <c r="G4" s="427" t="s">
        <v>47</v>
      </c>
      <c r="H4" s="427"/>
      <c r="I4" s="797" t="s">
        <v>47</v>
      </c>
      <c r="J4" s="856"/>
      <c r="K4" s="856"/>
      <c r="L4" s="857"/>
      <c r="M4" s="858"/>
      <c r="N4" s="857" t="s">
        <v>46</v>
      </c>
      <c r="O4" s="859"/>
      <c r="P4" s="860" t="s">
        <v>46</v>
      </c>
      <c r="Q4" s="859"/>
      <c r="R4" s="805"/>
      <c r="S4" s="798"/>
      <c r="T4" s="799"/>
      <c r="U4" s="427"/>
      <c r="V4" s="427"/>
      <c r="W4" s="427"/>
      <c r="X4" s="805"/>
      <c r="Y4" s="805"/>
      <c r="Z4" s="427"/>
      <c r="AA4" s="427"/>
      <c r="AB4" s="805"/>
      <c r="AC4" s="800" t="s">
        <v>48</v>
      </c>
      <c r="AD4" s="800"/>
      <c r="AE4" s="427"/>
      <c r="AF4" s="819"/>
      <c r="AG4" s="820"/>
      <c r="AH4" s="820"/>
      <c r="AI4" s="820"/>
      <c r="AJ4" s="820"/>
      <c r="AK4" s="820"/>
      <c r="AL4" s="820"/>
      <c r="AM4" s="820"/>
      <c r="AN4" s="820"/>
      <c r="AO4" s="820"/>
      <c r="AP4" s="820"/>
      <c r="AQ4" s="820"/>
      <c r="AR4" s="820"/>
      <c r="AS4" s="820"/>
      <c r="AT4" s="820"/>
      <c r="AU4" s="820"/>
      <c r="AV4" s="820"/>
      <c r="AW4" s="820"/>
      <c r="AX4" s="820"/>
      <c r="AY4" s="820"/>
      <c r="AZ4" s="820"/>
      <c r="BA4" s="820"/>
      <c r="BB4" s="820"/>
      <c r="BC4" s="820"/>
      <c r="BD4" s="820"/>
      <c r="BE4" s="820"/>
      <c r="BF4" s="820"/>
      <c r="BG4" s="820"/>
      <c r="BH4" s="820"/>
      <c r="BI4" s="820"/>
      <c r="BJ4" s="820"/>
      <c r="BK4" s="820"/>
      <c r="BL4" s="820"/>
      <c r="BM4" s="820"/>
      <c r="BN4" s="820"/>
      <c r="BO4" s="820"/>
      <c r="BP4" s="820"/>
      <c r="BQ4" s="820"/>
      <c r="BR4" s="820"/>
      <c r="BS4" s="820"/>
      <c r="BT4" s="820"/>
      <c r="BU4" s="820"/>
      <c r="BV4" s="820"/>
      <c r="BW4" s="820"/>
      <c r="BX4" s="820"/>
      <c r="BY4" s="820"/>
      <c r="BZ4" s="820"/>
      <c r="CA4" s="820"/>
      <c r="CB4" s="820"/>
      <c r="CC4" s="820"/>
      <c r="CD4" s="820"/>
      <c r="CE4" s="820"/>
      <c r="CF4" s="820"/>
      <c r="CG4" s="820"/>
      <c r="CH4" s="820"/>
      <c r="CI4" s="820"/>
    </row>
    <row r="5" spans="1:108" s="437" customFormat="1" ht="99.75" customHeight="1" thickBot="1">
      <c r="A5" s="805"/>
      <c r="B5" s="431" t="s">
        <v>9</v>
      </c>
      <c r="C5" s="432" t="s">
        <v>11</v>
      </c>
      <c r="D5" s="432" t="s">
        <v>36</v>
      </c>
      <c r="E5" s="432" t="s">
        <v>876</v>
      </c>
      <c r="F5" s="431" t="s">
        <v>49</v>
      </c>
      <c r="G5" s="432" t="s">
        <v>1218</v>
      </c>
      <c r="H5" s="432" t="s">
        <v>50</v>
      </c>
      <c r="I5" s="433" t="s">
        <v>1219</v>
      </c>
      <c r="J5" s="431" t="s">
        <v>918</v>
      </c>
      <c r="K5" s="433" t="s">
        <v>919</v>
      </c>
      <c r="L5" s="431" t="s">
        <v>51</v>
      </c>
      <c r="M5" s="432" t="s">
        <v>52</v>
      </c>
      <c r="N5" s="431" t="s">
        <v>917</v>
      </c>
      <c r="O5" s="433" t="s">
        <v>916</v>
      </c>
      <c r="P5" s="434" t="s">
        <v>915</v>
      </c>
      <c r="Q5" s="435" t="s">
        <v>1139</v>
      </c>
      <c r="R5" s="805" t="s">
        <v>188</v>
      </c>
      <c r="S5" s="431" t="s">
        <v>53</v>
      </c>
      <c r="T5" s="432" t="s">
        <v>54</v>
      </c>
      <c r="U5" s="432" t="s">
        <v>55</v>
      </c>
      <c r="V5" s="432" t="s">
        <v>56</v>
      </c>
      <c r="W5" s="433" t="s">
        <v>57</v>
      </c>
      <c r="X5" s="805" t="s">
        <v>1232</v>
      </c>
      <c r="Y5" s="805" t="s">
        <v>1233</v>
      </c>
      <c r="Z5" s="436" t="s">
        <v>58</v>
      </c>
      <c r="AA5" s="436" t="s">
        <v>59</v>
      </c>
      <c r="AB5" s="805" t="s">
        <v>1234</v>
      </c>
      <c r="AC5" s="436" t="s">
        <v>60</v>
      </c>
      <c r="AD5" s="436" t="s">
        <v>61</v>
      </c>
      <c r="AE5" s="436" t="s">
        <v>62</v>
      </c>
      <c r="AF5" s="821"/>
      <c r="AG5" s="821"/>
      <c r="AH5" s="821"/>
      <c r="AI5" s="821"/>
      <c r="AJ5" s="821"/>
      <c r="AK5" s="821"/>
      <c r="AL5" s="821"/>
      <c r="AM5" s="821"/>
      <c r="AN5" s="821"/>
      <c r="AO5" s="821"/>
      <c r="AP5" s="821"/>
      <c r="AQ5" s="821"/>
      <c r="AR5" s="821"/>
      <c r="AS5" s="821"/>
      <c r="AT5" s="821"/>
      <c r="AU5" s="821"/>
      <c r="AV5" s="821"/>
      <c r="AW5" s="821"/>
      <c r="AX5" s="821"/>
      <c r="AY5" s="821"/>
      <c r="AZ5" s="821"/>
      <c r="BA5" s="821"/>
      <c r="BB5" s="821"/>
      <c r="BC5" s="821"/>
      <c r="BD5" s="821"/>
      <c r="BE5" s="821"/>
      <c r="BF5" s="821"/>
      <c r="BG5" s="821"/>
      <c r="BH5" s="821"/>
      <c r="BI5" s="821"/>
      <c r="BJ5" s="821"/>
      <c r="BK5" s="821"/>
      <c r="BL5" s="821"/>
      <c r="BM5" s="821"/>
      <c r="BN5" s="821"/>
      <c r="BO5" s="821"/>
      <c r="BP5" s="821"/>
      <c r="BQ5" s="821"/>
      <c r="BR5" s="821"/>
      <c r="BS5" s="821"/>
      <c r="BT5" s="821"/>
      <c r="BU5" s="821"/>
      <c r="BV5" s="821"/>
      <c r="BW5" s="821"/>
      <c r="BX5" s="821"/>
      <c r="BY5" s="821"/>
      <c r="BZ5" s="821"/>
      <c r="CA5" s="821"/>
      <c r="CB5" s="821"/>
      <c r="CC5" s="821"/>
      <c r="CD5" s="821"/>
      <c r="CE5" s="821"/>
      <c r="CF5" s="821"/>
      <c r="CG5" s="821"/>
      <c r="CH5" s="821"/>
      <c r="CI5" s="821"/>
    </row>
    <row r="6" spans="1:108" s="303" customFormat="1" ht="33.75">
      <c r="A6" s="37"/>
      <c r="B6" s="302" t="s">
        <v>10</v>
      </c>
      <c r="C6" s="301" t="s">
        <v>1326</v>
      </c>
      <c r="D6" s="301" t="s">
        <v>22</v>
      </c>
      <c r="E6" s="305">
        <f>'Ref-ResSources'!$E$12*'Ref-ResSources'!$P$36</f>
        <v>3309.4202638916172</v>
      </c>
      <c r="F6" s="791" t="s">
        <v>65</v>
      </c>
      <c r="G6" s="792">
        <f>'Ref-2013CLASSsaturations'!$F$36</f>
        <v>0.61494894288925672</v>
      </c>
      <c r="H6" s="301" t="s">
        <v>66</v>
      </c>
      <c r="I6" s="383">
        <f>'Ref-2013CLASSsaturations'!$J$36</f>
        <v>0.96791276330706777</v>
      </c>
      <c r="J6" s="301" t="s">
        <v>82</v>
      </c>
      <c r="K6" s="301" t="s">
        <v>67</v>
      </c>
      <c r="L6" s="301" t="s">
        <v>13</v>
      </c>
      <c r="M6" s="301" t="s">
        <v>88</v>
      </c>
      <c r="N6" s="308">
        <f>E6*G6*'Ref-Savings Calculations'!$E$10*Applicability</f>
        <v>1275.3446821900325</v>
      </c>
      <c r="O6" s="308">
        <f>E6*G6*'Ref-Savings Calculations'!$C$54*Applicability*ControlShare</f>
        <v>378.20601053847685</v>
      </c>
      <c r="P6" s="300">
        <f>E6*G6*'Ref-Savings Calculations'!$E$8*Applicability</f>
        <v>1187.1559541662537</v>
      </c>
      <c r="Q6" s="300" t="s">
        <v>871</v>
      </c>
      <c r="R6" s="37"/>
      <c r="S6" s="301" t="s">
        <v>68</v>
      </c>
      <c r="T6" s="301" t="s">
        <v>63</v>
      </c>
      <c r="U6" s="299" t="s">
        <v>69</v>
      </c>
      <c r="V6" s="301" t="s">
        <v>69</v>
      </c>
      <c r="W6" s="301" t="s">
        <v>70</v>
      </c>
      <c r="X6" s="37"/>
      <c r="Y6" s="37"/>
      <c r="Z6" s="299" t="s">
        <v>71</v>
      </c>
      <c r="AA6" s="299">
        <v>1</v>
      </c>
      <c r="AB6" s="37"/>
      <c r="AC6" s="300">
        <f>'Ref-ResSources'!$D$35</f>
        <v>2.1800000000000002</v>
      </c>
      <c r="AD6" s="299" t="s">
        <v>72</v>
      </c>
      <c r="AE6" s="299" t="s">
        <v>73</v>
      </c>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393"/>
      <c r="BS6" s="393"/>
      <c r="BT6" s="393"/>
      <c r="BU6" s="393"/>
      <c r="BV6" s="393"/>
      <c r="BW6" s="393"/>
      <c r="BX6" s="393"/>
      <c r="BY6" s="393"/>
      <c r="BZ6" s="393"/>
      <c r="CA6" s="393"/>
      <c r="CB6" s="393"/>
      <c r="CC6" s="393"/>
      <c r="CD6" s="393"/>
      <c r="CE6" s="393"/>
      <c r="CF6" s="393"/>
      <c r="CG6" s="393"/>
      <c r="CH6" s="393"/>
      <c r="CI6" s="393"/>
      <c r="CJ6" s="390"/>
      <c r="CK6" s="390"/>
      <c r="CL6" s="390"/>
      <c r="CM6" s="390"/>
      <c r="CN6" s="390"/>
      <c r="CO6" s="390"/>
      <c r="CP6" s="390"/>
      <c r="CQ6" s="390"/>
      <c r="CR6" s="390"/>
      <c r="CS6" s="390"/>
      <c r="CT6" s="390"/>
      <c r="CU6" s="390"/>
      <c r="CV6" s="390"/>
      <c r="CW6" s="390"/>
      <c r="CX6" s="390"/>
      <c r="CY6" s="390"/>
      <c r="CZ6" s="390"/>
      <c r="DA6" s="390"/>
      <c r="DB6" s="390"/>
      <c r="DC6" s="390"/>
    </row>
    <row r="7" spans="1:108" s="303" customFormat="1" ht="33.75">
      <c r="A7" s="37"/>
      <c r="B7" s="304" t="s">
        <v>10</v>
      </c>
      <c r="C7" s="301" t="s">
        <v>1326</v>
      </c>
      <c r="D7" s="299" t="s">
        <v>22</v>
      </c>
      <c r="E7" s="305">
        <f>'Ref-ResSources'!$E$12*'Ref-ResSources'!$P$36</f>
        <v>3309.4202638916172</v>
      </c>
      <c r="F7" s="307" t="s">
        <v>65</v>
      </c>
      <c r="G7" s="792">
        <f>'Ref-2013CLASSsaturations'!$F$36</f>
        <v>0.61494894288925672</v>
      </c>
      <c r="H7" s="299" t="s">
        <v>66</v>
      </c>
      <c r="I7" s="383">
        <f>'Ref-2013CLASSsaturations'!$J$36</f>
        <v>0.96791276330706777</v>
      </c>
      <c r="J7" s="301" t="s">
        <v>82</v>
      </c>
      <c r="K7" s="299" t="s">
        <v>67</v>
      </c>
      <c r="L7" s="299" t="s">
        <v>14</v>
      </c>
      <c r="M7" s="299" t="s">
        <v>88</v>
      </c>
      <c r="N7" s="309">
        <f>E6*G6*'Ref-Savings Calculations'!$E$11*Applicability</f>
        <v>1356.7496619042902</v>
      </c>
      <c r="O7" s="308">
        <f>E7*G7*'Ref-Savings Calculations'!$C$54*Applicability*ControlShare</f>
        <v>378.20601053847685</v>
      </c>
      <c r="P7" s="300">
        <f>E7*G7*'Ref-Savings Calculations'!$E$9*Applicability</f>
        <v>1288.9121788090754</v>
      </c>
      <c r="Q7" s="300" t="s">
        <v>871</v>
      </c>
      <c r="R7" s="37"/>
      <c r="S7" s="299" t="s">
        <v>44</v>
      </c>
      <c r="T7" s="299" t="s">
        <v>63</v>
      </c>
      <c r="U7" s="299" t="s">
        <v>69</v>
      </c>
      <c r="V7" s="299" t="s">
        <v>69</v>
      </c>
      <c r="W7" s="299" t="s">
        <v>76</v>
      </c>
      <c r="X7" s="37"/>
      <c r="Y7" s="37"/>
      <c r="Z7" s="299" t="s">
        <v>77</v>
      </c>
      <c r="AA7" s="299">
        <v>4</v>
      </c>
      <c r="AB7" s="37"/>
      <c r="AC7" s="300">
        <f>'Ref-ResSources'!$D$35</f>
        <v>2.1800000000000002</v>
      </c>
      <c r="AD7" s="299" t="s">
        <v>72</v>
      </c>
      <c r="AE7" s="299" t="s">
        <v>64</v>
      </c>
      <c r="AF7" s="393"/>
      <c r="AG7" s="393"/>
      <c r="AH7" s="393"/>
      <c r="AI7" s="393"/>
      <c r="AJ7" s="393"/>
      <c r="AK7" s="393"/>
      <c r="AL7" s="393"/>
      <c r="AM7" s="393"/>
      <c r="AN7" s="393"/>
      <c r="AO7" s="393"/>
      <c r="AP7" s="393"/>
      <c r="AQ7" s="393"/>
      <c r="AR7" s="393"/>
      <c r="AS7" s="393"/>
      <c r="AT7" s="393"/>
      <c r="AU7" s="393"/>
      <c r="AV7" s="393"/>
      <c r="AW7" s="393"/>
      <c r="AX7" s="393"/>
      <c r="AY7" s="393"/>
      <c r="AZ7" s="393"/>
      <c r="BA7" s="393"/>
      <c r="BB7" s="393"/>
      <c r="BC7" s="393"/>
      <c r="BD7" s="393"/>
      <c r="BE7" s="393"/>
      <c r="BF7" s="393"/>
      <c r="BG7" s="393"/>
      <c r="BH7" s="393"/>
      <c r="BI7" s="393"/>
      <c r="BJ7" s="393"/>
      <c r="BK7" s="393"/>
      <c r="BL7" s="393"/>
      <c r="BM7" s="393"/>
      <c r="BN7" s="393"/>
      <c r="BO7" s="393"/>
      <c r="BP7" s="393"/>
      <c r="BQ7" s="393"/>
      <c r="BR7" s="393"/>
      <c r="BS7" s="393"/>
      <c r="BT7" s="393"/>
      <c r="BU7" s="393"/>
      <c r="BV7" s="393"/>
      <c r="BW7" s="393"/>
      <c r="BX7" s="393"/>
      <c r="BY7" s="393"/>
      <c r="BZ7" s="393"/>
      <c r="CA7" s="393"/>
      <c r="CB7" s="393"/>
      <c r="CC7" s="393"/>
      <c r="CD7" s="393"/>
      <c r="CE7" s="393"/>
      <c r="CF7" s="393"/>
      <c r="CG7" s="393"/>
      <c r="CH7" s="393"/>
      <c r="CI7" s="393"/>
      <c r="CJ7" s="390"/>
      <c r="CK7" s="390"/>
      <c r="CL7" s="390"/>
      <c r="CM7" s="390"/>
      <c r="CN7" s="390"/>
      <c r="CO7" s="390"/>
      <c r="CP7" s="390"/>
      <c r="CQ7" s="390"/>
      <c r="CR7" s="390"/>
      <c r="CS7" s="390"/>
      <c r="CT7" s="390"/>
      <c r="CU7" s="390"/>
      <c r="CV7" s="390"/>
      <c r="CW7" s="390"/>
      <c r="CX7" s="390"/>
      <c r="CY7" s="390"/>
      <c r="CZ7" s="390"/>
      <c r="DA7" s="390"/>
      <c r="DB7" s="390"/>
      <c r="DC7" s="390"/>
    </row>
    <row r="8" spans="1:108" s="303" customFormat="1" ht="56.25">
      <c r="A8" s="37"/>
      <c r="B8" s="304" t="s">
        <v>10</v>
      </c>
      <c r="C8" s="301" t="s">
        <v>1326</v>
      </c>
      <c r="D8" s="299" t="s">
        <v>22</v>
      </c>
      <c r="E8" s="305">
        <f>'Ref-ResSources'!$E$12*'Ref-ResSources'!$P$36</f>
        <v>3309.4202638916172</v>
      </c>
      <c r="F8" s="307" t="s">
        <v>27</v>
      </c>
      <c r="G8" s="793">
        <f>SUM('Ref-2013CLASSsaturations'!$F$27:$F$31)</f>
        <v>0.15216081547975951</v>
      </c>
      <c r="H8" s="299" t="s">
        <v>66</v>
      </c>
      <c r="I8" s="383">
        <f>'Ref-2013CLASSsaturations'!$L$27</f>
        <v>0.98905998299780551</v>
      </c>
      <c r="J8" s="301" t="s">
        <v>1097</v>
      </c>
      <c r="K8" s="299" t="s">
        <v>66</v>
      </c>
      <c r="L8" s="299" t="s">
        <v>848</v>
      </c>
      <c r="M8" s="299" t="s">
        <v>88</v>
      </c>
      <c r="N8" s="309">
        <f>E8*G8*'Ref-Savings Calculations'!$E$31*Applicability</f>
        <v>125.97754456859941</v>
      </c>
      <c r="O8" s="308">
        <f>E8*G8*'Ref-Savings Calculations'!$C$54*Applicability*ControlShare</f>
        <v>95.626576599389395</v>
      </c>
      <c r="P8" s="300">
        <f>E8*G8*'Ref-Savings Calculations'!$E$32*Applicability</f>
        <v>80.570253779038296</v>
      </c>
      <c r="Q8" s="300">
        <f>E8*G8*'Ref-Savings Calculations'!$C$54*Applicability*ControlShare</f>
        <v>95.626576599389395</v>
      </c>
      <c r="R8" s="37"/>
      <c r="S8" s="299" t="s">
        <v>69</v>
      </c>
      <c r="T8" s="299" t="s">
        <v>69</v>
      </c>
      <c r="U8" s="299" t="s">
        <v>69</v>
      </c>
      <c r="V8" s="299" t="s">
        <v>69</v>
      </c>
      <c r="W8" s="299" t="s">
        <v>76</v>
      </c>
      <c r="X8" s="37"/>
      <c r="Y8" s="37"/>
      <c r="Z8" s="299" t="s">
        <v>78</v>
      </c>
      <c r="AA8" s="299" t="s">
        <v>78</v>
      </c>
      <c r="AB8" s="37"/>
      <c r="AC8" s="300">
        <f>'Ref-ResSources'!$D$35</f>
        <v>2.1800000000000002</v>
      </c>
      <c r="AD8" s="299" t="s">
        <v>72</v>
      </c>
      <c r="AE8" s="299" t="s">
        <v>73</v>
      </c>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c r="CI8" s="393"/>
      <c r="CJ8" s="390"/>
      <c r="CK8" s="390"/>
      <c r="CL8" s="390"/>
      <c r="CM8" s="390"/>
      <c r="CN8" s="390"/>
      <c r="CO8" s="390"/>
      <c r="CP8" s="390"/>
      <c r="CQ8" s="390"/>
      <c r="CR8" s="390"/>
      <c r="CS8" s="390"/>
      <c r="CT8" s="390"/>
      <c r="CU8" s="390"/>
      <c r="CV8" s="390"/>
      <c r="CW8" s="390"/>
      <c r="CX8" s="390"/>
      <c r="CY8" s="390"/>
      <c r="CZ8" s="390"/>
      <c r="DA8" s="390"/>
      <c r="DB8" s="390"/>
      <c r="DC8" s="390"/>
    </row>
    <row r="9" spans="1:108" s="303" customFormat="1" ht="56.25">
      <c r="A9" s="37"/>
      <c r="B9" s="304" t="s">
        <v>10</v>
      </c>
      <c r="C9" s="301" t="s">
        <v>1326</v>
      </c>
      <c r="D9" s="299" t="s">
        <v>22</v>
      </c>
      <c r="E9" s="305">
        <f>'Ref-ResSources'!$E$12*'Ref-ResSources'!$P$36</f>
        <v>3309.4202638916172</v>
      </c>
      <c r="F9" s="307" t="s">
        <v>27</v>
      </c>
      <c r="G9" s="793">
        <f>SUM('Ref-2013CLASSsaturations'!$F$27:$F$31)</f>
        <v>0.15216081547975951</v>
      </c>
      <c r="H9" s="299" t="s">
        <v>66</v>
      </c>
      <c r="I9" s="383">
        <f>'Ref-2013CLASSsaturations'!$L$27</f>
        <v>0.98905998299780551</v>
      </c>
      <c r="J9" s="301" t="s">
        <v>1097</v>
      </c>
      <c r="K9" s="299" t="s">
        <v>66</v>
      </c>
      <c r="L9" s="299" t="s">
        <v>15</v>
      </c>
      <c r="M9" s="299" t="s">
        <v>88</v>
      </c>
      <c r="N9" s="309">
        <f>E9*G9*'Ref-Savings Calculations'!$E$37*Applicability</f>
        <v>141.66657692476136</v>
      </c>
      <c r="O9" s="308">
        <f>E9*G9*'Ref-Savings Calculations'!$C$54*Applicability*ControlShare</f>
        <v>95.626576599389395</v>
      </c>
      <c r="P9" s="300">
        <f>E9*G9*'Ref-Savings Calculations'!E38*Applicability</f>
        <v>88.123715070823152</v>
      </c>
      <c r="Q9" s="300">
        <f>E9*G9*'Ref-Savings Calculations'!$C$54*Applicability*ControlShare</f>
        <v>95.626576599389395</v>
      </c>
      <c r="R9" s="37"/>
      <c r="S9" s="299" t="s">
        <v>44</v>
      </c>
      <c r="T9" s="299" t="s">
        <v>63</v>
      </c>
      <c r="U9" s="299" t="s">
        <v>69</v>
      </c>
      <c r="V9" s="299" t="s">
        <v>69</v>
      </c>
      <c r="W9" s="299" t="s">
        <v>76</v>
      </c>
      <c r="X9" s="37"/>
      <c r="Y9" s="37"/>
      <c r="Z9" s="299" t="s">
        <v>78</v>
      </c>
      <c r="AA9" s="299" t="s">
        <v>78</v>
      </c>
      <c r="AB9" s="37"/>
      <c r="AC9" s="300">
        <f>'Ref-ResSources'!$D$35</f>
        <v>2.1800000000000002</v>
      </c>
      <c r="AD9" s="299" t="s">
        <v>72</v>
      </c>
      <c r="AE9" s="299" t="s">
        <v>45</v>
      </c>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393"/>
      <c r="CJ9" s="390"/>
      <c r="CK9" s="390"/>
      <c r="CL9" s="390"/>
      <c r="CM9" s="390"/>
      <c r="CN9" s="390"/>
      <c r="CO9" s="390"/>
      <c r="CP9" s="390"/>
      <c r="CQ9" s="390"/>
      <c r="CR9" s="390"/>
      <c r="CS9" s="390"/>
      <c r="CT9" s="390"/>
      <c r="CU9" s="390"/>
      <c r="CV9" s="390"/>
      <c r="CW9" s="390"/>
      <c r="CX9" s="390"/>
      <c r="CY9" s="390"/>
      <c r="CZ9" s="390"/>
      <c r="DA9" s="390"/>
      <c r="DB9" s="390"/>
      <c r="DC9" s="390"/>
    </row>
    <row r="10" spans="1:108" s="303" customFormat="1" ht="33.75">
      <c r="A10" s="37"/>
      <c r="B10" s="304" t="s">
        <v>10</v>
      </c>
      <c r="C10" s="301" t="s">
        <v>1326</v>
      </c>
      <c r="D10" s="299" t="s">
        <v>22</v>
      </c>
      <c r="E10" s="305">
        <f>'Ref-ResSources'!$E$12*'Ref-ResSources'!$P$36</f>
        <v>3309.4202638916172</v>
      </c>
      <c r="F10" s="307" t="s">
        <v>13</v>
      </c>
      <c r="G10" s="793">
        <f>'Ref-2013CLASSsaturations'!$F$24</f>
        <v>9.7597657036142427E-2</v>
      </c>
      <c r="H10" s="299" t="s">
        <v>66</v>
      </c>
      <c r="I10" s="383">
        <f>'Ref-2013CLASSsaturations'!$J$24</f>
        <v>0.99097623145175151</v>
      </c>
      <c r="J10" s="301" t="s">
        <v>82</v>
      </c>
      <c r="K10" s="299" t="s">
        <v>67</v>
      </c>
      <c r="L10" s="299" t="s">
        <v>14</v>
      </c>
      <c r="M10" s="299" t="s">
        <v>88</v>
      </c>
      <c r="N10" s="309">
        <f>E10*G10*'Ref-Savings Calculations'!$E$7*Applicability</f>
        <v>59.629230259154603</v>
      </c>
      <c r="O10" s="308">
        <f>E10*G10*'Ref-Savings Calculations'!$C$54*Applicability*ControlShare</f>
        <v>61.454795882049204</v>
      </c>
      <c r="P10" s="300">
        <f>E10*G10*'Ref-Savings Calculations'!$E$7*Applicability</f>
        <v>59.629230259154603</v>
      </c>
      <c r="Q10" s="300" t="s">
        <v>871</v>
      </c>
      <c r="R10" s="37"/>
      <c r="S10" s="299" t="s">
        <v>44</v>
      </c>
      <c r="T10" s="299" t="s">
        <v>63</v>
      </c>
      <c r="U10" s="299" t="s">
        <v>69</v>
      </c>
      <c r="V10" s="299" t="s">
        <v>69</v>
      </c>
      <c r="W10" s="299" t="s">
        <v>76</v>
      </c>
      <c r="X10" s="37"/>
      <c r="Y10" s="37"/>
      <c r="Z10" s="299" t="s">
        <v>78</v>
      </c>
      <c r="AA10" s="299">
        <v>2</v>
      </c>
      <c r="AB10" s="37"/>
      <c r="AC10" s="300">
        <f>'Ref-ResSources'!$D$35</f>
        <v>2.1800000000000002</v>
      </c>
      <c r="AD10" s="299" t="s">
        <v>72</v>
      </c>
      <c r="AE10" s="299" t="s">
        <v>64</v>
      </c>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393"/>
      <c r="BL10" s="393"/>
      <c r="BM10" s="393"/>
      <c r="BN10" s="393"/>
      <c r="BO10" s="393"/>
      <c r="BP10" s="393"/>
      <c r="BQ10" s="393"/>
      <c r="BR10" s="393"/>
      <c r="BS10" s="393"/>
      <c r="BT10" s="393"/>
      <c r="BU10" s="393"/>
      <c r="BV10" s="393"/>
      <c r="BW10" s="393"/>
      <c r="BX10" s="393"/>
      <c r="BY10" s="393"/>
      <c r="BZ10" s="393"/>
      <c r="CA10" s="393"/>
      <c r="CB10" s="393"/>
      <c r="CC10" s="393"/>
      <c r="CD10" s="393"/>
      <c r="CE10" s="393"/>
      <c r="CF10" s="393"/>
      <c r="CG10" s="393"/>
      <c r="CH10" s="393"/>
      <c r="CI10" s="393"/>
      <c r="CJ10" s="390"/>
      <c r="CK10" s="390"/>
      <c r="CL10" s="390"/>
      <c r="CM10" s="390"/>
      <c r="CN10" s="390"/>
      <c r="CO10" s="390"/>
      <c r="CP10" s="390"/>
      <c r="CQ10" s="390"/>
      <c r="CR10" s="390"/>
      <c r="CS10" s="390"/>
      <c r="CT10" s="390"/>
      <c r="CU10" s="390"/>
      <c r="CV10" s="390"/>
      <c r="CW10" s="390"/>
      <c r="CX10" s="390"/>
      <c r="CY10" s="390"/>
      <c r="CZ10" s="390"/>
      <c r="DA10" s="390"/>
      <c r="DB10" s="390"/>
      <c r="DC10" s="390"/>
    </row>
    <row r="11" spans="1:108" s="303" customFormat="1" ht="33.75">
      <c r="A11" s="37"/>
      <c r="B11" s="304" t="s">
        <v>10</v>
      </c>
      <c r="C11" s="301" t="s">
        <v>1326</v>
      </c>
      <c r="D11" s="299" t="s">
        <v>22</v>
      </c>
      <c r="E11" s="305">
        <f>'Ref-ResSources'!$E$12*'Ref-ResSources'!$P$36</f>
        <v>3309.4202638916172</v>
      </c>
      <c r="F11" s="307" t="s">
        <v>79</v>
      </c>
      <c r="G11" s="793">
        <f>'Ref-2013CLASSsaturations'!$F$37</f>
        <v>5.9613916853857467E-2</v>
      </c>
      <c r="H11" s="299" t="s">
        <v>66</v>
      </c>
      <c r="I11" s="383">
        <f>'Ref-2013CLASSsaturations'!$J$37</f>
        <v>0.95442163215725395</v>
      </c>
      <c r="J11" s="307" t="s">
        <v>1284</v>
      </c>
      <c r="K11" s="299" t="s">
        <v>67</v>
      </c>
      <c r="L11" s="299" t="s">
        <v>17</v>
      </c>
      <c r="M11" s="299" t="s">
        <v>88</v>
      </c>
      <c r="N11" s="309">
        <f>E11*G11*'Ref-Savings Calculations'!$E$11*Applicability</f>
        <v>131.52500296407061</v>
      </c>
      <c r="O11" s="308">
        <f>E11*G11*'Ref-Savings Calculations'!$C$54*Applicability*ControlShare</f>
        <v>36.152728703555312</v>
      </c>
      <c r="P11" s="300">
        <f>E11*G11*'Ref-Savings Calculations'!$E$9*Applicability</f>
        <v>124.94875281586708</v>
      </c>
      <c r="Q11" s="300" t="s">
        <v>871</v>
      </c>
      <c r="R11" s="37"/>
      <c r="S11" s="299" t="s">
        <v>44</v>
      </c>
      <c r="T11" s="299" t="s">
        <v>74</v>
      </c>
      <c r="U11" s="299" t="s">
        <v>69</v>
      </c>
      <c r="V11" s="299" t="s">
        <v>69</v>
      </c>
      <c r="W11" s="299" t="s">
        <v>76</v>
      </c>
      <c r="X11" s="37"/>
      <c r="Y11" s="37"/>
      <c r="Z11" s="299" t="s">
        <v>78</v>
      </c>
      <c r="AA11" s="299" t="s">
        <v>78</v>
      </c>
      <c r="AB11" s="37"/>
      <c r="AC11" s="300">
        <f>'Ref-ResSources'!$D$35</f>
        <v>2.1800000000000002</v>
      </c>
      <c r="AD11" s="299" t="s">
        <v>72</v>
      </c>
      <c r="AE11" s="299" t="s">
        <v>64</v>
      </c>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c r="CA11" s="393"/>
      <c r="CB11" s="393"/>
      <c r="CC11" s="393"/>
      <c r="CD11" s="393"/>
      <c r="CE11" s="393"/>
      <c r="CF11" s="393"/>
      <c r="CG11" s="393"/>
      <c r="CH11" s="393"/>
      <c r="CI11" s="393"/>
      <c r="CJ11" s="390"/>
      <c r="CK11" s="390"/>
      <c r="CL11" s="390"/>
      <c r="CM11" s="390"/>
      <c r="CN11" s="390"/>
      <c r="CO11" s="390"/>
      <c r="CP11" s="390"/>
      <c r="CQ11" s="390"/>
      <c r="CR11" s="390"/>
      <c r="CS11" s="390"/>
      <c r="CT11" s="390"/>
      <c r="CU11" s="390"/>
      <c r="CV11" s="390"/>
      <c r="CW11" s="390"/>
      <c r="CX11" s="390"/>
      <c r="CY11" s="390"/>
      <c r="CZ11" s="390"/>
      <c r="DA11" s="390"/>
      <c r="DB11" s="390"/>
      <c r="DC11" s="390"/>
    </row>
    <row r="12" spans="1:108" s="303" customFormat="1" ht="33.75">
      <c r="A12" s="37"/>
      <c r="B12" s="304" t="s">
        <v>10</v>
      </c>
      <c r="C12" s="301" t="s">
        <v>1326</v>
      </c>
      <c r="D12" s="299" t="s">
        <v>22</v>
      </c>
      <c r="E12" s="305">
        <f>'Ref-ResSources'!$E$12*'Ref-ResSources'!$P$36</f>
        <v>3309.4202638916172</v>
      </c>
      <c r="F12" s="307" t="s">
        <v>79</v>
      </c>
      <c r="G12" s="793">
        <f>'Ref-2013CLASSsaturations'!$F$37</f>
        <v>5.9613916853857467E-2</v>
      </c>
      <c r="H12" s="299" t="s">
        <v>66</v>
      </c>
      <c r="I12" s="383">
        <f>'Ref-2013CLASSsaturations'!$J$37</f>
        <v>0.95442163215725395</v>
      </c>
      <c r="J12" s="307" t="s">
        <v>1284</v>
      </c>
      <c r="K12" s="299" t="s">
        <v>67</v>
      </c>
      <c r="L12" s="299" t="s">
        <v>1360</v>
      </c>
      <c r="M12" s="299" t="s">
        <v>88</v>
      </c>
      <c r="N12" s="309">
        <f>E12*G12*'Ref-Savings Calculations'!$E$10*Applicability</f>
        <v>123.63350278622639</v>
      </c>
      <c r="O12" s="308">
        <f>E12*G12*'Ref-Savings Calculations'!$C$54*Applicability*ControlShare</f>
        <v>36.152728703555312</v>
      </c>
      <c r="P12" s="300">
        <f>E12*G12*'Ref-Savings Calculations'!$E$8*Applicability</f>
        <v>115.08437759356178</v>
      </c>
      <c r="Q12" s="300" t="s">
        <v>871</v>
      </c>
      <c r="R12" s="37"/>
      <c r="S12" s="299" t="s">
        <v>68</v>
      </c>
      <c r="T12" s="299" t="s">
        <v>74</v>
      </c>
      <c r="U12" s="299" t="s">
        <v>69</v>
      </c>
      <c r="V12" s="299" t="s">
        <v>69</v>
      </c>
      <c r="W12" s="299" t="s">
        <v>70</v>
      </c>
      <c r="X12" s="37"/>
      <c r="Y12" s="37"/>
      <c r="Z12" s="299" t="s">
        <v>78</v>
      </c>
      <c r="AA12" s="299" t="s">
        <v>78</v>
      </c>
      <c r="AB12" s="37"/>
      <c r="AC12" s="300">
        <f>'Ref-ResSources'!$D$35</f>
        <v>2.1800000000000002</v>
      </c>
      <c r="AD12" s="299" t="s">
        <v>72</v>
      </c>
      <c r="AE12" s="299" t="s">
        <v>73</v>
      </c>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c r="CA12" s="393"/>
      <c r="CB12" s="393"/>
      <c r="CC12" s="393"/>
      <c r="CD12" s="393"/>
      <c r="CE12" s="393"/>
      <c r="CF12" s="393"/>
      <c r="CG12" s="393"/>
      <c r="CH12" s="393"/>
      <c r="CI12" s="393"/>
      <c r="CJ12" s="390"/>
      <c r="CK12" s="390"/>
      <c r="CL12" s="390"/>
      <c r="CM12" s="390"/>
      <c r="CN12" s="390"/>
      <c r="CO12" s="390"/>
      <c r="CP12" s="390"/>
      <c r="CQ12" s="390"/>
      <c r="CR12" s="390"/>
      <c r="CS12" s="390"/>
      <c r="CT12" s="390"/>
      <c r="CU12" s="390"/>
      <c r="CV12" s="390"/>
      <c r="CW12" s="390"/>
      <c r="CX12" s="390"/>
      <c r="CY12" s="390"/>
      <c r="CZ12" s="390"/>
      <c r="DA12" s="390"/>
      <c r="DB12" s="390"/>
      <c r="DC12" s="390"/>
    </row>
    <row r="13" spans="1:108" s="303" customFormat="1" ht="33.75">
      <c r="A13" s="37"/>
      <c r="B13" s="304" t="s">
        <v>10</v>
      </c>
      <c r="C13" s="301" t="s">
        <v>1326</v>
      </c>
      <c r="D13" s="299" t="s">
        <v>22</v>
      </c>
      <c r="E13" s="305">
        <f>'Ref-ResSources'!$E$12*'Ref-ResSources'!$P$36</f>
        <v>3309.4202638916172</v>
      </c>
      <c r="F13" s="307" t="s">
        <v>81</v>
      </c>
      <c r="G13" s="793">
        <f>'Ref-2013CLASSsaturations'!$F$34</f>
        <v>3.6223539603964204E-2</v>
      </c>
      <c r="H13" s="299" t="s">
        <v>66</v>
      </c>
      <c r="I13" s="383">
        <f>'Ref-2013CLASSsaturations'!$J$34</f>
        <v>0.93960197208728269</v>
      </c>
      <c r="J13" s="307" t="s">
        <v>81</v>
      </c>
      <c r="K13" s="299" t="s">
        <v>66</v>
      </c>
      <c r="L13" s="299" t="s">
        <v>16</v>
      </c>
      <c r="M13" s="299" t="s">
        <v>88</v>
      </c>
      <c r="N13" s="309">
        <f>E13*G13*'Ref-Savings Calculations'!$E$9*Applicability</f>
        <v>75.923313463651795</v>
      </c>
      <c r="O13" s="308">
        <f>E13*G13*'Ref-Savings Calculations'!$C$54*Applicability*ControlShare</f>
        <v>21.626585449116074</v>
      </c>
      <c r="P13" s="300">
        <f>E13*G13*'Ref-Savings Calculations'!$E$9*Applicability</f>
        <v>75.923313463651795</v>
      </c>
      <c r="Q13" s="300">
        <f>E13*G13*'Ref-Savings Calculations'!$C$54*Applicability*ControlShare</f>
        <v>21.626585449116074</v>
      </c>
      <c r="R13" s="37"/>
      <c r="S13" s="299" t="s">
        <v>44</v>
      </c>
      <c r="T13" s="299" t="s">
        <v>63</v>
      </c>
      <c r="U13" s="299" t="s">
        <v>69</v>
      </c>
      <c r="V13" s="299" t="s">
        <v>69</v>
      </c>
      <c r="W13" s="299" t="s">
        <v>76</v>
      </c>
      <c r="X13" s="37"/>
      <c r="Y13" s="37"/>
      <c r="Z13" s="299" t="s">
        <v>78</v>
      </c>
      <c r="AA13" s="299" t="s">
        <v>78</v>
      </c>
      <c r="AB13" s="37"/>
      <c r="AC13" s="300">
        <f>'Ref-ResSources'!$D$35</f>
        <v>2.1800000000000002</v>
      </c>
      <c r="AD13" s="299" t="s">
        <v>72</v>
      </c>
      <c r="AE13" s="299" t="s">
        <v>73</v>
      </c>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c r="CA13" s="393"/>
      <c r="CB13" s="393"/>
      <c r="CC13" s="393"/>
      <c r="CD13" s="393"/>
      <c r="CE13" s="393"/>
      <c r="CF13" s="393"/>
      <c r="CG13" s="393"/>
      <c r="CH13" s="393"/>
      <c r="CI13" s="393"/>
      <c r="CJ13" s="390"/>
      <c r="CK13" s="390"/>
      <c r="CL13" s="390"/>
      <c r="CM13" s="390"/>
      <c r="CN13" s="390"/>
      <c r="CO13" s="390"/>
      <c r="CP13" s="390"/>
      <c r="CQ13" s="390"/>
      <c r="CR13" s="390"/>
      <c r="CS13" s="390"/>
      <c r="CT13" s="390"/>
      <c r="CU13" s="390"/>
      <c r="CV13" s="390"/>
      <c r="CW13" s="390"/>
      <c r="CX13" s="390"/>
      <c r="CY13" s="390"/>
      <c r="CZ13" s="390"/>
      <c r="DA13" s="390"/>
      <c r="DB13" s="390"/>
      <c r="DC13" s="390"/>
    </row>
    <row r="14" spans="1:108" s="303" customFormat="1" ht="33.75">
      <c r="A14" s="37"/>
      <c r="B14" s="304" t="s">
        <v>10</v>
      </c>
      <c r="C14" s="301" t="s">
        <v>1326</v>
      </c>
      <c r="D14" s="299" t="s">
        <v>22</v>
      </c>
      <c r="E14" s="305">
        <f>'Ref-ResSources'!$E$12*'Ref-ResSources'!$P$36</f>
        <v>3309.4202638916172</v>
      </c>
      <c r="F14" s="307" t="s">
        <v>81</v>
      </c>
      <c r="G14" s="793">
        <f>'Ref-2013CLASSsaturations'!$F$34</f>
        <v>3.6223539603964204E-2</v>
      </c>
      <c r="H14" s="299" t="s">
        <v>66</v>
      </c>
      <c r="I14" s="383">
        <f>'Ref-2013CLASSsaturations'!$J$34</f>
        <v>0.93960197208728269</v>
      </c>
      <c r="J14" s="307" t="s">
        <v>81</v>
      </c>
      <c r="K14" s="299" t="s">
        <v>66</v>
      </c>
      <c r="L14" s="299" t="s">
        <v>1367</v>
      </c>
      <c r="M14" s="299" t="s">
        <v>88</v>
      </c>
      <c r="N14" s="309">
        <f>E14*G14*'Ref-Savings Calculations'!$E$8*Applicability</f>
        <v>69.929367663889806</v>
      </c>
      <c r="O14" s="308">
        <f>E14*G14*'Ref-Savings Calculations'!$C$54*Applicability*ControlShare</f>
        <v>21.626585449116074</v>
      </c>
      <c r="P14" s="300">
        <f>E14*G14*'Ref-Savings Calculations'!$E$8*Applicability</f>
        <v>69.929367663889806</v>
      </c>
      <c r="Q14" s="300">
        <f>E14*G14*'Ref-Savings Calculations'!$C$54*Applicability*ControlShare</f>
        <v>21.626585449116074</v>
      </c>
      <c r="R14" s="37"/>
      <c r="S14" s="299" t="s">
        <v>68</v>
      </c>
      <c r="T14" s="299" t="s">
        <v>74</v>
      </c>
      <c r="U14" s="299" t="s">
        <v>69</v>
      </c>
      <c r="V14" s="299" t="s">
        <v>69</v>
      </c>
      <c r="W14" s="299" t="s">
        <v>70</v>
      </c>
      <c r="X14" s="37"/>
      <c r="Y14" s="37"/>
      <c r="Z14" s="299" t="s">
        <v>78</v>
      </c>
      <c r="AA14" s="299" t="s">
        <v>78</v>
      </c>
      <c r="AB14" s="37"/>
      <c r="AC14" s="300">
        <f>'Ref-ResSources'!$D$35</f>
        <v>2.1800000000000002</v>
      </c>
      <c r="AD14" s="299" t="s">
        <v>72</v>
      </c>
      <c r="AE14" s="299" t="s">
        <v>73</v>
      </c>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c r="CA14" s="393"/>
      <c r="CB14" s="393"/>
      <c r="CC14" s="393"/>
      <c r="CD14" s="393"/>
      <c r="CE14" s="393"/>
      <c r="CF14" s="393"/>
      <c r="CG14" s="393"/>
      <c r="CH14" s="393"/>
      <c r="CI14" s="393"/>
      <c r="CJ14" s="390"/>
      <c r="CK14" s="390"/>
      <c r="CL14" s="390"/>
      <c r="CM14" s="390"/>
      <c r="CN14" s="390"/>
      <c r="CO14" s="390"/>
      <c r="CP14" s="390"/>
      <c r="CQ14" s="390"/>
      <c r="CR14" s="390"/>
      <c r="CS14" s="390"/>
      <c r="CT14" s="390"/>
      <c r="CU14" s="390"/>
      <c r="CV14" s="390"/>
      <c r="CW14" s="390"/>
      <c r="CX14" s="390"/>
      <c r="CY14" s="390"/>
      <c r="CZ14" s="390"/>
      <c r="DA14" s="390"/>
      <c r="DB14" s="390"/>
      <c r="DC14" s="390"/>
    </row>
    <row r="15" spans="1:108" s="303" customFormat="1" ht="33.75">
      <c r="A15" s="37"/>
      <c r="B15" s="304" t="s">
        <v>10</v>
      </c>
      <c r="C15" s="301" t="s">
        <v>1326</v>
      </c>
      <c r="D15" s="299" t="s">
        <v>22</v>
      </c>
      <c r="E15" s="305">
        <f>'Ref-ResSources'!$E$12*'Ref-ResSources'!$P$36</f>
        <v>3309.4202638916172</v>
      </c>
      <c r="F15" s="307" t="s">
        <v>82</v>
      </c>
      <c r="G15" s="793">
        <f>'Ref-2013CLASSsaturations'!$F$32</f>
        <v>2.4891525462739306E-2</v>
      </c>
      <c r="H15" s="299" t="s">
        <v>66</v>
      </c>
      <c r="I15" s="383">
        <f>'Ref-2013CLASSsaturations'!$J$32</f>
        <v>0.90806830870899968</v>
      </c>
      <c r="J15" s="301" t="s">
        <v>82</v>
      </c>
      <c r="K15" s="299" t="s">
        <v>67</v>
      </c>
      <c r="L15" s="299" t="s">
        <v>13</v>
      </c>
      <c r="M15" s="299" t="s">
        <v>88</v>
      </c>
      <c r="N15" s="309">
        <f>E15*G15*'Ref-Savings Calculations'!$E$8*Applicability</f>
        <v>48.052969279912119</v>
      </c>
      <c r="O15" s="308">
        <f>E15*G15*'Ref-Savings Calculations'!$C$54*Applicability*ControlShare</f>
        <v>14.362273165973862</v>
      </c>
      <c r="P15" s="300">
        <f>E15*G15*'Ref-Savings Calculations'!$E$8*Applicability</f>
        <v>48.052969279912119</v>
      </c>
      <c r="Q15" s="300" t="s">
        <v>871</v>
      </c>
      <c r="R15" s="37"/>
      <c r="S15" s="299" t="s">
        <v>68</v>
      </c>
      <c r="T15" s="299" t="s">
        <v>63</v>
      </c>
      <c r="U15" s="299" t="s">
        <v>69</v>
      </c>
      <c r="V15" s="299" t="s">
        <v>69</v>
      </c>
      <c r="W15" s="299" t="s">
        <v>70</v>
      </c>
      <c r="X15" s="37"/>
      <c r="Y15" s="37"/>
      <c r="Z15" s="299" t="s">
        <v>78</v>
      </c>
      <c r="AA15" s="299">
        <v>7</v>
      </c>
      <c r="AB15" s="37"/>
      <c r="AC15" s="300">
        <f>'Ref-ResSources'!$D$35</f>
        <v>2.1800000000000002</v>
      </c>
      <c r="AD15" s="299" t="s">
        <v>72</v>
      </c>
      <c r="AE15" s="299" t="s">
        <v>73</v>
      </c>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c r="CA15" s="393"/>
      <c r="CB15" s="393"/>
      <c r="CC15" s="393"/>
      <c r="CD15" s="393"/>
      <c r="CE15" s="393"/>
      <c r="CF15" s="393"/>
      <c r="CG15" s="393"/>
      <c r="CH15" s="393"/>
      <c r="CI15" s="393"/>
      <c r="CJ15" s="390"/>
      <c r="CK15" s="390"/>
      <c r="CL15" s="390"/>
      <c r="CM15" s="390"/>
      <c r="CN15" s="390"/>
      <c r="CO15" s="390"/>
      <c r="CP15" s="390"/>
      <c r="CQ15" s="390"/>
      <c r="CR15" s="390"/>
      <c r="CS15" s="390"/>
      <c r="CT15" s="390"/>
      <c r="CU15" s="390"/>
      <c r="CV15" s="390"/>
      <c r="CW15" s="390"/>
      <c r="CX15" s="390"/>
      <c r="CY15" s="390"/>
      <c r="CZ15" s="390"/>
      <c r="DA15" s="390"/>
      <c r="DB15" s="390"/>
      <c r="DC15" s="390"/>
    </row>
    <row r="16" spans="1:108" s="303" customFormat="1" ht="33.75">
      <c r="A16" s="37"/>
      <c r="B16" s="304" t="s">
        <v>10</v>
      </c>
      <c r="C16" s="301" t="s">
        <v>1326</v>
      </c>
      <c r="D16" s="299" t="s">
        <v>22</v>
      </c>
      <c r="E16" s="305">
        <f>'Ref-ResSources'!$E$12*'Ref-ResSources'!$P$36</f>
        <v>3309.4202638916172</v>
      </c>
      <c r="F16" s="307" t="s">
        <v>82</v>
      </c>
      <c r="G16" s="793">
        <f>'Ref-2013CLASSsaturations'!$F$32</f>
        <v>2.4891525462739306E-2</v>
      </c>
      <c r="H16" s="299" t="s">
        <v>66</v>
      </c>
      <c r="I16" s="383">
        <f>'Ref-2013CLASSsaturations'!$J$32</f>
        <v>0.90806830870899968</v>
      </c>
      <c r="J16" s="301" t="s">
        <v>82</v>
      </c>
      <c r="K16" s="299" t="s">
        <v>67</v>
      </c>
      <c r="L16" s="299" t="s">
        <v>14</v>
      </c>
      <c r="M16" s="299" t="s">
        <v>88</v>
      </c>
      <c r="N16" s="309">
        <f>E16*G16*'Ref-Savings Calculations'!$E$9*Applicability</f>
        <v>52.171795218190304</v>
      </c>
      <c r="O16" s="308">
        <f>E16*G16*'Ref-Savings Calculations'!$C$54*Applicability*ControlShare</f>
        <v>14.362273165973862</v>
      </c>
      <c r="P16" s="300">
        <f>E16*G16*'Ref-Savings Calculations'!$E$9*Applicability</f>
        <v>52.171795218190304</v>
      </c>
      <c r="Q16" s="300" t="s">
        <v>871</v>
      </c>
      <c r="R16" s="37"/>
      <c r="S16" s="299" t="s">
        <v>44</v>
      </c>
      <c r="T16" s="299" t="s">
        <v>63</v>
      </c>
      <c r="U16" s="299" t="s">
        <v>69</v>
      </c>
      <c r="V16" s="299" t="s">
        <v>69</v>
      </c>
      <c r="W16" s="299" t="s">
        <v>76</v>
      </c>
      <c r="X16" s="37"/>
      <c r="Y16" s="37"/>
      <c r="Z16" s="299" t="s">
        <v>78</v>
      </c>
      <c r="AA16" s="299" t="s">
        <v>78</v>
      </c>
      <c r="AB16" s="37"/>
      <c r="AC16" s="300">
        <f>'Ref-ResSources'!$D$35</f>
        <v>2.1800000000000002</v>
      </c>
      <c r="AD16" s="299" t="s">
        <v>72</v>
      </c>
      <c r="AE16" s="299" t="s">
        <v>73</v>
      </c>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c r="CA16" s="393"/>
      <c r="CB16" s="393"/>
      <c r="CC16" s="393"/>
      <c r="CD16" s="393"/>
      <c r="CE16" s="393"/>
      <c r="CF16" s="393"/>
      <c r="CG16" s="393"/>
      <c r="CH16" s="393"/>
      <c r="CI16" s="393"/>
      <c r="CJ16" s="390"/>
      <c r="CK16" s="390"/>
      <c r="CL16" s="390"/>
      <c r="CM16" s="390"/>
      <c r="CN16" s="390"/>
      <c r="CO16" s="390"/>
      <c r="CP16" s="390"/>
      <c r="CQ16" s="390"/>
      <c r="CR16" s="390"/>
      <c r="CS16" s="390"/>
      <c r="CT16" s="390"/>
      <c r="CU16" s="390"/>
      <c r="CV16" s="390"/>
      <c r="CW16" s="390"/>
      <c r="CX16" s="390"/>
      <c r="CY16" s="390"/>
      <c r="CZ16" s="390"/>
      <c r="DA16" s="390"/>
      <c r="DB16" s="390"/>
      <c r="DC16" s="390"/>
    </row>
    <row r="17" spans="1:107" s="316" customFormat="1" ht="33.75">
      <c r="A17" s="37"/>
      <c r="B17" s="315" t="s">
        <v>10</v>
      </c>
      <c r="C17" s="310" t="s">
        <v>1326</v>
      </c>
      <c r="D17" s="310" t="s">
        <v>21</v>
      </c>
      <c r="E17" s="312">
        <f>'Ref-ResSources'!$E$12*'Ref-ResSources'!$P$35</f>
        <v>4365.0457202778744</v>
      </c>
      <c r="F17" s="313" t="s">
        <v>65</v>
      </c>
      <c r="G17" s="794">
        <f>'Ref-2013CLASSsaturations'!$F$17</f>
        <v>0.54971491087736157</v>
      </c>
      <c r="H17" s="310" t="s">
        <v>66</v>
      </c>
      <c r="I17" s="382">
        <f>'Ref-2013CLASSsaturations'!$J$17</f>
        <v>0.83173735899321444</v>
      </c>
      <c r="J17" s="310" t="s">
        <v>82</v>
      </c>
      <c r="K17" s="310" t="s">
        <v>83</v>
      </c>
      <c r="L17" s="310" t="s">
        <v>13</v>
      </c>
      <c r="M17" s="310" t="s">
        <v>88</v>
      </c>
      <c r="N17" s="314">
        <f>E17*G17*'Ref-Savings Calculations'!$E$10*Applicability</f>
        <v>1503.7059173015139</v>
      </c>
      <c r="O17" s="314">
        <f>E17*G17*'Ref-Savings Calculations'!$C$54*Applicability*ControlShare</f>
        <v>383.1896338801522</v>
      </c>
      <c r="P17" s="311">
        <f>E17*G17*'Ref-Savings Calculations'!$E$8*Applicability</f>
        <v>1399.7262528072602</v>
      </c>
      <c r="Q17" s="311" t="s">
        <v>871</v>
      </c>
      <c r="R17" s="37"/>
      <c r="S17" s="310" t="s">
        <v>68</v>
      </c>
      <c r="T17" s="310" t="s">
        <v>63</v>
      </c>
      <c r="U17" s="310" t="s">
        <v>69</v>
      </c>
      <c r="V17" s="310" t="s">
        <v>69</v>
      </c>
      <c r="W17" s="310" t="s">
        <v>70</v>
      </c>
      <c r="X17" s="37"/>
      <c r="Y17" s="37"/>
      <c r="Z17" s="310" t="s">
        <v>78</v>
      </c>
      <c r="AA17" s="310" t="s">
        <v>78</v>
      </c>
      <c r="AB17" s="37"/>
      <c r="AC17" s="311">
        <f>'Ref-ResSources'!$D$35</f>
        <v>2.1800000000000002</v>
      </c>
      <c r="AD17" s="310" t="s">
        <v>72</v>
      </c>
      <c r="AE17" s="310" t="s">
        <v>73</v>
      </c>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c r="CA17" s="393"/>
      <c r="CB17" s="393"/>
      <c r="CC17" s="393"/>
      <c r="CD17" s="393"/>
      <c r="CE17" s="393"/>
      <c r="CF17" s="393"/>
      <c r="CG17" s="393"/>
      <c r="CH17" s="393"/>
      <c r="CI17" s="393"/>
      <c r="CJ17" s="391"/>
      <c r="CK17" s="391"/>
      <c r="CL17" s="391"/>
      <c r="CM17" s="391"/>
      <c r="CN17" s="391"/>
      <c r="CO17" s="391"/>
      <c r="CP17" s="391"/>
      <c r="CQ17" s="391"/>
      <c r="CR17" s="391"/>
      <c r="CS17" s="391"/>
      <c r="CT17" s="391"/>
      <c r="CU17" s="391"/>
      <c r="CV17" s="391"/>
      <c r="CW17" s="391"/>
      <c r="CX17" s="391"/>
      <c r="CY17" s="391"/>
      <c r="CZ17" s="391"/>
      <c r="DA17" s="391"/>
      <c r="DB17" s="391"/>
      <c r="DC17" s="391"/>
    </row>
    <row r="18" spans="1:107" s="316" customFormat="1" ht="33.75">
      <c r="A18" s="37"/>
      <c r="B18" s="315" t="s">
        <v>10</v>
      </c>
      <c r="C18" s="310" t="s">
        <v>1326</v>
      </c>
      <c r="D18" s="310" t="s">
        <v>21</v>
      </c>
      <c r="E18" s="312">
        <f>'Ref-ResSources'!$E$12*'Ref-ResSources'!$P$35</f>
        <v>4365.0457202778744</v>
      </c>
      <c r="F18" s="313" t="s">
        <v>65</v>
      </c>
      <c r="G18" s="794">
        <f>'Ref-2013CLASSsaturations'!$F$17</f>
        <v>0.54971491087736157</v>
      </c>
      <c r="H18" s="310" t="s">
        <v>66</v>
      </c>
      <c r="I18" s="382">
        <f>'Ref-2013CLASSsaturations'!$J$17</f>
        <v>0.83173735899321444</v>
      </c>
      <c r="J18" s="310" t="s">
        <v>82</v>
      </c>
      <c r="K18" s="310" t="s">
        <v>83</v>
      </c>
      <c r="L18" s="310" t="s">
        <v>14</v>
      </c>
      <c r="M18" s="310" t="s">
        <v>88</v>
      </c>
      <c r="N18" s="314">
        <f>E18*G18*'Ref-Savings Calculations'!$E$11*Applicability</f>
        <v>1599.6871460654402</v>
      </c>
      <c r="O18" s="314">
        <f>E18*G18*'Ref-Savings Calculations'!$C$54*Applicability*ControlShare</f>
        <v>383.1896338801522</v>
      </c>
      <c r="P18" s="311">
        <f>E18*G18*'Ref-Savings Calculations'!$E$9*Applicability</f>
        <v>1519.7027887621682</v>
      </c>
      <c r="Q18" s="311" t="s">
        <v>871</v>
      </c>
      <c r="R18" s="37"/>
      <c r="S18" s="310" t="s">
        <v>44</v>
      </c>
      <c r="T18" s="310" t="s">
        <v>63</v>
      </c>
      <c r="U18" s="310" t="s">
        <v>69</v>
      </c>
      <c r="V18" s="310" t="s">
        <v>69</v>
      </c>
      <c r="W18" s="310" t="s">
        <v>76</v>
      </c>
      <c r="X18" s="37"/>
      <c r="Y18" s="37"/>
      <c r="Z18" s="310" t="s">
        <v>78</v>
      </c>
      <c r="AA18" s="310" t="s">
        <v>78</v>
      </c>
      <c r="AB18" s="37"/>
      <c r="AC18" s="311">
        <f>'Ref-ResSources'!$D$35</f>
        <v>2.1800000000000002</v>
      </c>
      <c r="AD18" s="310" t="s">
        <v>72</v>
      </c>
      <c r="AE18" s="310" t="s">
        <v>73</v>
      </c>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c r="CA18" s="393"/>
      <c r="CB18" s="393"/>
      <c r="CC18" s="393"/>
      <c r="CD18" s="393"/>
      <c r="CE18" s="393"/>
      <c r="CF18" s="393"/>
      <c r="CG18" s="393"/>
      <c r="CH18" s="393"/>
      <c r="CI18" s="393"/>
      <c r="CJ18" s="391"/>
      <c r="CK18" s="391"/>
      <c r="CL18" s="391"/>
      <c r="CM18" s="391"/>
      <c r="CN18" s="391"/>
      <c r="CO18" s="391"/>
      <c r="CP18" s="391"/>
      <c r="CQ18" s="391"/>
      <c r="CR18" s="391"/>
      <c r="CS18" s="391"/>
      <c r="CT18" s="391"/>
      <c r="CU18" s="391"/>
      <c r="CV18" s="391"/>
      <c r="CW18" s="391"/>
      <c r="CX18" s="391"/>
      <c r="CY18" s="391"/>
      <c r="CZ18" s="391"/>
      <c r="DA18" s="391"/>
      <c r="DB18" s="391"/>
      <c r="DC18" s="391"/>
    </row>
    <row r="19" spans="1:107" s="316" customFormat="1" ht="33.75">
      <c r="A19" s="37"/>
      <c r="B19" s="315" t="s">
        <v>10</v>
      </c>
      <c r="C19" s="310" t="s">
        <v>1326</v>
      </c>
      <c r="D19" s="310" t="s">
        <v>21</v>
      </c>
      <c r="E19" s="312">
        <f>'Ref-ResSources'!$E$12*'Ref-ResSources'!$P$35</f>
        <v>4365.0457202778744</v>
      </c>
      <c r="F19" s="313" t="s">
        <v>13</v>
      </c>
      <c r="G19" s="794">
        <f>'Ref-2013CLASSsaturations'!$F$3</f>
        <v>0.12179507578868444</v>
      </c>
      <c r="H19" s="310" t="s">
        <v>66</v>
      </c>
      <c r="I19" s="382">
        <f>'Ref-2013CLASSsaturations'!$J$3</f>
        <v>0.97122031669892828</v>
      </c>
      <c r="J19" s="310" t="s">
        <v>82</v>
      </c>
      <c r="K19" s="310" t="s">
        <v>83</v>
      </c>
      <c r="L19" s="310" t="s">
        <v>14</v>
      </c>
      <c r="M19" s="310" t="s">
        <v>88</v>
      </c>
      <c r="N19" s="314">
        <f>E19*G19*'Ref-Savings Calculations'!$E$7*Applicability</f>
        <v>98.149121413350727</v>
      </c>
      <c r="O19" s="314">
        <f>E19*G19*'Ref-Savings Calculations'!$C$54*Applicability*ControlShare</f>
        <v>99.137397614107897</v>
      </c>
      <c r="P19" s="311">
        <f>E19*G19*'Ref-Savings Calculations'!$E$7*Applicability</f>
        <v>98.149121413350727</v>
      </c>
      <c r="Q19" s="311" t="s">
        <v>871</v>
      </c>
      <c r="R19" s="37"/>
      <c r="S19" s="310" t="s">
        <v>44</v>
      </c>
      <c r="T19" s="310" t="s">
        <v>63</v>
      </c>
      <c r="U19" s="310" t="s">
        <v>69</v>
      </c>
      <c r="V19" s="310" t="s">
        <v>69</v>
      </c>
      <c r="W19" s="310" t="s">
        <v>76</v>
      </c>
      <c r="X19" s="37"/>
      <c r="Y19" s="37"/>
      <c r="Z19" s="310" t="s">
        <v>78</v>
      </c>
      <c r="AA19" s="310" t="s">
        <v>78</v>
      </c>
      <c r="AB19" s="37"/>
      <c r="AC19" s="311">
        <f>'Ref-ResSources'!$D$35</f>
        <v>2.1800000000000002</v>
      </c>
      <c r="AD19" s="310" t="s">
        <v>72</v>
      </c>
      <c r="AE19" s="310" t="s">
        <v>73</v>
      </c>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c r="CA19" s="393"/>
      <c r="CB19" s="393"/>
      <c r="CC19" s="393"/>
      <c r="CD19" s="393"/>
      <c r="CE19" s="393"/>
      <c r="CF19" s="393"/>
      <c r="CG19" s="393"/>
      <c r="CH19" s="393"/>
      <c r="CI19" s="393"/>
      <c r="CJ19" s="391"/>
      <c r="CK19" s="391"/>
      <c r="CL19" s="391"/>
      <c r="CM19" s="391"/>
      <c r="CN19" s="391"/>
      <c r="CO19" s="391"/>
      <c r="CP19" s="391"/>
      <c r="CQ19" s="391"/>
      <c r="CR19" s="391"/>
      <c r="CS19" s="391"/>
      <c r="CT19" s="391"/>
      <c r="CU19" s="391"/>
      <c r="CV19" s="391"/>
      <c r="CW19" s="391"/>
      <c r="CX19" s="391"/>
      <c r="CY19" s="391"/>
      <c r="CZ19" s="391"/>
      <c r="DA19" s="391"/>
      <c r="DB19" s="391"/>
      <c r="DC19" s="391"/>
    </row>
    <row r="20" spans="1:107" s="316" customFormat="1" ht="33.75">
      <c r="A20" s="37"/>
      <c r="B20" s="315" t="s">
        <v>10</v>
      </c>
      <c r="C20" s="310" t="s">
        <v>1326</v>
      </c>
      <c r="D20" s="310" t="s">
        <v>21</v>
      </c>
      <c r="E20" s="312">
        <f>'Ref-ResSources'!$E$12*'Ref-ResSources'!$P$35</f>
        <v>4365.0457202778744</v>
      </c>
      <c r="F20" s="313" t="s">
        <v>82</v>
      </c>
      <c r="G20" s="794">
        <f>'Ref-2013CLASSsaturations'!$F$11</f>
        <v>3.217924971583911E-2</v>
      </c>
      <c r="H20" s="310" t="s">
        <v>66</v>
      </c>
      <c r="I20" s="382">
        <f>'Ref-2013CLASSsaturations'!$J$11</f>
        <v>0.56697952405620355</v>
      </c>
      <c r="J20" s="310" t="s">
        <v>82</v>
      </c>
      <c r="K20" s="310" t="s">
        <v>83</v>
      </c>
      <c r="L20" s="310" t="s">
        <v>13</v>
      </c>
      <c r="M20" s="310" t="s">
        <v>88</v>
      </c>
      <c r="N20" s="314">
        <f>E20*G20*'Ref-Savings Calculations'!$E$8*Applicability</f>
        <v>81.937272814761286</v>
      </c>
      <c r="O20" s="314">
        <f>E20*G20*'Ref-Savings Calculations'!$C$54*Applicability*ControlShare</f>
        <v>15.290909384659747</v>
      </c>
      <c r="P20" s="311">
        <f>E20*G20*'Ref-Savings Calculations'!$E$8*Applicability</f>
        <v>81.937272814761286</v>
      </c>
      <c r="Q20" s="311" t="s">
        <v>871</v>
      </c>
      <c r="R20" s="37"/>
      <c r="S20" s="310" t="s">
        <v>68</v>
      </c>
      <c r="T20" s="310" t="s">
        <v>63</v>
      </c>
      <c r="U20" s="310" t="s">
        <v>69</v>
      </c>
      <c r="V20" s="310" t="s">
        <v>69</v>
      </c>
      <c r="W20" s="310" t="s">
        <v>70</v>
      </c>
      <c r="X20" s="37"/>
      <c r="Y20" s="37"/>
      <c r="Z20" s="310" t="s">
        <v>78</v>
      </c>
      <c r="AA20" s="310">
        <v>7</v>
      </c>
      <c r="AB20" s="37"/>
      <c r="AC20" s="311">
        <f>'Ref-ResSources'!$D$35</f>
        <v>2.1800000000000002</v>
      </c>
      <c r="AD20" s="310" t="s">
        <v>72</v>
      </c>
      <c r="AE20" s="310" t="s">
        <v>73</v>
      </c>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c r="CA20" s="393"/>
      <c r="CB20" s="393"/>
      <c r="CC20" s="393"/>
      <c r="CD20" s="393"/>
      <c r="CE20" s="393"/>
      <c r="CF20" s="393"/>
      <c r="CG20" s="393"/>
      <c r="CH20" s="393"/>
      <c r="CI20" s="393"/>
      <c r="CJ20" s="391"/>
      <c r="CK20" s="391"/>
      <c r="CL20" s="391"/>
      <c r="CM20" s="391"/>
      <c r="CN20" s="391"/>
      <c r="CO20" s="391"/>
      <c r="CP20" s="391"/>
      <c r="CQ20" s="391"/>
      <c r="CR20" s="391"/>
      <c r="CS20" s="391"/>
      <c r="CT20" s="391"/>
      <c r="CU20" s="391"/>
      <c r="CV20" s="391"/>
      <c r="CW20" s="391"/>
      <c r="CX20" s="391"/>
      <c r="CY20" s="391"/>
      <c r="CZ20" s="391"/>
      <c r="DA20" s="391"/>
      <c r="DB20" s="391"/>
      <c r="DC20" s="391"/>
    </row>
    <row r="21" spans="1:107" s="316" customFormat="1" ht="33.75">
      <c r="A21" s="37"/>
      <c r="B21" s="315" t="s">
        <v>10</v>
      </c>
      <c r="C21" s="310" t="s">
        <v>1326</v>
      </c>
      <c r="D21" s="310" t="s">
        <v>21</v>
      </c>
      <c r="E21" s="312">
        <f>'Ref-ResSources'!$E$12*'Ref-ResSources'!$P$35</f>
        <v>4365.0457202778744</v>
      </c>
      <c r="F21" s="313" t="s">
        <v>82</v>
      </c>
      <c r="G21" s="794">
        <f>'Ref-2013CLASSsaturations'!$F$11</f>
        <v>3.217924971583911E-2</v>
      </c>
      <c r="H21" s="310" t="s">
        <v>66</v>
      </c>
      <c r="I21" s="382">
        <f>'Ref-2013CLASSsaturations'!$J$11</f>
        <v>0.56697952405620355</v>
      </c>
      <c r="J21" s="310" t="s">
        <v>82</v>
      </c>
      <c r="K21" s="310" t="s">
        <v>83</v>
      </c>
      <c r="L21" s="310" t="s">
        <v>14</v>
      </c>
      <c r="M21" s="310" t="s">
        <v>88</v>
      </c>
      <c r="N21" s="314">
        <f>E21*G21*'Ref-Savings Calculations'!$E$9*Applicability</f>
        <v>88.960467627455117</v>
      </c>
      <c r="O21" s="314">
        <f>E21*G21*'Ref-Savings Calculations'!$C$54*Applicability*ControlShare</f>
        <v>15.290909384659747</v>
      </c>
      <c r="P21" s="311">
        <f>E21*G21*'Ref-Savings Calculations'!$E$9*Applicability</f>
        <v>88.960467627455117</v>
      </c>
      <c r="Q21" s="311" t="s">
        <v>871</v>
      </c>
      <c r="R21" s="37"/>
      <c r="S21" s="310" t="s">
        <v>44</v>
      </c>
      <c r="T21" s="310" t="s">
        <v>63</v>
      </c>
      <c r="U21" s="310" t="s">
        <v>69</v>
      </c>
      <c r="V21" s="310" t="s">
        <v>69</v>
      </c>
      <c r="W21" s="310" t="s">
        <v>76</v>
      </c>
      <c r="X21" s="37"/>
      <c r="Y21" s="37"/>
      <c r="Z21" s="310" t="s">
        <v>78</v>
      </c>
      <c r="AA21" s="310" t="s">
        <v>78</v>
      </c>
      <c r="AB21" s="37"/>
      <c r="AC21" s="311">
        <f>'Ref-ResSources'!$D$35</f>
        <v>2.1800000000000002</v>
      </c>
      <c r="AD21" s="310" t="s">
        <v>72</v>
      </c>
      <c r="AE21" s="310" t="s">
        <v>73</v>
      </c>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c r="CA21" s="393"/>
      <c r="CB21" s="393"/>
      <c r="CC21" s="393"/>
      <c r="CD21" s="393"/>
      <c r="CE21" s="393"/>
      <c r="CF21" s="393"/>
      <c r="CG21" s="393"/>
      <c r="CH21" s="393"/>
      <c r="CI21" s="393"/>
      <c r="CJ21" s="391"/>
      <c r="CK21" s="391"/>
      <c r="CL21" s="391"/>
      <c r="CM21" s="391"/>
      <c r="CN21" s="391"/>
      <c r="CO21" s="391"/>
      <c r="CP21" s="391"/>
      <c r="CQ21" s="391"/>
      <c r="CR21" s="391"/>
      <c r="CS21" s="391"/>
      <c r="CT21" s="391"/>
      <c r="CU21" s="391"/>
      <c r="CV21" s="391"/>
      <c r="CW21" s="391"/>
      <c r="CX21" s="391"/>
      <c r="CY21" s="391"/>
      <c r="CZ21" s="391"/>
      <c r="DA21" s="391"/>
      <c r="DB21" s="391"/>
      <c r="DC21" s="391"/>
    </row>
    <row r="22" spans="1:107" s="316" customFormat="1" ht="56.25">
      <c r="A22" s="37"/>
      <c r="B22" s="315" t="s">
        <v>10</v>
      </c>
      <c r="C22" s="310" t="s">
        <v>1326</v>
      </c>
      <c r="D22" s="310" t="s">
        <v>21</v>
      </c>
      <c r="E22" s="312">
        <f>'Ref-ResSources'!$E$12*'Ref-ResSources'!$P$35</f>
        <v>4365.0457202778744</v>
      </c>
      <c r="F22" s="313" t="s">
        <v>27</v>
      </c>
      <c r="G22" s="794">
        <f>SUM('Ref-2013CLASSsaturations'!$F$6:$F$10)</f>
        <v>7.0869457393587729E-2</v>
      </c>
      <c r="H22" s="310" t="s">
        <v>66</v>
      </c>
      <c r="I22" s="382">
        <f>'Ref-2013CLASSsaturations'!$L$6</f>
        <v>0.99576144146646928</v>
      </c>
      <c r="J22" s="310" t="s">
        <v>1097</v>
      </c>
      <c r="K22" s="310" t="s">
        <v>66</v>
      </c>
      <c r="L22" s="310" t="s">
        <v>848</v>
      </c>
      <c r="M22" s="310" t="s">
        <v>88</v>
      </c>
      <c r="N22" s="314">
        <f>E22*G22*'Ref-Savings Calculations'!E31*Applicability</f>
        <v>77.390258073349472</v>
      </c>
      <c r="O22" s="314">
        <f>E22*G22*'Ref-Savings Calculations'!$C$54*Applicability*ControlShare</f>
        <v>59.143148217924228</v>
      </c>
      <c r="P22" s="311">
        <f>E22*G22*'Ref-Savings Calculations'!E32*Applicability</f>
        <v>49.495747471087235</v>
      </c>
      <c r="Q22" s="311">
        <f>E22*G22*'Ref-Savings Calculations'!$C$54*Applicability*ControlShare</f>
        <v>59.143148217924228</v>
      </c>
      <c r="R22" s="37"/>
      <c r="S22" s="310" t="s">
        <v>69</v>
      </c>
      <c r="T22" s="310" t="s">
        <v>69</v>
      </c>
      <c r="U22" s="310" t="s">
        <v>69</v>
      </c>
      <c r="V22" s="310" t="s">
        <v>69</v>
      </c>
      <c r="W22" s="310" t="s">
        <v>76</v>
      </c>
      <c r="X22" s="37"/>
      <c r="Y22" s="37"/>
      <c r="Z22" s="310" t="s">
        <v>78</v>
      </c>
      <c r="AA22" s="310" t="s">
        <v>78</v>
      </c>
      <c r="AB22" s="37"/>
      <c r="AC22" s="311">
        <f>'Ref-ResSources'!$D$35</f>
        <v>2.1800000000000002</v>
      </c>
      <c r="AD22" s="310" t="s">
        <v>72</v>
      </c>
      <c r="AE22" s="310" t="s">
        <v>73</v>
      </c>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c r="CA22" s="393"/>
      <c r="CB22" s="393"/>
      <c r="CC22" s="393"/>
      <c r="CD22" s="393"/>
      <c r="CE22" s="393"/>
      <c r="CF22" s="393"/>
      <c r="CG22" s="393"/>
      <c r="CH22" s="393"/>
      <c r="CI22" s="393"/>
      <c r="CJ22" s="391"/>
      <c r="CK22" s="391"/>
      <c r="CL22" s="391"/>
      <c r="CM22" s="391"/>
      <c r="CN22" s="391"/>
      <c r="CO22" s="391"/>
      <c r="CP22" s="391"/>
      <c r="CQ22" s="391"/>
      <c r="CR22" s="391"/>
      <c r="CS22" s="391"/>
      <c r="CT22" s="391"/>
      <c r="CU22" s="391"/>
      <c r="CV22" s="391"/>
      <c r="CW22" s="391"/>
      <c r="CX22" s="391"/>
      <c r="CY22" s="391"/>
      <c r="CZ22" s="391"/>
      <c r="DA22" s="391"/>
      <c r="DB22" s="391"/>
      <c r="DC22" s="391"/>
    </row>
    <row r="23" spans="1:107" s="316" customFormat="1" ht="56.25">
      <c r="A23" s="37"/>
      <c r="B23" s="315" t="s">
        <v>10</v>
      </c>
      <c r="C23" s="310" t="s">
        <v>1326</v>
      </c>
      <c r="D23" s="310" t="s">
        <v>21</v>
      </c>
      <c r="E23" s="312">
        <f>'Ref-ResSources'!$E$12*'Ref-ResSources'!$P$35</f>
        <v>4365.0457202778744</v>
      </c>
      <c r="F23" s="313" t="s">
        <v>27</v>
      </c>
      <c r="G23" s="794">
        <f>SUM('Ref-2013CLASSsaturations'!$F$6:$F$10)</f>
        <v>7.0869457393587729E-2</v>
      </c>
      <c r="H23" s="310" t="s">
        <v>66</v>
      </c>
      <c r="I23" s="382">
        <f>'Ref-2013CLASSsaturations'!$L$6</f>
        <v>0.99576144146646928</v>
      </c>
      <c r="J23" s="310" t="s">
        <v>1097</v>
      </c>
      <c r="K23" s="310" t="s">
        <v>66</v>
      </c>
      <c r="L23" s="310" t="s">
        <v>15</v>
      </c>
      <c r="M23" s="310" t="s">
        <v>88</v>
      </c>
      <c r="N23" s="314">
        <f>E23*G23*'Ref-Savings Calculations'!E37*Applicability</f>
        <v>87.028311165449054</v>
      </c>
      <c r="O23" s="314">
        <f>E23*G23*'Ref-Savings Calculations'!$C$54*Applicability*ControlShare</f>
        <v>59.143148217924228</v>
      </c>
      <c r="P23" s="311">
        <f>E23*G23*'Ref-Savings Calculations'!E38*Applicability</f>
        <v>54.135973796501673</v>
      </c>
      <c r="Q23" s="311">
        <f>E23*G23*'Ref-Savings Calculations'!$C$54*Applicability*ControlShare</f>
        <v>59.143148217924228</v>
      </c>
      <c r="R23" s="37"/>
      <c r="S23" s="310" t="s">
        <v>44</v>
      </c>
      <c r="T23" s="310" t="s">
        <v>63</v>
      </c>
      <c r="U23" s="310" t="s">
        <v>69</v>
      </c>
      <c r="V23" s="310" t="s">
        <v>69</v>
      </c>
      <c r="W23" s="310" t="s">
        <v>76</v>
      </c>
      <c r="X23" s="37"/>
      <c r="Y23" s="37"/>
      <c r="Z23" s="310" t="s">
        <v>78</v>
      </c>
      <c r="AA23" s="310" t="s">
        <v>78</v>
      </c>
      <c r="AB23" s="37"/>
      <c r="AC23" s="311">
        <f>'Ref-ResSources'!$D$35</f>
        <v>2.1800000000000002</v>
      </c>
      <c r="AD23" s="310" t="s">
        <v>72</v>
      </c>
      <c r="AE23" s="310" t="s">
        <v>73</v>
      </c>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c r="CA23" s="393"/>
      <c r="CB23" s="393"/>
      <c r="CC23" s="393"/>
      <c r="CD23" s="393"/>
      <c r="CE23" s="393"/>
      <c r="CF23" s="393"/>
      <c r="CG23" s="393"/>
      <c r="CH23" s="393"/>
      <c r="CI23" s="393"/>
      <c r="CJ23" s="391"/>
      <c r="CK23" s="391"/>
      <c r="CL23" s="391"/>
      <c r="CM23" s="391"/>
      <c r="CN23" s="391"/>
      <c r="CO23" s="391"/>
      <c r="CP23" s="391"/>
      <c r="CQ23" s="391"/>
      <c r="CR23" s="391"/>
      <c r="CS23" s="391"/>
      <c r="CT23" s="391"/>
      <c r="CU23" s="391"/>
      <c r="CV23" s="391"/>
      <c r="CW23" s="391"/>
      <c r="CX23" s="391"/>
      <c r="CY23" s="391"/>
      <c r="CZ23" s="391"/>
      <c r="DA23" s="391"/>
      <c r="DB23" s="391"/>
      <c r="DC23" s="391"/>
    </row>
    <row r="24" spans="1:107" s="316" customFormat="1" ht="33.75">
      <c r="A24" s="37"/>
      <c r="B24" s="315" t="s">
        <v>10</v>
      </c>
      <c r="C24" s="310" t="s">
        <v>1326</v>
      </c>
      <c r="D24" s="310" t="s">
        <v>21</v>
      </c>
      <c r="E24" s="312">
        <f>'Ref-ResSources'!$E$12*'Ref-ResSources'!$P$35</f>
        <v>4365.0457202778744</v>
      </c>
      <c r="F24" s="313" t="s">
        <v>81</v>
      </c>
      <c r="G24" s="794">
        <f>'Ref-2013CLASSsaturations'!$F$13</f>
        <v>9.6635226804767327E-2</v>
      </c>
      <c r="H24" s="310" t="s">
        <v>66</v>
      </c>
      <c r="I24" s="382">
        <f>'Ref-2013CLASSsaturations'!$J$13</f>
        <v>0.58869517583389164</v>
      </c>
      <c r="J24" s="313" t="s">
        <v>81</v>
      </c>
      <c r="K24" s="310" t="s">
        <v>66</v>
      </c>
      <c r="L24" s="310" t="s">
        <v>16</v>
      </c>
      <c r="M24" s="310" t="s">
        <v>88</v>
      </c>
      <c r="N24" s="314">
        <f>E24*G24*'Ref-Savings Calculations'!$E$9*Applicability</f>
        <v>267.15088268841322</v>
      </c>
      <c r="O24" s="314">
        <f>E24*G24*'Ref-Savings Calculations'!$C$54*Applicability*ControlShare</f>
        <v>47.677774239188643</v>
      </c>
      <c r="P24" s="311">
        <f>E24*G24*'Ref-Savings Calculations'!$E$9*Applicability</f>
        <v>267.15088268841322</v>
      </c>
      <c r="Q24" s="311">
        <f>E24*G24*'Ref-Savings Calculations'!$C$54*Applicability*ControlShare</f>
        <v>47.677774239188643</v>
      </c>
      <c r="R24" s="37"/>
      <c r="S24" s="310" t="s">
        <v>44</v>
      </c>
      <c r="T24" s="310" t="s">
        <v>63</v>
      </c>
      <c r="U24" s="310" t="s">
        <v>69</v>
      </c>
      <c r="V24" s="310" t="s">
        <v>69</v>
      </c>
      <c r="W24" s="310" t="s">
        <v>76</v>
      </c>
      <c r="X24" s="37"/>
      <c r="Y24" s="37"/>
      <c r="Z24" s="310" t="s">
        <v>78</v>
      </c>
      <c r="AA24" s="310" t="s">
        <v>78</v>
      </c>
      <c r="AB24" s="37"/>
      <c r="AC24" s="311">
        <f>'Ref-ResSources'!$D$35</f>
        <v>2.1800000000000002</v>
      </c>
      <c r="AD24" s="310" t="s">
        <v>72</v>
      </c>
      <c r="AE24" s="310" t="s">
        <v>73</v>
      </c>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c r="CA24" s="393"/>
      <c r="CB24" s="393"/>
      <c r="CC24" s="393"/>
      <c r="CD24" s="393"/>
      <c r="CE24" s="393"/>
      <c r="CF24" s="393"/>
      <c r="CG24" s="393"/>
      <c r="CH24" s="393"/>
      <c r="CI24" s="393"/>
      <c r="CJ24" s="391"/>
      <c r="CK24" s="391"/>
      <c r="CL24" s="391"/>
      <c r="CM24" s="391"/>
      <c r="CN24" s="391"/>
      <c r="CO24" s="391"/>
      <c r="CP24" s="391"/>
      <c r="CQ24" s="391"/>
      <c r="CR24" s="391"/>
      <c r="CS24" s="391"/>
      <c r="CT24" s="391"/>
      <c r="CU24" s="391"/>
      <c r="CV24" s="391"/>
      <c r="CW24" s="391"/>
      <c r="CX24" s="391"/>
      <c r="CY24" s="391"/>
      <c r="CZ24" s="391"/>
      <c r="DA24" s="391"/>
      <c r="DB24" s="391"/>
      <c r="DC24" s="391"/>
    </row>
    <row r="25" spans="1:107" s="316" customFormat="1" ht="33.75">
      <c r="A25" s="37"/>
      <c r="B25" s="315" t="s">
        <v>10</v>
      </c>
      <c r="C25" s="310" t="s">
        <v>1326</v>
      </c>
      <c r="D25" s="310" t="s">
        <v>21</v>
      </c>
      <c r="E25" s="312">
        <f>'Ref-ResSources'!$E$12*'Ref-ResSources'!$P$35</f>
        <v>4365.0457202778744</v>
      </c>
      <c r="F25" s="313" t="s">
        <v>81</v>
      </c>
      <c r="G25" s="794">
        <f>'Ref-2013CLASSsaturations'!$F$13</f>
        <v>9.6635226804767327E-2</v>
      </c>
      <c r="H25" s="310" t="s">
        <v>66</v>
      </c>
      <c r="I25" s="382">
        <f>'Ref-2013CLASSsaturations'!$J$13</f>
        <v>0.58869517583389164</v>
      </c>
      <c r="J25" s="313" t="s">
        <v>81</v>
      </c>
      <c r="K25" s="310" t="s">
        <v>66</v>
      </c>
      <c r="L25" s="310" t="s">
        <v>1367</v>
      </c>
      <c r="M25" s="310" t="s">
        <v>88</v>
      </c>
      <c r="N25" s="314">
        <f>E25*G25*'Ref-Savings Calculations'!$E$8*Applicability</f>
        <v>246.06002352880165</v>
      </c>
      <c r="O25" s="314">
        <f>E25*G25*'Ref-Savings Calculations'!$C$54*Applicability*ControlShare</f>
        <v>47.677774239188643</v>
      </c>
      <c r="P25" s="311">
        <f>E25*G25*'Ref-Savings Calculations'!$E$8*Applicability</f>
        <v>246.06002352880165</v>
      </c>
      <c r="Q25" s="311">
        <f>E25*G25*'Ref-Savings Calculations'!$C$54*Applicability*ControlShare</f>
        <v>47.677774239188643</v>
      </c>
      <c r="R25" s="37"/>
      <c r="S25" s="310" t="s">
        <v>68</v>
      </c>
      <c r="T25" s="310" t="s">
        <v>74</v>
      </c>
      <c r="U25" s="310" t="s">
        <v>69</v>
      </c>
      <c r="V25" s="310" t="s">
        <v>69</v>
      </c>
      <c r="W25" s="310" t="s">
        <v>70</v>
      </c>
      <c r="X25" s="37"/>
      <c r="Y25" s="37"/>
      <c r="Z25" s="310" t="s">
        <v>78</v>
      </c>
      <c r="AA25" s="310" t="s">
        <v>78</v>
      </c>
      <c r="AB25" s="37"/>
      <c r="AC25" s="311">
        <v>2.1800000000000002</v>
      </c>
      <c r="AD25" s="310" t="s">
        <v>72</v>
      </c>
      <c r="AE25" s="310" t="s">
        <v>73</v>
      </c>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c r="CA25" s="393"/>
      <c r="CB25" s="393"/>
      <c r="CC25" s="393"/>
      <c r="CD25" s="393"/>
      <c r="CE25" s="393"/>
      <c r="CF25" s="393"/>
      <c r="CG25" s="393"/>
      <c r="CH25" s="393"/>
      <c r="CI25" s="393"/>
      <c r="CJ25" s="391"/>
      <c r="CK25" s="391"/>
      <c r="CL25" s="391"/>
      <c r="CM25" s="391"/>
      <c r="CN25" s="391"/>
      <c r="CO25" s="391"/>
      <c r="CP25" s="391"/>
      <c r="CQ25" s="391"/>
      <c r="CR25" s="391"/>
      <c r="CS25" s="391"/>
      <c r="CT25" s="391"/>
      <c r="CU25" s="391"/>
      <c r="CV25" s="391"/>
      <c r="CW25" s="391"/>
      <c r="CX25" s="391"/>
      <c r="CY25" s="391"/>
      <c r="CZ25" s="391"/>
      <c r="DA25" s="391"/>
      <c r="DB25" s="391"/>
      <c r="DC25" s="391"/>
    </row>
    <row r="26" spans="1:107" s="316" customFormat="1" ht="33.75">
      <c r="A26" s="37"/>
      <c r="B26" s="315" t="s">
        <v>10</v>
      </c>
      <c r="C26" s="310" t="s">
        <v>1326</v>
      </c>
      <c r="D26" s="310" t="s">
        <v>21</v>
      </c>
      <c r="E26" s="312">
        <f>'Ref-ResSources'!$E$12*'Ref-ResSources'!$P$35</f>
        <v>4365.0457202778744</v>
      </c>
      <c r="F26" s="313" t="s">
        <v>79</v>
      </c>
      <c r="G26" s="794">
        <f>'Ref-2013CLASSsaturations'!$F$18</f>
        <v>0.11432595370565281</v>
      </c>
      <c r="H26" s="310" t="s">
        <v>66</v>
      </c>
      <c r="I26" s="382">
        <f>'Ref-2013CLASSsaturations'!$J$18</f>
        <v>0.75253699191248458</v>
      </c>
      <c r="J26" s="313" t="s">
        <v>1284</v>
      </c>
      <c r="K26" s="310" t="s">
        <v>83</v>
      </c>
      <c r="L26" s="310" t="s">
        <v>17</v>
      </c>
      <c r="M26" s="310" t="s">
        <v>88</v>
      </c>
      <c r="N26" s="314">
        <f>E26*G26*'Ref-Savings Calculations'!$E$11*Applicability</f>
        <v>332.69200995969754</v>
      </c>
      <c r="O26" s="314">
        <f>E26*G26*'Ref-Savings Calculations'!$C$54*Applicability*ControlShare</f>
        <v>72.104556789616055</v>
      </c>
      <c r="P26" s="311">
        <f>E26*G26*'Ref-Savings Calculations'!$E$9*Applicability</f>
        <v>316.05740946171261</v>
      </c>
      <c r="Q26" s="311" t="s">
        <v>871</v>
      </c>
      <c r="R26" s="37"/>
      <c r="S26" s="310" t="s">
        <v>44</v>
      </c>
      <c r="T26" s="310" t="s">
        <v>74</v>
      </c>
      <c r="U26" s="310" t="s">
        <v>69</v>
      </c>
      <c r="V26" s="310" t="s">
        <v>69</v>
      </c>
      <c r="W26" s="310" t="s">
        <v>76</v>
      </c>
      <c r="X26" s="37"/>
      <c r="Y26" s="37"/>
      <c r="Z26" s="310" t="s">
        <v>78</v>
      </c>
      <c r="AA26" s="310" t="s">
        <v>78</v>
      </c>
      <c r="AB26" s="37"/>
      <c r="AC26" s="311">
        <v>2.1800000000000002</v>
      </c>
      <c r="AD26" s="310" t="s">
        <v>72</v>
      </c>
      <c r="AE26" s="310" t="s">
        <v>73</v>
      </c>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c r="CA26" s="393"/>
      <c r="CB26" s="393"/>
      <c r="CC26" s="393"/>
      <c r="CD26" s="393"/>
      <c r="CE26" s="393"/>
      <c r="CF26" s="393"/>
      <c r="CG26" s="393"/>
      <c r="CH26" s="393"/>
      <c r="CI26" s="393"/>
      <c r="CJ26" s="391"/>
      <c r="CK26" s="391"/>
      <c r="CL26" s="391"/>
      <c r="CM26" s="391"/>
      <c r="CN26" s="391"/>
      <c r="CO26" s="391"/>
      <c r="CP26" s="391"/>
      <c r="CQ26" s="391"/>
      <c r="CR26" s="391"/>
      <c r="CS26" s="391"/>
      <c r="CT26" s="391"/>
      <c r="CU26" s="391"/>
      <c r="CV26" s="391"/>
      <c r="CW26" s="391"/>
      <c r="CX26" s="391"/>
      <c r="CY26" s="391"/>
      <c r="CZ26" s="391"/>
      <c r="DA26" s="391"/>
      <c r="DB26" s="391"/>
      <c r="DC26" s="391"/>
    </row>
    <row r="27" spans="1:107" s="316" customFormat="1" ht="33.75">
      <c r="A27" s="37"/>
      <c r="B27" s="315" t="s">
        <v>10</v>
      </c>
      <c r="C27" s="310" t="s">
        <v>1326</v>
      </c>
      <c r="D27" s="310" t="s">
        <v>21</v>
      </c>
      <c r="E27" s="312">
        <f>'Ref-ResSources'!$E$12*'Ref-ResSources'!$P$35</f>
        <v>4365.0457202778744</v>
      </c>
      <c r="F27" s="313" t="s">
        <v>79</v>
      </c>
      <c r="G27" s="794">
        <f>'Ref-2013CLASSsaturations'!$F$18</f>
        <v>0.11432595370565281</v>
      </c>
      <c r="H27" s="310" t="s">
        <v>66</v>
      </c>
      <c r="I27" s="382">
        <f>'Ref-2013CLASSsaturations'!$J$18</f>
        <v>0.75253699191248458</v>
      </c>
      <c r="J27" s="313" t="s">
        <v>1284</v>
      </c>
      <c r="K27" s="310" t="s">
        <v>83</v>
      </c>
      <c r="L27" s="310" t="s">
        <v>1360</v>
      </c>
      <c r="M27" s="310" t="s">
        <v>88</v>
      </c>
      <c r="N27" s="314">
        <f>E27*G27*'Ref-Savings Calculations'!$E$10*Applicability</f>
        <v>312.73048936211563</v>
      </c>
      <c r="O27" s="314">
        <f>E27*G27*'Ref-Savings Calculations'!$C$54*Applicability*ControlShare</f>
        <v>72.104556789616055</v>
      </c>
      <c r="P27" s="311">
        <f>E27*G27*'Ref-Savings Calculations'!$E$8*Applicability</f>
        <v>291.10550871473532</v>
      </c>
      <c r="Q27" s="311" t="s">
        <v>871</v>
      </c>
      <c r="R27" s="37"/>
      <c r="S27" s="310" t="s">
        <v>68</v>
      </c>
      <c r="T27" s="310" t="s">
        <v>63</v>
      </c>
      <c r="U27" s="310" t="s">
        <v>69</v>
      </c>
      <c r="V27" s="310" t="s">
        <v>69</v>
      </c>
      <c r="W27" s="310" t="s">
        <v>70</v>
      </c>
      <c r="X27" s="37"/>
      <c r="Y27" s="37"/>
      <c r="Z27" s="310" t="s">
        <v>78</v>
      </c>
      <c r="AA27" s="310" t="s">
        <v>78</v>
      </c>
      <c r="AB27" s="37"/>
      <c r="AC27" s="311">
        <v>2.1800000000000002</v>
      </c>
      <c r="AD27" s="310" t="s">
        <v>72</v>
      </c>
      <c r="AE27" s="310" t="s">
        <v>73</v>
      </c>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c r="CH27" s="393"/>
      <c r="CI27" s="393"/>
      <c r="CJ27" s="391"/>
      <c r="CK27" s="391"/>
      <c r="CL27" s="391"/>
      <c r="CM27" s="391"/>
      <c r="CN27" s="391"/>
      <c r="CO27" s="391"/>
      <c r="CP27" s="391"/>
      <c r="CQ27" s="391"/>
      <c r="CR27" s="391"/>
      <c r="CS27" s="391"/>
      <c r="CT27" s="391"/>
      <c r="CU27" s="391"/>
      <c r="CV27" s="391"/>
      <c r="CW27" s="391"/>
      <c r="CX27" s="391"/>
      <c r="CY27" s="391"/>
      <c r="CZ27" s="391"/>
      <c r="DA27" s="391"/>
      <c r="DB27" s="391"/>
      <c r="DC27" s="391"/>
    </row>
    <row r="28" spans="1:107" s="303" customFormat="1" ht="33.75">
      <c r="A28" s="37"/>
      <c r="B28" s="304" t="s">
        <v>10</v>
      </c>
      <c r="C28" s="299" t="s">
        <v>1326</v>
      </c>
      <c r="D28" s="304" t="s">
        <v>20</v>
      </c>
      <c r="E28" s="306">
        <f>'Ref-ResSources'!$E$12*'Ref-ResSources'!$P$37</f>
        <v>2115.3347415816575</v>
      </c>
      <c r="F28" s="307" t="s">
        <v>82</v>
      </c>
      <c r="G28" s="793">
        <f>'Ref-2013CLASSsaturations'!$F$51</f>
        <v>0.20302828447077934</v>
      </c>
      <c r="H28" s="299" t="s">
        <v>66</v>
      </c>
      <c r="I28" s="381">
        <f>'Ref-2013CLASSsaturations'!$J$51</f>
        <v>0.52254601892817343</v>
      </c>
      <c r="J28" s="307" t="s">
        <v>82</v>
      </c>
      <c r="K28" s="299" t="s">
        <v>1362</v>
      </c>
      <c r="L28" s="299" t="s">
        <v>14</v>
      </c>
      <c r="M28" s="299" t="s">
        <v>88</v>
      </c>
      <c r="N28" s="300">
        <f>E28*G28*'Ref-Savings Calculations'!$E$9*Applicability</f>
        <v>271.99942965435008</v>
      </c>
      <c r="O28" s="300">
        <f>E28*G28*'Ref-Savings Calculations'!$C$54*Applicability*ControlShare</f>
        <v>43.08850432166836</v>
      </c>
      <c r="P28" s="300">
        <f>E28*G28*'Ref-Savings Calculations'!$E$9*Applicability</f>
        <v>271.99942965435008</v>
      </c>
      <c r="Q28" s="300" t="s">
        <v>871</v>
      </c>
      <c r="R28" s="37"/>
      <c r="S28" s="299" t="s">
        <v>44</v>
      </c>
      <c r="T28" s="299" t="s">
        <v>63</v>
      </c>
      <c r="U28" s="299" t="s">
        <v>69</v>
      </c>
      <c r="V28" s="299" t="s">
        <v>69</v>
      </c>
      <c r="W28" s="299" t="s">
        <v>1364</v>
      </c>
      <c r="X28" s="37"/>
      <c r="Y28" s="37"/>
      <c r="Z28" s="299" t="s">
        <v>78</v>
      </c>
      <c r="AA28" s="299" t="s">
        <v>78</v>
      </c>
      <c r="AB28" s="37"/>
      <c r="AC28" s="300">
        <v>2.1800000000000002</v>
      </c>
      <c r="AD28" s="299" t="s">
        <v>84</v>
      </c>
      <c r="AE28" s="299" t="s">
        <v>73</v>
      </c>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c r="CA28" s="393"/>
      <c r="CB28" s="393"/>
      <c r="CC28" s="393"/>
      <c r="CD28" s="393"/>
      <c r="CE28" s="393"/>
      <c r="CF28" s="393"/>
      <c r="CG28" s="393"/>
      <c r="CH28" s="393"/>
      <c r="CI28" s="393"/>
      <c r="CJ28" s="390"/>
      <c r="CK28" s="390"/>
      <c r="CL28" s="390"/>
      <c r="CM28" s="390"/>
      <c r="CN28" s="390"/>
      <c r="CO28" s="390"/>
      <c r="CP28" s="390"/>
      <c r="CQ28" s="390"/>
      <c r="CR28" s="390"/>
      <c r="CS28" s="390"/>
      <c r="CT28" s="390"/>
      <c r="CU28" s="390"/>
      <c r="CV28" s="390"/>
      <c r="CW28" s="390"/>
      <c r="CX28" s="390"/>
      <c r="CY28" s="390"/>
      <c r="CZ28" s="390"/>
      <c r="DA28" s="390"/>
      <c r="DB28" s="390"/>
      <c r="DC28" s="390"/>
    </row>
    <row r="29" spans="1:107" s="303" customFormat="1" ht="33.75">
      <c r="A29" s="37"/>
      <c r="B29" s="304" t="s">
        <v>10</v>
      </c>
      <c r="C29" s="299" t="s">
        <v>1326</v>
      </c>
      <c r="D29" s="304" t="s">
        <v>20</v>
      </c>
      <c r="E29" s="306">
        <f>'Ref-ResSources'!$E$12*'Ref-ResSources'!$P$37</f>
        <v>2115.3347415816575</v>
      </c>
      <c r="F29" s="307" t="s">
        <v>82</v>
      </c>
      <c r="G29" s="793">
        <f>'Ref-2013CLASSsaturations'!$F$51</f>
        <v>0.20302828447077934</v>
      </c>
      <c r="H29" s="299" t="s">
        <v>66</v>
      </c>
      <c r="I29" s="381">
        <f>'Ref-2013CLASSsaturations'!$J$51</f>
        <v>0.52254601892817343</v>
      </c>
      <c r="J29" s="307" t="s">
        <v>82</v>
      </c>
      <c r="K29" s="299" t="s">
        <v>1362</v>
      </c>
      <c r="L29" s="299" t="s">
        <v>13</v>
      </c>
      <c r="M29" s="299" t="s">
        <v>88</v>
      </c>
      <c r="N29" s="300">
        <f>E29*G29*'Ref-Savings Calculations'!$E$8*Applicability</f>
        <v>250.52579047111192</v>
      </c>
      <c r="O29" s="300">
        <f>E29*G29*'Ref-Savings Calculations'!$C$54*Applicability*ControlShare</f>
        <v>43.08850432166836</v>
      </c>
      <c r="P29" s="300">
        <f>E29*G29*'Ref-Savings Calculations'!E8*Applicability</f>
        <v>250.52579047111192</v>
      </c>
      <c r="Q29" s="300" t="s">
        <v>871</v>
      </c>
      <c r="R29" s="37"/>
      <c r="S29" s="299" t="s">
        <v>68</v>
      </c>
      <c r="T29" s="299" t="s">
        <v>63</v>
      </c>
      <c r="U29" s="299" t="s">
        <v>69</v>
      </c>
      <c r="V29" s="299" t="s">
        <v>69</v>
      </c>
      <c r="W29" s="299" t="s">
        <v>70</v>
      </c>
      <c r="X29" s="37"/>
      <c r="Y29" s="37"/>
      <c r="Z29" s="299" t="s">
        <v>78</v>
      </c>
      <c r="AA29" s="299" t="s">
        <v>78</v>
      </c>
      <c r="AB29" s="37"/>
      <c r="AC29" s="300">
        <v>2.1800000000000002</v>
      </c>
      <c r="AD29" s="299" t="s">
        <v>84</v>
      </c>
      <c r="AE29" s="299" t="s">
        <v>73</v>
      </c>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c r="CA29" s="393"/>
      <c r="CB29" s="393"/>
      <c r="CC29" s="393"/>
      <c r="CD29" s="393"/>
      <c r="CE29" s="393"/>
      <c r="CF29" s="393"/>
      <c r="CG29" s="393"/>
      <c r="CH29" s="393"/>
      <c r="CI29" s="393"/>
      <c r="CJ29" s="390"/>
      <c r="CK29" s="390"/>
      <c r="CL29" s="390"/>
      <c r="CM29" s="390"/>
      <c r="CN29" s="390"/>
      <c r="CO29" s="390"/>
      <c r="CP29" s="390"/>
      <c r="CQ29" s="390"/>
      <c r="CR29" s="390"/>
      <c r="CS29" s="390"/>
      <c r="CT29" s="390"/>
      <c r="CU29" s="390"/>
      <c r="CV29" s="390"/>
      <c r="CW29" s="390"/>
      <c r="CX29" s="390"/>
      <c r="CY29" s="390"/>
      <c r="CZ29" s="390"/>
      <c r="DA29" s="390"/>
      <c r="DB29" s="390"/>
      <c r="DC29" s="390"/>
    </row>
    <row r="30" spans="1:107" s="303" customFormat="1" ht="33.75">
      <c r="A30" s="37"/>
      <c r="B30" s="304" t="s">
        <v>10</v>
      </c>
      <c r="C30" s="299" t="s">
        <v>1326</v>
      </c>
      <c r="D30" s="304" t="s">
        <v>20</v>
      </c>
      <c r="E30" s="306">
        <f>'Ref-ResSources'!$E$12*'Ref-ResSources'!$P$37</f>
        <v>2115.3347415816575</v>
      </c>
      <c r="F30" s="307" t="s">
        <v>81</v>
      </c>
      <c r="G30" s="793">
        <f>'Ref-2013CLASSsaturations'!$F$53</f>
        <v>0.13674984266970341</v>
      </c>
      <c r="H30" s="299" t="s">
        <v>66</v>
      </c>
      <c r="I30" s="381">
        <f>'Ref-2013CLASSsaturations'!$J$53</f>
        <v>0.54361961048352092</v>
      </c>
      <c r="J30" s="307" t="s">
        <v>82</v>
      </c>
      <c r="K30" s="299" t="s">
        <v>1362</v>
      </c>
      <c r="L30" s="299" t="s">
        <v>16</v>
      </c>
      <c r="M30" s="299" t="s">
        <v>88</v>
      </c>
      <c r="N30" s="300">
        <f>E30*G30*'Ref-Savings Calculations'!$E$9*Applicability</f>
        <v>183.20540563319796</v>
      </c>
      <c r="O30" s="300">
        <f>E30*G30*'Ref-Savings Calculations'!$C$54*Applicability*ControlShare</f>
        <v>30.192722904897703</v>
      </c>
      <c r="P30" s="300">
        <f>E30*G30*'Ref-Savings Calculations'!$E$9*Applicability</f>
        <v>183.20540563319796</v>
      </c>
      <c r="Q30" s="300" t="s">
        <v>871</v>
      </c>
      <c r="R30" s="37"/>
      <c r="S30" s="299" t="s">
        <v>44</v>
      </c>
      <c r="T30" s="299" t="s">
        <v>63</v>
      </c>
      <c r="U30" s="299" t="s">
        <v>69</v>
      </c>
      <c r="V30" s="299" t="s">
        <v>69</v>
      </c>
      <c r="W30" s="299" t="s">
        <v>1364</v>
      </c>
      <c r="X30" s="37"/>
      <c r="Y30" s="37"/>
      <c r="Z30" s="299" t="s">
        <v>78</v>
      </c>
      <c r="AA30" s="299" t="s">
        <v>78</v>
      </c>
      <c r="AB30" s="37"/>
      <c r="AC30" s="300">
        <v>2.1800000000000002</v>
      </c>
      <c r="AD30" s="299" t="s">
        <v>84</v>
      </c>
      <c r="AE30" s="299" t="s">
        <v>73</v>
      </c>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c r="CA30" s="393"/>
      <c r="CB30" s="393"/>
      <c r="CC30" s="393"/>
      <c r="CD30" s="393"/>
      <c r="CE30" s="393"/>
      <c r="CF30" s="393"/>
      <c r="CG30" s="393"/>
      <c r="CH30" s="393"/>
      <c r="CI30" s="393"/>
      <c r="CJ30" s="390"/>
      <c r="CK30" s="390"/>
      <c r="CL30" s="390"/>
      <c r="CM30" s="390"/>
      <c r="CN30" s="390"/>
      <c r="CO30" s="390"/>
      <c r="CP30" s="390"/>
      <c r="CQ30" s="390"/>
      <c r="CR30" s="390"/>
      <c r="CS30" s="390"/>
      <c r="CT30" s="390"/>
      <c r="CU30" s="390"/>
      <c r="CV30" s="390"/>
      <c r="CW30" s="390"/>
      <c r="CX30" s="390"/>
      <c r="CY30" s="390"/>
      <c r="CZ30" s="390"/>
      <c r="DA30" s="390"/>
      <c r="DB30" s="390"/>
      <c r="DC30" s="390"/>
    </row>
    <row r="31" spans="1:107" s="303" customFormat="1" ht="33.75">
      <c r="A31" s="37"/>
      <c r="B31" s="304" t="s">
        <v>10</v>
      </c>
      <c r="C31" s="299" t="s">
        <v>1326</v>
      </c>
      <c r="D31" s="304" t="s">
        <v>20</v>
      </c>
      <c r="E31" s="306">
        <f>'Ref-ResSources'!$E$12*'Ref-ResSources'!$P$37</f>
        <v>2115.3347415816575</v>
      </c>
      <c r="F31" s="307" t="s">
        <v>81</v>
      </c>
      <c r="G31" s="793">
        <f>'Ref-2013CLASSsaturations'!$F$53</f>
        <v>0.13674984266970341</v>
      </c>
      <c r="H31" s="299" t="s">
        <v>66</v>
      </c>
      <c r="I31" s="381">
        <f>'Ref-2013CLASSsaturations'!$J$53</f>
        <v>0.54361961048352092</v>
      </c>
      <c r="J31" s="307" t="s">
        <v>82</v>
      </c>
      <c r="K31" s="299" t="s">
        <v>1362</v>
      </c>
      <c r="L31" s="299" t="s">
        <v>1367</v>
      </c>
      <c r="M31" s="299" t="s">
        <v>88</v>
      </c>
      <c r="N31" s="300">
        <f>E31*G31*'Ref-Savings Calculations'!$E$8*Applicability</f>
        <v>168.74182097794548</v>
      </c>
      <c r="O31" s="300">
        <f>E31*G31*'Ref-Savings Calculations'!$C$54*Applicability*ControlShare</f>
        <v>30.192722904897703</v>
      </c>
      <c r="P31" s="300">
        <f>E31*G31*'Ref-Savings Calculations'!$E$8*Applicability</f>
        <v>168.74182097794548</v>
      </c>
      <c r="Q31" s="300" t="s">
        <v>871</v>
      </c>
      <c r="R31" s="37"/>
      <c r="S31" s="299" t="s">
        <v>68</v>
      </c>
      <c r="T31" s="299" t="s">
        <v>74</v>
      </c>
      <c r="U31" s="299" t="s">
        <v>69</v>
      </c>
      <c r="V31" s="299" t="s">
        <v>69</v>
      </c>
      <c r="W31" s="299" t="s">
        <v>70</v>
      </c>
      <c r="X31" s="37"/>
      <c r="Y31" s="37"/>
      <c r="Z31" s="299" t="s">
        <v>78</v>
      </c>
      <c r="AA31" s="299" t="s">
        <v>78</v>
      </c>
      <c r="AB31" s="37"/>
      <c r="AC31" s="300">
        <v>2.1800000000000002</v>
      </c>
      <c r="AD31" s="299" t="s">
        <v>84</v>
      </c>
      <c r="AE31" s="299" t="s">
        <v>73</v>
      </c>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c r="CA31" s="393"/>
      <c r="CB31" s="393"/>
      <c r="CC31" s="393"/>
      <c r="CD31" s="393"/>
      <c r="CE31" s="393"/>
      <c r="CF31" s="393"/>
      <c r="CG31" s="393"/>
      <c r="CH31" s="393"/>
      <c r="CI31" s="393"/>
      <c r="CJ31" s="390"/>
      <c r="CK31" s="390"/>
      <c r="CL31" s="390"/>
      <c r="CM31" s="390"/>
      <c r="CN31" s="390"/>
      <c r="CO31" s="390"/>
      <c r="CP31" s="390"/>
      <c r="CQ31" s="390"/>
      <c r="CR31" s="390"/>
      <c r="CS31" s="390"/>
      <c r="CT31" s="390"/>
      <c r="CU31" s="390"/>
      <c r="CV31" s="390"/>
      <c r="CW31" s="390"/>
      <c r="CX31" s="390"/>
      <c r="CY31" s="390"/>
      <c r="CZ31" s="390"/>
      <c r="DA31" s="390"/>
      <c r="DB31" s="390"/>
      <c r="DC31" s="390"/>
    </row>
    <row r="32" spans="1:107" s="303" customFormat="1" ht="33.75">
      <c r="A32" s="37"/>
      <c r="B32" s="304" t="s">
        <v>10</v>
      </c>
      <c r="C32" s="299" t="s">
        <v>1326</v>
      </c>
      <c r="D32" s="304" t="s">
        <v>20</v>
      </c>
      <c r="E32" s="306">
        <f>'Ref-ResSources'!$E$12*'Ref-ResSources'!$P$37</f>
        <v>2115.3347415816575</v>
      </c>
      <c r="F32" s="307" t="s">
        <v>13</v>
      </c>
      <c r="G32" s="793">
        <f>'Ref-2013CLASSsaturations'!F43</f>
        <v>8.740703310688451E-2</v>
      </c>
      <c r="H32" s="299" t="s">
        <v>66</v>
      </c>
      <c r="I32" s="381">
        <f>'Ref-2013CLASSsaturations'!$J$43</f>
        <v>0.9134242015753723</v>
      </c>
      <c r="J32" s="307" t="s">
        <v>82</v>
      </c>
      <c r="K32" s="299" t="s">
        <v>1362</v>
      </c>
      <c r="L32" s="299" t="s">
        <v>14</v>
      </c>
      <c r="M32" s="299" t="s">
        <v>88</v>
      </c>
      <c r="N32" s="300">
        <f>E32*G32*'Ref-Savings Calculations'!$E$7*Applicability</f>
        <v>34.134486238074636</v>
      </c>
      <c r="O32" s="300">
        <f>E32*G32*'Ref-Savings Calculations'!$C$54*Applicability*ControlShare</f>
        <v>32.426436471726809</v>
      </c>
      <c r="P32" s="300">
        <f>E32*G32*'Ref-Savings Calculations'!$E$7*Applicability</f>
        <v>34.134486238074636</v>
      </c>
      <c r="Q32" s="300" t="s">
        <v>871</v>
      </c>
      <c r="R32" s="37"/>
      <c r="S32" s="299" t="s">
        <v>44</v>
      </c>
      <c r="T32" s="299" t="s">
        <v>63</v>
      </c>
      <c r="U32" s="299" t="s">
        <v>69</v>
      </c>
      <c r="V32" s="299" t="s">
        <v>69</v>
      </c>
      <c r="W32" s="299" t="s">
        <v>1364</v>
      </c>
      <c r="X32" s="37"/>
      <c r="Y32" s="37"/>
      <c r="Z32" s="299" t="s">
        <v>78</v>
      </c>
      <c r="AA32" s="299" t="s">
        <v>78</v>
      </c>
      <c r="AB32" s="37"/>
      <c r="AC32" s="300">
        <v>2.1800000000000002</v>
      </c>
      <c r="AD32" s="299" t="s">
        <v>84</v>
      </c>
      <c r="AE32" s="299" t="s">
        <v>73</v>
      </c>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c r="CA32" s="393"/>
      <c r="CB32" s="393"/>
      <c r="CC32" s="393"/>
      <c r="CD32" s="393"/>
      <c r="CE32" s="393"/>
      <c r="CF32" s="393"/>
      <c r="CG32" s="393"/>
      <c r="CH32" s="393"/>
      <c r="CI32" s="393"/>
      <c r="CJ32" s="390"/>
      <c r="CK32" s="390"/>
      <c r="CL32" s="390"/>
      <c r="CM32" s="390"/>
      <c r="CN32" s="390"/>
      <c r="CO32" s="390"/>
      <c r="CP32" s="390"/>
      <c r="CQ32" s="390"/>
      <c r="CR32" s="390"/>
      <c r="CS32" s="390"/>
      <c r="CT32" s="390"/>
      <c r="CU32" s="390"/>
      <c r="CV32" s="390"/>
      <c r="CW32" s="390"/>
      <c r="CX32" s="390"/>
      <c r="CY32" s="390"/>
      <c r="CZ32" s="390"/>
      <c r="DA32" s="390"/>
      <c r="DB32" s="390"/>
      <c r="DC32" s="390"/>
    </row>
    <row r="33" spans="1:107" s="303" customFormat="1" ht="56.25">
      <c r="A33" s="37"/>
      <c r="B33" s="304" t="s">
        <v>10</v>
      </c>
      <c r="C33" s="299" t="s">
        <v>1326</v>
      </c>
      <c r="D33" s="304" t="s">
        <v>20</v>
      </c>
      <c r="E33" s="306">
        <f>'Ref-ResSources'!$E$12*'Ref-ResSources'!$P$37</f>
        <v>2115.3347415816575</v>
      </c>
      <c r="F33" s="307" t="s">
        <v>27</v>
      </c>
      <c r="G33" s="793">
        <f>SUM('Ref-2013CLASSsaturations'!$F$46:$F$50)</f>
        <v>2.3075700539956612E-2</v>
      </c>
      <c r="H33" s="299" t="s">
        <v>66</v>
      </c>
      <c r="I33" s="381">
        <f>'Ref-2013CLASSsaturations'!$L$46</f>
        <v>0.96280144647984778</v>
      </c>
      <c r="J33" s="307" t="s">
        <v>1097</v>
      </c>
      <c r="K33" s="299" t="s">
        <v>1362</v>
      </c>
      <c r="L33" s="299" t="s">
        <v>15</v>
      </c>
      <c r="M33" s="299" t="s">
        <v>88</v>
      </c>
      <c r="N33" s="300">
        <f>E33*G33*'Ref-Savings Calculations'!E37*Applicability</f>
        <v>13.732406408342854</v>
      </c>
      <c r="O33" s="300">
        <f>E33*G33*'Ref-Savings Calculations'!$C$54*Applicability*ControlShare</f>
        <v>9.0234363514845803</v>
      </c>
      <c r="P33" s="300">
        <f>E33*G33*'Ref-Savings Calculations'!$E$38*Applicability</f>
        <v>8.5422454317383458</v>
      </c>
      <c r="Q33" s="300" t="s">
        <v>871</v>
      </c>
      <c r="R33" s="37"/>
      <c r="S33" s="299" t="s">
        <v>44</v>
      </c>
      <c r="T33" s="299" t="s">
        <v>63</v>
      </c>
      <c r="U33" s="299" t="s">
        <v>69</v>
      </c>
      <c r="V33" s="299" t="s">
        <v>69</v>
      </c>
      <c r="W33" s="299" t="s">
        <v>76</v>
      </c>
      <c r="X33" s="37"/>
      <c r="Y33" s="37"/>
      <c r="Z33" s="299" t="s">
        <v>78</v>
      </c>
      <c r="AA33" s="299" t="s">
        <v>78</v>
      </c>
      <c r="AB33" s="37"/>
      <c r="AC33" s="300">
        <v>2.1800000000000002</v>
      </c>
      <c r="AD33" s="299" t="s">
        <v>84</v>
      </c>
      <c r="AE33" s="299" t="s">
        <v>73</v>
      </c>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c r="BS33" s="393"/>
      <c r="BT33" s="393"/>
      <c r="BU33" s="393"/>
      <c r="BV33" s="393"/>
      <c r="BW33" s="393"/>
      <c r="BX33" s="393"/>
      <c r="BY33" s="393"/>
      <c r="BZ33" s="393"/>
      <c r="CA33" s="393"/>
      <c r="CB33" s="393"/>
      <c r="CC33" s="393"/>
      <c r="CD33" s="393"/>
      <c r="CE33" s="393"/>
      <c r="CF33" s="393"/>
      <c r="CG33" s="393"/>
      <c r="CH33" s="393"/>
      <c r="CI33" s="393"/>
      <c r="CJ33" s="390"/>
      <c r="CK33" s="390"/>
      <c r="CL33" s="390"/>
      <c r="CM33" s="390"/>
      <c r="CN33" s="390"/>
      <c r="CO33" s="390"/>
      <c r="CP33" s="390"/>
      <c r="CQ33" s="390"/>
      <c r="CR33" s="390"/>
      <c r="CS33" s="390"/>
      <c r="CT33" s="390"/>
      <c r="CU33" s="390"/>
      <c r="CV33" s="390"/>
      <c r="CW33" s="390"/>
      <c r="CX33" s="390"/>
      <c r="CY33" s="390"/>
      <c r="CZ33" s="390"/>
      <c r="DA33" s="390"/>
      <c r="DB33" s="390"/>
      <c r="DC33" s="390"/>
    </row>
    <row r="34" spans="1:107" s="303" customFormat="1" ht="56.25">
      <c r="A34" s="37"/>
      <c r="B34" s="304" t="s">
        <v>10</v>
      </c>
      <c r="C34" s="299" t="s">
        <v>1326</v>
      </c>
      <c r="D34" s="304" t="s">
        <v>20</v>
      </c>
      <c r="E34" s="306">
        <f>'Ref-ResSources'!$E$12*'Ref-ResSources'!$P$37</f>
        <v>2115.3347415816575</v>
      </c>
      <c r="F34" s="307" t="s">
        <v>27</v>
      </c>
      <c r="G34" s="793">
        <f>SUM('Ref-2013CLASSsaturations'!$F$46:$F$50)</f>
        <v>2.3075700539956612E-2</v>
      </c>
      <c r="H34" s="299" t="s">
        <v>66</v>
      </c>
      <c r="I34" s="381">
        <f>'Ref-2013CLASSsaturations'!$L$46</f>
        <v>0.96280144647984778</v>
      </c>
      <c r="J34" s="307" t="s">
        <v>1363</v>
      </c>
      <c r="K34" s="299" t="s">
        <v>1362</v>
      </c>
      <c r="L34" s="299" t="s">
        <v>848</v>
      </c>
      <c r="M34" s="299" t="s">
        <v>88</v>
      </c>
      <c r="N34" s="300">
        <f>E34*G34*'Ref-Savings Calculations'!$E$31*Applicability</f>
        <v>12.211594843997085</v>
      </c>
      <c r="O34" s="300">
        <f>E34*G34*'Ref-Savings Calculations'!$C$54*Applicability*ControlShare</f>
        <v>9.0234363514845803</v>
      </c>
      <c r="P34" s="300">
        <f>E34*G34*'Ref-Savings Calculations'!$E$32*Applicability</f>
        <v>7.8100529661607716</v>
      </c>
      <c r="Q34" s="300" t="s">
        <v>871</v>
      </c>
      <c r="R34" s="37"/>
      <c r="S34" s="299" t="s">
        <v>69</v>
      </c>
      <c r="T34" s="299" t="s">
        <v>69</v>
      </c>
      <c r="U34" s="299" t="s">
        <v>69</v>
      </c>
      <c r="V34" s="299" t="s">
        <v>69</v>
      </c>
      <c r="W34" s="299" t="s">
        <v>76</v>
      </c>
      <c r="X34" s="37"/>
      <c r="Y34" s="37"/>
      <c r="Z34" s="299" t="s">
        <v>78</v>
      </c>
      <c r="AA34" s="299" t="s">
        <v>78</v>
      </c>
      <c r="AB34" s="37"/>
      <c r="AC34" s="300">
        <v>2.1800000000000002</v>
      </c>
      <c r="AD34" s="299" t="s">
        <v>84</v>
      </c>
      <c r="AE34" s="299" t="s">
        <v>73</v>
      </c>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c r="CA34" s="393"/>
      <c r="CB34" s="393"/>
      <c r="CC34" s="393"/>
      <c r="CD34" s="393"/>
      <c r="CE34" s="393"/>
      <c r="CF34" s="393"/>
      <c r="CG34" s="393"/>
      <c r="CH34" s="393"/>
      <c r="CI34" s="393"/>
      <c r="CJ34" s="390"/>
      <c r="CK34" s="390"/>
      <c r="CL34" s="390"/>
      <c r="CM34" s="390"/>
      <c r="CN34" s="390"/>
      <c r="CO34" s="390"/>
      <c r="CP34" s="390"/>
      <c r="CQ34" s="390"/>
      <c r="CR34" s="390"/>
      <c r="CS34" s="390"/>
      <c r="CT34" s="390"/>
      <c r="CU34" s="390"/>
      <c r="CV34" s="390"/>
      <c r="CW34" s="390"/>
      <c r="CX34" s="390"/>
      <c r="CY34" s="390"/>
      <c r="CZ34" s="390"/>
      <c r="DA34" s="390"/>
      <c r="DB34" s="390"/>
      <c r="DC34" s="390"/>
    </row>
    <row r="35" spans="1:107" s="303" customFormat="1" ht="33.75">
      <c r="A35" s="37"/>
      <c r="B35" s="304" t="s">
        <v>10</v>
      </c>
      <c r="C35" s="299" t="s">
        <v>1326</v>
      </c>
      <c r="D35" s="304" t="s">
        <v>20</v>
      </c>
      <c r="E35" s="306">
        <f>'Ref-ResSources'!$E$12*'Ref-ResSources'!$P$37</f>
        <v>2115.3347415816575</v>
      </c>
      <c r="F35" s="307" t="s">
        <v>1325</v>
      </c>
      <c r="G35" s="793">
        <f>'Ref-2013CLASSsaturations'!F54</f>
        <v>2.1096052666367528E-2</v>
      </c>
      <c r="H35" s="299" t="s">
        <v>66</v>
      </c>
      <c r="I35" s="381">
        <f>'Ref-2013CLASSsaturations'!$J$54</f>
        <v>0.54546868016384609</v>
      </c>
      <c r="J35" s="307" t="s">
        <v>1325</v>
      </c>
      <c r="K35" s="299" t="s">
        <v>1362</v>
      </c>
      <c r="L35" s="299" t="s">
        <v>14</v>
      </c>
      <c r="M35" s="299" t="s">
        <v>88</v>
      </c>
      <c r="N35" s="300">
        <f>E35*G35*'Ref-Savings Calculations'!$E$27*Applicability</f>
        <v>19.245459848308336</v>
      </c>
      <c r="O35" s="300">
        <f>E35*G35*'Ref-Savings Calculations'!$C$54*Applicability*ControlShare</f>
        <v>4.6735979712171938</v>
      </c>
      <c r="P35" s="300">
        <f>E35*G35*'Ref-Savings Calculations'!$E$28*Applicability</f>
        <v>18.000190779390646</v>
      </c>
      <c r="Q35" s="300" t="s">
        <v>871</v>
      </c>
      <c r="R35" s="37"/>
      <c r="S35" s="299" t="s">
        <v>44</v>
      </c>
      <c r="T35" s="299" t="s">
        <v>63</v>
      </c>
      <c r="U35" s="299" t="s">
        <v>69</v>
      </c>
      <c r="V35" s="299" t="s">
        <v>69</v>
      </c>
      <c r="W35" s="299" t="s">
        <v>1364</v>
      </c>
      <c r="X35" s="37"/>
      <c r="Y35" s="37"/>
      <c r="Z35" s="299" t="s">
        <v>78</v>
      </c>
      <c r="AA35" s="299" t="s">
        <v>78</v>
      </c>
      <c r="AB35" s="37"/>
      <c r="AC35" s="300">
        <v>2.1800000000000002</v>
      </c>
      <c r="AD35" s="299" t="s">
        <v>84</v>
      </c>
      <c r="AE35" s="299" t="s">
        <v>73</v>
      </c>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c r="CA35" s="393"/>
      <c r="CB35" s="393"/>
      <c r="CC35" s="393"/>
      <c r="CD35" s="393"/>
      <c r="CE35" s="393"/>
      <c r="CF35" s="393"/>
      <c r="CG35" s="393"/>
      <c r="CH35" s="393"/>
      <c r="CI35" s="393"/>
      <c r="CJ35" s="390"/>
      <c r="CK35" s="390"/>
      <c r="CL35" s="390"/>
      <c r="CM35" s="390"/>
      <c r="CN35" s="390"/>
      <c r="CO35" s="390"/>
      <c r="CP35" s="390"/>
      <c r="CQ35" s="390"/>
      <c r="CR35" s="390"/>
      <c r="CS35" s="390"/>
      <c r="CT35" s="390"/>
      <c r="CU35" s="390"/>
      <c r="CV35" s="390"/>
      <c r="CW35" s="390"/>
      <c r="CX35" s="390"/>
      <c r="CY35" s="390"/>
      <c r="CZ35" s="390"/>
      <c r="DA35" s="390"/>
      <c r="DB35" s="390"/>
      <c r="DC35" s="390"/>
    </row>
    <row r="36" spans="1:107" s="303" customFormat="1" ht="33.75">
      <c r="A36" s="37"/>
      <c r="B36" s="304" t="s">
        <v>10</v>
      </c>
      <c r="C36" s="299" t="s">
        <v>1326</v>
      </c>
      <c r="D36" s="304" t="s">
        <v>20</v>
      </c>
      <c r="E36" s="306">
        <f>'Ref-ResSources'!$E$12*'Ref-ResSources'!$P$37</f>
        <v>2115.3347415816575</v>
      </c>
      <c r="F36" s="307" t="s">
        <v>79</v>
      </c>
      <c r="G36" s="793">
        <f>'Ref-2013CLASSsaturations'!$F$56</f>
        <v>7.3882835991795778E-2</v>
      </c>
      <c r="H36" s="299" t="s">
        <v>66</v>
      </c>
      <c r="I36" s="381">
        <f>'Ref-2013CLASSsaturations'!$J$56</f>
        <v>0.9153696217051972</v>
      </c>
      <c r="J36" s="307" t="s">
        <v>1284</v>
      </c>
      <c r="K36" s="299" t="s">
        <v>1362</v>
      </c>
      <c r="L36" s="299" t="s">
        <v>17</v>
      </c>
      <c r="M36" s="299" t="s">
        <v>88</v>
      </c>
      <c r="N36" s="300">
        <f>E36*G36*'Ref-Savings Calculations'!$E$11*Applicability</f>
        <v>104.19128652001687</v>
      </c>
      <c r="O36" s="300">
        <f>E36*G36*'Ref-Savings Calculations'!$C$54*Applicability*ControlShare</f>
        <v>27.46757909572003</v>
      </c>
      <c r="P36" s="300">
        <f>E36*G36*'Ref-Savings Calculations'!$E$9*Applicability</f>
        <v>98.981722194016029</v>
      </c>
      <c r="Q36" s="300" t="s">
        <v>871</v>
      </c>
      <c r="R36" s="37"/>
      <c r="S36" s="299" t="s">
        <v>44</v>
      </c>
      <c r="T36" s="299" t="s">
        <v>63</v>
      </c>
      <c r="U36" s="299" t="s">
        <v>69</v>
      </c>
      <c r="V36" s="299" t="s">
        <v>69</v>
      </c>
      <c r="W36" s="299" t="s">
        <v>1364</v>
      </c>
      <c r="X36" s="37"/>
      <c r="Y36" s="37"/>
      <c r="Z36" s="299" t="s">
        <v>78</v>
      </c>
      <c r="AA36" s="299" t="s">
        <v>78</v>
      </c>
      <c r="AB36" s="37"/>
      <c r="AC36" s="300">
        <v>2.1800000000000002</v>
      </c>
      <c r="AD36" s="299" t="s">
        <v>84</v>
      </c>
      <c r="AE36" s="299" t="s">
        <v>73</v>
      </c>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c r="CA36" s="393"/>
      <c r="CB36" s="393"/>
      <c r="CC36" s="393"/>
      <c r="CD36" s="393"/>
      <c r="CE36" s="393"/>
      <c r="CF36" s="393"/>
      <c r="CG36" s="393"/>
      <c r="CH36" s="393"/>
      <c r="CI36" s="393"/>
      <c r="CJ36" s="390"/>
      <c r="CK36" s="390"/>
      <c r="CL36" s="390"/>
      <c r="CM36" s="390"/>
      <c r="CN36" s="390"/>
      <c r="CO36" s="390"/>
      <c r="CP36" s="390"/>
      <c r="CQ36" s="390"/>
      <c r="CR36" s="390"/>
      <c r="CS36" s="390"/>
      <c r="CT36" s="390"/>
      <c r="CU36" s="390"/>
      <c r="CV36" s="390"/>
      <c r="CW36" s="390"/>
      <c r="CX36" s="390"/>
      <c r="CY36" s="390"/>
      <c r="CZ36" s="390"/>
      <c r="DA36" s="390"/>
      <c r="DB36" s="390"/>
      <c r="DC36" s="390"/>
    </row>
    <row r="37" spans="1:107" s="303" customFormat="1" ht="33.75">
      <c r="A37" s="37"/>
      <c r="B37" s="304" t="s">
        <v>10</v>
      </c>
      <c r="C37" s="299" t="s">
        <v>1326</v>
      </c>
      <c r="D37" s="304" t="s">
        <v>20</v>
      </c>
      <c r="E37" s="306">
        <f>'Ref-ResSources'!$E$12*'Ref-ResSources'!$P$37</f>
        <v>2115.3347415816575</v>
      </c>
      <c r="F37" s="307" t="s">
        <v>79</v>
      </c>
      <c r="G37" s="793">
        <f>'Ref-2013CLASSsaturations'!$F$56</f>
        <v>7.3882835991795778E-2</v>
      </c>
      <c r="H37" s="299" t="s">
        <v>66</v>
      </c>
      <c r="I37" s="381">
        <f>'Ref-2013CLASSsaturations'!$J$56</f>
        <v>0.9153696217051972</v>
      </c>
      <c r="J37" s="307" t="s">
        <v>1284</v>
      </c>
      <c r="K37" s="299" t="s">
        <v>1362</v>
      </c>
      <c r="L37" s="299" t="s">
        <v>1360</v>
      </c>
      <c r="M37" s="299" t="s">
        <v>88</v>
      </c>
      <c r="N37" s="300">
        <f>E37*G37*'Ref-Savings Calculations'!$E$10*Applicability</f>
        <v>97.939809328815855</v>
      </c>
      <c r="O37" s="300">
        <f>E37*G37*'Ref-Savings Calculations'!$C$54*Applicability*ControlShare</f>
        <v>27.46757909572003</v>
      </c>
      <c r="P37" s="300">
        <f>E37*G37*'Ref-Savings Calculations'!$E$8*Applicability</f>
        <v>91.167375705014763</v>
      </c>
      <c r="Q37" s="300" t="s">
        <v>871</v>
      </c>
      <c r="R37" s="37"/>
      <c r="S37" s="299" t="s">
        <v>68</v>
      </c>
      <c r="T37" s="299" t="s">
        <v>74</v>
      </c>
      <c r="U37" s="299" t="s">
        <v>69</v>
      </c>
      <c r="V37" s="299" t="s">
        <v>69</v>
      </c>
      <c r="W37" s="299" t="s">
        <v>70</v>
      </c>
      <c r="X37" s="37"/>
      <c r="Y37" s="37"/>
      <c r="Z37" s="299" t="s">
        <v>78</v>
      </c>
      <c r="AA37" s="299" t="s">
        <v>78</v>
      </c>
      <c r="AB37" s="37"/>
      <c r="AC37" s="300">
        <v>2.1800000000000002</v>
      </c>
      <c r="AD37" s="299" t="s">
        <v>84</v>
      </c>
      <c r="AE37" s="299" t="s">
        <v>73</v>
      </c>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c r="CA37" s="393"/>
      <c r="CB37" s="393"/>
      <c r="CC37" s="393"/>
      <c r="CD37" s="393"/>
      <c r="CE37" s="393"/>
      <c r="CF37" s="393"/>
      <c r="CG37" s="393"/>
      <c r="CH37" s="393"/>
      <c r="CI37" s="393"/>
      <c r="CJ37" s="390"/>
      <c r="CK37" s="390"/>
      <c r="CL37" s="390"/>
      <c r="CM37" s="390"/>
      <c r="CN37" s="390"/>
      <c r="CO37" s="390"/>
      <c r="CP37" s="390"/>
      <c r="CQ37" s="390"/>
      <c r="CR37" s="390"/>
      <c r="CS37" s="390"/>
      <c r="CT37" s="390"/>
      <c r="CU37" s="390"/>
      <c r="CV37" s="390"/>
      <c r="CW37" s="390"/>
      <c r="CX37" s="390"/>
      <c r="CY37" s="390"/>
      <c r="CZ37" s="390"/>
      <c r="DA37" s="390"/>
      <c r="DB37" s="390"/>
      <c r="DC37" s="390"/>
    </row>
    <row r="38" spans="1:107" s="303" customFormat="1" ht="33.75">
      <c r="A38" s="37"/>
      <c r="B38" s="304" t="s">
        <v>10</v>
      </c>
      <c r="C38" s="299" t="s">
        <v>1326</v>
      </c>
      <c r="D38" s="304" t="s">
        <v>20</v>
      </c>
      <c r="E38" s="306">
        <f>'Ref-ResSources'!$E$12*'Ref-ResSources'!$P$37</f>
        <v>2115.3347415816575</v>
      </c>
      <c r="F38" s="307" t="s">
        <v>65</v>
      </c>
      <c r="G38" s="793">
        <f>'Ref-2013CLASSsaturations'!$F$55</f>
        <v>0.43680802095119664</v>
      </c>
      <c r="H38" s="299" t="s">
        <v>66</v>
      </c>
      <c r="I38" s="381">
        <f>'Ref-2013CLASSsaturations'!$J$55</f>
        <v>0.85342696995334266</v>
      </c>
      <c r="J38" s="307" t="s">
        <v>82</v>
      </c>
      <c r="K38" s="299" t="s">
        <v>1362</v>
      </c>
      <c r="L38" s="299" t="s">
        <v>14</v>
      </c>
      <c r="M38" s="299" t="s">
        <v>88</v>
      </c>
      <c r="N38" s="300">
        <f>E38*G38*'Ref-Savings Calculations'!$E$11*Applicability</f>
        <v>615.99678807972987</v>
      </c>
      <c r="O38" s="300">
        <f>E38*G38*'Ref-Savings Calculations'!$C$54*Applicability*ControlShare</f>
        <v>151.40398243734009</v>
      </c>
      <c r="P38" s="300">
        <f>E38*G38*'Ref-Savings Calculations'!$E$9*Applicability</f>
        <v>585.19694867574333</v>
      </c>
      <c r="Q38" s="300" t="s">
        <v>871</v>
      </c>
      <c r="R38" s="37"/>
      <c r="S38" s="299" t="s">
        <v>44</v>
      </c>
      <c r="T38" s="299" t="s">
        <v>63</v>
      </c>
      <c r="U38" s="299" t="s">
        <v>69</v>
      </c>
      <c r="V38" s="299" t="s">
        <v>69</v>
      </c>
      <c r="W38" s="299" t="s">
        <v>1364</v>
      </c>
      <c r="X38" s="37"/>
      <c r="Y38" s="37"/>
      <c r="Z38" s="299" t="s">
        <v>78</v>
      </c>
      <c r="AA38" s="299" t="s">
        <v>78</v>
      </c>
      <c r="AB38" s="37"/>
      <c r="AC38" s="300">
        <v>2.1800000000000002</v>
      </c>
      <c r="AD38" s="299" t="s">
        <v>84</v>
      </c>
      <c r="AE38" s="299" t="s">
        <v>73</v>
      </c>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c r="CA38" s="393"/>
      <c r="CB38" s="393"/>
      <c r="CC38" s="393"/>
      <c r="CD38" s="393"/>
      <c r="CE38" s="393"/>
      <c r="CF38" s="393"/>
      <c r="CG38" s="393"/>
      <c r="CH38" s="393"/>
      <c r="CI38" s="393"/>
      <c r="CJ38" s="390"/>
      <c r="CK38" s="390"/>
      <c r="CL38" s="390"/>
      <c r="CM38" s="390"/>
      <c r="CN38" s="390"/>
      <c r="CO38" s="390"/>
      <c r="CP38" s="390"/>
      <c r="CQ38" s="390"/>
      <c r="CR38" s="390"/>
      <c r="CS38" s="390"/>
      <c r="CT38" s="390"/>
      <c r="CU38" s="390"/>
      <c r="CV38" s="390"/>
      <c r="CW38" s="390"/>
      <c r="CX38" s="390"/>
      <c r="CY38" s="390"/>
      <c r="CZ38" s="390"/>
      <c r="DA38" s="390"/>
      <c r="DB38" s="390"/>
      <c r="DC38" s="390"/>
    </row>
    <row r="39" spans="1:107" s="303" customFormat="1" ht="33.75">
      <c r="A39" s="37"/>
      <c r="B39" s="304" t="s">
        <v>10</v>
      </c>
      <c r="C39" s="299" t="s">
        <v>1326</v>
      </c>
      <c r="D39" s="304" t="s">
        <v>20</v>
      </c>
      <c r="E39" s="306">
        <f>'Ref-ResSources'!$E$12*'Ref-ResSources'!$P$37</f>
        <v>2115.3347415816575</v>
      </c>
      <c r="F39" s="307" t="s">
        <v>65</v>
      </c>
      <c r="G39" s="793">
        <f>'Ref-2013CLASSsaturations'!$F$55</f>
        <v>0.43680802095119664</v>
      </c>
      <c r="H39" s="299" t="s">
        <v>66</v>
      </c>
      <c r="I39" s="381">
        <f>'Ref-2013CLASSsaturations'!$J$55</f>
        <v>0.85342696995334266</v>
      </c>
      <c r="J39" s="307" t="s">
        <v>82</v>
      </c>
      <c r="K39" s="299" t="s">
        <v>1362</v>
      </c>
      <c r="L39" s="299" t="s">
        <v>13</v>
      </c>
      <c r="M39" s="299" t="s">
        <v>88</v>
      </c>
      <c r="N39" s="300">
        <f>E39*G39*'Ref-Savings Calculations'!$E$10*Applicability</f>
        <v>579.03698079494609</v>
      </c>
      <c r="O39" s="300">
        <f>E39*G39*'Ref-Savings Calculations'!$C$54*Applicability*ControlShare</f>
        <v>151.40398243734009</v>
      </c>
      <c r="P39" s="300">
        <f>E39*G39*'Ref-Savings Calculations'!$E$8*Applicability</f>
        <v>538.99718956976358</v>
      </c>
      <c r="Q39" s="300" t="s">
        <v>871</v>
      </c>
      <c r="R39" s="37"/>
      <c r="S39" s="299" t="s">
        <v>68</v>
      </c>
      <c r="T39" s="299" t="s">
        <v>63</v>
      </c>
      <c r="U39" s="299" t="s">
        <v>69</v>
      </c>
      <c r="V39" s="299" t="s">
        <v>69</v>
      </c>
      <c r="W39" s="299" t="s">
        <v>70</v>
      </c>
      <c r="X39" s="37"/>
      <c r="Y39" s="37"/>
      <c r="Z39" s="299" t="s">
        <v>78</v>
      </c>
      <c r="AA39" s="299" t="s">
        <v>78</v>
      </c>
      <c r="AB39" s="37"/>
      <c r="AC39" s="300">
        <v>2.1800000000000002</v>
      </c>
      <c r="AD39" s="299" t="s">
        <v>84</v>
      </c>
      <c r="AE39" s="299" t="s">
        <v>73</v>
      </c>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c r="CA39" s="393"/>
      <c r="CB39" s="393"/>
      <c r="CC39" s="393"/>
      <c r="CD39" s="393"/>
      <c r="CE39" s="393"/>
      <c r="CF39" s="393"/>
      <c r="CG39" s="393"/>
      <c r="CH39" s="393"/>
      <c r="CI39" s="393"/>
      <c r="CJ39" s="390"/>
      <c r="CK39" s="390"/>
      <c r="CL39" s="390"/>
      <c r="CM39" s="390"/>
      <c r="CN39" s="390"/>
      <c r="CO39" s="390"/>
      <c r="CP39" s="390"/>
      <c r="CQ39" s="390"/>
      <c r="CR39" s="390"/>
      <c r="CS39" s="390"/>
      <c r="CT39" s="390"/>
      <c r="CU39" s="390"/>
      <c r="CV39" s="390"/>
      <c r="CW39" s="390"/>
      <c r="CX39" s="390"/>
      <c r="CY39" s="390"/>
      <c r="CZ39" s="390"/>
      <c r="DA39" s="390"/>
      <c r="DB39" s="390"/>
      <c r="DC39" s="390"/>
    </row>
    <row r="40" spans="1:107" s="337" customFormat="1" ht="24">
      <c r="A40" s="37"/>
      <c r="B40" s="560" t="s">
        <v>23</v>
      </c>
      <c r="C40" s="542" t="s">
        <v>1266</v>
      </c>
      <c r="D40" s="543" t="s">
        <v>1148</v>
      </c>
      <c r="E40" s="561">
        <f>'Ref-ComSources'!$AC$5</f>
        <v>144.19587705503386</v>
      </c>
      <c r="F40" s="540" t="s">
        <v>26</v>
      </c>
      <c r="G40" s="541">
        <f>'Ref-2013CSSsaturationsINT'!F181</f>
        <v>0.37172635885826721</v>
      </c>
      <c r="H40" s="540" t="s">
        <v>873</v>
      </c>
      <c r="I40" s="562">
        <f>'Ref-2013CSSsaturationsINT'!J181</f>
        <v>1</v>
      </c>
      <c r="J40" s="540" t="s">
        <v>1004</v>
      </c>
      <c r="K40" s="540" t="s">
        <v>873</v>
      </c>
      <c r="L40" s="540" t="s">
        <v>1053</v>
      </c>
      <c r="M40" s="540" t="s">
        <v>873</v>
      </c>
      <c r="N40" s="563">
        <f>E40*G40*'Ref-Savings Calculations'!$E$44*Applicability</f>
        <v>42.345112588633263</v>
      </c>
      <c r="O40" s="563" t="s">
        <v>871</v>
      </c>
      <c r="P40" s="563">
        <f>E40*G40*'Ref-Savings Calculations'!$E$45*Applicability</f>
        <v>37.520985838029468</v>
      </c>
      <c r="Q40" s="563" t="s">
        <v>871</v>
      </c>
      <c r="R40" s="37"/>
      <c r="S40" s="540" t="s">
        <v>44</v>
      </c>
      <c r="T40" s="540" t="s">
        <v>69</v>
      </c>
      <c r="U40" s="540" t="s">
        <v>69</v>
      </c>
      <c r="V40" s="540" t="s">
        <v>69</v>
      </c>
      <c r="W40" s="540" t="s">
        <v>87</v>
      </c>
      <c r="X40" s="37"/>
      <c r="Y40" s="37"/>
      <c r="Z40" s="540" t="s">
        <v>78</v>
      </c>
      <c r="AA40" s="540" t="s">
        <v>78</v>
      </c>
      <c r="AB40" s="37"/>
      <c r="AC40" s="811">
        <v>24</v>
      </c>
      <c r="AD40" s="542" t="s">
        <v>72</v>
      </c>
      <c r="AE40" s="542" t="s">
        <v>73</v>
      </c>
      <c r="AF40" s="822"/>
      <c r="AG40" s="822"/>
      <c r="AH40" s="822"/>
      <c r="AI40" s="822"/>
      <c r="AJ40" s="822"/>
      <c r="AK40" s="822"/>
      <c r="AL40" s="822"/>
      <c r="AM40" s="822"/>
      <c r="AN40" s="822"/>
      <c r="AO40" s="822"/>
      <c r="AP40" s="822"/>
      <c r="AQ40" s="822"/>
      <c r="AR40" s="822"/>
      <c r="AS40" s="822"/>
      <c r="AT40" s="822"/>
      <c r="AU40" s="822"/>
      <c r="AV40" s="822"/>
      <c r="AW40" s="822"/>
      <c r="AX40" s="822"/>
      <c r="AY40" s="822"/>
      <c r="AZ40" s="822"/>
      <c r="BA40" s="822"/>
      <c r="BB40" s="822"/>
      <c r="BC40" s="822"/>
      <c r="BD40" s="822"/>
      <c r="BE40" s="822"/>
      <c r="BF40" s="822"/>
      <c r="BG40" s="822"/>
      <c r="BH40" s="822"/>
      <c r="BI40" s="822"/>
      <c r="BJ40" s="822"/>
      <c r="BK40" s="822"/>
      <c r="BL40" s="822"/>
      <c r="BM40" s="822"/>
      <c r="BN40" s="822"/>
      <c r="BO40" s="822"/>
      <c r="BP40" s="822"/>
      <c r="BQ40" s="822"/>
      <c r="BR40" s="822"/>
      <c r="BS40" s="822"/>
      <c r="BT40" s="822"/>
      <c r="BU40" s="822"/>
      <c r="BV40" s="822"/>
      <c r="BW40" s="822"/>
      <c r="BX40" s="822"/>
      <c r="BY40" s="822"/>
      <c r="BZ40" s="822"/>
      <c r="CA40" s="822"/>
      <c r="CB40" s="822"/>
      <c r="CC40" s="822"/>
      <c r="CD40" s="822"/>
      <c r="CE40" s="822"/>
      <c r="CF40" s="822"/>
      <c r="CG40" s="822"/>
      <c r="CH40" s="822"/>
      <c r="CI40" s="822"/>
      <c r="CJ40" s="392"/>
      <c r="CK40" s="392"/>
      <c r="CL40" s="392"/>
      <c r="CM40" s="392"/>
      <c r="CN40" s="392"/>
      <c r="CO40" s="392"/>
      <c r="CP40" s="392"/>
      <c r="CQ40" s="392"/>
      <c r="CR40" s="392"/>
      <c r="CS40" s="392"/>
      <c r="CT40" s="392"/>
      <c r="CU40" s="392"/>
      <c r="CV40" s="392"/>
      <c r="CW40" s="392"/>
      <c r="CX40" s="392"/>
      <c r="CY40" s="392"/>
      <c r="CZ40" s="392"/>
      <c r="DA40" s="392"/>
      <c r="DB40" s="392"/>
      <c r="DC40" s="392"/>
    </row>
    <row r="41" spans="1:107" s="337" customFormat="1" ht="24">
      <c r="A41" s="37"/>
      <c r="B41" s="560" t="s">
        <v>23</v>
      </c>
      <c r="C41" s="542" t="s">
        <v>1266</v>
      </c>
      <c r="D41" s="543" t="s">
        <v>1148</v>
      </c>
      <c r="E41" s="561">
        <f>'Ref-ComSources'!$AC$5</f>
        <v>144.19587705503386</v>
      </c>
      <c r="F41" s="540" t="s">
        <v>95</v>
      </c>
      <c r="G41" s="541">
        <f>'Ref-2013CSSsaturationsINT'!$F$179</f>
        <v>0.60758213806776118</v>
      </c>
      <c r="H41" s="540" t="s">
        <v>873</v>
      </c>
      <c r="I41" s="562">
        <f>'Ref-2013CSSsaturationsINT'!J179</f>
        <v>1</v>
      </c>
      <c r="J41" s="540" t="s">
        <v>1004</v>
      </c>
      <c r="K41" s="540" t="s">
        <v>873</v>
      </c>
      <c r="L41" s="540" t="s">
        <v>1053</v>
      </c>
      <c r="M41" s="540" t="s">
        <v>873</v>
      </c>
      <c r="N41" s="563">
        <f>E41*G41*'Ref-Savings Calculations'!E45*Applicability</f>
        <v>61.327587497157452</v>
      </c>
      <c r="O41" s="563" t="s">
        <v>871</v>
      </c>
      <c r="P41" s="563">
        <f>E41*G41*'Ref-Savings Calculations'!$E$45*Applicability</f>
        <v>61.327587497157452</v>
      </c>
      <c r="Q41" s="563" t="s">
        <v>871</v>
      </c>
      <c r="R41" s="37"/>
      <c r="S41" s="540" t="s">
        <v>44</v>
      </c>
      <c r="T41" s="540" t="s">
        <v>69</v>
      </c>
      <c r="U41" s="540" t="s">
        <v>69</v>
      </c>
      <c r="V41" s="540" t="s">
        <v>69</v>
      </c>
      <c r="W41" s="540" t="s">
        <v>87</v>
      </c>
      <c r="X41" s="37"/>
      <c r="Y41" s="37"/>
      <c r="Z41" s="540" t="s">
        <v>78</v>
      </c>
      <c r="AA41" s="540" t="s">
        <v>78</v>
      </c>
      <c r="AB41" s="37"/>
      <c r="AC41" s="811">
        <v>24</v>
      </c>
      <c r="AD41" s="540" t="s">
        <v>72</v>
      </c>
      <c r="AE41" s="542" t="s">
        <v>73</v>
      </c>
      <c r="AF41" s="822"/>
      <c r="AG41" s="822"/>
      <c r="AH41" s="822"/>
      <c r="AI41" s="822"/>
      <c r="AJ41" s="822"/>
      <c r="AK41" s="822"/>
      <c r="AL41" s="822"/>
      <c r="AM41" s="822"/>
      <c r="AN41" s="822"/>
      <c r="AO41" s="822"/>
      <c r="AP41" s="822"/>
      <c r="AQ41" s="822"/>
      <c r="AR41" s="822"/>
      <c r="AS41" s="822"/>
      <c r="AT41" s="822"/>
      <c r="AU41" s="822"/>
      <c r="AV41" s="822"/>
      <c r="AW41" s="822"/>
      <c r="AX41" s="822"/>
      <c r="AY41" s="822"/>
      <c r="AZ41" s="822"/>
      <c r="BA41" s="822"/>
      <c r="BB41" s="822"/>
      <c r="BC41" s="822"/>
      <c r="BD41" s="822"/>
      <c r="BE41" s="822"/>
      <c r="BF41" s="822"/>
      <c r="BG41" s="822"/>
      <c r="BH41" s="822"/>
      <c r="BI41" s="822"/>
      <c r="BJ41" s="822"/>
      <c r="BK41" s="822"/>
      <c r="BL41" s="822"/>
      <c r="BM41" s="822"/>
      <c r="BN41" s="822"/>
      <c r="BO41" s="822"/>
      <c r="BP41" s="822"/>
      <c r="BQ41" s="822"/>
      <c r="BR41" s="822"/>
      <c r="BS41" s="822"/>
      <c r="BT41" s="822"/>
      <c r="BU41" s="822"/>
      <c r="BV41" s="822"/>
      <c r="BW41" s="822"/>
      <c r="BX41" s="822"/>
      <c r="BY41" s="822"/>
      <c r="BZ41" s="822"/>
      <c r="CA41" s="822"/>
      <c r="CB41" s="822"/>
      <c r="CC41" s="822"/>
      <c r="CD41" s="822"/>
      <c r="CE41" s="822"/>
      <c r="CF41" s="822"/>
      <c r="CG41" s="822"/>
      <c r="CH41" s="822"/>
      <c r="CI41" s="822"/>
      <c r="CJ41" s="392"/>
      <c r="CK41" s="392"/>
      <c r="CL41" s="392"/>
      <c r="CM41" s="392"/>
      <c r="CN41" s="392"/>
      <c r="CO41" s="392"/>
      <c r="CP41" s="392"/>
      <c r="CQ41" s="392"/>
      <c r="CR41" s="392"/>
      <c r="CS41" s="392"/>
      <c r="CT41" s="392"/>
      <c r="CU41" s="392"/>
      <c r="CV41" s="392"/>
      <c r="CW41" s="392"/>
      <c r="CX41" s="392"/>
      <c r="CY41" s="392"/>
      <c r="CZ41" s="392"/>
      <c r="DA41" s="392"/>
      <c r="DB41" s="392"/>
      <c r="DC41" s="392"/>
    </row>
    <row r="42" spans="1:107" s="337" customFormat="1" ht="56.25">
      <c r="A42" s="37"/>
      <c r="B42" s="573" t="s">
        <v>23</v>
      </c>
      <c r="C42" s="574" t="s">
        <v>1266</v>
      </c>
      <c r="D42" s="575" t="s">
        <v>1267</v>
      </c>
      <c r="E42" s="576">
        <f>'Ref-ComSources'!$AD$5</f>
        <v>3778.4809172207592</v>
      </c>
      <c r="F42" s="577" t="s">
        <v>27</v>
      </c>
      <c r="G42" s="578">
        <f>'Ref-2013CSSsaturationsINT'!$F$183</f>
        <v>0.68473703818659359</v>
      </c>
      <c r="H42" s="574" t="s">
        <v>1269</v>
      </c>
      <c r="I42" s="579">
        <f>'Ref-2013CSSsaturationsINT'!$J$183</f>
        <v>0.87687389681802685</v>
      </c>
      <c r="J42" s="577" t="s">
        <v>1097</v>
      </c>
      <c r="K42" s="577" t="s">
        <v>1051</v>
      </c>
      <c r="L42" s="577" t="s">
        <v>960</v>
      </c>
      <c r="M42" s="577" t="s">
        <v>88</v>
      </c>
      <c r="N42" s="580">
        <f>E42*G42*'Ref-Savings Calculations'!$E$33*Applicability</f>
        <v>382.11926135664839</v>
      </c>
      <c r="O42" s="580">
        <f>E42*G42*'Ref-Savings Calculations'!$C$54*Applicability*ControlShare</f>
        <v>435.59152748153934</v>
      </c>
      <c r="P42" s="580">
        <f>E42*G42*'Ref-Savings Calculations'!$E$34*Applicability</f>
        <v>331.17002650909518</v>
      </c>
      <c r="Q42" s="580" t="s">
        <v>871</v>
      </c>
      <c r="R42" s="37"/>
      <c r="S42" s="577" t="s">
        <v>69</v>
      </c>
      <c r="T42" s="577" t="s">
        <v>69</v>
      </c>
      <c r="U42" s="577" t="s">
        <v>69</v>
      </c>
      <c r="V42" s="577" t="s">
        <v>69</v>
      </c>
      <c r="W42" s="577" t="s">
        <v>76</v>
      </c>
      <c r="X42" s="37"/>
      <c r="Y42" s="37"/>
      <c r="Z42" s="577" t="s">
        <v>78</v>
      </c>
      <c r="AA42" s="577" t="s">
        <v>78</v>
      </c>
      <c r="AB42" s="37"/>
      <c r="AC42" s="810">
        <f>'Ref-ComHOU'!$G$74</f>
        <v>7.1068493150684935</v>
      </c>
      <c r="AD42" s="577" t="s">
        <v>72</v>
      </c>
      <c r="AE42" s="574" t="s">
        <v>73</v>
      </c>
      <c r="AF42" s="822"/>
      <c r="AG42" s="822"/>
      <c r="AH42" s="822"/>
      <c r="AI42" s="822"/>
      <c r="AJ42" s="822"/>
      <c r="AK42" s="822"/>
      <c r="AL42" s="822"/>
      <c r="AM42" s="822"/>
      <c r="AN42" s="822"/>
      <c r="AO42" s="822"/>
      <c r="AP42" s="822"/>
      <c r="AQ42" s="822"/>
      <c r="AR42" s="822"/>
      <c r="AS42" s="822"/>
      <c r="AT42" s="822"/>
      <c r="AU42" s="822"/>
      <c r="AV42" s="822"/>
      <c r="AW42" s="822"/>
      <c r="AX42" s="822"/>
      <c r="AY42" s="822"/>
      <c r="AZ42" s="822"/>
      <c r="BA42" s="822"/>
      <c r="BB42" s="822"/>
      <c r="BC42" s="822"/>
      <c r="BD42" s="822"/>
      <c r="BE42" s="822"/>
      <c r="BF42" s="822"/>
      <c r="BG42" s="822"/>
      <c r="BH42" s="822"/>
      <c r="BI42" s="822"/>
      <c r="BJ42" s="822"/>
      <c r="BK42" s="822"/>
      <c r="BL42" s="822"/>
      <c r="BM42" s="822"/>
      <c r="BN42" s="822"/>
      <c r="BO42" s="822"/>
      <c r="BP42" s="822"/>
      <c r="BQ42" s="822"/>
      <c r="BR42" s="822"/>
      <c r="BS42" s="822"/>
      <c r="BT42" s="822"/>
      <c r="BU42" s="822"/>
      <c r="BV42" s="822"/>
      <c r="BW42" s="822"/>
      <c r="BX42" s="822"/>
      <c r="BY42" s="822"/>
      <c r="BZ42" s="822"/>
      <c r="CA42" s="822"/>
      <c r="CB42" s="822"/>
      <c r="CC42" s="822"/>
      <c r="CD42" s="822"/>
      <c r="CE42" s="822"/>
      <c r="CF42" s="822"/>
      <c r="CG42" s="822"/>
      <c r="CH42" s="822"/>
      <c r="CI42" s="822"/>
      <c r="CJ42" s="392"/>
      <c r="CK42" s="392"/>
      <c r="CL42" s="392"/>
      <c r="CM42" s="392"/>
      <c r="CN42" s="392"/>
      <c r="CO42" s="392"/>
      <c r="CP42" s="392"/>
      <c r="CQ42" s="392"/>
      <c r="CR42" s="392"/>
      <c r="CS42" s="392"/>
      <c r="CT42" s="392"/>
      <c r="CU42" s="392"/>
      <c r="CV42" s="392"/>
      <c r="CW42" s="392"/>
      <c r="CX42" s="392"/>
      <c r="CY42" s="392"/>
      <c r="CZ42" s="392"/>
      <c r="DA42" s="392"/>
      <c r="DB42" s="392"/>
      <c r="DC42" s="392"/>
    </row>
    <row r="43" spans="1:107" s="337" customFormat="1" ht="56.25">
      <c r="A43" s="37"/>
      <c r="B43" s="573" t="s">
        <v>23</v>
      </c>
      <c r="C43" s="574" t="s">
        <v>1266</v>
      </c>
      <c r="D43" s="575" t="s">
        <v>1267</v>
      </c>
      <c r="E43" s="576">
        <f>'Ref-ComSources'!$AD$5</f>
        <v>3778.4809172207592</v>
      </c>
      <c r="F43" s="577" t="s">
        <v>27</v>
      </c>
      <c r="G43" s="578">
        <f>'Ref-2013CSSsaturationsINT'!$F$183</f>
        <v>0.68473703818659359</v>
      </c>
      <c r="H43" s="574" t="s">
        <v>1269</v>
      </c>
      <c r="I43" s="579">
        <f>'Ref-2013CSSsaturationsINT'!$J$183</f>
        <v>0.87687389681802685</v>
      </c>
      <c r="J43" s="577" t="s">
        <v>1097</v>
      </c>
      <c r="K43" s="577" t="s">
        <v>1051</v>
      </c>
      <c r="L43" s="577" t="s">
        <v>15</v>
      </c>
      <c r="M43" s="577" t="s">
        <v>88</v>
      </c>
      <c r="N43" s="580">
        <f>E43*G43*'Ref-Savings Calculations'!$E$39*Applicability</f>
        <v>529.77347990666283</v>
      </c>
      <c r="O43" s="580">
        <f>E43*G43*'Ref-Savings Calculations'!$C$54*Applicability*ControlShare</f>
        <v>435.59152748153934</v>
      </c>
      <c r="P43" s="580">
        <f>E43*G43*'Ref-Savings Calculations'!$E$40*Applicability</f>
        <v>452.77152061790366</v>
      </c>
      <c r="Q43" s="580" t="s">
        <v>871</v>
      </c>
      <c r="R43" s="37"/>
      <c r="S43" s="577" t="s">
        <v>44</v>
      </c>
      <c r="T43" s="574" t="s">
        <v>63</v>
      </c>
      <c r="U43" s="577" t="s">
        <v>69</v>
      </c>
      <c r="V43" s="577" t="s">
        <v>69</v>
      </c>
      <c r="W43" s="577" t="s">
        <v>76</v>
      </c>
      <c r="X43" s="37"/>
      <c r="Y43" s="37"/>
      <c r="Z43" s="577" t="s">
        <v>78</v>
      </c>
      <c r="AA43" s="577" t="s">
        <v>78</v>
      </c>
      <c r="AB43" s="37"/>
      <c r="AC43" s="810">
        <f>'Ref-ComHOU'!$G$74</f>
        <v>7.1068493150684935</v>
      </c>
      <c r="AD43" s="577" t="s">
        <v>72</v>
      </c>
      <c r="AE43" s="574" t="s">
        <v>73</v>
      </c>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822"/>
      <c r="BK43" s="822"/>
      <c r="BL43" s="822"/>
      <c r="BM43" s="822"/>
      <c r="BN43" s="822"/>
      <c r="BO43" s="822"/>
      <c r="BP43" s="822"/>
      <c r="BQ43" s="822"/>
      <c r="BR43" s="822"/>
      <c r="BS43" s="822"/>
      <c r="BT43" s="822"/>
      <c r="BU43" s="822"/>
      <c r="BV43" s="822"/>
      <c r="BW43" s="822"/>
      <c r="BX43" s="822"/>
      <c r="BY43" s="822"/>
      <c r="BZ43" s="822"/>
      <c r="CA43" s="822"/>
      <c r="CB43" s="822"/>
      <c r="CC43" s="822"/>
      <c r="CD43" s="822"/>
      <c r="CE43" s="822"/>
      <c r="CF43" s="822"/>
      <c r="CG43" s="822"/>
      <c r="CH43" s="822"/>
      <c r="CI43" s="822"/>
      <c r="CJ43" s="392"/>
      <c r="CK43" s="392"/>
      <c r="CL43" s="392"/>
      <c r="CM43" s="392"/>
      <c r="CN43" s="392"/>
      <c r="CO43" s="392"/>
      <c r="CP43" s="392"/>
      <c r="CQ43" s="392"/>
      <c r="CR43" s="392"/>
      <c r="CS43" s="392"/>
      <c r="CT43" s="392"/>
      <c r="CU43" s="392"/>
      <c r="CV43" s="392"/>
      <c r="CW43" s="392"/>
      <c r="CX43" s="392"/>
      <c r="CY43" s="392"/>
      <c r="CZ43" s="392"/>
      <c r="DA43" s="392"/>
      <c r="DB43" s="392"/>
      <c r="DC43" s="392"/>
    </row>
    <row r="44" spans="1:107" s="337" customFormat="1" ht="56.25">
      <c r="A44" s="37"/>
      <c r="B44" s="573" t="s">
        <v>23</v>
      </c>
      <c r="C44" s="574" t="s">
        <v>1266</v>
      </c>
      <c r="D44" s="575" t="s">
        <v>1267</v>
      </c>
      <c r="E44" s="576">
        <f>'Ref-ComSources'!$AD$5</f>
        <v>3778.4809172207592</v>
      </c>
      <c r="F44" s="577" t="s">
        <v>27</v>
      </c>
      <c r="G44" s="578">
        <f>'Ref-2013CSSsaturationsINT'!$F$183</f>
        <v>0.68473703818659359</v>
      </c>
      <c r="H44" s="574" t="s">
        <v>1269</v>
      </c>
      <c r="I44" s="579">
        <f>'Ref-2013CSSsaturationsINT'!$J$183</f>
        <v>0.87687389681802685</v>
      </c>
      <c r="J44" s="577" t="s">
        <v>1097</v>
      </c>
      <c r="K44" s="577" t="s">
        <v>1051</v>
      </c>
      <c r="L44" s="577" t="s">
        <v>960</v>
      </c>
      <c r="M44" s="577" t="s">
        <v>90</v>
      </c>
      <c r="N44" s="580">
        <f>E44*G44*'Ref-Savings Calculations'!$E$33*Applicability</f>
        <v>382.11926135664839</v>
      </c>
      <c r="O44" s="580">
        <f>E44*G44*'Ref-Savings Calculations'!$C$77*Applicability*ControlShare</f>
        <v>508.19011539512934</v>
      </c>
      <c r="P44" s="580">
        <f>E44*G44*'Ref-Savings Calculations'!$E$34*Applicability</f>
        <v>331.17002650909518</v>
      </c>
      <c r="Q44" s="580" t="s">
        <v>1109</v>
      </c>
      <c r="R44" s="37"/>
      <c r="S44" s="577" t="s">
        <v>69</v>
      </c>
      <c r="T44" s="577" t="s">
        <v>69</v>
      </c>
      <c r="U44" s="577" t="s">
        <v>69</v>
      </c>
      <c r="V44" s="577" t="s">
        <v>69</v>
      </c>
      <c r="W44" s="577" t="s">
        <v>76</v>
      </c>
      <c r="X44" s="37"/>
      <c r="Y44" s="37"/>
      <c r="Z44" s="577" t="s">
        <v>78</v>
      </c>
      <c r="AA44" s="577" t="s">
        <v>78</v>
      </c>
      <c r="AB44" s="37"/>
      <c r="AC44" s="810">
        <f>'Ref-ComHOU'!$G$74</f>
        <v>7.1068493150684935</v>
      </c>
      <c r="AD44" s="577" t="s">
        <v>72</v>
      </c>
      <c r="AE44" s="574" t="s">
        <v>73</v>
      </c>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822"/>
      <c r="BK44" s="822"/>
      <c r="BL44" s="822"/>
      <c r="BM44" s="822"/>
      <c r="BN44" s="822"/>
      <c r="BO44" s="822"/>
      <c r="BP44" s="822"/>
      <c r="BQ44" s="822"/>
      <c r="BR44" s="822"/>
      <c r="BS44" s="822"/>
      <c r="BT44" s="822"/>
      <c r="BU44" s="822"/>
      <c r="BV44" s="822"/>
      <c r="BW44" s="822"/>
      <c r="BX44" s="822"/>
      <c r="BY44" s="822"/>
      <c r="BZ44" s="822"/>
      <c r="CA44" s="822"/>
      <c r="CB44" s="822"/>
      <c r="CC44" s="822"/>
      <c r="CD44" s="822"/>
      <c r="CE44" s="822"/>
      <c r="CF44" s="822"/>
      <c r="CG44" s="822"/>
      <c r="CH44" s="822"/>
      <c r="CI44" s="822"/>
      <c r="CJ44" s="392"/>
      <c r="CK44" s="392"/>
      <c r="CL44" s="392"/>
      <c r="CM44" s="392"/>
      <c r="CN44" s="392"/>
      <c r="CO44" s="392"/>
      <c r="CP44" s="392"/>
      <c r="CQ44" s="392"/>
      <c r="CR44" s="392"/>
      <c r="CS44" s="392"/>
      <c r="CT44" s="392"/>
      <c r="CU44" s="392"/>
      <c r="CV44" s="392"/>
      <c r="CW44" s="392"/>
      <c r="CX44" s="392"/>
      <c r="CY44" s="392"/>
      <c r="CZ44" s="392"/>
      <c r="DA44" s="392"/>
      <c r="DB44" s="392"/>
      <c r="DC44" s="392"/>
    </row>
    <row r="45" spans="1:107" s="337" customFormat="1" ht="56.25">
      <c r="A45" s="37"/>
      <c r="B45" s="573" t="s">
        <v>23</v>
      </c>
      <c r="C45" s="574" t="s">
        <v>1266</v>
      </c>
      <c r="D45" s="575" t="s">
        <v>1267</v>
      </c>
      <c r="E45" s="576">
        <f>'Ref-ComSources'!$AD$5</f>
        <v>3778.4809172207592</v>
      </c>
      <c r="F45" s="577" t="s">
        <v>27</v>
      </c>
      <c r="G45" s="578">
        <f>'Ref-2013CSSsaturationsINT'!$F$183</f>
        <v>0.68473703818659359</v>
      </c>
      <c r="H45" s="574" t="s">
        <v>1269</v>
      </c>
      <c r="I45" s="579">
        <f>'Ref-2013CSSsaturationsINT'!$J$183</f>
        <v>0.87687389681802685</v>
      </c>
      <c r="J45" s="577" t="s">
        <v>1097</v>
      </c>
      <c r="K45" s="577" t="s">
        <v>1051</v>
      </c>
      <c r="L45" s="577" t="s">
        <v>15</v>
      </c>
      <c r="M45" s="577" t="s">
        <v>90</v>
      </c>
      <c r="N45" s="580">
        <f>E45*G45*'Ref-Savings Calculations'!$E$39*Applicability</f>
        <v>529.77347990666283</v>
      </c>
      <c r="O45" s="580">
        <f>E45*G45*'Ref-Savings Calculations'!$C$77*Applicability*ControlShare</f>
        <v>508.19011539512934</v>
      </c>
      <c r="P45" s="580">
        <f>E45*G45*'Ref-Savings Calculations'!$E$40*Applicability</f>
        <v>452.77152061790366</v>
      </c>
      <c r="Q45" s="580" t="s">
        <v>1109</v>
      </c>
      <c r="R45" s="37"/>
      <c r="S45" s="577" t="s">
        <v>44</v>
      </c>
      <c r="T45" s="574" t="s">
        <v>63</v>
      </c>
      <c r="U45" s="577" t="s">
        <v>69</v>
      </c>
      <c r="V45" s="577" t="s">
        <v>69</v>
      </c>
      <c r="W45" s="577" t="s">
        <v>76</v>
      </c>
      <c r="X45" s="37"/>
      <c r="Y45" s="37"/>
      <c r="Z45" s="577" t="s">
        <v>78</v>
      </c>
      <c r="AA45" s="577" t="s">
        <v>78</v>
      </c>
      <c r="AB45" s="37"/>
      <c r="AC45" s="810">
        <f>'Ref-ComHOU'!$G$74</f>
        <v>7.1068493150684935</v>
      </c>
      <c r="AD45" s="577" t="s">
        <v>72</v>
      </c>
      <c r="AE45" s="574" t="s">
        <v>73</v>
      </c>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822"/>
      <c r="BK45" s="822"/>
      <c r="BL45" s="822"/>
      <c r="BM45" s="822"/>
      <c r="BN45" s="822"/>
      <c r="BO45" s="822"/>
      <c r="BP45" s="822"/>
      <c r="BQ45" s="822"/>
      <c r="BR45" s="822"/>
      <c r="BS45" s="822"/>
      <c r="BT45" s="822"/>
      <c r="BU45" s="822"/>
      <c r="BV45" s="822"/>
      <c r="BW45" s="822"/>
      <c r="BX45" s="822"/>
      <c r="BY45" s="822"/>
      <c r="BZ45" s="822"/>
      <c r="CA45" s="822"/>
      <c r="CB45" s="822"/>
      <c r="CC45" s="822"/>
      <c r="CD45" s="822"/>
      <c r="CE45" s="822"/>
      <c r="CF45" s="822"/>
      <c r="CG45" s="822"/>
      <c r="CH45" s="822"/>
      <c r="CI45" s="822"/>
      <c r="CJ45" s="392"/>
      <c r="CK45" s="392"/>
      <c r="CL45" s="392"/>
      <c r="CM45" s="392"/>
      <c r="CN45" s="392"/>
      <c r="CO45" s="392"/>
      <c r="CP45" s="392"/>
      <c r="CQ45" s="392"/>
      <c r="CR45" s="392"/>
      <c r="CS45" s="392"/>
      <c r="CT45" s="392"/>
      <c r="CU45" s="392"/>
      <c r="CV45" s="392"/>
      <c r="CW45" s="392"/>
      <c r="CX45" s="392"/>
      <c r="CY45" s="392"/>
      <c r="CZ45" s="392"/>
      <c r="DA45" s="392"/>
      <c r="DB45" s="392"/>
      <c r="DC45" s="392"/>
    </row>
    <row r="46" spans="1:107" s="337" customFormat="1" ht="56.25">
      <c r="A46" s="37"/>
      <c r="B46" s="573" t="s">
        <v>23</v>
      </c>
      <c r="C46" s="574" t="s">
        <v>1266</v>
      </c>
      <c r="D46" s="575" t="s">
        <v>1267</v>
      </c>
      <c r="E46" s="576">
        <f>'Ref-ComSources'!$AD$5</f>
        <v>3778.4809172207592</v>
      </c>
      <c r="F46" s="577" t="s">
        <v>27</v>
      </c>
      <c r="G46" s="578">
        <f>'Ref-2013CSSsaturationsINT'!$F$183</f>
        <v>0.68473703818659359</v>
      </c>
      <c r="H46" s="574" t="s">
        <v>1269</v>
      </c>
      <c r="I46" s="579">
        <f>'Ref-2013CSSsaturationsINT'!$J$183</f>
        <v>0.87687389681802685</v>
      </c>
      <c r="J46" s="577" t="s">
        <v>1097</v>
      </c>
      <c r="K46" s="577" t="s">
        <v>1051</v>
      </c>
      <c r="L46" s="577" t="s">
        <v>960</v>
      </c>
      <c r="M46" s="577" t="s">
        <v>92</v>
      </c>
      <c r="N46" s="580">
        <f>E46*G46*'Ref-Savings Calculations'!$E$33*Applicability</f>
        <v>382.11926135664839</v>
      </c>
      <c r="O46" s="580">
        <f>E46*G46*'Ref-Savings Calculations'!$C$99*Applicability*ControlShare</f>
        <v>653.38729122230916</v>
      </c>
      <c r="P46" s="580">
        <f>E46*G46*'Ref-Savings Calculations'!$E$34*Applicability</f>
        <v>331.17002650909518</v>
      </c>
      <c r="Q46" s="580">
        <f>E46*G46*('Ref-Savings Calculations'!$C$99-'Ref-Savings Calculations'!$C$54)*Applicability*ControlShare</f>
        <v>217.79576374076967</v>
      </c>
      <c r="R46" s="37"/>
      <c r="S46" s="577" t="s">
        <v>69</v>
      </c>
      <c r="T46" s="577" t="s">
        <v>69</v>
      </c>
      <c r="U46" s="577" t="s">
        <v>69</v>
      </c>
      <c r="V46" s="577" t="s">
        <v>69</v>
      </c>
      <c r="W46" s="577" t="s">
        <v>76</v>
      </c>
      <c r="X46" s="37"/>
      <c r="Y46" s="37"/>
      <c r="Z46" s="577" t="s">
        <v>78</v>
      </c>
      <c r="AA46" s="577" t="s">
        <v>78</v>
      </c>
      <c r="AB46" s="37"/>
      <c r="AC46" s="810">
        <f>'Ref-ComHOU'!$G$74</f>
        <v>7.1068493150684935</v>
      </c>
      <c r="AD46" s="577" t="s">
        <v>72</v>
      </c>
      <c r="AE46" s="574" t="s">
        <v>73</v>
      </c>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822"/>
      <c r="BK46" s="822"/>
      <c r="BL46" s="822"/>
      <c r="BM46" s="822"/>
      <c r="BN46" s="822"/>
      <c r="BO46" s="822"/>
      <c r="BP46" s="822"/>
      <c r="BQ46" s="822"/>
      <c r="BR46" s="822"/>
      <c r="BS46" s="822"/>
      <c r="BT46" s="822"/>
      <c r="BU46" s="822"/>
      <c r="BV46" s="822"/>
      <c r="BW46" s="822"/>
      <c r="BX46" s="822"/>
      <c r="BY46" s="822"/>
      <c r="BZ46" s="822"/>
      <c r="CA46" s="822"/>
      <c r="CB46" s="822"/>
      <c r="CC46" s="822"/>
      <c r="CD46" s="822"/>
      <c r="CE46" s="822"/>
      <c r="CF46" s="822"/>
      <c r="CG46" s="822"/>
      <c r="CH46" s="822"/>
      <c r="CI46" s="822"/>
      <c r="CJ46" s="392"/>
      <c r="CK46" s="392"/>
      <c r="CL46" s="392"/>
      <c r="CM46" s="392"/>
      <c r="CN46" s="392"/>
      <c r="CO46" s="392"/>
      <c r="CP46" s="392"/>
      <c r="CQ46" s="392"/>
      <c r="CR46" s="392"/>
      <c r="CS46" s="392"/>
      <c r="CT46" s="392"/>
      <c r="CU46" s="392"/>
      <c r="CV46" s="392"/>
      <c r="CW46" s="392"/>
      <c r="CX46" s="392"/>
      <c r="CY46" s="392"/>
      <c r="CZ46" s="392"/>
      <c r="DA46" s="392"/>
      <c r="DB46" s="392"/>
      <c r="DC46" s="392"/>
    </row>
    <row r="47" spans="1:107" s="337" customFormat="1" ht="56.25">
      <c r="A47" s="37"/>
      <c r="B47" s="573" t="s">
        <v>23</v>
      </c>
      <c r="C47" s="574" t="s">
        <v>1266</v>
      </c>
      <c r="D47" s="575" t="s">
        <v>1267</v>
      </c>
      <c r="E47" s="576">
        <f>'Ref-ComSources'!$AD$5</f>
        <v>3778.4809172207592</v>
      </c>
      <c r="F47" s="577" t="s">
        <v>27</v>
      </c>
      <c r="G47" s="578">
        <f>'Ref-2013CSSsaturationsINT'!$F$183</f>
        <v>0.68473703818659359</v>
      </c>
      <c r="H47" s="574" t="s">
        <v>1269</v>
      </c>
      <c r="I47" s="579">
        <f>'Ref-2013CSSsaturationsINT'!$J$183</f>
        <v>0.87687389681802685</v>
      </c>
      <c r="J47" s="577" t="s">
        <v>1097</v>
      </c>
      <c r="K47" s="577" t="s">
        <v>1051</v>
      </c>
      <c r="L47" s="577" t="s">
        <v>15</v>
      </c>
      <c r="M47" s="577" t="s">
        <v>92</v>
      </c>
      <c r="N47" s="580">
        <f>E47*G47*'Ref-Savings Calculations'!$E$39*Applicability</f>
        <v>529.77347990666283</v>
      </c>
      <c r="O47" s="580">
        <f>E47*G47*'Ref-Savings Calculations'!$C$99*Applicability*ControlShare</f>
        <v>653.38729122230916</v>
      </c>
      <c r="P47" s="580">
        <f>E47*G47*'Ref-Savings Calculations'!$E$40*Applicability</f>
        <v>452.77152061790366</v>
      </c>
      <c r="Q47" s="580">
        <f>E47*G47*('Ref-Savings Calculations'!$C$99-'Ref-Savings Calculations'!$C$54)*Applicability*ControlShare</f>
        <v>217.79576374076967</v>
      </c>
      <c r="R47" s="37"/>
      <c r="S47" s="577" t="s">
        <v>44</v>
      </c>
      <c r="T47" s="574" t="s">
        <v>63</v>
      </c>
      <c r="U47" s="577" t="s">
        <v>69</v>
      </c>
      <c r="V47" s="577" t="s">
        <v>69</v>
      </c>
      <c r="W47" s="577" t="s">
        <v>76</v>
      </c>
      <c r="X47" s="37"/>
      <c r="Y47" s="37"/>
      <c r="Z47" s="577" t="s">
        <v>78</v>
      </c>
      <c r="AA47" s="577" t="s">
        <v>78</v>
      </c>
      <c r="AB47" s="37"/>
      <c r="AC47" s="810">
        <f>'Ref-ComHOU'!$G$74</f>
        <v>7.1068493150684935</v>
      </c>
      <c r="AD47" s="577" t="s">
        <v>72</v>
      </c>
      <c r="AE47" s="574" t="s">
        <v>73</v>
      </c>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822"/>
      <c r="BK47" s="822"/>
      <c r="BL47" s="822"/>
      <c r="BM47" s="822"/>
      <c r="BN47" s="822"/>
      <c r="BO47" s="822"/>
      <c r="BP47" s="822"/>
      <c r="BQ47" s="822"/>
      <c r="BR47" s="822"/>
      <c r="BS47" s="822"/>
      <c r="BT47" s="822"/>
      <c r="BU47" s="822"/>
      <c r="BV47" s="822"/>
      <c r="BW47" s="822"/>
      <c r="BX47" s="822"/>
      <c r="BY47" s="822"/>
      <c r="BZ47" s="822"/>
      <c r="CA47" s="822"/>
      <c r="CB47" s="822"/>
      <c r="CC47" s="822"/>
      <c r="CD47" s="822"/>
      <c r="CE47" s="822"/>
      <c r="CF47" s="822"/>
      <c r="CG47" s="822"/>
      <c r="CH47" s="822"/>
      <c r="CI47" s="822"/>
      <c r="CJ47" s="392"/>
      <c r="CK47" s="392"/>
      <c r="CL47" s="392"/>
      <c r="CM47" s="392"/>
      <c r="CN47" s="392"/>
      <c r="CO47" s="392"/>
      <c r="CP47" s="392"/>
      <c r="CQ47" s="392"/>
      <c r="CR47" s="392"/>
      <c r="CS47" s="392"/>
      <c r="CT47" s="392"/>
      <c r="CU47" s="392"/>
      <c r="CV47" s="392"/>
      <c r="CW47" s="392"/>
      <c r="CX47" s="392"/>
      <c r="CY47" s="392"/>
      <c r="CZ47" s="392"/>
      <c r="DA47" s="392"/>
      <c r="DB47" s="392"/>
      <c r="DC47" s="392"/>
    </row>
    <row r="48" spans="1:107" s="337" customFormat="1" ht="33.75">
      <c r="A48" s="37"/>
      <c r="B48" s="573" t="s">
        <v>23</v>
      </c>
      <c r="C48" s="574" t="s">
        <v>1266</v>
      </c>
      <c r="D48" s="575" t="s">
        <v>1267</v>
      </c>
      <c r="E48" s="576">
        <f>'Ref-ComSources'!$AD$5</f>
        <v>3778.4809172207592</v>
      </c>
      <c r="F48" s="577" t="s">
        <v>24</v>
      </c>
      <c r="G48" s="578">
        <f>'Ref-2013CSSsaturationsINT'!$F$186</f>
        <v>0.20929606454378483</v>
      </c>
      <c r="H48" s="574" t="s">
        <v>1269</v>
      </c>
      <c r="I48" s="579">
        <f>'Ref-2013CSSsaturationsINT'!$J$186</f>
        <v>0.91250770827753969</v>
      </c>
      <c r="J48" s="577" t="s">
        <v>25</v>
      </c>
      <c r="K48" s="577" t="s">
        <v>1051</v>
      </c>
      <c r="L48" s="577" t="s">
        <v>95</v>
      </c>
      <c r="M48" s="577" t="s">
        <v>88</v>
      </c>
      <c r="N48" s="580">
        <f>E48*G48*'Ref-Savings Calculations'!$E$7*Applicability</f>
        <v>145.99775740210993</v>
      </c>
      <c r="O48" s="580">
        <f>E48*G48*'Ref-Savings Calculations'!$C$54*Applicability*ControlShare</f>
        <v>138.55304218148589</v>
      </c>
      <c r="P48" s="580">
        <f>rMarketSolutions[[#This Row],[Lighting Savings
(lamp and/or ballast)]]</f>
        <v>145.99775740210993</v>
      </c>
      <c r="Q48" s="580" t="s">
        <v>871</v>
      </c>
      <c r="R48" s="37"/>
      <c r="S48" s="574" t="s">
        <v>44</v>
      </c>
      <c r="T48" s="574" t="s">
        <v>63</v>
      </c>
      <c r="U48" s="574" t="s">
        <v>69</v>
      </c>
      <c r="V48" s="574" t="s">
        <v>69</v>
      </c>
      <c r="W48" s="574" t="s">
        <v>76</v>
      </c>
      <c r="X48" s="37"/>
      <c r="Y48" s="37"/>
      <c r="Z48" s="577" t="s">
        <v>78</v>
      </c>
      <c r="AA48" s="577" t="s">
        <v>78</v>
      </c>
      <c r="AB48" s="37"/>
      <c r="AC48" s="810">
        <f>'Ref-ComHOU'!$G$74</f>
        <v>7.1068493150684935</v>
      </c>
      <c r="AD48" s="577" t="s">
        <v>72</v>
      </c>
      <c r="AE48" s="574" t="s">
        <v>73</v>
      </c>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822"/>
      <c r="BK48" s="822"/>
      <c r="BL48" s="822"/>
      <c r="BM48" s="822"/>
      <c r="BN48" s="822"/>
      <c r="BO48" s="822"/>
      <c r="BP48" s="822"/>
      <c r="BQ48" s="822"/>
      <c r="BR48" s="822"/>
      <c r="BS48" s="822"/>
      <c r="BT48" s="822"/>
      <c r="BU48" s="822"/>
      <c r="BV48" s="822"/>
      <c r="BW48" s="822"/>
      <c r="BX48" s="822"/>
      <c r="BY48" s="822"/>
      <c r="BZ48" s="822"/>
      <c r="CA48" s="822"/>
      <c r="CB48" s="822"/>
      <c r="CC48" s="822"/>
      <c r="CD48" s="822"/>
      <c r="CE48" s="822"/>
      <c r="CF48" s="822"/>
      <c r="CG48" s="822"/>
      <c r="CH48" s="822"/>
      <c r="CI48" s="822"/>
      <c r="CJ48" s="392"/>
      <c r="CK48" s="392"/>
      <c r="CL48" s="392"/>
      <c r="CM48" s="392"/>
      <c r="CN48" s="392"/>
      <c r="CO48" s="392"/>
      <c r="CP48" s="392"/>
      <c r="CQ48" s="392"/>
      <c r="CR48" s="392"/>
      <c r="CS48" s="392"/>
      <c r="CT48" s="392"/>
      <c r="CU48" s="392"/>
      <c r="CV48" s="392"/>
      <c r="CW48" s="392"/>
      <c r="CX48" s="392"/>
      <c r="CY48" s="392"/>
      <c r="CZ48" s="392"/>
      <c r="DA48" s="392"/>
      <c r="DB48" s="392"/>
      <c r="DC48" s="392"/>
    </row>
    <row r="49" spans="1:107" s="337" customFormat="1" ht="33.75">
      <c r="A49" s="37"/>
      <c r="B49" s="573" t="s">
        <v>23</v>
      </c>
      <c r="C49" s="574" t="s">
        <v>1266</v>
      </c>
      <c r="D49" s="575" t="s">
        <v>1267</v>
      </c>
      <c r="E49" s="576">
        <f>'Ref-ComSources'!$AD$5</f>
        <v>3778.4809172207592</v>
      </c>
      <c r="F49" s="577" t="s">
        <v>24</v>
      </c>
      <c r="G49" s="578">
        <f>'Ref-2013CSSsaturationsINT'!$F$186</f>
        <v>0.20929606454378483</v>
      </c>
      <c r="H49" s="574" t="s">
        <v>1269</v>
      </c>
      <c r="I49" s="579">
        <f>'Ref-2013CSSsaturationsINT'!$J$186</f>
        <v>0.91250770827753969</v>
      </c>
      <c r="J49" s="577" t="s">
        <v>25</v>
      </c>
      <c r="K49" s="577" t="s">
        <v>1051</v>
      </c>
      <c r="L49" s="577" t="s">
        <v>95</v>
      </c>
      <c r="M49" s="577" t="s">
        <v>90</v>
      </c>
      <c r="N49" s="580">
        <f>E49*G49*'Ref-Savings Calculations'!$E$7*Applicability</f>
        <v>145.99775740210993</v>
      </c>
      <c r="O49" s="580">
        <f>E49*G49*'Ref-Savings Calculations'!$C$77*Applicability*ControlShare</f>
        <v>161.64521587840025</v>
      </c>
      <c r="P49" s="580">
        <f>rMarketSolutions[[#This Row],[Lighting Savings
(lamp and/or ballast)]]</f>
        <v>145.99775740210993</v>
      </c>
      <c r="Q49" s="580" t="s">
        <v>1109</v>
      </c>
      <c r="R49" s="37"/>
      <c r="S49" s="574" t="s">
        <v>44</v>
      </c>
      <c r="T49" s="574" t="s">
        <v>63</v>
      </c>
      <c r="U49" s="574" t="s">
        <v>69</v>
      </c>
      <c r="V49" s="574" t="s">
        <v>69</v>
      </c>
      <c r="W49" s="574" t="s">
        <v>76</v>
      </c>
      <c r="X49" s="37"/>
      <c r="Y49" s="37"/>
      <c r="Z49" s="577" t="s">
        <v>78</v>
      </c>
      <c r="AA49" s="577" t="s">
        <v>78</v>
      </c>
      <c r="AB49" s="37"/>
      <c r="AC49" s="810">
        <f>'Ref-ComHOU'!$G$74</f>
        <v>7.1068493150684935</v>
      </c>
      <c r="AD49" s="577" t="s">
        <v>72</v>
      </c>
      <c r="AE49" s="574" t="s">
        <v>73</v>
      </c>
      <c r="AF49" s="822"/>
      <c r="AG49" s="822"/>
      <c r="AH49" s="822"/>
      <c r="AI49" s="822"/>
      <c r="AJ49" s="822"/>
      <c r="AK49" s="822"/>
      <c r="AL49" s="822"/>
      <c r="AM49" s="822"/>
      <c r="AN49" s="822"/>
      <c r="AO49" s="822"/>
      <c r="AP49" s="822"/>
      <c r="AQ49" s="822"/>
      <c r="AR49" s="822"/>
      <c r="AS49" s="822"/>
      <c r="AT49" s="822"/>
      <c r="AU49" s="822"/>
      <c r="AV49" s="822"/>
      <c r="AW49" s="822"/>
      <c r="AX49" s="822"/>
      <c r="AY49" s="822"/>
      <c r="AZ49" s="822"/>
      <c r="BA49" s="822"/>
      <c r="BB49" s="822"/>
      <c r="BC49" s="822"/>
      <c r="BD49" s="822"/>
      <c r="BE49" s="822"/>
      <c r="BF49" s="822"/>
      <c r="BG49" s="822"/>
      <c r="BH49" s="822"/>
      <c r="BI49" s="822"/>
      <c r="BJ49" s="822"/>
      <c r="BK49" s="822"/>
      <c r="BL49" s="822"/>
      <c r="BM49" s="822"/>
      <c r="BN49" s="822"/>
      <c r="BO49" s="822"/>
      <c r="BP49" s="822"/>
      <c r="BQ49" s="822"/>
      <c r="BR49" s="822"/>
      <c r="BS49" s="822"/>
      <c r="BT49" s="822"/>
      <c r="BU49" s="822"/>
      <c r="BV49" s="822"/>
      <c r="BW49" s="822"/>
      <c r="BX49" s="822"/>
      <c r="BY49" s="822"/>
      <c r="BZ49" s="822"/>
      <c r="CA49" s="822"/>
      <c r="CB49" s="822"/>
      <c r="CC49" s="822"/>
      <c r="CD49" s="822"/>
      <c r="CE49" s="822"/>
      <c r="CF49" s="822"/>
      <c r="CG49" s="822"/>
      <c r="CH49" s="822"/>
      <c r="CI49" s="822"/>
      <c r="CJ49" s="392"/>
      <c r="CK49" s="392"/>
      <c r="CL49" s="392"/>
      <c r="CM49" s="392"/>
      <c r="CN49" s="392"/>
      <c r="CO49" s="392"/>
      <c r="CP49" s="392"/>
      <c r="CQ49" s="392"/>
      <c r="CR49" s="392"/>
      <c r="CS49" s="392"/>
      <c r="CT49" s="392"/>
      <c r="CU49" s="392"/>
      <c r="CV49" s="392"/>
      <c r="CW49" s="392"/>
      <c r="CX49" s="392"/>
      <c r="CY49" s="392"/>
      <c r="CZ49" s="392"/>
      <c r="DA49" s="392"/>
      <c r="DB49" s="392"/>
      <c r="DC49" s="392"/>
    </row>
    <row r="50" spans="1:107" s="337" customFormat="1" ht="33.75">
      <c r="A50" s="37"/>
      <c r="B50" s="573" t="s">
        <v>23</v>
      </c>
      <c r="C50" s="574" t="s">
        <v>1266</v>
      </c>
      <c r="D50" s="575" t="s">
        <v>1267</v>
      </c>
      <c r="E50" s="576">
        <f>'Ref-ComSources'!$AD$5</f>
        <v>3778.4809172207592</v>
      </c>
      <c r="F50" s="577" t="s">
        <v>24</v>
      </c>
      <c r="G50" s="578">
        <f>'Ref-2013CSSsaturationsINT'!$F$186</f>
        <v>0.20929606454378483</v>
      </c>
      <c r="H50" s="574" t="s">
        <v>1269</v>
      </c>
      <c r="I50" s="579">
        <f>'Ref-2013CSSsaturationsINT'!$J$186</f>
        <v>0.91250770827753969</v>
      </c>
      <c r="J50" s="577" t="s">
        <v>25</v>
      </c>
      <c r="K50" s="577" t="s">
        <v>1051</v>
      </c>
      <c r="L50" s="577" t="s">
        <v>95</v>
      </c>
      <c r="M50" s="577" t="s">
        <v>92</v>
      </c>
      <c r="N50" s="580">
        <f>E50*G50*'Ref-Savings Calculations'!$E$7*Applicability</f>
        <v>145.99775740210993</v>
      </c>
      <c r="O50" s="580">
        <f>E50*G50*'Ref-Savings Calculations'!$C$99*Applicability*ControlShare</f>
        <v>207.82956327222885</v>
      </c>
      <c r="P50" s="580">
        <f>rMarketSolutions[[#This Row],[Lighting Savings
(lamp and/or ballast)]]</f>
        <v>145.99775740210993</v>
      </c>
      <c r="Q50" s="580">
        <f>E50*G50*('Ref-Savings Calculations'!$C$99-'Ref-Savings Calculations'!$C$54)*Applicability*ControlShare</f>
        <v>69.276521090742946</v>
      </c>
      <c r="R50" s="37"/>
      <c r="S50" s="574" t="s">
        <v>44</v>
      </c>
      <c r="T50" s="574" t="s">
        <v>63</v>
      </c>
      <c r="U50" s="574" t="s">
        <v>69</v>
      </c>
      <c r="V50" s="574" t="s">
        <v>69</v>
      </c>
      <c r="W50" s="574" t="s">
        <v>76</v>
      </c>
      <c r="X50" s="37"/>
      <c r="Y50" s="37"/>
      <c r="Z50" s="577" t="s">
        <v>78</v>
      </c>
      <c r="AA50" s="577" t="s">
        <v>78</v>
      </c>
      <c r="AB50" s="37"/>
      <c r="AC50" s="810">
        <f>'Ref-ComHOU'!$G$74</f>
        <v>7.1068493150684935</v>
      </c>
      <c r="AD50" s="577" t="s">
        <v>72</v>
      </c>
      <c r="AE50" s="574" t="s">
        <v>73</v>
      </c>
      <c r="AF50" s="822"/>
      <c r="AG50" s="822"/>
      <c r="AH50" s="822"/>
      <c r="AI50" s="822"/>
      <c r="AJ50" s="822"/>
      <c r="AK50" s="822"/>
      <c r="AL50" s="822"/>
      <c r="AM50" s="822"/>
      <c r="AN50" s="822"/>
      <c r="AO50" s="822"/>
      <c r="AP50" s="822"/>
      <c r="AQ50" s="822"/>
      <c r="AR50" s="822"/>
      <c r="AS50" s="822"/>
      <c r="AT50" s="822"/>
      <c r="AU50" s="822"/>
      <c r="AV50" s="822"/>
      <c r="AW50" s="822"/>
      <c r="AX50" s="822"/>
      <c r="AY50" s="822"/>
      <c r="AZ50" s="822"/>
      <c r="BA50" s="822"/>
      <c r="BB50" s="822"/>
      <c r="BC50" s="822"/>
      <c r="BD50" s="822"/>
      <c r="BE50" s="822"/>
      <c r="BF50" s="822"/>
      <c r="BG50" s="822"/>
      <c r="BH50" s="822"/>
      <c r="BI50" s="822"/>
      <c r="BJ50" s="822"/>
      <c r="BK50" s="822"/>
      <c r="BL50" s="822"/>
      <c r="BM50" s="822"/>
      <c r="BN50" s="822"/>
      <c r="BO50" s="822"/>
      <c r="BP50" s="822"/>
      <c r="BQ50" s="822"/>
      <c r="BR50" s="822"/>
      <c r="BS50" s="822"/>
      <c r="BT50" s="822"/>
      <c r="BU50" s="822"/>
      <c r="BV50" s="822"/>
      <c r="BW50" s="822"/>
      <c r="BX50" s="822"/>
      <c r="BY50" s="822"/>
      <c r="BZ50" s="822"/>
      <c r="CA50" s="822"/>
      <c r="CB50" s="822"/>
      <c r="CC50" s="822"/>
      <c r="CD50" s="822"/>
      <c r="CE50" s="822"/>
      <c r="CF50" s="822"/>
      <c r="CG50" s="822"/>
      <c r="CH50" s="822"/>
      <c r="CI50" s="822"/>
      <c r="CJ50" s="392"/>
      <c r="CK50" s="392"/>
      <c r="CL50" s="392"/>
      <c r="CM50" s="392"/>
      <c r="CN50" s="392"/>
      <c r="CO50" s="392"/>
      <c r="CP50" s="392"/>
      <c r="CQ50" s="392"/>
      <c r="CR50" s="392"/>
      <c r="CS50" s="392"/>
      <c r="CT50" s="392"/>
      <c r="CU50" s="392"/>
      <c r="CV50" s="392"/>
      <c r="CW50" s="392"/>
      <c r="CX50" s="392"/>
      <c r="CY50" s="392"/>
      <c r="CZ50" s="392"/>
      <c r="DA50" s="392"/>
      <c r="DB50" s="392"/>
      <c r="DC50" s="392"/>
    </row>
    <row r="51" spans="1:107" s="337" customFormat="1" ht="56.25">
      <c r="A51" s="37"/>
      <c r="B51" s="581" t="s">
        <v>23</v>
      </c>
      <c r="C51" s="582" t="s">
        <v>1266</v>
      </c>
      <c r="D51" s="583" t="s">
        <v>1268</v>
      </c>
      <c r="E51" s="584">
        <f>'Ref-ComSources'!$AE$5</f>
        <v>417.69372083632197</v>
      </c>
      <c r="F51" s="585" t="s">
        <v>27</v>
      </c>
      <c r="G51" s="586">
        <f>'Ref-2013CSSsaturationsINT'!$F$183</f>
        <v>0.68473703818659359</v>
      </c>
      <c r="H51" s="585" t="s">
        <v>873</v>
      </c>
      <c r="I51" s="587">
        <f>'Ref-2013CSSsaturationsINT'!$J$183</f>
        <v>0.87687389681802685</v>
      </c>
      <c r="J51" s="585" t="s">
        <v>1097</v>
      </c>
      <c r="K51" s="585" t="s">
        <v>1003</v>
      </c>
      <c r="L51" s="585" t="s">
        <v>960</v>
      </c>
      <c r="M51" s="585" t="s">
        <v>88</v>
      </c>
      <c r="N51" s="588">
        <f>E51*G51*'Ref-Savings Calculations'!$E$33*Applicability</f>
        <v>42.241530280556454</v>
      </c>
      <c r="O51" s="588">
        <f>E51*G51*'Ref-Savings Calculations'!$C$54*Applicability*ControlShare</f>
        <v>48.15264384406867</v>
      </c>
      <c r="P51" s="588">
        <f>E51*G51*'Ref-Savings Calculations'!$E$34*Applicability</f>
        <v>36.609326243148921</v>
      </c>
      <c r="Q51" s="588" t="s">
        <v>871</v>
      </c>
      <c r="R51" s="37"/>
      <c r="S51" s="585" t="s">
        <v>69</v>
      </c>
      <c r="T51" s="585" t="s">
        <v>69</v>
      </c>
      <c r="U51" s="585" t="s">
        <v>69</v>
      </c>
      <c r="V51" s="585" t="s">
        <v>69</v>
      </c>
      <c r="W51" s="585" t="s">
        <v>76</v>
      </c>
      <c r="X51" s="37"/>
      <c r="Y51" s="37"/>
      <c r="Z51" s="582" t="s">
        <v>78</v>
      </c>
      <c r="AA51" s="582" t="s">
        <v>78</v>
      </c>
      <c r="AB51" s="37"/>
      <c r="AC51" s="685">
        <f>'Ref-ComHOU'!$G$74</f>
        <v>7.1068493150684935</v>
      </c>
      <c r="AD51" s="582" t="s">
        <v>72</v>
      </c>
      <c r="AE51" s="582" t="s">
        <v>73</v>
      </c>
      <c r="AF51" s="822"/>
      <c r="AG51" s="822"/>
      <c r="AH51" s="822"/>
      <c r="AI51" s="822"/>
      <c r="AJ51" s="822"/>
      <c r="AK51" s="822"/>
      <c r="AL51" s="822"/>
      <c r="AM51" s="822"/>
      <c r="AN51" s="822"/>
      <c r="AO51" s="822"/>
      <c r="AP51" s="822"/>
      <c r="AQ51" s="822"/>
      <c r="AR51" s="822"/>
      <c r="AS51" s="822"/>
      <c r="AT51" s="822"/>
      <c r="AU51" s="822"/>
      <c r="AV51" s="822"/>
      <c r="AW51" s="822"/>
      <c r="AX51" s="822"/>
      <c r="AY51" s="822"/>
      <c r="AZ51" s="822"/>
      <c r="BA51" s="822"/>
      <c r="BB51" s="822"/>
      <c r="BC51" s="822"/>
      <c r="BD51" s="822"/>
      <c r="BE51" s="822"/>
      <c r="BF51" s="822"/>
      <c r="BG51" s="822"/>
      <c r="BH51" s="822"/>
      <c r="BI51" s="822"/>
      <c r="BJ51" s="822"/>
      <c r="BK51" s="822"/>
      <c r="BL51" s="822"/>
      <c r="BM51" s="822"/>
      <c r="BN51" s="822"/>
      <c r="BO51" s="822"/>
      <c r="BP51" s="822"/>
      <c r="BQ51" s="822"/>
      <c r="BR51" s="822"/>
      <c r="BS51" s="822"/>
      <c r="BT51" s="822"/>
      <c r="BU51" s="822"/>
      <c r="BV51" s="822"/>
      <c r="BW51" s="822"/>
      <c r="BX51" s="822"/>
      <c r="BY51" s="822"/>
      <c r="BZ51" s="822"/>
      <c r="CA51" s="822"/>
      <c r="CB51" s="822"/>
      <c r="CC51" s="822"/>
      <c r="CD51" s="822"/>
      <c r="CE51" s="822"/>
      <c r="CF51" s="822"/>
      <c r="CG51" s="822"/>
      <c r="CH51" s="822"/>
      <c r="CI51" s="822"/>
      <c r="CJ51" s="392"/>
      <c r="CK51" s="392"/>
      <c r="CL51" s="392"/>
      <c r="CM51" s="392"/>
      <c r="CN51" s="392"/>
      <c r="CO51" s="392"/>
      <c r="CP51" s="392"/>
      <c r="CQ51" s="392"/>
      <c r="CR51" s="392"/>
      <c r="CS51" s="392"/>
      <c r="CT51" s="392"/>
      <c r="CU51" s="392"/>
      <c r="CV51" s="392"/>
      <c r="CW51" s="392"/>
      <c r="CX51" s="392"/>
      <c r="CY51" s="392"/>
      <c r="CZ51" s="392"/>
      <c r="DA51" s="392"/>
      <c r="DB51" s="392"/>
      <c r="DC51" s="392"/>
    </row>
    <row r="52" spans="1:107" s="337" customFormat="1" ht="56.25">
      <c r="A52" s="37"/>
      <c r="B52" s="581" t="s">
        <v>23</v>
      </c>
      <c r="C52" s="582" t="s">
        <v>1266</v>
      </c>
      <c r="D52" s="583" t="s">
        <v>1268</v>
      </c>
      <c r="E52" s="584">
        <f>'Ref-ComSources'!$AE$5</f>
        <v>417.69372083632197</v>
      </c>
      <c r="F52" s="585" t="s">
        <v>27</v>
      </c>
      <c r="G52" s="586">
        <f>'Ref-2013CSSsaturationsINT'!$F$183</f>
        <v>0.68473703818659359</v>
      </c>
      <c r="H52" s="585" t="s">
        <v>873</v>
      </c>
      <c r="I52" s="587">
        <f>'Ref-2013CSSsaturationsINT'!$J$183</f>
        <v>0.87687389681802685</v>
      </c>
      <c r="J52" s="585" t="s">
        <v>1097</v>
      </c>
      <c r="K52" s="585" t="s">
        <v>1003</v>
      </c>
      <c r="L52" s="585" t="s">
        <v>15</v>
      </c>
      <c r="M52" s="585" t="s">
        <v>88</v>
      </c>
      <c r="N52" s="588">
        <f>E52*G52*'Ref-Savings Calculations'!$E$39*Applicability</f>
        <v>58.564026356227821</v>
      </c>
      <c r="O52" s="588">
        <f>E52*G52*'Ref-Savings Calculations'!$C$54*Applicability*ControlShare</f>
        <v>48.15264384406867</v>
      </c>
      <c r="P52" s="588">
        <f>E52*G52*'Ref-Savings Calculations'!$E$40*Applicability</f>
        <v>50.05181322305517</v>
      </c>
      <c r="Q52" s="588" t="s">
        <v>871</v>
      </c>
      <c r="R52" s="37"/>
      <c r="S52" s="585" t="s">
        <v>44</v>
      </c>
      <c r="T52" s="585" t="s">
        <v>75</v>
      </c>
      <c r="U52" s="585" t="s">
        <v>69</v>
      </c>
      <c r="V52" s="585" t="s">
        <v>69</v>
      </c>
      <c r="W52" s="585" t="s">
        <v>76</v>
      </c>
      <c r="X52" s="37"/>
      <c r="Y52" s="37"/>
      <c r="Z52" s="582" t="s">
        <v>78</v>
      </c>
      <c r="AA52" s="582" t="s">
        <v>78</v>
      </c>
      <c r="AB52" s="37"/>
      <c r="AC52" s="685">
        <f>'Ref-ComHOU'!$G$74</f>
        <v>7.1068493150684935</v>
      </c>
      <c r="AD52" s="582" t="s">
        <v>72</v>
      </c>
      <c r="AE52" s="582" t="s">
        <v>73</v>
      </c>
      <c r="AF52" s="822"/>
      <c r="AG52" s="822"/>
      <c r="AH52" s="822"/>
      <c r="AI52" s="822"/>
      <c r="AJ52" s="822"/>
      <c r="AK52" s="822"/>
      <c r="AL52" s="822"/>
      <c r="AM52" s="822"/>
      <c r="AN52" s="822"/>
      <c r="AO52" s="822"/>
      <c r="AP52" s="822"/>
      <c r="AQ52" s="822"/>
      <c r="AR52" s="822"/>
      <c r="AS52" s="822"/>
      <c r="AT52" s="822"/>
      <c r="AU52" s="822"/>
      <c r="AV52" s="822"/>
      <c r="AW52" s="822"/>
      <c r="AX52" s="822"/>
      <c r="AY52" s="822"/>
      <c r="AZ52" s="822"/>
      <c r="BA52" s="822"/>
      <c r="BB52" s="822"/>
      <c r="BC52" s="822"/>
      <c r="BD52" s="822"/>
      <c r="BE52" s="822"/>
      <c r="BF52" s="822"/>
      <c r="BG52" s="822"/>
      <c r="BH52" s="822"/>
      <c r="BI52" s="822"/>
      <c r="BJ52" s="822"/>
      <c r="BK52" s="822"/>
      <c r="BL52" s="822"/>
      <c r="BM52" s="822"/>
      <c r="BN52" s="822"/>
      <c r="BO52" s="822"/>
      <c r="BP52" s="822"/>
      <c r="BQ52" s="822"/>
      <c r="BR52" s="822"/>
      <c r="BS52" s="822"/>
      <c r="BT52" s="822"/>
      <c r="BU52" s="822"/>
      <c r="BV52" s="822"/>
      <c r="BW52" s="822"/>
      <c r="BX52" s="822"/>
      <c r="BY52" s="822"/>
      <c r="BZ52" s="822"/>
      <c r="CA52" s="822"/>
      <c r="CB52" s="822"/>
      <c r="CC52" s="822"/>
      <c r="CD52" s="822"/>
      <c r="CE52" s="822"/>
      <c r="CF52" s="822"/>
      <c r="CG52" s="822"/>
      <c r="CH52" s="822"/>
      <c r="CI52" s="822"/>
      <c r="CJ52" s="392"/>
      <c r="CK52" s="392"/>
      <c r="CL52" s="392"/>
      <c r="CM52" s="392"/>
      <c r="CN52" s="392"/>
      <c r="CO52" s="392"/>
      <c r="CP52" s="392"/>
      <c r="CQ52" s="392"/>
      <c r="CR52" s="392"/>
      <c r="CS52" s="392"/>
      <c r="CT52" s="392"/>
      <c r="CU52" s="392"/>
      <c r="CV52" s="392"/>
      <c r="CW52" s="392"/>
      <c r="CX52" s="392"/>
      <c r="CY52" s="392"/>
      <c r="CZ52" s="392"/>
      <c r="DA52" s="392"/>
      <c r="DB52" s="392"/>
      <c r="DC52" s="392"/>
    </row>
    <row r="53" spans="1:107" s="337" customFormat="1" ht="56.25">
      <c r="A53" s="37"/>
      <c r="B53" s="581" t="s">
        <v>23</v>
      </c>
      <c r="C53" s="582" t="s">
        <v>1266</v>
      </c>
      <c r="D53" s="583" t="s">
        <v>1268</v>
      </c>
      <c r="E53" s="584">
        <f>'Ref-ComSources'!$AE$5</f>
        <v>417.69372083632197</v>
      </c>
      <c r="F53" s="585" t="s">
        <v>27</v>
      </c>
      <c r="G53" s="586">
        <f>'Ref-2013CSSsaturationsINT'!$F$183</f>
        <v>0.68473703818659359</v>
      </c>
      <c r="H53" s="585" t="s">
        <v>873</v>
      </c>
      <c r="I53" s="587">
        <f>'Ref-2013CSSsaturationsINT'!$J$183</f>
        <v>0.87687389681802685</v>
      </c>
      <c r="J53" s="585" t="s">
        <v>1097</v>
      </c>
      <c r="K53" s="585" t="s">
        <v>1003</v>
      </c>
      <c r="L53" s="585" t="s">
        <v>960</v>
      </c>
      <c r="M53" s="585" t="s">
        <v>90</v>
      </c>
      <c r="N53" s="588">
        <f>E53*G53*'Ref-Savings Calculations'!$E$33*Applicability</f>
        <v>42.241530280556454</v>
      </c>
      <c r="O53" s="588">
        <f>E53*G53*'Ref-Savings Calculations'!$C$77*Applicability*ControlShare</f>
        <v>56.178084484746798</v>
      </c>
      <c r="P53" s="588">
        <f>E53*G53*'Ref-Savings Calculations'!$E$34*Applicability</f>
        <v>36.609326243148921</v>
      </c>
      <c r="Q53" s="588" t="s">
        <v>1109</v>
      </c>
      <c r="R53" s="37"/>
      <c r="S53" s="585" t="s">
        <v>69</v>
      </c>
      <c r="T53" s="585" t="s">
        <v>69</v>
      </c>
      <c r="U53" s="585" t="s">
        <v>69</v>
      </c>
      <c r="V53" s="585" t="s">
        <v>69</v>
      </c>
      <c r="W53" s="585" t="s">
        <v>76</v>
      </c>
      <c r="X53" s="37"/>
      <c r="Y53" s="37"/>
      <c r="Z53" s="582" t="s">
        <v>78</v>
      </c>
      <c r="AA53" s="582" t="s">
        <v>78</v>
      </c>
      <c r="AB53" s="37"/>
      <c r="AC53" s="685">
        <f>'Ref-ComHOU'!$G$74</f>
        <v>7.1068493150684935</v>
      </c>
      <c r="AD53" s="582" t="s">
        <v>72</v>
      </c>
      <c r="AE53" s="582" t="s">
        <v>73</v>
      </c>
      <c r="AF53" s="822"/>
      <c r="AG53" s="822"/>
      <c r="AH53" s="822"/>
      <c r="AI53" s="822"/>
      <c r="AJ53" s="822"/>
      <c r="AK53" s="822"/>
      <c r="AL53" s="822"/>
      <c r="AM53" s="822"/>
      <c r="AN53" s="822"/>
      <c r="AO53" s="822"/>
      <c r="AP53" s="822"/>
      <c r="AQ53" s="822"/>
      <c r="AR53" s="822"/>
      <c r="AS53" s="822"/>
      <c r="AT53" s="822"/>
      <c r="AU53" s="822"/>
      <c r="AV53" s="822"/>
      <c r="AW53" s="822"/>
      <c r="AX53" s="822"/>
      <c r="AY53" s="822"/>
      <c r="AZ53" s="822"/>
      <c r="BA53" s="822"/>
      <c r="BB53" s="822"/>
      <c r="BC53" s="822"/>
      <c r="BD53" s="822"/>
      <c r="BE53" s="822"/>
      <c r="BF53" s="822"/>
      <c r="BG53" s="822"/>
      <c r="BH53" s="822"/>
      <c r="BI53" s="822"/>
      <c r="BJ53" s="822"/>
      <c r="BK53" s="822"/>
      <c r="BL53" s="822"/>
      <c r="BM53" s="822"/>
      <c r="BN53" s="822"/>
      <c r="BO53" s="822"/>
      <c r="BP53" s="822"/>
      <c r="BQ53" s="822"/>
      <c r="BR53" s="822"/>
      <c r="BS53" s="822"/>
      <c r="BT53" s="822"/>
      <c r="BU53" s="822"/>
      <c r="BV53" s="822"/>
      <c r="BW53" s="822"/>
      <c r="BX53" s="822"/>
      <c r="BY53" s="822"/>
      <c r="BZ53" s="822"/>
      <c r="CA53" s="822"/>
      <c r="CB53" s="822"/>
      <c r="CC53" s="822"/>
      <c r="CD53" s="822"/>
      <c r="CE53" s="822"/>
      <c r="CF53" s="822"/>
      <c r="CG53" s="822"/>
      <c r="CH53" s="822"/>
      <c r="CI53" s="822"/>
      <c r="CJ53" s="392"/>
      <c r="CK53" s="392"/>
      <c r="CL53" s="392"/>
      <c r="CM53" s="392"/>
      <c r="CN53" s="392"/>
      <c r="CO53" s="392"/>
      <c r="CP53" s="392"/>
      <c r="CQ53" s="392"/>
      <c r="CR53" s="392"/>
      <c r="CS53" s="392"/>
      <c r="CT53" s="392"/>
      <c r="CU53" s="392"/>
      <c r="CV53" s="392"/>
      <c r="CW53" s="392"/>
      <c r="CX53" s="392"/>
      <c r="CY53" s="392"/>
      <c r="CZ53" s="392"/>
      <c r="DA53" s="392"/>
      <c r="DB53" s="392"/>
      <c r="DC53" s="392"/>
    </row>
    <row r="54" spans="1:107" s="337" customFormat="1" ht="56.25">
      <c r="A54" s="37"/>
      <c r="B54" s="581" t="s">
        <v>23</v>
      </c>
      <c r="C54" s="582" t="s">
        <v>1266</v>
      </c>
      <c r="D54" s="583" t="s">
        <v>1268</v>
      </c>
      <c r="E54" s="584">
        <f>'Ref-ComSources'!$AE$5</f>
        <v>417.69372083632197</v>
      </c>
      <c r="F54" s="585" t="s">
        <v>27</v>
      </c>
      <c r="G54" s="586">
        <f>'Ref-2013CSSsaturationsINT'!$F$183</f>
        <v>0.68473703818659359</v>
      </c>
      <c r="H54" s="585" t="s">
        <v>873</v>
      </c>
      <c r="I54" s="587">
        <f>'Ref-2013CSSsaturationsINT'!$J$183</f>
        <v>0.87687389681802685</v>
      </c>
      <c r="J54" s="585" t="s">
        <v>1097</v>
      </c>
      <c r="K54" s="585" t="s">
        <v>1003</v>
      </c>
      <c r="L54" s="585" t="s">
        <v>15</v>
      </c>
      <c r="M54" s="585" t="s">
        <v>90</v>
      </c>
      <c r="N54" s="588">
        <f>E54*G54*'Ref-Savings Calculations'!$E$39*Applicability</f>
        <v>58.564026356227821</v>
      </c>
      <c r="O54" s="588">
        <f>E54*G54*'Ref-Savings Calculations'!$C$77*Applicability*ControlShare</f>
        <v>56.178084484746798</v>
      </c>
      <c r="P54" s="588">
        <f>E54*G54*'Ref-Savings Calculations'!$E$40*Applicability</f>
        <v>50.05181322305517</v>
      </c>
      <c r="Q54" s="588" t="s">
        <v>1109</v>
      </c>
      <c r="R54" s="37"/>
      <c r="S54" s="585" t="s">
        <v>44</v>
      </c>
      <c r="T54" s="585" t="s">
        <v>75</v>
      </c>
      <c r="U54" s="585" t="s">
        <v>69</v>
      </c>
      <c r="V54" s="585" t="s">
        <v>69</v>
      </c>
      <c r="W54" s="585" t="s">
        <v>76</v>
      </c>
      <c r="X54" s="37"/>
      <c r="Y54" s="37"/>
      <c r="Z54" s="582" t="s">
        <v>78</v>
      </c>
      <c r="AA54" s="582" t="s">
        <v>78</v>
      </c>
      <c r="AB54" s="37"/>
      <c r="AC54" s="685">
        <f>'Ref-ComHOU'!$G$74</f>
        <v>7.1068493150684935</v>
      </c>
      <c r="AD54" s="582" t="s">
        <v>72</v>
      </c>
      <c r="AE54" s="582" t="s">
        <v>73</v>
      </c>
      <c r="AF54" s="822"/>
      <c r="AG54" s="822"/>
      <c r="AH54" s="822"/>
      <c r="AI54" s="822"/>
      <c r="AJ54" s="822"/>
      <c r="AK54" s="822"/>
      <c r="AL54" s="822"/>
      <c r="AM54" s="822"/>
      <c r="AN54" s="822"/>
      <c r="AO54" s="822"/>
      <c r="AP54" s="822"/>
      <c r="AQ54" s="822"/>
      <c r="AR54" s="822"/>
      <c r="AS54" s="822"/>
      <c r="AT54" s="822"/>
      <c r="AU54" s="822"/>
      <c r="AV54" s="822"/>
      <c r="AW54" s="822"/>
      <c r="AX54" s="822"/>
      <c r="AY54" s="822"/>
      <c r="AZ54" s="822"/>
      <c r="BA54" s="822"/>
      <c r="BB54" s="822"/>
      <c r="BC54" s="822"/>
      <c r="BD54" s="822"/>
      <c r="BE54" s="822"/>
      <c r="BF54" s="822"/>
      <c r="BG54" s="822"/>
      <c r="BH54" s="822"/>
      <c r="BI54" s="822"/>
      <c r="BJ54" s="822"/>
      <c r="BK54" s="822"/>
      <c r="BL54" s="822"/>
      <c r="BM54" s="822"/>
      <c r="BN54" s="822"/>
      <c r="BO54" s="822"/>
      <c r="BP54" s="822"/>
      <c r="BQ54" s="822"/>
      <c r="BR54" s="822"/>
      <c r="BS54" s="822"/>
      <c r="BT54" s="822"/>
      <c r="BU54" s="822"/>
      <c r="BV54" s="822"/>
      <c r="BW54" s="822"/>
      <c r="BX54" s="822"/>
      <c r="BY54" s="822"/>
      <c r="BZ54" s="822"/>
      <c r="CA54" s="822"/>
      <c r="CB54" s="822"/>
      <c r="CC54" s="822"/>
      <c r="CD54" s="822"/>
      <c r="CE54" s="822"/>
      <c r="CF54" s="822"/>
      <c r="CG54" s="822"/>
      <c r="CH54" s="822"/>
      <c r="CI54" s="822"/>
      <c r="CJ54" s="392"/>
      <c r="CK54" s="392"/>
      <c r="CL54" s="392"/>
      <c r="CM54" s="392"/>
      <c r="CN54" s="392"/>
      <c r="CO54" s="392"/>
      <c r="CP54" s="392"/>
      <c r="CQ54" s="392"/>
      <c r="CR54" s="392"/>
      <c r="CS54" s="392"/>
      <c r="CT54" s="392"/>
      <c r="CU54" s="392"/>
      <c r="CV54" s="392"/>
      <c r="CW54" s="392"/>
      <c r="CX54" s="392"/>
      <c r="CY54" s="392"/>
      <c r="CZ54" s="392"/>
      <c r="DA54" s="392"/>
      <c r="DB54" s="392"/>
      <c r="DC54" s="392"/>
    </row>
    <row r="55" spans="1:107" s="337" customFormat="1" ht="56.25">
      <c r="A55" s="37"/>
      <c r="B55" s="581" t="s">
        <v>23</v>
      </c>
      <c r="C55" s="582" t="s">
        <v>1266</v>
      </c>
      <c r="D55" s="583" t="s">
        <v>1268</v>
      </c>
      <c r="E55" s="584">
        <f>'Ref-ComSources'!$AE$5</f>
        <v>417.69372083632197</v>
      </c>
      <c r="F55" s="585" t="s">
        <v>27</v>
      </c>
      <c r="G55" s="586">
        <f>'Ref-2013CSSsaturationsINT'!$F$183</f>
        <v>0.68473703818659359</v>
      </c>
      <c r="H55" s="585" t="s">
        <v>873</v>
      </c>
      <c r="I55" s="587">
        <f>'Ref-2013CSSsaturationsINT'!$J$183</f>
        <v>0.87687389681802685</v>
      </c>
      <c r="J55" s="585" t="s">
        <v>1097</v>
      </c>
      <c r="K55" s="585" t="s">
        <v>1003</v>
      </c>
      <c r="L55" s="585" t="s">
        <v>960</v>
      </c>
      <c r="M55" s="585" t="s">
        <v>92</v>
      </c>
      <c r="N55" s="588">
        <f>E55*G55*'Ref-Savings Calculations'!$E$33*Applicability</f>
        <v>42.241530280556454</v>
      </c>
      <c r="O55" s="588">
        <f>E55*G55*'Ref-Savings Calculations'!$C$99*Applicability*ControlShare</f>
        <v>72.228965766103016</v>
      </c>
      <c r="P55" s="588">
        <f>E55*G55*'Ref-Savings Calculations'!$E$34*Applicability</f>
        <v>36.609326243148921</v>
      </c>
      <c r="Q55" s="588">
        <f>E55*G55*('Ref-Savings Calculations'!$C$99-'Ref-Savings Calculations'!$C$54)*Applicability*ControlShare</f>
        <v>24.076321922034335</v>
      </c>
      <c r="R55" s="37"/>
      <c r="S55" s="585" t="s">
        <v>69</v>
      </c>
      <c r="T55" s="585" t="s">
        <v>69</v>
      </c>
      <c r="U55" s="585" t="s">
        <v>69</v>
      </c>
      <c r="V55" s="585" t="s">
        <v>69</v>
      </c>
      <c r="W55" s="585" t="s">
        <v>76</v>
      </c>
      <c r="X55" s="37"/>
      <c r="Y55" s="37"/>
      <c r="Z55" s="582" t="s">
        <v>78</v>
      </c>
      <c r="AA55" s="582" t="s">
        <v>78</v>
      </c>
      <c r="AB55" s="37"/>
      <c r="AC55" s="685">
        <f>'Ref-ComHOU'!$G$74</f>
        <v>7.1068493150684935</v>
      </c>
      <c r="AD55" s="582" t="s">
        <v>72</v>
      </c>
      <c r="AE55" s="582" t="s">
        <v>73</v>
      </c>
      <c r="AF55" s="822"/>
      <c r="AG55" s="822"/>
      <c r="AH55" s="822"/>
      <c r="AI55" s="822"/>
      <c r="AJ55" s="822"/>
      <c r="AK55" s="822"/>
      <c r="AL55" s="822"/>
      <c r="AM55" s="822"/>
      <c r="AN55" s="822"/>
      <c r="AO55" s="822"/>
      <c r="AP55" s="822"/>
      <c r="AQ55" s="822"/>
      <c r="AR55" s="822"/>
      <c r="AS55" s="822"/>
      <c r="AT55" s="822"/>
      <c r="AU55" s="822"/>
      <c r="AV55" s="822"/>
      <c r="AW55" s="822"/>
      <c r="AX55" s="822"/>
      <c r="AY55" s="822"/>
      <c r="AZ55" s="822"/>
      <c r="BA55" s="822"/>
      <c r="BB55" s="822"/>
      <c r="BC55" s="822"/>
      <c r="BD55" s="822"/>
      <c r="BE55" s="822"/>
      <c r="BF55" s="822"/>
      <c r="BG55" s="822"/>
      <c r="BH55" s="822"/>
      <c r="BI55" s="822"/>
      <c r="BJ55" s="822"/>
      <c r="BK55" s="822"/>
      <c r="BL55" s="822"/>
      <c r="BM55" s="822"/>
      <c r="BN55" s="822"/>
      <c r="BO55" s="822"/>
      <c r="BP55" s="822"/>
      <c r="BQ55" s="822"/>
      <c r="BR55" s="822"/>
      <c r="BS55" s="822"/>
      <c r="BT55" s="822"/>
      <c r="BU55" s="822"/>
      <c r="BV55" s="822"/>
      <c r="BW55" s="822"/>
      <c r="BX55" s="822"/>
      <c r="BY55" s="822"/>
      <c r="BZ55" s="822"/>
      <c r="CA55" s="822"/>
      <c r="CB55" s="822"/>
      <c r="CC55" s="822"/>
      <c r="CD55" s="822"/>
      <c r="CE55" s="822"/>
      <c r="CF55" s="822"/>
      <c r="CG55" s="822"/>
      <c r="CH55" s="822"/>
      <c r="CI55" s="822"/>
      <c r="CJ55" s="392"/>
      <c r="CK55" s="392"/>
      <c r="CL55" s="392"/>
      <c r="CM55" s="392"/>
      <c r="CN55" s="392"/>
      <c r="CO55" s="392"/>
      <c r="CP55" s="392"/>
      <c r="CQ55" s="392"/>
      <c r="CR55" s="392"/>
      <c r="CS55" s="392"/>
      <c r="CT55" s="392"/>
      <c r="CU55" s="392"/>
      <c r="CV55" s="392"/>
      <c r="CW55" s="392"/>
      <c r="CX55" s="392"/>
      <c r="CY55" s="392"/>
      <c r="CZ55" s="392"/>
      <c r="DA55" s="392"/>
      <c r="DB55" s="392"/>
      <c r="DC55" s="392"/>
    </row>
    <row r="56" spans="1:107" s="337" customFormat="1" ht="56.25">
      <c r="A56" s="37"/>
      <c r="B56" s="581" t="s">
        <v>23</v>
      </c>
      <c r="C56" s="582" t="s">
        <v>1266</v>
      </c>
      <c r="D56" s="583" t="s">
        <v>1268</v>
      </c>
      <c r="E56" s="584">
        <f>'Ref-ComSources'!$AE$5</f>
        <v>417.69372083632197</v>
      </c>
      <c r="F56" s="585" t="s">
        <v>27</v>
      </c>
      <c r="G56" s="586">
        <f>'Ref-2013CSSsaturationsINT'!$F$183</f>
        <v>0.68473703818659359</v>
      </c>
      <c r="H56" s="585" t="s">
        <v>873</v>
      </c>
      <c r="I56" s="587">
        <f>'Ref-2013CSSsaturationsINT'!$J$183</f>
        <v>0.87687389681802685</v>
      </c>
      <c r="J56" s="585" t="s">
        <v>1097</v>
      </c>
      <c r="K56" s="585" t="s">
        <v>1003</v>
      </c>
      <c r="L56" s="585" t="s">
        <v>15</v>
      </c>
      <c r="M56" s="585" t="s">
        <v>92</v>
      </c>
      <c r="N56" s="588">
        <f>E56*G56*'Ref-Savings Calculations'!$E$39*Applicability</f>
        <v>58.564026356227821</v>
      </c>
      <c r="O56" s="588">
        <f>E56*G56*'Ref-Savings Calculations'!$C$99*Applicability*ControlShare</f>
        <v>72.228965766103016</v>
      </c>
      <c r="P56" s="588">
        <f>E56*G56*'Ref-Savings Calculations'!$E$40*Applicability</f>
        <v>50.05181322305517</v>
      </c>
      <c r="Q56" s="588">
        <f>E56*G56*('Ref-Savings Calculations'!$C$99-'Ref-Savings Calculations'!$C$54)*Applicability*ControlShare</f>
        <v>24.076321922034335</v>
      </c>
      <c r="R56" s="37"/>
      <c r="S56" s="585" t="s">
        <v>44</v>
      </c>
      <c r="T56" s="585" t="s">
        <v>75</v>
      </c>
      <c r="U56" s="585" t="s">
        <v>69</v>
      </c>
      <c r="V56" s="585" t="s">
        <v>69</v>
      </c>
      <c r="W56" s="585" t="s">
        <v>76</v>
      </c>
      <c r="X56" s="37"/>
      <c r="Y56" s="37"/>
      <c r="Z56" s="582" t="s">
        <v>78</v>
      </c>
      <c r="AA56" s="582" t="s">
        <v>78</v>
      </c>
      <c r="AB56" s="37"/>
      <c r="AC56" s="685">
        <f>'Ref-ComHOU'!$G$74</f>
        <v>7.1068493150684935</v>
      </c>
      <c r="AD56" s="582" t="s">
        <v>72</v>
      </c>
      <c r="AE56" s="582" t="s">
        <v>73</v>
      </c>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BF56" s="822"/>
      <c r="BG56" s="822"/>
      <c r="BH56" s="822"/>
      <c r="BI56" s="822"/>
      <c r="BJ56" s="822"/>
      <c r="BK56" s="822"/>
      <c r="BL56" s="822"/>
      <c r="BM56" s="822"/>
      <c r="BN56" s="822"/>
      <c r="BO56" s="822"/>
      <c r="BP56" s="822"/>
      <c r="BQ56" s="822"/>
      <c r="BR56" s="822"/>
      <c r="BS56" s="822"/>
      <c r="BT56" s="822"/>
      <c r="BU56" s="822"/>
      <c r="BV56" s="822"/>
      <c r="BW56" s="822"/>
      <c r="BX56" s="822"/>
      <c r="BY56" s="822"/>
      <c r="BZ56" s="822"/>
      <c r="CA56" s="822"/>
      <c r="CB56" s="822"/>
      <c r="CC56" s="822"/>
      <c r="CD56" s="822"/>
      <c r="CE56" s="822"/>
      <c r="CF56" s="822"/>
      <c r="CG56" s="822"/>
      <c r="CH56" s="822"/>
      <c r="CI56" s="822"/>
      <c r="CJ56" s="392"/>
      <c r="CK56" s="392"/>
      <c r="CL56" s="392"/>
      <c r="CM56" s="392"/>
      <c r="CN56" s="392"/>
      <c r="CO56" s="392"/>
      <c r="CP56" s="392"/>
      <c r="CQ56" s="392"/>
      <c r="CR56" s="392"/>
      <c r="CS56" s="392"/>
      <c r="CT56" s="392"/>
      <c r="CU56" s="392"/>
      <c r="CV56" s="392"/>
      <c r="CW56" s="392"/>
      <c r="CX56" s="392"/>
      <c r="CY56" s="392"/>
      <c r="CZ56" s="392"/>
      <c r="DA56" s="392"/>
      <c r="DB56" s="392"/>
      <c r="DC56" s="392"/>
    </row>
    <row r="57" spans="1:107" s="337" customFormat="1" ht="24">
      <c r="A57" s="37"/>
      <c r="B57" s="581" t="s">
        <v>23</v>
      </c>
      <c r="C57" s="582" t="s">
        <v>1266</v>
      </c>
      <c r="D57" s="583" t="s">
        <v>1268</v>
      </c>
      <c r="E57" s="584">
        <f>'Ref-ComSources'!$AE$5</f>
        <v>417.69372083632197</v>
      </c>
      <c r="F57" s="585" t="s">
        <v>24</v>
      </c>
      <c r="G57" s="586">
        <f>'Ref-2013CSSsaturationsINT'!$F$186</f>
        <v>0.20929606454378483</v>
      </c>
      <c r="H57" s="585" t="s">
        <v>873</v>
      </c>
      <c r="I57" s="587">
        <f>'Ref-2013CSSsaturationsINT'!$J$186</f>
        <v>0.91250770827753969</v>
      </c>
      <c r="J57" s="585" t="s">
        <v>25</v>
      </c>
      <c r="K57" s="585" t="s">
        <v>1003</v>
      </c>
      <c r="L57" s="585" t="s">
        <v>95</v>
      </c>
      <c r="M57" s="585" t="s">
        <v>88</v>
      </c>
      <c r="N57" s="588">
        <f>E57*G57*'Ref-Savings Calculations'!$E$7*Applicability</f>
        <v>16.139381899512461</v>
      </c>
      <c r="O57" s="588">
        <f>E57*G57*'Ref-Savings Calculations'!$C$54*Applicability*ControlShare</f>
        <v>15.316402805745726</v>
      </c>
      <c r="P57" s="588">
        <f>rMarketSolutions[[#This Row],[Lighting Savings
(lamp and/or ballast)]]</f>
        <v>16.139381899512461</v>
      </c>
      <c r="Q57" s="588" t="s">
        <v>871</v>
      </c>
      <c r="R57" s="37"/>
      <c r="S57" s="582" t="s">
        <v>44</v>
      </c>
      <c r="T57" s="582" t="s">
        <v>63</v>
      </c>
      <c r="U57" s="582" t="s">
        <v>69</v>
      </c>
      <c r="V57" s="582" t="s">
        <v>69</v>
      </c>
      <c r="W57" s="582" t="s">
        <v>76</v>
      </c>
      <c r="X57" s="37"/>
      <c r="Y57" s="37"/>
      <c r="Z57" s="582" t="s">
        <v>78</v>
      </c>
      <c r="AA57" s="582" t="s">
        <v>78</v>
      </c>
      <c r="AB57" s="37"/>
      <c r="AC57" s="685">
        <f>'Ref-ComHOU'!$G$74</f>
        <v>7.1068493150684935</v>
      </c>
      <c r="AD57" s="582" t="s">
        <v>72</v>
      </c>
      <c r="AE57" s="582" t="s">
        <v>73</v>
      </c>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822"/>
      <c r="BC57" s="822"/>
      <c r="BD57" s="822"/>
      <c r="BE57" s="822"/>
      <c r="BF57" s="822"/>
      <c r="BG57" s="822"/>
      <c r="BH57" s="822"/>
      <c r="BI57" s="822"/>
      <c r="BJ57" s="822"/>
      <c r="BK57" s="822"/>
      <c r="BL57" s="822"/>
      <c r="BM57" s="822"/>
      <c r="BN57" s="822"/>
      <c r="BO57" s="822"/>
      <c r="BP57" s="822"/>
      <c r="BQ57" s="822"/>
      <c r="BR57" s="822"/>
      <c r="BS57" s="822"/>
      <c r="BT57" s="822"/>
      <c r="BU57" s="822"/>
      <c r="BV57" s="822"/>
      <c r="BW57" s="822"/>
      <c r="BX57" s="822"/>
      <c r="BY57" s="822"/>
      <c r="BZ57" s="822"/>
      <c r="CA57" s="822"/>
      <c r="CB57" s="822"/>
      <c r="CC57" s="822"/>
      <c r="CD57" s="822"/>
      <c r="CE57" s="822"/>
      <c r="CF57" s="822"/>
      <c r="CG57" s="822"/>
      <c r="CH57" s="822"/>
      <c r="CI57" s="822"/>
      <c r="CJ57" s="392"/>
      <c r="CK57" s="392"/>
      <c r="CL57" s="392"/>
      <c r="CM57" s="392"/>
      <c r="CN57" s="392"/>
      <c r="CO57" s="392"/>
      <c r="CP57" s="392"/>
      <c r="CQ57" s="392"/>
      <c r="CR57" s="392"/>
      <c r="CS57" s="392"/>
      <c r="CT57" s="392"/>
      <c r="CU57" s="392"/>
      <c r="CV57" s="392"/>
      <c r="CW57" s="392"/>
      <c r="CX57" s="392"/>
      <c r="CY57" s="392"/>
      <c r="CZ57" s="392"/>
      <c r="DA57" s="392"/>
      <c r="DB57" s="392"/>
      <c r="DC57" s="392"/>
    </row>
    <row r="58" spans="1:107" s="337" customFormat="1" ht="24">
      <c r="A58" s="37"/>
      <c r="B58" s="581" t="s">
        <v>23</v>
      </c>
      <c r="C58" s="582" t="s">
        <v>1266</v>
      </c>
      <c r="D58" s="583" t="s">
        <v>1268</v>
      </c>
      <c r="E58" s="584">
        <f>'Ref-ComSources'!$AE$5</f>
        <v>417.69372083632197</v>
      </c>
      <c r="F58" s="585" t="s">
        <v>24</v>
      </c>
      <c r="G58" s="586">
        <f>'Ref-2013CSSsaturationsINT'!$F$186</f>
        <v>0.20929606454378483</v>
      </c>
      <c r="H58" s="585" t="s">
        <v>873</v>
      </c>
      <c r="I58" s="587">
        <f>'Ref-2013CSSsaturationsINT'!$J$186</f>
        <v>0.91250770827753969</v>
      </c>
      <c r="J58" s="585" t="s">
        <v>25</v>
      </c>
      <c r="K58" s="585" t="s">
        <v>1003</v>
      </c>
      <c r="L58" s="585" t="s">
        <v>95</v>
      </c>
      <c r="M58" s="585" t="s">
        <v>90</v>
      </c>
      <c r="N58" s="588">
        <f>E58*G58*'Ref-Savings Calculations'!$E$7*Applicability</f>
        <v>16.139381899512461</v>
      </c>
      <c r="O58" s="588">
        <f>E58*G58*'Ref-Savings Calculations'!$C$77*Applicability*ControlShare</f>
        <v>17.869136606703346</v>
      </c>
      <c r="P58" s="588">
        <f>rMarketSolutions[[#This Row],[Lighting Savings
(lamp and/or ballast)]]</f>
        <v>16.139381899512461</v>
      </c>
      <c r="Q58" s="588" t="s">
        <v>1109</v>
      </c>
      <c r="R58" s="37"/>
      <c r="S58" s="582" t="s">
        <v>44</v>
      </c>
      <c r="T58" s="582" t="s">
        <v>63</v>
      </c>
      <c r="U58" s="582" t="s">
        <v>69</v>
      </c>
      <c r="V58" s="582" t="s">
        <v>69</v>
      </c>
      <c r="W58" s="582" t="s">
        <v>76</v>
      </c>
      <c r="X58" s="37"/>
      <c r="Y58" s="37"/>
      <c r="Z58" s="582" t="s">
        <v>78</v>
      </c>
      <c r="AA58" s="582" t="s">
        <v>78</v>
      </c>
      <c r="AB58" s="37"/>
      <c r="AC58" s="685">
        <f>'Ref-ComHOU'!$G$74</f>
        <v>7.1068493150684935</v>
      </c>
      <c r="AD58" s="582" t="s">
        <v>72</v>
      </c>
      <c r="AE58" s="582" t="s">
        <v>73</v>
      </c>
      <c r="AF58" s="822"/>
      <c r="AG58" s="822"/>
      <c r="AH58" s="822"/>
      <c r="AI58" s="822"/>
      <c r="AJ58" s="822"/>
      <c r="AK58" s="822"/>
      <c r="AL58" s="822"/>
      <c r="AM58" s="822"/>
      <c r="AN58" s="822"/>
      <c r="AO58" s="822"/>
      <c r="AP58" s="822"/>
      <c r="AQ58" s="822"/>
      <c r="AR58" s="822"/>
      <c r="AS58" s="822"/>
      <c r="AT58" s="822"/>
      <c r="AU58" s="822"/>
      <c r="AV58" s="822"/>
      <c r="AW58" s="822"/>
      <c r="AX58" s="822"/>
      <c r="AY58" s="822"/>
      <c r="AZ58" s="822"/>
      <c r="BA58" s="822"/>
      <c r="BB58" s="822"/>
      <c r="BC58" s="822"/>
      <c r="BD58" s="822"/>
      <c r="BE58" s="822"/>
      <c r="BF58" s="822"/>
      <c r="BG58" s="822"/>
      <c r="BH58" s="822"/>
      <c r="BI58" s="822"/>
      <c r="BJ58" s="822"/>
      <c r="BK58" s="822"/>
      <c r="BL58" s="822"/>
      <c r="BM58" s="822"/>
      <c r="BN58" s="822"/>
      <c r="BO58" s="822"/>
      <c r="BP58" s="822"/>
      <c r="BQ58" s="822"/>
      <c r="BR58" s="822"/>
      <c r="BS58" s="822"/>
      <c r="BT58" s="822"/>
      <c r="BU58" s="822"/>
      <c r="BV58" s="822"/>
      <c r="BW58" s="822"/>
      <c r="BX58" s="822"/>
      <c r="BY58" s="822"/>
      <c r="BZ58" s="822"/>
      <c r="CA58" s="822"/>
      <c r="CB58" s="822"/>
      <c r="CC58" s="822"/>
      <c r="CD58" s="822"/>
      <c r="CE58" s="822"/>
      <c r="CF58" s="822"/>
      <c r="CG58" s="822"/>
      <c r="CH58" s="822"/>
      <c r="CI58" s="822"/>
      <c r="CJ58" s="392"/>
      <c r="CK58" s="392"/>
      <c r="CL58" s="392"/>
      <c r="CM58" s="392"/>
      <c r="CN58" s="392"/>
      <c r="CO58" s="392"/>
      <c r="CP58" s="392"/>
      <c r="CQ58" s="392"/>
      <c r="CR58" s="392"/>
      <c r="CS58" s="392"/>
      <c r="CT58" s="392"/>
      <c r="CU58" s="392"/>
      <c r="CV58" s="392"/>
      <c r="CW58" s="392"/>
      <c r="CX58" s="392"/>
      <c r="CY58" s="392"/>
      <c r="CZ58" s="392"/>
      <c r="DA58" s="392"/>
      <c r="DB58" s="392"/>
      <c r="DC58" s="392"/>
    </row>
    <row r="59" spans="1:107" s="337" customFormat="1" ht="24">
      <c r="A59" s="37"/>
      <c r="B59" s="581" t="s">
        <v>23</v>
      </c>
      <c r="C59" s="582" t="s">
        <v>1266</v>
      </c>
      <c r="D59" s="583" t="s">
        <v>1268</v>
      </c>
      <c r="E59" s="584">
        <f>'Ref-ComSources'!$AE$5</f>
        <v>417.69372083632197</v>
      </c>
      <c r="F59" s="585" t="s">
        <v>24</v>
      </c>
      <c r="G59" s="586">
        <f>'Ref-2013CSSsaturationsINT'!$F$186</f>
        <v>0.20929606454378483</v>
      </c>
      <c r="H59" s="585" t="s">
        <v>873</v>
      </c>
      <c r="I59" s="587">
        <f>'Ref-2013CSSsaturationsINT'!$J$186</f>
        <v>0.91250770827753969</v>
      </c>
      <c r="J59" s="585" t="s">
        <v>25</v>
      </c>
      <c r="K59" s="585" t="s">
        <v>1003</v>
      </c>
      <c r="L59" s="585" t="s">
        <v>95</v>
      </c>
      <c r="M59" s="585" t="s">
        <v>92</v>
      </c>
      <c r="N59" s="588">
        <f>E59*G59*'Ref-Savings Calculations'!$E$7*Applicability</f>
        <v>16.139381899512461</v>
      </c>
      <c r="O59" s="588">
        <f>E59*G59*'Ref-Savings Calculations'!$C$99*Applicability*ControlShare</f>
        <v>22.974604208618583</v>
      </c>
      <c r="P59" s="588">
        <f>rMarketSolutions[[#This Row],[Lighting Savings
(lamp and/or ballast)]]</f>
        <v>16.139381899512461</v>
      </c>
      <c r="Q59" s="588">
        <f>E59*G59*('Ref-Savings Calculations'!$C$99-'Ref-Savings Calculations'!$C$54)*Applicability*ControlShare</f>
        <v>7.6582014028728631</v>
      </c>
      <c r="R59" s="37"/>
      <c r="S59" s="582" t="s">
        <v>44</v>
      </c>
      <c r="T59" s="582" t="s">
        <v>63</v>
      </c>
      <c r="U59" s="582" t="s">
        <v>69</v>
      </c>
      <c r="V59" s="582" t="s">
        <v>69</v>
      </c>
      <c r="W59" s="582" t="s">
        <v>76</v>
      </c>
      <c r="X59" s="37"/>
      <c r="Y59" s="37"/>
      <c r="Z59" s="582" t="s">
        <v>78</v>
      </c>
      <c r="AA59" s="582" t="s">
        <v>78</v>
      </c>
      <c r="AB59" s="37"/>
      <c r="AC59" s="685">
        <f>'Ref-ComHOU'!$G$74</f>
        <v>7.1068493150684935</v>
      </c>
      <c r="AD59" s="582" t="s">
        <v>72</v>
      </c>
      <c r="AE59" s="582" t="s">
        <v>73</v>
      </c>
      <c r="AF59" s="822"/>
      <c r="AG59" s="822"/>
      <c r="AH59" s="822"/>
      <c r="AI59" s="822"/>
      <c r="AJ59" s="822"/>
      <c r="AK59" s="822"/>
      <c r="AL59" s="822"/>
      <c r="AM59" s="822"/>
      <c r="AN59" s="822"/>
      <c r="AO59" s="822"/>
      <c r="AP59" s="822"/>
      <c r="AQ59" s="822"/>
      <c r="AR59" s="822"/>
      <c r="AS59" s="822"/>
      <c r="AT59" s="822"/>
      <c r="AU59" s="822"/>
      <c r="AV59" s="822"/>
      <c r="AW59" s="822"/>
      <c r="AX59" s="822"/>
      <c r="AY59" s="822"/>
      <c r="AZ59" s="822"/>
      <c r="BA59" s="822"/>
      <c r="BB59" s="822"/>
      <c r="BC59" s="822"/>
      <c r="BD59" s="822"/>
      <c r="BE59" s="822"/>
      <c r="BF59" s="822"/>
      <c r="BG59" s="822"/>
      <c r="BH59" s="822"/>
      <c r="BI59" s="822"/>
      <c r="BJ59" s="822"/>
      <c r="BK59" s="822"/>
      <c r="BL59" s="822"/>
      <c r="BM59" s="822"/>
      <c r="BN59" s="822"/>
      <c r="BO59" s="822"/>
      <c r="BP59" s="822"/>
      <c r="BQ59" s="822"/>
      <c r="BR59" s="822"/>
      <c r="BS59" s="822"/>
      <c r="BT59" s="822"/>
      <c r="BU59" s="822"/>
      <c r="BV59" s="822"/>
      <c r="BW59" s="822"/>
      <c r="BX59" s="822"/>
      <c r="BY59" s="822"/>
      <c r="BZ59" s="822"/>
      <c r="CA59" s="822"/>
      <c r="CB59" s="822"/>
      <c r="CC59" s="822"/>
      <c r="CD59" s="822"/>
      <c r="CE59" s="822"/>
      <c r="CF59" s="822"/>
      <c r="CG59" s="822"/>
      <c r="CH59" s="822"/>
      <c r="CI59" s="822"/>
      <c r="CJ59" s="392"/>
      <c r="CK59" s="392"/>
      <c r="CL59" s="392"/>
      <c r="CM59" s="392"/>
      <c r="CN59" s="392"/>
      <c r="CO59" s="392"/>
      <c r="CP59" s="392"/>
      <c r="CQ59" s="392"/>
      <c r="CR59" s="392"/>
      <c r="CS59" s="392"/>
      <c r="CT59" s="392"/>
      <c r="CU59" s="392"/>
      <c r="CV59" s="392"/>
      <c r="CW59" s="392"/>
      <c r="CX59" s="392"/>
      <c r="CY59" s="392"/>
      <c r="CZ59" s="392"/>
      <c r="DA59" s="392"/>
      <c r="DB59" s="392"/>
      <c r="DC59" s="392"/>
    </row>
    <row r="60" spans="1:107" s="337" customFormat="1" ht="56.25">
      <c r="A60" s="37"/>
      <c r="B60" s="591" t="s">
        <v>23</v>
      </c>
      <c r="C60" s="592" t="s">
        <v>181</v>
      </c>
      <c r="D60" s="593" t="s">
        <v>1220</v>
      </c>
      <c r="E60" s="594">
        <f>'Ref-ComSources'!$AB$9*AVERAGE('Ref-ComSources'!$D$74:$D$75)</f>
        <v>4282.1979731819274</v>
      </c>
      <c r="F60" s="592" t="s">
        <v>27</v>
      </c>
      <c r="G60" s="595">
        <f>'Ref-2013CSSsaturationsINT'!$F$3</f>
        <v>0.97831874716616496</v>
      </c>
      <c r="H60" s="592" t="s">
        <v>66</v>
      </c>
      <c r="I60" s="596">
        <f>'Ref-2013CSSsaturationsINT'!$J$3</f>
        <v>0.78814331624736522</v>
      </c>
      <c r="J60" s="592" t="s">
        <v>1097</v>
      </c>
      <c r="K60" s="592" t="s">
        <v>1012</v>
      </c>
      <c r="L60" s="592" t="s">
        <v>960</v>
      </c>
      <c r="M60" s="592" t="s">
        <v>88</v>
      </c>
      <c r="N60" s="597">
        <f>E60*G60*'Ref-Savings Calculations'!$E$33*Applicability</f>
        <v>618.73544215249262</v>
      </c>
      <c r="O60" s="597">
        <f>E60*G60*'Ref-Savings Calculations'!$C$55*Applicability*ControlShare</f>
        <v>581.11887554893224</v>
      </c>
      <c r="P60" s="597">
        <f>E60*G60*'Ref-Savings Calculations'!$E$34*Applicability</f>
        <v>536.23738319882671</v>
      </c>
      <c r="Q60" s="597">
        <f>E60*G60*('Ref-Savings Calculations'!$C$55-'Ref-Savings Calculations'!$C$124)*Applicability*ControlShare</f>
        <v>52.828988686266534</v>
      </c>
      <c r="R60" s="37"/>
      <c r="S60" s="592" t="s">
        <v>69</v>
      </c>
      <c r="T60" s="592" t="s">
        <v>69</v>
      </c>
      <c r="U60" s="592" t="s">
        <v>69</v>
      </c>
      <c r="V60" s="592" t="s">
        <v>69</v>
      </c>
      <c r="W60" s="592" t="s">
        <v>76</v>
      </c>
      <c r="X60" s="37"/>
      <c r="Y60" s="37"/>
      <c r="Z60" s="592" t="s">
        <v>78</v>
      </c>
      <c r="AA60" s="592" t="s">
        <v>78</v>
      </c>
      <c r="AB60" s="37"/>
      <c r="AC60" s="679">
        <f>'Ref-ComHOU'!$G$65</f>
        <v>7.2356164383561641</v>
      </c>
      <c r="AD60" s="592" t="s">
        <v>72</v>
      </c>
      <c r="AE60" s="598" t="s">
        <v>73</v>
      </c>
      <c r="AF60" s="822"/>
      <c r="AG60" s="822"/>
      <c r="AH60" s="822"/>
      <c r="AI60" s="822"/>
      <c r="AJ60" s="822"/>
      <c r="AK60" s="822"/>
      <c r="AL60" s="822"/>
      <c r="AM60" s="822"/>
      <c r="AN60" s="822"/>
      <c r="AO60" s="822"/>
      <c r="AP60" s="822"/>
      <c r="AQ60" s="822"/>
      <c r="AR60" s="822"/>
      <c r="AS60" s="822"/>
      <c r="AT60" s="822"/>
      <c r="AU60" s="822"/>
      <c r="AV60" s="822"/>
      <c r="AW60" s="822"/>
      <c r="AX60" s="822"/>
      <c r="AY60" s="822"/>
      <c r="AZ60" s="822"/>
      <c r="BA60" s="822"/>
      <c r="BB60" s="822"/>
      <c r="BC60" s="822"/>
      <c r="BD60" s="822"/>
      <c r="BE60" s="822"/>
      <c r="BF60" s="822"/>
      <c r="BG60" s="822"/>
      <c r="BH60" s="822"/>
      <c r="BI60" s="822"/>
      <c r="BJ60" s="822"/>
      <c r="BK60" s="822"/>
      <c r="BL60" s="822"/>
      <c r="BM60" s="822"/>
      <c r="BN60" s="822"/>
      <c r="BO60" s="822"/>
      <c r="BP60" s="822"/>
      <c r="BQ60" s="822"/>
      <c r="BR60" s="822"/>
      <c r="BS60" s="822"/>
      <c r="BT60" s="822"/>
      <c r="BU60" s="822"/>
      <c r="BV60" s="822"/>
      <c r="BW60" s="822"/>
      <c r="BX60" s="822"/>
      <c r="BY60" s="822"/>
      <c r="BZ60" s="822"/>
      <c r="CA60" s="822"/>
      <c r="CB60" s="822"/>
      <c r="CC60" s="822"/>
      <c r="CD60" s="822"/>
      <c r="CE60" s="822"/>
      <c r="CF60" s="822"/>
      <c r="CG60" s="822"/>
      <c r="CH60" s="822"/>
      <c r="CI60" s="822"/>
      <c r="CJ60" s="392"/>
      <c r="CK60" s="392"/>
      <c r="CL60" s="392"/>
      <c r="CM60" s="392"/>
      <c r="CN60" s="392"/>
      <c r="CO60" s="392"/>
      <c r="CP60" s="392"/>
      <c r="CQ60" s="392"/>
      <c r="CR60" s="392"/>
      <c r="CS60" s="392"/>
      <c r="CT60" s="392"/>
      <c r="CU60" s="392"/>
      <c r="CV60" s="392"/>
      <c r="CW60" s="392"/>
      <c r="CX60" s="392"/>
      <c r="CY60" s="392"/>
      <c r="CZ60" s="392"/>
      <c r="DA60" s="392"/>
      <c r="DB60" s="392"/>
      <c r="DC60" s="392"/>
    </row>
    <row r="61" spans="1:107" s="337" customFormat="1" ht="56.25">
      <c r="A61" s="37"/>
      <c r="B61" s="591" t="s">
        <v>23</v>
      </c>
      <c r="C61" s="592" t="s">
        <v>181</v>
      </c>
      <c r="D61" s="593" t="s">
        <v>1220</v>
      </c>
      <c r="E61" s="594">
        <f>'Ref-ComSources'!$AB$9*AVERAGE('Ref-ComSources'!$D$74:$D$75)</f>
        <v>4282.1979731819274</v>
      </c>
      <c r="F61" s="592" t="s">
        <v>27</v>
      </c>
      <c r="G61" s="595">
        <f>'Ref-2013CSSsaturationsINT'!$F$3</f>
        <v>0.97831874716616496</v>
      </c>
      <c r="H61" s="592" t="s">
        <v>66</v>
      </c>
      <c r="I61" s="596">
        <f>'Ref-2013CSSsaturationsINT'!$J$3</f>
        <v>0.78814331624736522</v>
      </c>
      <c r="J61" s="592" t="s">
        <v>1097</v>
      </c>
      <c r="K61" s="592" t="s">
        <v>1012</v>
      </c>
      <c r="L61" s="592" t="s">
        <v>960</v>
      </c>
      <c r="M61" s="592" t="s">
        <v>90</v>
      </c>
      <c r="N61" s="597">
        <f>E61*G61*'Ref-Savings Calculations'!$E$33*Applicability</f>
        <v>618.73544215249262</v>
      </c>
      <c r="O61" s="597">
        <f>E61*G61*'Ref-Savings Calculations'!$C$78*Applicability*ControlShare</f>
        <v>713.19134726459868</v>
      </c>
      <c r="P61" s="597">
        <f>E61*G61*'Ref-Savings Calculations'!$E$34*Applicability</f>
        <v>536.23738319882671</v>
      </c>
      <c r="Q61" s="597">
        <f>E61*G61*('Ref-Savings Calculations'!$C$78-'Ref-Savings Calculations'!$C$124)*Applicability*ControlShare</f>
        <v>184.90146040193301</v>
      </c>
      <c r="R61" s="37"/>
      <c r="S61" s="592" t="s">
        <v>69</v>
      </c>
      <c r="T61" s="592" t="s">
        <v>69</v>
      </c>
      <c r="U61" s="592" t="s">
        <v>69</v>
      </c>
      <c r="V61" s="592" t="s">
        <v>69</v>
      </c>
      <c r="W61" s="592" t="s">
        <v>76</v>
      </c>
      <c r="X61" s="37"/>
      <c r="Y61" s="37"/>
      <c r="Z61" s="592" t="s">
        <v>78</v>
      </c>
      <c r="AA61" s="592" t="s">
        <v>78</v>
      </c>
      <c r="AB61" s="37"/>
      <c r="AC61" s="679">
        <f>'Ref-ComHOU'!$G$65</f>
        <v>7.2356164383561641</v>
      </c>
      <c r="AD61" s="592" t="s">
        <v>72</v>
      </c>
      <c r="AE61" s="598" t="s">
        <v>73</v>
      </c>
      <c r="AF61" s="822"/>
      <c r="AG61" s="822"/>
      <c r="AH61" s="822"/>
      <c r="AI61" s="822"/>
      <c r="AJ61" s="822"/>
      <c r="AK61" s="822"/>
      <c r="AL61" s="822"/>
      <c r="AM61" s="822"/>
      <c r="AN61" s="822"/>
      <c r="AO61" s="822"/>
      <c r="AP61" s="822"/>
      <c r="AQ61" s="822"/>
      <c r="AR61" s="822"/>
      <c r="AS61" s="822"/>
      <c r="AT61" s="822"/>
      <c r="AU61" s="822"/>
      <c r="AV61" s="822"/>
      <c r="AW61" s="822"/>
      <c r="AX61" s="822"/>
      <c r="AY61" s="822"/>
      <c r="AZ61" s="822"/>
      <c r="BA61" s="822"/>
      <c r="BB61" s="822"/>
      <c r="BC61" s="822"/>
      <c r="BD61" s="822"/>
      <c r="BE61" s="822"/>
      <c r="BF61" s="822"/>
      <c r="BG61" s="822"/>
      <c r="BH61" s="822"/>
      <c r="BI61" s="822"/>
      <c r="BJ61" s="822"/>
      <c r="BK61" s="822"/>
      <c r="BL61" s="822"/>
      <c r="BM61" s="822"/>
      <c r="BN61" s="822"/>
      <c r="BO61" s="822"/>
      <c r="BP61" s="822"/>
      <c r="BQ61" s="822"/>
      <c r="BR61" s="822"/>
      <c r="BS61" s="822"/>
      <c r="BT61" s="822"/>
      <c r="BU61" s="822"/>
      <c r="BV61" s="822"/>
      <c r="BW61" s="822"/>
      <c r="BX61" s="822"/>
      <c r="BY61" s="822"/>
      <c r="BZ61" s="822"/>
      <c r="CA61" s="822"/>
      <c r="CB61" s="822"/>
      <c r="CC61" s="822"/>
      <c r="CD61" s="822"/>
      <c r="CE61" s="822"/>
      <c r="CF61" s="822"/>
      <c r="CG61" s="822"/>
      <c r="CH61" s="822"/>
      <c r="CI61" s="822"/>
      <c r="CJ61" s="392"/>
      <c r="CK61" s="392"/>
      <c r="CL61" s="392"/>
      <c r="CM61" s="392"/>
      <c r="CN61" s="392"/>
      <c r="CO61" s="392"/>
      <c r="CP61" s="392"/>
      <c r="CQ61" s="392"/>
      <c r="CR61" s="392"/>
      <c r="CS61" s="392"/>
      <c r="CT61" s="392"/>
      <c r="CU61" s="392"/>
      <c r="CV61" s="392"/>
      <c r="CW61" s="392"/>
      <c r="CX61" s="392"/>
      <c r="CY61" s="392"/>
      <c r="CZ61" s="392"/>
      <c r="DA61" s="392"/>
      <c r="DB61" s="392"/>
      <c r="DC61" s="392"/>
    </row>
    <row r="62" spans="1:107" s="337" customFormat="1" ht="56.25">
      <c r="A62" s="37"/>
      <c r="B62" s="591" t="s">
        <v>23</v>
      </c>
      <c r="C62" s="592" t="s">
        <v>181</v>
      </c>
      <c r="D62" s="593" t="s">
        <v>1220</v>
      </c>
      <c r="E62" s="594">
        <f>'Ref-ComSources'!$AB$9*AVERAGE('Ref-ComSources'!$D$74:$D$75)</f>
        <v>4282.1979731819274</v>
      </c>
      <c r="F62" s="592" t="s">
        <v>27</v>
      </c>
      <c r="G62" s="595">
        <f>'Ref-2013CSSsaturationsINT'!$F$3</f>
        <v>0.97831874716616496</v>
      </c>
      <c r="H62" s="592" t="s">
        <v>66</v>
      </c>
      <c r="I62" s="596">
        <f>'Ref-2013CSSsaturationsINT'!$J$3</f>
        <v>0.78814331624736522</v>
      </c>
      <c r="J62" s="592" t="s">
        <v>1097</v>
      </c>
      <c r="K62" s="592" t="s">
        <v>1012</v>
      </c>
      <c r="L62" s="592" t="s">
        <v>960</v>
      </c>
      <c r="M62" s="592" t="s">
        <v>91</v>
      </c>
      <c r="N62" s="597">
        <f>E62*G62*'Ref-Savings Calculations'!$E$33*Applicability</f>
        <v>618.73544215249262</v>
      </c>
      <c r="O62" s="597">
        <f>E62*G62*'Ref-Savings Calculations'!$C$90*Applicability*ControlShare</f>
        <v>924.50730200966484</v>
      </c>
      <c r="P62" s="597">
        <f>E62*G62*'Ref-Savings Calculations'!$E$34*Applicability</f>
        <v>536.23738319882671</v>
      </c>
      <c r="Q62" s="597">
        <f>E62*G62*('Ref-Savings Calculations'!$C$90-'Ref-Savings Calculations'!$C$124)*Applicability*ControlShare</f>
        <v>396.21741514699914</v>
      </c>
      <c r="R62" s="37"/>
      <c r="S62" s="592" t="s">
        <v>69</v>
      </c>
      <c r="T62" s="592" t="s">
        <v>69</v>
      </c>
      <c r="U62" s="592" t="s">
        <v>69</v>
      </c>
      <c r="V62" s="592" t="s">
        <v>69</v>
      </c>
      <c r="W62" s="592" t="s">
        <v>76</v>
      </c>
      <c r="X62" s="37"/>
      <c r="Y62" s="37"/>
      <c r="Z62" s="592" t="s">
        <v>78</v>
      </c>
      <c r="AA62" s="592" t="s">
        <v>78</v>
      </c>
      <c r="AB62" s="37"/>
      <c r="AC62" s="679">
        <f>'Ref-ComHOU'!$G$65</f>
        <v>7.2356164383561641</v>
      </c>
      <c r="AD62" s="592" t="s">
        <v>72</v>
      </c>
      <c r="AE62" s="598" t="s">
        <v>73</v>
      </c>
      <c r="AF62" s="822"/>
      <c r="AG62" s="822"/>
      <c r="AH62" s="822"/>
      <c r="AI62" s="822"/>
      <c r="AJ62" s="822"/>
      <c r="AK62" s="822"/>
      <c r="AL62" s="822"/>
      <c r="AM62" s="822"/>
      <c r="AN62" s="822"/>
      <c r="AO62" s="822"/>
      <c r="AP62" s="822"/>
      <c r="AQ62" s="822"/>
      <c r="AR62" s="822"/>
      <c r="AS62" s="822"/>
      <c r="AT62" s="822"/>
      <c r="AU62" s="822"/>
      <c r="AV62" s="822"/>
      <c r="AW62" s="822"/>
      <c r="AX62" s="822"/>
      <c r="AY62" s="822"/>
      <c r="AZ62" s="822"/>
      <c r="BA62" s="822"/>
      <c r="BB62" s="822"/>
      <c r="BC62" s="822"/>
      <c r="BD62" s="822"/>
      <c r="BE62" s="822"/>
      <c r="BF62" s="822"/>
      <c r="BG62" s="822"/>
      <c r="BH62" s="822"/>
      <c r="BI62" s="822"/>
      <c r="BJ62" s="822"/>
      <c r="BK62" s="822"/>
      <c r="BL62" s="822"/>
      <c r="BM62" s="822"/>
      <c r="BN62" s="822"/>
      <c r="BO62" s="822"/>
      <c r="BP62" s="822"/>
      <c r="BQ62" s="822"/>
      <c r="BR62" s="822"/>
      <c r="BS62" s="822"/>
      <c r="BT62" s="822"/>
      <c r="BU62" s="822"/>
      <c r="BV62" s="822"/>
      <c r="BW62" s="822"/>
      <c r="BX62" s="822"/>
      <c r="BY62" s="822"/>
      <c r="BZ62" s="822"/>
      <c r="CA62" s="822"/>
      <c r="CB62" s="822"/>
      <c r="CC62" s="822"/>
      <c r="CD62" s="822"/>
      <c r="CE62" s="822"/>
      <c r="CF62" s="822"/>
      <c r="CG62" s="822"/>
      <c r="CH62" s="822"/>
      <c r="CI62" s="822"/>
      <c r="CJ62" s="392"/>
      <c r="CK62" s="392"/>
      <c r="CL62" s="392"/>
      <c r="CM62" s="392"/>
      <c r="CN62" s="392"/>
      <c r="CO62" s="392"/>
      <c r="CP62" s="392"/>
      <c r="CQ62" s="392"/>
      <c r="CR62" s="392"/>
      <c r="CS62" s="392"/>
      <c r="CT62" s="392"/>
      <c r="CU62" s="392"/>
      <c r="CV62" s="392"/>
      <c r="CW62" s="392"/>
      <c r="CX62" s="392"/>
      <c r="CY62" s="392"/>
      <c r="CZ62" s="392"/>
      <c r="DA62" s="392"/>
      <c r="DB62" s="392"/>
      <c r="DC62" s="392"/>
    </row>
    <row r="63" spans="1:107" s="337" customFormat="1" ht="56.25">
      <c r="A63" s="37"/>
      <c r="B63" s="591" t="s">
        <v>23</v>
      </c>
      <c r="C63" s="592" t="s">
        <v>181</v>
      </c>
      <c r="D63" s="593" t="s">
        <v>1220</v>
      </c>
      <c r="E63" s="594">
        <f>'Ref-ComSources'!$AB$9*AVERAGE('Ref-ComSources'!$D$74:$D$75)</f>
        <v>4282.1979731819274</v>
      </c>
      <c r="F63" s="592" t="s">
        <v>27</v>
      </c>
      <c r="G63" s="595">
        <f>'Ref-2013CSSsaturationsINT'!$F$3</f>
        <v>0.97831874716616496</v>
      </c>
      <c r="H63" s="592" t="s">
        <v>66</v>
      </c>
      <c r="I63" s="596">
        <f>'Ref-2013CSSsaturationsINT'!$J$3</f>
        <v>0.78814331624736522</v>
      </c>
      <c r="J63" s="592" t="s">
        <v>1097</v>
      </c>
      <c r="K63" s="592" t="s">
        <v>1012</v>
      </c>
      <c r="L63" s="592" t="s">
        <v>960</v>
      </c>
      <c r="M63" s="592" t="s">
        <v>92</v>
      </c>
      <c r="N63" s="597">
        <f>E63*G63*'Ref-Savings Calculations'!$E$33*Applicability</f>
        <v>618.73544215249262</v>
      </c>
      <c r="O63" s="597">
        <f>E63*G63*'Ref-Savings Calculations'!$C$100*Applicability*ControlShare</f>
        <v>950.9217963527982</v>
      </c>
      <c r="P63" s="597">
        <f>E63*G63*'Ref-Savings Calculations'!$E$34*Applicability</f>
        <v>536.23738319882671</v>
      </c>
      <c r="Q63" s="597">
        <f>E63*G63*('Ref-Savings Calculations'!$C$100-'Ref-Savings Calculations'!$C$124)*Applicability*ControlShare</f>
        <v>422.63190949013244</v>
      </c>
      <c r="R63" s="37"/>
      <c r="S63" s="592" t="s">
        <v>69</v>
      </c>
      <c r="T63" s="592" t="s">
        <v>69</v>
      </c>
      <c r="U63" s="592" t="s">
        <v>69</v>
      </c>
      <c r="V63" s="592" t="s">
        <v>69</v>
      </c>
      <c r="W63" s="592" t="s">
        <v>76</v>
      </c>
      <c r="X63" s="37"/>
      <c r="Y63" s="37"/>
      <c r="Z63" s="592" t="s">
        <v>78</v>
      </c>
      <c r="AA63" s="592" t="s">
        <v>78</v>
      </c>
      <c r="AB63" s="37"/>
      <c r="AC63" s="679">
        <f>'Ref-ComHOU'!$G$65</f>
        <v>7.2356164383561641</v>
      </c>
      <c r="AD63" s="592" t="s">
        <v>72</v>
      </c>
      <c r="AE63" s="598" t="s">
        <v>73</v>
      </c>
      <c r="AF63" s="822"/>
      <c r="AG63" s="822"/>
      <c r="AH63" s="822"/>
      <c r="AI63" s="822"/>
      <c r="AJ63" s="822"/>
      <c r="AK63" s="822"/>
      <c r="AL63" s="822"/>
      <c r="AM63" s="822"/>
      <c r="AN63" s="822"/>
      <c r="AO63" s="822"/>
      <c r="AP63" s="822"/>
      <c r="AQ63" s="822"/>
      <c r="AR63" s="822"/>
      <c r="AS63" s="822"/>
      <c r="AT63" s="822"/>
      <c r="AU63" s="822"/>
      <c r="AV63" s="822"/>
      <c r="AW63" s="822"/>
      <c r="AX63" s="822"/>
      <c r="AY63" s="822"/>
      <c r="AZ63" s="822"/>
      <c r="BA63" s="822"/>
      <c r="BB63" s="822"/>
      <c r="BC63" s="822"/>
      <c r="BD63" s="822"/>
      <c r="BE63" s="822"/>
      <c r="BF63" s="822"/>
      <c r="BG63" s="822"/>
      <c r="BH63" s="822"/>
      <c r="BI63" s="822"/>
      <c r="BJ63" s="822"/>
      <c r="BK63" s="822"/>
      <c r="BL63" s="822"/>
      <c r="BM63" s="822"/>
      <c r="BN63" s="822"/>
      <c r="BO63" s="822"/>
      <c r="BP63" s="822"/>
      <c r="BQ63" s="822"/>
      <c r="BR63" s="822"/>
      <c r="BS63" s="822"/>
      <c r="BT63" s="822"/>
      <c r="BU63" s="822"/>
      <c r="BV63" s="822"/>
      <c r="BW63" s="822"/>
      <c r="BX63" s="822"/>
      <c r="BY63" s="822"/>
      <c r="BZ63" s="822"/>
      <c r="CA63" s="822"/>
      <c r="CB63" s="822"/>
      <c r="CC63" s="822"/>
      <c r="CD63" s="822"/>
      <c r="CE63" s="822"/>
      <c r="CF63" s="822"/>
      <c r="CG63" s="822"/>
      <c r="CH63" s="822"/>
      <c r="CI63" s="822"/>
      <c r="CJ63" s="392"/>
      <c r="CK63" s="392"/>
      <c r="CL63" s="392"/>
      <c r="CM63" s="392"/>
      <c r="CN63" s="392"/>
      <c r="CO63" s="392"/>
      <c r="CP63" s="392"/>
      <c r="CQ63" s="392"/>
      <c r="CR63" s="392"/>
      <c r="CS63" s="392"/>
      <c r="CT63" s="392"/>
      <c r="CU63" s="392"/>
      <c r="CV63" s="392"/>
      <c r="CW63" s="392"/>
      <c r="CX63" s="392"/>
      <c r="CY63" s="392"/>
      <c r="CZ63" s="392"/>
      <c r="DA63" s="392"/>
      <c r="DB63" s="392"/>
      <c r="DC63" s="392"/>
    </row>
    <row r="64" spans="1:107" s="337" customFormat="1" ht="56.25">
      <c r="A64" s="37"/>
      <c r="B64" s="591" t="s">
        <v>23</v>
      </c>
      <c r="C64" s="592" t="s">
        <v>181</v>
      </c>
      <c r="D64" s="593" t="s">
        <v>1220</v>
      </c>
      <c r="E64" s="594">
        <f>'Ref-ComSources'!$AB$9*AVERAGE('Ref-ComSources'!$D$74:$D$75)</f>
        <v>4282.1979731819274</v>
      </c>
      <c r="F64" s="592" t="s">
        <v>27</v>
      </c>
      <c r="G64" s="595">
        <f>'Ref-2013CSSsaturationsINT'!$F$3</f>
        <v>0.97831874716616496</v>
      </c>
      <c r="H64" s="592" t="s">
        <v>66</v>
      </c>
      <c r="I64" s="596">
        <f>'Ref-2013CSSsaturationsINT'!$J$3</f>
        <v>0.78814331624736522</v>
      </c>
      <c r="J64" s="592" t="s">
        <v>1097</v>
      </c>
      <c r="K64" s="592" t="s">
        <v>1012</v>
      </c>
      <c r="L64" s="592" t="s">
        <v>960</v>
      </c>
      <c r="M64" s="592" t="s">
        <v>93</v>
      </c>
      <c r="N64" s="597">
        <f>E64*G64*'Ref-Savings Calculations'!$E$33*Applicability</f>
        <v>618.73544215249262</v>
      </c>
      <c r="O64" s="597">
        <f>E64*G64*'Ref-Savings Calculations'!$C$110*Applicability*ControlShare</f>
        <v>1056.5797737253315</v>
      </c>
      <c r="P64" s="597">
        <f>E64*G64*'Ref-Savings Calculations'!$E$34*Applicability</f>
        <v>536.23738319882671</v>
      </c>
      <c r="Q64" s="597">
        <f>E64*G64*('Ref-Savings Calculations'!$C$110-'Ref-Savings Calculations'!$C$124)*Applicability*ControlShare</f>
        <v>528.28988686266575</v>
      </c>
      <c r="R64" s="37"/>
      <c r="S64" s="592" t="s">
        <v>69</v>
      </c>
      <c r="T64" s="592" t="s">
        <v>69</v>
      </c>
      <c r="U64" s="598" t="s">
        <v>44</v>
      </c>
      <c r="V64" s="598" t="s">
        <v>75</v>
      </c>
      <c r="W64" s="592" t="s">
        <v>76</v>
      </c>
      <c r="X64" s="37"/>
      <c r="Y64" s="37"/>
      <c r="Z64" s="592" t="s">
        <v>78</v>
      </c>
      <c r="AA64" s="592" t="s">
        <v>78</v>
      </c>
      <c r="AB64" s="37"/>
      <c r="AC64" s="679">
        <f>'Ref-ComHOU'!$G$65</f>
        <v>7.2356164383561641</v>
      </c>
      <c r="AD64" s="592" t="s">
        <v>72</v>
      </c>
      <c r="AE64" s="598" t="s">
        <v>73</v>
      </c>
      <c r="AF64" s="822"/>
      <c r="AG64" s="822"/>
      <c r="AH64" s="822"/>
      <c r="AI64" s="822"/>
      <c r="AJ64" s="822"/>
      <c r="AK64" s="822"/>
      <c r="AL64" s="822"/>
      <c r="AM64" s="822"/>
      <c r="AN64" s="822"/>
      <c r="AO64" s="822"/>
      <c r="AP64" s="822"/>
      <c r="AQ64" s="822"/>
      <c r="AR64" s="822"/>
      <c r="AS64" s="822"/>
      <c r="AT64" s="822"/>
      <c r="AU64" s="822"/>
      <c r="AV64" s="822"/>
      <c r="AW64" s="822"/>
      <c r="AX64" s="822"/>
      <c r="AY64" s="822"/>
      <c r="AZ64" s="822"/>
      <c r="BA64" s="822"/>
      <c r="BB64" s="822"/>
      <c r="BC64" s="822"/>
      <c r="BD64" s="822"/>
      <c r="BE64" s="822"/>
      <c r="BF64" s="822"/>
      <c r="BG64" s="822"/>
      <c r="BH64" s="822"/>
      <c r="BI64" s="822"/>
      <c r="BJ64" s="822"/>
      <c r="BK64" s="822"/>
      <c r="BL64" s="822"/>
      <c r="BM64" s="822"/>
      <c r="BN64" s="822"/>
      <c r="BO64" s="822"/>
      <c r="BP64" s="822"/>
      <c r="BQ64" s="822"/>
      <c r="BR64" s="822"/>
      <c r="BS64" s="822"/>
      <c r="BT64" s="822"/>
      <c r="BU64" s="822"/>
      <c r="BV64" s="822"/>
      <c r="BW64" s="822"/>
      <c r="BX64" s="822"/>
      <c r="BY64" s="822"/>
      <c r="BZ64" s="822"/>
      <c r="CA64" s="822"/>
      <c r="CB64" s="822"/>
      <c r="CC64" s="822"/>
      <c r="CD64" s="822"/>
      <c r="CE64" s="822"/>
      <c r="CF64" s="822"/>
      <c r="CG64" s="822"/>
      <c r="CH64" s="822"/>
      <c r="CI64" s="822"/>
      <c r="CJ64" s="392"/>
      <c r="CK64" s="392"/>
      <c r="CL64" s="392"/>
      <c r="CM64" s="392"/>
      <c r="CN64" s="392"/>
      <c r="CO64" s="392"/>
      <c r="CP64" s="392"/>
      <c r="CQ64" s="392"/>
      <c r="CR64" s="392"/>
      <c r="CS64" s="392"/>
      <c r="CT64" s="392"/>
      <c r="CU64" s="392"/>
      <c r="CV64" s="392"/>
      <c r="CW64" s="392"/>
      <c r="CX64" s="392"/>
      <c r="CY64" s="392"/>
      <c r="CZ64" s="392"/>
      <c r="DA64" s="392"/>
      <c r="DB64" s="392"/>
      <c r="DC64" s="392"/>
    </row>
    <row r="65" spans="1:107" s="337" customFormat="1" ht="56.25">
      <c r="A65" s="37"/>
      <c r="B65" s="591" t="s">
        <v>23</v>
      </c>
      <c r="C65" s="592" t="s">
        <v>181</v>
      </c>
      <c r="D65" s="593" t="s">
        <v>1220</v>
      </c>
      <c r="E65" s="594">
        <f>'Ref-ComSources'!$AB$9*AVERAGE('Ref-ComSources'!$D$74:$D$75)</f>
        <v>4282.1979731819274</v>
      </c>
      <c r="F65" s="592" t="s">
        <v>27</v>
      </c>
      <c r="G65" s="595">
        <f>'Ref-2013CSSsaturationsINT'!$F$3</f>
        <v>0.97831874716616496</v>
      </c>
      <c r="H65" s="592" t="s">
        <v>66</v>
      </c>
      <c r="I65" s="596">
        <f>'Ref-2013CSSsaturationsINT'!$J$3</f>
        <v>0.78814331624736522</v>
      </c>
      <c r="J65" s="592" t="s">
        <v>1097</v>
      </c>
      <c r="K65" s="592" t="s">
        <v>1012</v>
      </c>
      <c r="L65" s="592" t="s">
        <v>15</v>
      </c>
      <c r="M65" s="592" t="s">
        <v>88</v>
      </c>
      <c r="N65" s="597">
        <f>E65*G65*'Ref-Savings Calculations'!$E$39*Applicability</f>
        <v>857.82021865883769</v>
      </c>
      <c r="O65" s="597">
        <f>E65*G65*'Ref-Savings Calculations'!$C$55*Applicability*ControlShare</f>
        <v>581.11887554893224</v>
      </c>
      <c r="P65" s="597">
        <f>E65*G65*'Ref-Savings Calculations'!$E$40*Applicability</f>
        <v>733.13704734214616</v>
      </c>
      <c r="Q65" s="597">
        <f>E65*G65*('Ref-Savings Calculations'!$C$55-'Ref-Savings Calculations'!$C$124)*Applicability*ControlShare</f>
        <v>52.828988686266534</v>
      </c>
      <c r="R65" s="37"/>
      <c r="S65" s="592" t="s">
        <v>44</v>
      </c>
      <c r="T65" s="598" t="s">
        <v>63</v>
      </c>
      <c r="U65" s="592" t="s">
        <v>69</v>
      </c>
      <c r="V65" s="592" t="s">
        <v>69</v>
      </c>
      <c r="W65" s="592" t="s">
        <v>76</v>
      </c>
      <c r="X65" s="37"/>
      <c r="Y65" s="37"/>
      <c r="Z65" s="592" t="s">
        <v>78</v>
      </c>
      <c r="AA65" s="592" t="s">
        <v>78</v>
      </c>
      <c r="AB65" s="37"/>
      <c r="AC65" s="679">
        <f>'Ref-ComHOU'!$G$65</f>
        <v>7.2356164383561641</v>
      </c>
      <c r="AD65" s="592" t="s">
        <v>72</v>
      </c>
      <c r="AE65" s="598" t="s">
        <v>73</v>
      </c>
      <c r="AF65" s="822"/>
      <c r="AG65" s="822"/>
      <c r="AH65" s="822"/>
      <c r="AI65" s="822"/>
      <c r="AJ65" s="822"/>
      <c r="AK65" s="822"/>
      <c r="AL65" s="822"/>
      <c r="AM65" s="822"/>
      <c r="AN65" s="822"/>
      <c r="AO65" s="822"/>
      <c r="AP65" s="822"/>
      <c r="AQ65" s="822"/>
      <c r="AR65" s="822"/>
      <c r="AS65" s="822"/>
      <c r="AT65" s="822"/>
      <c r="AU65" s="822"/>
      <c r="AV65" s="822"/>
      <c r="AW65" s="822"/>
      <c r="AX65" s="822"/>
      <c r="AY65" s="822"/>
      <c r="AZ65" s="822"/>
      <c r="BA65" s="822"/>
      <c r="BB65" s="822"/>
      <c r="BC65" s="822"/>
      <c r="BD65" s="822"/>
      <c r="BE65" s="822"/>
      <c r="BF65" s="822"/>
      <c r="BG65" s="822"/>
      <c r="BH65" s="822"/>
      <c r="BI65" s="822"/>
      <c r="BJ65" s="822"/>
      <c r="BK65" s="822"/>
      <c r="BL65" s="822"/>
      <c r="BM65" s="822"/>
      <c r="BN65" s="822"/>
      <c r="BO65" s="822"/>
      <c r="BP65" s="822"/>
      <c r="BQ65" s="822"/>
      <c r="BR65" s="822"/>
      <c r="BS65" s="822"/>
      <c r="BT65" s="822"/>
      <c r="BU65" s="822"/>
      <c r="BV65" s="822"/>
      <c r="BW65" s="822"/>
      <c r="BX65" s="822"/>
      <c r="BY65" s="822"/>
      <c r="BZ65" s="822"/>
      <c r="CA65" s="822"/>
      <c r="CB65" s="822"/>
      <c r="CC65" s="822"/>
      <c r="CD65" s="822"/>
      <c r="CE65" s="822"/>
      <c r="CF65" s="822"/>
      <c r="CG65" s="822"/>
      <c r="CH65" s="822"/>
      <c r="CI65" s="822"/>
      <c r="CJ65" s="392"/>
      <c r="CK65" s="392"/>
      <c r="CL65" s="392"/>
      <c r="CM65" s="392"/>
      <c r="CN65" s="392"/>
      <c r="CO65" s="392"/>
      <c r="CP65" s="392"/>
      <c r="CQ65" s="392"/>
      <c r="CR65" s="392"/>
      <c r="CS65" s="392"/>
      <c r="CT65" s="392"/>
      <c r="CU65" s="392"/>
      <c r="CV65" s="392"/>
      <c r="CW65" s="392"/>
      <c r="CX65" s="392"/>
      <c r="CY65" s="392"/>
      <c r="CZ65" s="392"/>
      <c r="DA65" s="392"/>
      <c r="DB65" s="392"/>
      <c r="DC65" s="392"/>
    </row>
    <row r="66" spans="1:107" s="337" customFormat="1" ht="56.25">
      <c r="A66" s="37"/>
      <c r="B66" s="591" t="s">
        <v>23</v>
      </c>
      <c r="C66" s="592" t="s">
        <v>181</v>
      </c>
      <c r="D66" s="593" t="s">
        <v>1220</v>
      </c>
      <c r="E66" s="594">
        <f>'Ref-ComSources'!$AB$9*AVERAGE('Ref-ComSources'!$D$74:$D$75)</f>
        <v>4282.1979731819274</v>
      </c>
      <c r="F66" s="592" t="s">
        <v>27</v>
      </c>
      <c r="G66" s="595">
        <f>'Ref-2013CSSsaturationsINT'!$F$3</f>
        <v>0.97831874716616496</v>
      </c>
      <c r="H66" s="592" t="s">
        <v>66</v>
      </c>
      <c r="I66" s="596">
        <f>'Ref-2013CSSsaturationsINT'!$J$3</f>
        <v>0.78814331624736522</v>
      </c>
      <c r="J66" s="592" t="s">
        <v>1097</v>
      </c>
      <c r="K66" s="592" t="s">
        <v>1012</v>
      </c>
      <c r="L66" s="592" t="s">
        <v>15</v>
      </c>
      <c r="M66" s="592" t="s">
        <v>90</v>
      </c>
      <c r="N66" s="597">
        <f>E66*G66*'Ref-Savings Calculations'!$E$39*Applicability</f>
        <v>857.82021865883769</v>
      </c>
      <c r="O66" s="597">
        <f>E66*G66*'Ref-Savings Calculations'!$C$78*Applicability*ControlShare</f>
        <v>713.19134726459868</v>
      </c>
      <c r="P66" s="597">
        <f>E66*G66*'Ref-Savings Calculations'!$E$40*Applicability</f>
        <v>733.13704734214616</v>
      </c>
      <c r="Q66" s="597">
        <f>E66*G66*('Ref-Savings Calculations'!$C$78-'Ref-Savings Calculations'!$C$124)*Applicability*ControlShare</f>
        <v>184.90146040193301</v>
      </c>
      <c r="R66" s="37"/>
      <c r="S66" s="592" t="s">
        <v>44</v>
      </c>
      <c r="T66" s="598" t="s">
        <v>63</v>
      </c>
      <c r="U66" s="592" t="s">
        <v>69</v>
      </c>
      <c r="V66" s="592" t="s">
        <v>69</v>
      </c>
      <c r="W66" s="592" t="s">
        <v>76</v>
      </c>
      <c r="X66" s="37"/>
      <c r="Y66" s="37"/>
      <c r="Z66" s="592" t="s">
        <v>78</v>
      </c>
      <c r="AA66" s="592" t="s">
        <v>78</v>
      </c>
      <c r="AB66" s="37"/>
      <c r="AC66" s="679">
        <f>'Ref-ComHOU'!$G$65</f>
        <v>7.2356164383561641</v>
      </c>
      <c r="AD66" s="592" t="s">
        <v>72</v>
      </c>
      <c r="AE66" s="598" t="s">
        <v>73</v>
      </c>
      <c r="AF66" s="822"/>
      <c r="AG66" s="822"/>
      <c r="AH66" s="822"/>
      <c r="AI66" s="822"/>
      <c r="AJ66" s="822"/>
      <c r="AK66" s="822"/>
      <c r="AL66" s="822"/>
      <c r="AM66" s="822"/>
      <c r="AN66" s="822"/>
      <c r="AO66" s="822"/>
      <c r="AP66" s="822"/>
      <c r="AQ66" s="822"/>
      <c r="AR66" s="822"/>
      <c r="AS66" s="822"/>
      <c r="AT66" s="822"/>
      <c r="AU66" s="822"/>
      <c r="AV66" s="822"/>
      <c r="AW66" s="822"/>
      <c r="AX66" s="822"/>
      <c r="AY66" s="822"/>
      <c r="AZ66" s="822"/>
      <c r="BA66" s="822"/>
      <c r="BB66" s="822"/>
      <c r="BC66" s="822"/>
      <c r="BD66" s="822"/>
      <c r="BE66" s="822"/>
      <c r="BF66" s="822"/>
      <c r="BG66" s="822"/>
      <c r="BH66" s="822"/>
      <c r="BI66" s="822"/>
      <c r="BJ66" s="822"/>
      <c r="BK66" s="822"/>
      <c r="BL66" s="822"/>
      <c r="BM66" s="822"/>
      <c r="BN66" s="822"/>
      <c r="BO66" s="822"/>
      <c r="BP66" s="822"/>
      <c r="BQ66" s="822"/>
      <c r="BR66" s="822"/>
      <c r="BS66" s="822"/>
      <c r="BT66" s="822"/>
      <c r="BU66" s="822"/>
      <c r="BV66" s="822"/>
      <c r="BW66" s="822"/>
      <c r="BX66" s="822"/>
      <c r="BY66" s="822"/>
      <c r="BZ66" s="822"/>
      <c r="CA66" s="822"/>
      <c r="CB66" s="822"/>
      <c r="CC66" s="822"/>
      <c r="CD66" s="822"/>
      <c r="CE66" s="822"/>
      <c r="CF66" s="822"/>
      <c r="CG66" s="822"/>
      <c r="CH66" s="822"/>
      <c r="CI66" s="822"/>
      <c r="CJ66" s="392"/>
      <c r="CK66" s="392"/>
      <c r="CL66" s="392"/>
      <c r="CM66" s="392"/>
      <c r="CN66" s="392"/>
      <c r="CO66" s="392"/>
      <c r="CP66" s="392"/>
      <c r="CQ66" s="392"/>
      <c r="CR66" s="392"/>
      <c r="CS66" s="392"/>
      <c r="CT66" s="392"/>
      <c r="CU66" s="392"/>
      <c r="CV66" s="392"/>
      <c r="CW66" s="392"/>
      <c r="CX66" s="392"/>
      <c r="CY66" s="392"/>
      <c r="CZ66" s="392"/>
      <c r="DA66" s="392"/>
      <c r="DB66" s="392"/>
      <c r="DC66" s="392"/>
    </row>
    <row r="67" spans="1:107" s="337" customFormat="1" ht="56.25">
      <c r="A67" s="37"/>
      <c r="B67" s="591" t="s">
        <v>23</v>
      </c>
      <c r="C67" s="592" t="s">
        <v>181</v>
      </c>
      <c r="D67" s="593" t="s">
        <v>1220</v>
      </c>
      <c r="E67" s="594">
        <f>'Ref-ComSources'!$AB$9*AVERAGE('Ref-ComSources'!$D$74:$D$75)</f>
        <v>4282.1979731819274</v>
      </c>
      <c r="F67" s="592" t="s">
        <v>27</v>
      </c>
      <c r="G67" s="595">
        <f>'Ref-2013CSSsaturationsINT'!$F$3</f>
        <v>0.97831874716616496</v>
      </c>
      <c r="H67" s="592" t="s">
        <v>66</v>
      </c>
      <c r="I67" s="596">
        <f>'Ref-2013CSSsaturationsINT'!$J$3</f>
        <v>0.78814331624736522</v>
      </c>
      <c r="J67" s="592" t="s">
        <v>1097</v>
      </c>
      <c r="K67" s="592" t="s">
        <v>1012</v>
      </c>
      <c r="L67" s="592" t="s">
        <v>15</v>
      </c>
      <c r="M67" s="592" t="s">
        <v>91</v>
      </c>
      <c r="N67" s="597">
        <f>E67*G67*'Ref-Savings Calculations'!$E$39*Applicability</f>
        <v>857.82021865883769</v>
      </c>
      <c r="O67" s="597">
        <f>E67*G67*'Ref-Savings Calculations'!$C$90*Applicability*ControlShare</f>
        <v>924.50730200966484</v>
      </c>
      <c r="P67" s="597">
        <f>E67*G67*'Ref-Savings Calculations'!$E$40*Applicability</f>
        <v>733.13704734214616</v>
      </c>
      <c r="Q67" s="597">
        <f>E67*G67*('Ref-Savings Calculations'!$C$90-'Ref-Savings Calculations'!$C$124)*Applicability*ControlShare</f>
        <v>396.21741514699914</v>
      </c>
      <c r="R67" s="37"/>
      <c r="S67" s="592" t="s">
        <v>44</v>
      </c>
      <c r="T67" s="598" t="s">
        <v>63</v>
      </c>
      <c r="U67" s="592" t="s">
        <v>69</v>
      </c>
      <c r="V67" s="592" t="s">
        <v>69</v>
      </c>
      <c r="W67" s="592" t="s">
        <v>76</v>
      </c>
      <c r="X67" s="37"/>
      <c r="Y67" s="37"/>
      <c r="Z67" s="592" t="s">
        <v>78</v>
      </c>
      <c r="AA67" s="592" t="s">
        <v>78</v>
      </c>
      <c r="AB67" s="37"/>
      <c r="AC67" s="679">
        <f>'Ref-ComHOU'!$G$65</f>
        <v>7.2356164383561641</v>
      </c>
      <c r="AD67" s="592" t="s">
        <v>72</v>
      </c>
      <c r="AE67" s="598" t="s">
        <v>73</v>
      </c>
      <c r="AF67" s="822"/>
      <c r="AG67" s="822"/>
      <c r="AH67" s="822"/>
      <c r="AI67" s="822"/>
      <c r="AJ67" s="822"/>
      <c r="AK67" s="822"/>
      <c r="AL67" s="822"/>
      <c r="AM67" s="822"/>
      <c r="AN67" s="822"/>
      <c r="AO67" s="822"/>
      <c r="AP67" s="822"/>
      <c r="AQ67" s="822"/>
      <c r="AR67" s="822"/>
      <c r="AS67" s="822"/>
      <c r="AT67" s="822"/>
      <c r="AU67" s="822"/>
      <c r="AV67" s="822"/>
      <c r="AW67" s="822"/>
      <c r="AX67" s="822"/>
      <c r="AY67" s="822"/>
      <c r="AZ67" s="822"/>
      <c r="BA67" s="822"/>
      <c r="BB67" s="822"/>
      <c r="BC67" s="822"/>
      <c r="BD67" s="822"/>
      <c r="BE67" s="822"/>
      <c r="BF67" s="822"/>
      <c r="BG67" s="822"/>
      <c r="BH67" s="822"/>
      <c r="BI67" s="822"/>
      <c r="BJ67" s="822"/>
      <c r="BK67" s="822"/>
      <c r="BL67" s="822"/>
      <c r="BM67" s="822"/>
      <c r="BN67" s="822"/>
      <c r="BO67" s="822"/>
      <c r="BP67" s="822"/>
      <c r="BQ67" s="822"/>
      <c r="BR67" s="822"/>
      <c r="BS67" s="822"/>
      <c r="BT67" s="822"/>
      <c r="BU67" s="822"/>
      <c r="BV67" s="822"/>
      <c r="BW67" s="822"/>
      <c r="BX67" s="822"/>
      <c r="BY67" s="822"/>
      <c r="BZ67" s="822"/>
      <c r="CA67" s="822"/>
      <c r="CB67" s="822"/>
      <c r="CC67" s="822"/>
      <c r="CD67" s="822"/>
      <c r="CE67" s="822"/>
      <c r="CF67" s="822"/>
      <c r="CG67" s="822"/>
      <c r="CH67" s="822"/>
      <c r="CI67" s="822"/>
      <c r="CJ67" s="392"/>
      <c r="CK67" s="392"/>
      <c r="CL67" s="392"/>
      <c r="CM67" s="392"/>
      <c r="CN67" s="392"/>
      <c r="CO67" s="392"/>
      <c r="CP67" s="392"/>
      <c r="CQ67" s="392"/>
      <c r="CR67" s="392"/>
      <c r="CS67" s="392"/>
      <c r="CT67" s="392"/>
      <c r="CU67" s="392"/>
      <c r="CV67" s="392"/>
      <c r="CW67" s="392"/>
      <c r="CX67" s="392"/>
      <c r="CY67" s="392"/>
      <c r="CZ67" s="392"/>
      <c r="DA67" s="392"/>
      <c r="DB67" s="392"/>
      <c r="DC67" s="392"/>
    </row>
    <row r="68" spans="1:107" s="337" customFormat="1" ht="56.25">
      <c r="A68" s="37"/>
      <c r="B68" s="591" t="s">
        <v>23</v>
      </c>
      <c r="C68" s="592" t="s">
        <v>181</v>
      </c>
      <c r="D68" s="593" t="s">
        <v>1220</v>
      </c>
      <c r="E68" s="594">
        <f>'Ref-ComSources'!$AB$9*AVERAGE('Ref-ComSources'!$D$74:$D$75)</f>
        <v>4282.1979731819274</v>
      </c>
      <c r="F68" s="592" t="s">
        <v>27</v>
      </c>
      <c r="G68" s="595">
        <f>'Ref-2013CSSsaturationsINT'!$F$3</f>
        <v>0.97831874716616496</v>
      </c>
      <c r="H68" s="592" t="s">
        <v>66</v>
      </c>
      <c r="I68" s="596">
        <f>'Ref-2013CSSsaturationsINT'!$J$3</f>
        <v>0.78814331624736522</v>
      </c>
      <c r="J68" s="592" t="s">
        <v>1097</v>
      </c>
      <c r="K68" s="592" t="s">
        <v>1012</v>
      </c>
      <c r="L68" s="592" t="s">
        <v>15</v>
      </c>
      <c r="M68" s="592" t="s">
        <v>92</v>
      </c>
      <c r="N68" s="597">
        <f>E68*G68*'Ref-Savings Calculations'!$E$39*Applicability</f>
        <v>857.82021865883769</v>
      </c>
      <c r="O68" s="597">
        <f>E68*G68*'Ref-Savings Calculations'!$C$100*Applicability*ControlShare</f>
        <v>950.9217963527982</v>
      </c>
      <c r="P68" s="597">
        <f>E68*G68*'Ref-Savings Calculations'!$E$40*Applicability</f>
        <v>733.13704734214616</v>
      </c>
      <c r="Q68" s="597">
        <f>E68*G68*('Ref-Savings Calculations'!$C$100-'Ref-Savings Calculations'!$C$124)*Applicability*ControlShare</f>
        <v>422.63190949013244</v>
      </c>
      <c r="R68" s="37"/>
      <c r="S68" s="592" t="s">
        <v>44</v>
      </c>
      <c r="T68" s="598" t="s">
        <v>63</v>
      </c>
      <c r="U68" s="592" t="s">
        <v>69</v>
      </c>
      <c r="V68" s="592" t="s">
        <v>69</v>
      </c>
      <c r="W68" s="592" t="s">
        <v>76</v>
      </c>
      <c r="X68" s="37"/>
      <c r="Y68" s="37"/>
      <c r="Z68" s="592" t="s">
        <v>78</v>
      </c>
      <c r="AA68" s="592" t="s">
        <v>78</v>
      </c>
      <c r="AB68" s="37"/>
      <c r="AC68" s="679">
        <f>'Ref-ComHOU'!$G$65</f>
        <v>7.2356164383561641</v>
      </c>
      <c r="AD68" s="592" t="s">
        <v>72</v>
      </c>
      <c r="AE68" s="598" t="s">
        <v>73</v>
      </c>
      <c r="AF68" s="822"/>
      <c r="AG68" s="822"/>
      <c r="AH68" s="822"/>
      <c r="AI68" s="822"/>
      <c r="AJ68" s="822"/>
      <c r="AK68" s="822"/>
      <c r="AL68" s="822"/>
      <c r="AM68" s="822"/>
      <c r="AN68" s="822"/>
      <c r="AO68" s="822"/>
      <c r="AP68" s="822"/>
      <c r="AQ68" s="822"/>
      <c r="AR68" s="822"/>
      <c r="AS68" s="822"/>
      <c r="AT68" s="822"/>
      <c r="AU68" s="822"/>
      <c r="AV68" s="822"/>
      <c r="AW68" s="822"/>
      <c r="AX68" s="822"/>
      <c r="AY68" s="822"/>
      <c r="AZ68" s="822"/>
      <c r="BA68" s="822"/>
      <c r="BB68" s="822"/>
      <c r="BC68" s="822"/>
      <c r="BD68" s="822"/>
      <c r="BE68" s="822"/>
      <c r="BF68" s="822"/>
      <c r="BG68" s="822"/>
      <c r="BH68" s="822"/>
      <c r="BI68" s="822"/>
      <c r="BJ68" s="822"/>
      <c r="BK68" s="822"/>
      <c r="BL68" s="822"/>
      <c r="BM68" s="822"/>
      <c r="BN68" s="822"/>
      <c r="BO68" s="822"/>
      <c r="BP68" s="822"/>
      <c r="BQ68" s="822"/>
      <c r="BR68" s="822"/>
      <c r="BS68" s="822"/>
      <c r="BT68" s="822"/>
      <c r="BU68" s="822"/>
      <c r="BV68" s="822"/>
      <c r="BW68" s="822"/>
      <c r="BX68" s="822"/>
      <c r="BY68" s="822"/>
      <c r="BZ68" s="822"/>
      <c r="CA68" s="822"/>
      <c r="CB68" s="822"/>
      <c r="CC68" s="822"/>
      <c r="CD68" s="822"/>
      <c r="CE68" s="822"/>
      <c r="CF68" s="822"/>
      <c r="CG68" s="822"/>
      <c r="CH68" s="822"/>
      <c r="CI68" s="822"/>
      <c r="CJ68" s="392"/>
      <c r="CK68" s="392"/>
      <c r="CL68" s="392"/>
      <c r="CM68" s="392"/>
      <c r="CN68" s="392"/>
      <c r="CO68" s="392"/>
      <c r="CP68" s="392"/>
      <c r="CQ68" s="392"/>
      <c r="CR68" s="392"/>
      <c r="CS68" s="392"/>
      <c r="CT68" s="392"/>
      <c r="CU68" s="392"/>
      <c r="CV68" s="392"/>
      <c r="CW68" s="392"/>
      <c r="CX68" s="392"/>
      <c r="CY68" s="392"/>
      <c r="CZ68" s="392"/>
      <c r="DA68" s="392"/>
      <c r="DB68" s="392"/>
      <c r="DC68" s="392"/>
    </row>
    <row r="69" spans="1:107" s="337" customFormat="1" ht="56.25">
      <c r="A69" s="37"/>
      <c r="B69" s="591" t="s">
        <v>23</v>
      </c>
      <c r="C69" s="592" t="s">
        <v>181</v>
      </c>
      <c r="D69" s="593" t="s">
        <v>1220</v>
      </c>
      <c r="E69" s="594">
        <f>'Ref-ComSources'!$AB$9*AVERAGE('Ref-ComSources'!$D$74:$D$75)</f>
        <v>4282.1979731819274</v>
      </c>
      <c r="F69" s="592" t="s">
        <v>27</v>
      </c>
      <c r="G69" s="595">
        <f>'Ref-2013CSSsaturationsINT'!$F$3</f>
        <v>0.97831874716616496</v>
      </c>
      <c r="H69" s="592" t="s">
        <v>66</v>
      </c>
      <c r="I69" s="596">
        <f>'Ref-2013CSSsaturationsINT'!$J$3</f>
        <v>0.78814331624736522</v>
      </c>
      <c r="J69" s="592" t="s">
        <v>1097</v>
      </c>
      <c r="K69" s="592" t="s">
        <v>1012</v>
      </c>
      <c r="L69" s="592" t="s">
        <v>15</v>
      </c>
      <c r="M69" s="592" t="s">
        <v>93</v>
      </c>
      <c r="N69" s="597">
        <f>E69*G69*'Ref-Savings Calculations'!$E$39*Applicability</f>
        <v>857.82021865883769</v>
      </c>
      <c r="O69" s="597">
        <f>E69*G69*'Ref-Savings Calculations'!$C$110*Applicability*ControlShare</f>
        <v>1056.5797737253315</v>
      </c>
      <c r="P69" s="597">
        <f>E69*G69*'Ref-Savings Calculations'!$E$40*Applicability</f>
        <v>733.13704734214616</v>
      </c>
      <c r="Q69" s="597">
        <f>E69*G69*('Ref-Savings Calculations'!$C$110-'Ref-Savings Calculations'!$C$124)*Applicability*ControlShare</f>
        <v>528.28988686266575</v>
      </c>
      <c r="R69" s="37"/>
      <c r="S69" s="592" t="s">
        <v>44</v>
      </c>
      <c r="T69" s="598" t="s">
        <v>63</v>
      </c>
      <c r="U69" s="598" t="s">
        <v>44</v>
      </c>
      <c r="V69" s="598" t="s">
        <v>75</v>
      </c>
      <c r="W69" s="592" t="s">
        <v>76</v>
      </c>
      <c r="X69" s="37"/>
      <c r="Y69" s="37"/>
      <c r="Z69" s="592" t="s">
        <v>78</v>
      </c>
      <c r="AA69" s="592" t="s">
        <v>78</v>
      </c>
      <c r="AB69" s="37"/>
      <c r="AC69" s="679">
        <f>'Ref-ComHOU'!$G$65</f>
        <v>7.2356164383561641</v>
      </c>
      <c r="AD69" s="592" t="s">
        <v>72</v>
      </c>
      <c r="AE69" s="598" t="s">
        <v>73</v>
      </c>
      <c r="AF69" s="822"/>
      <c r="AG69" s="822"/>
      <c r="AH69" s="822"/>
      <c r="AI69" s="822"/>
      <c r="AJ69" s="822"/>
      <c r="AK69" s="822"/>
      <c r="AL69" s="822"/>
      <c r="AM69" s="822"/>
      <c r="AN69" s="822"/>
      <c r="AO69" s="822"/>
      <c r="AP69" s="822"/>
      <c r="AQ69" s="822"/>
      <c r="AR69" s="822"/>
      <c r="AS69" s="822"/>
      <c r="AT69" s="822"/>
      <c r="AU69" s="822"/>
      <c r="AV69" s="822"/>
      <c r="AW69" s="822"/>
      <c r="AX69" s="822"/>
      <c r="AY69" s="822"/>
      <c r="AZ69" s="822"/>
      <c r="BA69" s="822"/>
      <c r="BB69" s="822"/>
      <c r="BC69" s="822"/>
      <c r="BD69" s="822"/>
      <c r="BE69" s="822"/>
      <c r="BF69" s="822"/>
      <c r="BG69" s="822"/>
      <c r="BH69" s="822"/>
      <c r="BI69" s="822"/>
      <c r="BJ69" s="822"/>
      <c r="BK69" s="822"/>
      <c r="BL69" s="822"/>
      <c r="BM69" s="822"/>
      <c r="BN69" s="822"/>
      <c r="BO69" s="822"/>
      <c r="BP69" s="822"/>
      <c r="BQ69" s="822"/>
      <c r="BR69" s="822"/>
      <c r="BS69" s="822"/>
      <c r="BT69" s="822"/>
      <c r="BU69" s="822"/>
      <c r="BV69" s="822"/>
      <c r="BW69" s="822"/>
      <c r="BX69" s="822"/>
      <c r="BY69" s="822"/>
      <c r="BZ69" s="822"/>
      <c r="CA69" s="822"/>
      <c r="CB69" s="822"/>
      <c r="CC69" s="822"/>
      <c r="CD69" s="822"/>
      <c r="CE69" s="822"/>
      <c r="CF69" s="822"/>
      <c r="CG69" s="822"/>
      <c r="CH69" s="822"/>
      <c r="CI69" s="822"/>
      <c r="CJ69" s="392"/>
      <c r="CK69" s="392"/>
      <c r="CL69" s="392"/>
      <c r="CM69" s="392"/>
      <c r="CN69" s="392"/>
      <c r="CO69" s="392"/>
      <c r="CP69" s="392"/>
      <c r="CQ69" s="392"/>
      <c r="CR69" s="392"/>
      <c r="CS69" s="392"/>
      <c r="CT69" s="392"/>
      <c r="CU69" s="392"/>
      <c r="CV69" s="392"/>
      <c r="CW69" s="392"/>
      <c r="CX69" s="392"/>
      <c r="CY69" s="392"/>
      <c r="CZ69" s="392"/>
      <c r="DA69" s="392"/>
      <c r="DB69" s="392"/>
      <c r="DC69" s="392"/>
    </row>
    <row r="70" spans="1:107" s="337" customFormat="1" ht="56.25">
      <c r="A70" s="37"/>
      <c r="B70" s="604" t="s">
        <v>23</v>
      </c>
      <c r="C70" s="605" t="s">
        <v>181</v>
      </c>
      <c r="D70" s="606" t="s">
        <v>97</v>
      </c>
      <c r="E70" s="607">
        <f>'Ref-ComSources'!$AB$9*AVERAGE('Ref-ComSources'!$E$74:$E$75)</f>
        <v>594.25379854162532</v>
      </c>
      <c r="F70" s="605" t="s">
        <v>27</v>
      </c>
      <c r="G70" s="608">
        <f>'Ref-2013CSSsaturationsINT'!$F$12</f>
        <v>0.19425684096182766</v>
      </c>
      <c r="H70" s="605" t="s">
        <v>66</v>
      </c>
      <c r="I70" s="609">
        <f>'Ref-2013CSSsaturationsINT'!$J$12</f>
        <v>1</v>
      </c>
      <c r="J70" s="605" t="s">
        <v>1097</v>
      </c>
      <c r="K70" s="610" t="s">
        <v>1052</v>
      </c>
      <c r="L70" s="605" t="s">
        <v>15</v>
      </c>
      <c r="M70" s="610" t="s">
        <v>88</v>
      </c>
      <c r="N70" s="611">
        <f>E70*G70*'Ref-Savings Calculations'!$E$39*Applicability</f>
        <v>23.637277248920416</v>
      </c>
      <c r="O70" s="611">
        <f>E70*G70*'Ref-Savings Calculations'!$C$55*Applicability*ControlShare</f>
        <v>20.317064351630197</v>
      </c>
      <c r="P70" s="611">
        <f>E70*G70*'Ref-Savings Calculations'!$E$40*Applicability</f>
        <v>20.201626485995934</v>
      </c>
      <c r="Q70" s="611">
        <f>E70*G70*('Ref-Savings Calculations'!$C$55-'Ref-Savings Calculations'!$C$76)*Applicability*ControlShare</f>
        <v>15.699549726259697</v>
      </c>
      <c r="R70" s="37"/>
      <c r="S70" s="605" t="s">
        <v>44</v>
      </c>
      <c r="T70" s="610" t="s">
        <v>63</v>
      </c>
      <c r="U70" s="605" t="s">
        <v>69</v>
      </c>
      <c r="V70" s="605" t="s">
        <v>69</v>
      </c>
      <c r="W70" s="605" t="s">
        <v>76</v>
      </c>
      <c r="X70" s="37"/>
      <c r="Y70" s="37"/>
      <c r="Z70" s="605" t="s">
        <v>78</v>
      </c>
      <c r="AA70" s="605" t="s">
        <v>78</v>
      </c>
      <c r="AB70" s="37"/>
      <c r="AC70" s="681">
        <f>'Ref-ComHOU'!$G$65</f>
        <v>7.2356164383561641</v>
      </c>
      <c r="AD70" s="605" t="s">
        <v>72</v>
      </c>
      <c r="AE70" s="610" t="s">
        <v>73</v>
      </c>
      <c r="AF70" s="822"/>
      <c r="AG70" s="822"/>
      <c r="AH70" s="822"/>
      <c r="AI70" s="822"/>
      <c r="AJ70" s="822"/>
      <c r="AK70" s="822"/>
      <c r="AL70" s="822"/>
      <c r="AM70" s="822"/>
      <c r="AN70" s="822"/>
      <c r="AO70" s="822"/>
      <c r="AP70" s="822"/>
      <c r="AQ70" s="822"/>
      <c r="AR70" s="822"/>
      <c r="AS70" s="822"/>
      <c r="AT70" s="822"/>
      <c r="AU70" s="822"/>
      <c r="AV70" s="822"/>
      <c r="AW70" s="822"/>
      <c r="AX70" s="822"/>
      <c r="AY70" s="822"/>
      <c r="AZ70" s="822"/>
      <c r="BA70" s="822"/>
      <c r="BB70" s="822"/>
      <c r="BC70" s="822"/>
      <c r="BD70" s="822"/>
      <c r="BE70" s="822"/>
      <c r="BF70" s="822"/>
      <c r="BG70" s="822"/>
      <c r="BH70" s="822"/>
      <c r="BI70" s="822"/>
      <c r="BJ70" s="822"/>
      <c r="BK70" s="822"/>
      <c r="BL70" s="822"/>
      <c r="BM70" s="822"/>
      <c r="BN70" s="822"/>
      <c r="BO70" s="822"/>
      <c r="BP70" s="822"/>
      <c r="BQ70" s="822"/>
      <c r="BR70" s="822"/>
      <c r="BS70" s="822"/>
      <c r="BT70" s="822"/>
      <c r="BU70" s="822"/>
      <c r="BV70" s="822"/>
      <c r="BW70" s="822"/>
      <c r="BX70" s="822"/>
      <c r="BY70" s="822"/>
      <c r="BZ70" s="822"/>
      <c r="CA70" s="822"/>
      <c r="CB70" s="822"/>
      <c r="CC70" s="822"/>
      <c r="CD70" s="822"/>
      <c r="CE70" s="822"/>
      <c r="CF70" s="822"/>
      <c r="CG70" s="822"/>
      <c r="CH70" s="822"/>
      <c r="CI70" s="822"/>
      <c r="CJ70" s="392"/>
      <c r="CK70" s="392"/>
      <c r="CL70" s="392"/>
      <c r="CM70" s="392"/>
      <c r="CN70" s="392"/>
      <c r="CO70" s="392"/>
      <c r="CP70" s="392"/>
      <c r="CQ70" s="392"/>
      <c r="CR70" s="392"/>
      <c r="CS70" s="392"/>
      <c r="CT70" s="392"/>
      <c r="CU70" s="392"/>
      <c r="CV70" s="392"/>
      <c r="CW70" s="392"/>
      <c r="CX70" s="392"/>
      <c r="CY70" s="392"/>
      <c r="CZ70" s="392"/>
      <c r="DA70" s="392"/>
      <c r="DB70" s="392"/>
      <c r="DC70" s="392"/>
    </row>
    <row r="71" spans="1:107" s="337" customFormat="1" ht="56.25">
      <c r="A71" s="37"/>
      <c r="B71" s="604" t="s">
        <v>23</v>
      </c>
      <c r="C71" s="605" t="s">
        <v>181</v>
      </c>
      <c r="D71" s="606" t="s">
        <v>97</v>
      </c>
      <c r="E71" s="607">
        <f>'Ref-ComSources'!$AB$9*AVERAGE('Ref-ComSources'!$E$74:$E$75)</f>
        <v>594.25379854162532</v>
      </c>
      <c r="F71" s="605" t="s">
        <v>27</v>
      </c>
      <c r="G71" s="608">
        <f>'Ref-2013CSSsaturationsINT'!$F$12</f>
        <v>0.19425684096182766</v>
      </c>
      <c r="H71" s="605" t="s">
        <v>66</v>
      </c>
      <c r="I71" s="609">
        <f>'Ref-2013CSSsaturationsINT'!$J$12</f>
        <v>1</v>
      </c>
      <c r="J71" s="605" t="s">
        <v>1097</v>
      </c>
      <c r="K71" s="610" t="s">
        <v>1052</v>
      </c>
      <c r="L71" s="605" t="s">
        <v>15</v>
      </c>
      <c r="M71" s="610" t="s">
        <v>90</v>
      </c>
      <c r="N71" s="611">
        <f>E71*G71*'Ref-Savings Calculations'!$E$39*Applicability</f>
        <v>23.637277248920416</v>
      </c>
      <c r="O71" s="611">
        <f>E71*G71*'Ref-Savings Calculations'!$C$78*Applicability*ControlShare</f>
        <v>24.934578977000697</v>
      </c>
      <c r="P71" s="611">
        <f>E71*G71*'Ref-Savings Calculations'!$E$40*Applicability</f>
        <v>20.201626485995934</v>
      </c>
      <c r="Q71" s="611">
        <f>E71*G71*('Ref-Savings Calculations'!$C$78-'Ref-Savings Calculations'!$C$76)*Applicability*ControlShare</f>
        <v>20.317064351630201</v>
      </c>
      <c r="R71" s="37"/>
      <c r="S71" s="605" t="s">
        <v>44</v>
      </c>
      <c r="T71" s="610" t="s">
        <v>63</v>
      </c>
      <c r="U71" s="605" t="s">
        <v>69</v>
      </c>
      <c r="V71" s="605" t="s">
        <v>69</v>
      </c>
      <c r="W71" s="605" t="s">
        <v>76</v>
      </c>
      <c r="X71" s="37"/>
      <c r="Y71" s="37"/>
      <c r="Z71" s="605" t="s">
        <v>78</v>
      </c>
      <c r="AA71" s="605" t="s">
        <v>78</v>
      </c>
      <c r="AB71" s="37"/>
      <c r="AC71" s="681">
        <f>'Ref-ComHOU'!$G$65</f>
        <v>7.2356164383561641</v>
      </c>
      <c r="AD71" s="605" t="s">
        <v>72</v>
      </c>
      <c r="AE71" s="610" t="s">
        <v>73</v>
      </c>
      <c r="AF71" s="822"/>
      <c r="AG71" s="822"/>
      <c r="AH71" s="822"/>
      <c r="AI71" s="822"/>
      <c r="AJ71" s="822"/>
      <c r="AK71" s="822"/>
      <c r="AL71" s="822"/>
      <c r="AM71" s="822"/>
      <c r="AN71" s="822"/>
      <c r="AO71" s="822"/>
      <c r="AP71" s="822"/>
      <c r="AQ71" s="822"/>
      <c r="AR71" s="822"/>
      <c r="AS71" s="822"/>
      <c r="AT71" s="822"/>
      <c r="AU71" s="822"/>
      <c r="AV71" s="822"/>
      <c r="AW71" s="822"/>
      <c r="AX71" s="822"/>
      <c r="AY71" s="822"/>
      <c r="AZ71" s="822"/>
      <c r="BA71" s="822"/>
      <c r="BB71" s="822"/>
      <c r="BC71" s="822"/>
      <c r="BD71" s="822"/>
      <c r="BE71" s="822"/>
      <c r="BF71" s="822"/>
      <c r="BG71" s="822"/>
      <c r="BH71" s="822"/>
      <c r="BI71" s="822"/>
      <c r="BJ71" s="822"/>
      <c r="BK71" s="822"/>
      <c r="BL71" s="822"/>
      <c r="BM71" s="822"/>
      <c r="BN71" s="822"/>
      <c r="BO71" s="822"/>
      <c r="BP71" s="822"/>
      <c r="BQ71" s="822"/>
      <c r="BR71" s="822"/>
      <c r="BS71" s="822"/>
      <c r="BT71" s="822"/>
      <c r="BU71" s="822"/>
      <c r="BV71" s="822"/>
      <c r="BW71" s="822"/>
      <c r="BX71" s="822"/>
      <c r="BY71" s="822"/>
      <c r="BZ71" s="822"/>
      <c r="CA71" s="822"/>
      <c r="CB71" s="822"/>
      <c r="CC71" s="822"/>
      <c r="CD71" s="822"/>
      <c r="CE71" s="822"/>
      <c r="CF71" s="822"/>
      <c r="CG71" s="822"/>
      <c r="CH71" s="822"/>
      <c r="CI71" s="822"/>
      <c r="CJ71" s="392"/>
      <c r="CK71" s="392"/>
      <c r="CL71" s="392"/>
      <c r="CM71" s="392"/>
      <c r="CN71" s="392"/>
      <c r="CO71" s="392"/>
      <c r="CP71" s="392"/>
      <c r="CQ71" s="392"/>
      <c r="CR71" s="392"/>
      <c r="CS71" s="392"/>
      <c r="CT71" s="392"/>
      <c r="CU71" s="392"/>
      <c r="CV71" s="392"/>
      <c r="CW71" s="392"/>
      <c r="CX71" s="392"/>
      <c r="CY71" s="392"/>
      <c r="CZ71" s="392"/>
      <c r="DA71" s="392"/>
      <c r="DB71" s="392"/>
      <c r="DC71" s="392"/>
    </row>
    <row r="72" spans="1:107" s="337" customFormat="1" ht="56.25">
      <c r="A72" s="37"/>
      <c r="B72" s="604" t="s">
        <v>23</v>
      </c>
      <c r="C72" s="605" t="s">
        <v>181</v>
      </c>
      <c r="D72" s="606" t="s">
        <v>97</v>
      </c>
      <c r="E72" s="607">
        <f>'Ref-ComSources'!$AB$9*AVERAGE('Ref-ComSources'!$E$74:$E$75)</f>
        <v>594.25379854162532</v>
      </c>
      <c r="F72" s="605" t="s">
        <v>27</v>
      </c>
      <c r="G72" s="608">
        <f>'Ref-2013CSSsaturationsINT'!$F$12</f>
        <v>0.19425684096182766</v>
      </c>
      <c r="H72" s="605" t="s">
        <v>66</v>
      </c>
      <c r="I72" s="609">
        <f>'Ref-2013CSSsaturationsINT'!$J$12</f>
        <v>1</v>
      </c>
      <c r="J72" s="605" t="s">
        <v>1097</v>
      </c>
      <c r="K72" s="610" t="s">
        <v>1052</v>
      </c>
      <c r="L72" s="605" t="s">
        <v>15</v>
      </c>
      <c r="M72" s="610" t="s">
        <v>91</v>
      </c>
      <c r="N72" s="611">
        <f>E72*G72*'Ref-Savings Calculations'!$E$39*Applicability</f>
        <v>23.637277248920416</v>
      </c>
      <c r="O72" s="611">
        <f>E72*G72*'Ref-Savings Calculations'!$C$90*Applicability*ControlShare</f>
        <v>32.322602377593498</v>
      </c>
      <c r="P72" s="611">
        <f>E72*G72*'Ref-Savings Calculations'!$E$40*Applicability</f>
        <v>20.201626485995934</v>
      </c>
      <c r="Q72" s="611">
        <f>E72*G72*('Ref-Savings Calculations'!$C$90-'Ref-Savings Calculations'!$C$76)*Applicability*ControlShare</f>
        <v>27.705087752222994</v>
      </c>
      <c r="R72" s="37"/>
      <c r="S72" s="605" t="s">
        <v>44</v>
      </c>
      <c r="T72" s="610" t="s">
        <v>63</v>
      </c>
      <c r="U72" s="605" t="s">
        <v>69</v>
      </c>
      <c r="V72" s="605" t="s">
        <v>69</v>
      </c>
      <c r="W72" s="605" t="s">
        <v>76</v>
      </c>
      <c r="X72" s="37"/>
      <c r="Y72" s="37"/>
      <c r="Z72" s="605" t="s">
        <v>78</v>
      </c>
      <c r="AA72" s="605" t="s">
        <v>78</v>
      </c>
      <c r="AB72" s="37"/>
      <c r="AC72" s="681">
        <f>'Ref-ComHOU'!$G$65</f>
        <v>7.2356164383561641</v>
      </c>
      <c r="AD72" s="605" t="s">
        <v>72</v>
      </c>
      <c r="AE72" s="610" t="s">
        <v>73</v>
      </c>
      <c r="AF72" s="822"/>
      <c r="AG72" s="822"/>
      <c r="AH72" s="822"/>
      <c r="AI72" s="822"/>
      <c r="AJ72" s="822"/>
      <c r="AK72" s="822"/>
      <c r="AL72" s="822"/>
      <c r="AM72" s="822"/>
      <c r="AN72" s="822"/>
      <c r="AO72" s="822"/>
      <c r="AP72" s="822"/>
      <c r="AQ72" s="822"/>
      <c r="AR72" s="822"/>
      <c r="AS72" s="822"/>
      <c r="AT72" s="822"/>
      <c r="AU72" s="822"/>
      <c r="AV72" s="822"/>
      <c r="AW72" s="822"/>
      <c r="AX72" s="822"/>
      <c r="AY72" s="822"/>
      <c r="AZ72" s="822"/>
      <c r="BA72" s="822"/>
      <c r="BB72" s="822"/>
      <c r="BC72" s="822"/>
      <c r="BD72" s="822"/>
      <c r="BE72" s="822"/>
      <c r="BF72" s="822"/>
      <c r="BG72" s="822"/>
      <c r="BH72" s="822"/>
      <c r="BI72" s="822"/>
      <c r="BJ72" s="822"/>
      <c r="BK72" s="822"/>
      <c r="BL72" s="822"/>
      <c r="BM72" s="822"/>
      <c r="BN72" s="822"/>
      <c r="BO72" s="822"/>
      <c r="BP72" s="822"/>
      <c r="BQ72" s="822"/>
      <c r="BR72" s="822"/>
      <c r="BS72" s="822"/>
      <c r="BT72" s="822"/>
      <c r="BU72" s="822"/>
      <c r="BV72" s="822"/>
      <c r="BW72" s="822"/>
      <c r="BX72" s="822"/>
      <c r="BY72" s="822"/>
      <c r="BZ72" s="822"/>
      <c r="CA72" s="822"/>
      <c r="CB72" s="822"/>
      <c r="CC72" s="822"/>
      <c r="CD72" s="822"/>
      <c r="CE72" s="822"/>
      <c r="CF72" s="822"/>
      <c r="CG72" s="822"/>
      <c r="CH72" s="822"/>
      <c r="CI72" s="822"/>
      <c r="CJ72" s="392"/>
      <c r="CK72" s="392"/>
      <c r="CL72" s="392"/>
      <c r="CM72" s="392"/>
      <c r="CN72" s="392"/>
      <c r="CO72" s="392"/>
      <c r="CP72" s="392"/>
      <c r="CQ72" s="392"/>
      <c r="CR72" s="392"/>
      <c r="CS72" s="392"/>
      <c r="CT72" s="392"/>
      <c r="CU72" s="392"/>
      <c r="CV72" s="392"/>
      <c r="CW72" s="392"/>
      <c r="CX72" s="392"/>
      <c r="CY72" s="392"/>
      <c r="CZ72" s="392"/>
      <c r="DA72" s="392"/>
      <c r="DB72" s="392"/>
      <c r="DC72" s="392"/>
    </row>
    <row r="73" spans="1:107" s="337" customFormat="1" ht="56.25">
      <c r="A73" s="37"/>
      <c r="B73" s="604" t="s">
        <v>23</v>
      </c>
      <c r="C73" s="605" t="s">
        <v>181</v>
      </c>
      <c r="D73" s="606" t="s">
        <v>97</v>
      </c>
      <c r="E73" s="607">
        <f>'Ref-ComSources'!$AB$9*AVERAGE('Ref-ComSources'!$E$74:$E$75)</f>
        <v>594.25379854162532</v>
      </c>
      <c r="F73" s="605" t="s">
        <v>27</v>
      </c>
      <c r="G73" s="608">
        <f>'Ref-2013CSSsaturationsINT'!$F$12</f>
        <v>0.19425684096182766</v>
      </c>
      <c r="H73" s="605" t="s">
        <v>66</v>
      </c>
      <c r="I73" s="609">
        <f>'Ref-2013CSSsaturationsINT'!$J$12</f>
        <v>1</v>
      </c>
      <c r="J73" s="605" t="s">
        <v>1097</v>
      </c>
      <c r="K73" s="610" t="s">
        <v>1052</v>
      </c>
      <c r="L73" s="605" t="s">
        <v>15</v>
      </c>
      <c r="M73" s="610" t="s">
        <v>92</v>
      </c>
      <c r="N73" s="611">
        <f>E73*G73*'Ref-Savings Calculations'!$E$39*Applicability</f>
        <v>23.637277248920416</v>
      </c>
      <c r="O73" s="611">
        <f>E73*G73*'Ref-Savings Calculations'!$C$100*Applicability*ControlShare</f>
        <v>33.246105302667594</v>
      </c>
      <c r="P73" s="611">
        <f>E73*G73*'Ref-Savings Calculations'!$E$40*Applicability</f>
        <v>20.201626485995934</v>
      </c>
      <c r="Q73" s="611">
        <f>E73*G73*('Ref-Savings Calculations'!$C$100-'Ref-Savings Calculations'!$C$76)*Applicability*ControlShare</f>
        <v>28.628590677297097</v>
      </c>
      <c r="R73" s="37"/>
      <c r="S73" s="605" t="s">
        <v>44</v>
      </c>
      <c r="T73" s="610" t="s">
        <v>63</v>
      </c>
      <c r="U73" s="605" t="s">
        <v>69</v>
      </c>
      <c r="V73" s="605" t="s">
        <v>69</v>
      </c>
      <c r="W73" s="605" t="s">
        <v>76</v>
      </c>
      <c r="X73" s="37"/>
      <c r="Y73" s="37"/>
      <c r="Z73" s="605" t="s">
        <v>78</v>
      </c>
      <c r="AA73" s="605" t="s">
        <v>78</v>
      </c>
      <c r="AB73" s="37"/>
      <c r="AC73" s="681">
        <f>'Ref-ComHOU'!$G$65</f>
        <v>7.2356164383561641</v>
      </c>
      <c r="AD73" s="605" t="s">
        <v>72</v>
      </c>
      <c r="AE73" s="610" t="s">
        <v>73</v>
      </c>
      <c r="AF73" s="822"/>
      <c r="AG73" s="822"/>
      <c r="AH73" s="822"/>
      <c r="AI73" s="822"/>
      <c r="AJ73" s="822"/>
      <c r="AK73" s="822"/>
      <c r="AL73" s="822"/>
      <c r="AM73" s="822"/>
      <c r="AN73" s="822"/>
      <c r="AO73" s="822"/>
      <c r="AP73" s="822"/>
      <c r="AQ73" s="822"/>
      <c r="AR73" s="822"/>
      <c r="AS73" s="822"/>
      <c r="AT73" s="822"/>
      <c r="AU73" s="822"/>
      <c r="AV73" s="822"/>
      <c r="AW73" s="822"/>
      <c r="AX73" s="822"/>
      <c r="AY73" s="822"/>
      <c r="AZ73" s="822"/>
      <c r="BA73" s="822"/>
      <c r="BB73" s="822"/>
      <c r="BC73" s="822"/>
      <c r="BD73" s="822"/>
      <c r="BE73" s="822"/>
      <c r="BF73" s="822"/>
      <c r="BG73" s="822"/>
      <c r="BH73" s="822"/>
      <c r="BI73" s="822"/>
      <c r="BJ73" s="822"/>
      <c r="BK73" s="822"/>
      <c r="BL73" s="822"/>
      <c r="BM73" s="822"/>
      <c r="BN73" s="822"/>
      <c r="BO73" s="822"/>
      <c r="BP73" s="822"/>
      <c r="BQ73" s="822"/>
      <c r="BR73" s="822"/>
      <c r="BS73" s="822"/>
      <c r="BT73" s="822"/>
      <c r="BU73" s="822"/>
      <c r="BV73" s="822"/>
      <c r="BW73" s="822"/>
      <c r="BX73" s="822"/>
      <c r="BY73" s="822"/>
      <c r="BZ73" s="822"/>
      <c r="CA73" s="822"/>
      <c r="CB73" s="822"/>
      <c r="CC73" s="822"/>
      <c r="CD73" s="822"/>
      <c r="CE73" s="822"/>
      <c r="CF73" s="822"/>
      <c r="CG73" s="822"/>
      <c r="CH73" s="822"/>
      <c r="CI73" s="822"/>
      <c r="CJ73" s="392"/>
      <c r="CK73" s="392"/>
      <c r="CL73" s="392"/>
      <c r="CM73" s="392"/>
      <c r="CN73" s="392"/>
      <c r="CO73" s="392"/>
      <c r="CP73" s="392"/>
      <c r="CQ73" s="392"/>
      <c r="CR73" s="392"/>
      <c r="CS73" s="392"/>
      <c r="CT73" s="392"/>
      <c r="CU73" s="392"/>
      <c r="CV73" s="392"/>
      <c r="CW73" s="392"/>
      <c r="CX73" s="392"/>
      <c r="CY73" s="392"/>
      <c r="CZ73" s="392"/>
      <c r="DA73" s="392"/>
      <c r="DB73" s="392"/>
      <c r="DC73" s="392"/>
    </row>
    <row r="74" spans="1:107" s="337" customFormat="1" ht="56.25">
      <c r="A74" s="37"/>
      <c r="B74" s="604" t="s">
        <v>23</v>
      </c>
      <c r="C74" s="605" t="s">
        <v>181</v>
      </c>
      <c r="D74" s="606" t="s">
        <v>97</v>
      </c>
      <c r="E74" s="607">
        <f>'Ref-ComSources'!$AB$9*AVERAGE('Ref-ComSources'!$E$74:$E$75)</f>
        <v>594.25379854162532</v>
      </c>
      <c r="F74" s="605" t="s">
        <v>27</v>
      </c>
      <c r="G74" s="608">
        <f>'Ref-2013CSSsaturationsINT'!$F$12</f>
        <v>0.19425684096182766</v>
      </c>
      <c r="H74" s="605" t="s">
        <v>66</v>
      </c>
      <c r="I74" s="609">
        <f>'Ref-2013CSSsaturationsINT'!$J$12</f>
        <v>1</v>
      </c>
      <c r="J74" s="605" t="s">
        <v>1097</v>
      </c>
      <c r="K74" s="610" t="s">
        <v>1052</v>
      </c>
      <c r="L74" s="605" t="s">
        <v>15</v>
      </c>
      <c r="M74" s="612" t="s">
        <v>93</v>
      </c>
      <c r="N74" s="611">
        <f>E74*G74*'Ref-Savings Calculations'!$E$39*Applicability</f>
        <v>23.637277248920416</v>
      </c>
      <c r="O74" s="613">
        <f>E74*G74*'Ref-Savings Calculations'!$C$110*Applicability*ControlShare</f>
        <v>36.940117002963994</v>
      </c>
      <c r="P74" s="611">
        <f>E74*G74*'Ref-Savings Calculations'!$E$40*Applicability</f>
        <v>20.201626485995934</v>
      </c>
      <c r="Q74" s="611">
        <f>E74*G74*('Ref-Savings Calculations'!$C$110-'Ref-Savings Calculations'!$C$76)*Applicability*ControlShare</f>
        <v>32.322602377593498</v>
      </c>
      <c r="R74" s="37"/>
      <c r="S74" s="605" t="s">
        <v>44</v>
      </c>
      <c r="T74" s="610" t="s">
        <v>63</v>
      </c>
      <c r="U74" s="610" t="s">
        <v>44</v>
      </c>
      <c r="V74" s="610" t="s">
        <v>75</v>
      </c>
      <c r="W74" s="605" t="s">
        <v>76</v>
      </c>
      <c r="X74" s="37"/>
      <c r="Y74" s="37"/>
      <c r="Z74" s="605" t="s">
        <v>78</v>
      </c>
      <c r="AA74" s="605" t="s">
        <v>78</v>
      </c>
      <c r="AB74" s="37"/>
      <c r="AC74" s="681">
        <f>'Ref-ComHOU'!$G$65</f>
        <v>7.2356164383561641</v>
      </c>
      <c r="AD74" s="605" t="s">
        <v>72</v>
      </c>
      <c r="AE74" s="610" t="s">
        <v>73</v>
      </c>
      <c r="AF74" s="822"/>
      <c r="AG74" s="822"/>
      <c r="AH74" s="822"/>
      <c r="AI74" s="822"/>
      <c r="AJ74" s="822"/>
      <c r="AK74" s="822"/>
      <c r="AL74" s="822"/>
      <c r="AM74" s="822"/>
      <c r="AN74" s="822"/>
      <c r="AO74" s="822"/>
      <c r="AP74" s="822"/>
      <c r="AQ74" s="822"/>
      <c r="AR74" s="822"/>
      <c r="AS74" s="822"/>
      <c r="AT74" s="822"/>
      <c r="AU74" s="822"/>
      <c r="AV74" s="822"/>
      <c r="AW74" s="822"/>
      <c r="AX74" s="822"/>
      <c r="AY74" s="822"/>
      <c r="AZ74" s="822"/>
      <c r="BA74" s="822"/>
      <c r="BB74" s="822"/>
      <c r="BC74" s="822"/>
      <c r="BD74" s="822"/>
      <c r="BE74" s="822"/>
      <c r="BF74" s="822"/>
      <c r="BG74" s="822"/>
      <c r="BH74" s="822"/>
      <c r="BI74" s="822"/>
      <c r="BJ74" s="822"/>
      <c r="BK74" s="822"/>
      <c r="BL74" s="822"/>
      <c r="BM74" s="822"/>
      <c r="BN74" s="822"/>
      <c r="BO74" s="822"/>
      <c r="BP74" s="822"/>
      <c r="BQ74" s="822"/>
      <c r="BR74" s="822"/>
      <c r="BS74" s="822"/>
      <c r="BT74" s="822"/>
      <c r="BU74" s="822"/>
      <c r="BV74" s="822"/>
      <c r="BW74" s="822"/>
      <c r="BX74" s="822"/>
      <c r="BY74" s="822"/>
      <c r="BZ74" s="822"/>
      <c r="CA74" s="822"/>
      <c r="CB74" s="822"/>
      <c r="CC74" s="822"/>
      <c r="CD74" s="822"/>
      <c r="CE74" s="822"/>
      <c r="CF74" s="822"/>
      <c r="CG74" s="822"/>
      <c r="CH74" s="822"/>
      <c r="CI74" s="822"/>
      <c r="CJ74" s="392"/>
      <c r="CK74" s="392"/>
      <c r="CL74" s="392"/>
      <c r="CM74" s="392"/>
      <c r="CN74" s="392"/>
      <c r="CO74" s="392"/>
      <c r="CP74" s="392"/>
      <c r="CQ74" s="392"/>
      <c r="CR74" s="392"/>
      <c r="CS74" s="392"/>
      <c r="CT74" s="392"/>
      <c r="CU74" s="392"/>
      <c r="CV74" s="392"/>
      <c r="CW74" s="392"/>
      <c r="CX74" s="392"/>
      <c r="CY74" s="392"/>
      <c r="CZ74" s="392"/>
      <c r="DA74" s="392"/>
      <c r="DB74" s="392"/>
      <c r="DC74" s="392"/>
    </row>
    <row r="75" spans="1:107" s="337" customFormat="1" ht="56.25">
      <c r="A75" s="37"/>
      <c r="B75" s="604" t="s">
        <v>23</v>
      </c>
      <c r="C75" s="605" t="s">
        <v>181</v>
      </c>
      <c r="D75" s="606" t="s">
        <v>97</v>
      </c>
      <c r="E75" s="607">
        <f>'Ref-ComSources'!$AB$9*AVERAGE('Ref-ComSources'!$E$74:$E$75)</f>
        <v>594.25379854162532</v>
      </c>
      <c r="F75" s="605" t="s">
        <v>27</v>
      </c>
      <c r="G75" s="608">
        <f>'Ref-2013CSSsaturationsINT'!$F$12</f>
        <v>0.19425684096182766</v>
      </c>
      <c r="H75" s="605" t="s">
        <v>66</v>
      </c>
      <c r="I75" s="609">
        <f>'Ref-2013CSSsaturationsINT'!$J$12</f>
        <v>1</v>
      </c>
      <c r="J75" s="605" t="s">
        <v>1097</v>
      </c>
      <c r="K75" s="610" t="s">
        <v>1052</v>
      </c>
      <c r="L75" s="605" t="s">
        <v>960</v>
      </c>
      <c r="M75" s="610" t="s">
        <v>88</v>
      </c>
      <c r="N75" s="614">
        <f>E75*G75*'Ref-Savings Calculations'!$E$33*Applicability</f>
        <v>17.049284770598771</v>
      </c>
      <c r="O75" s="614">
        <f>E75*G75*'Ref-Savings Calculations'!$C$55*Applicability*ControlShare</f>
        <v>20.317064351630197</v>
      </c>
      <c r="P75" s="614">
        <f>E75*G75*'Ref-Savings Calculations'!$E$34*Applicability</f>
        <v>14.776046801185595</v>
      </c>
      <c r="Q75" s="614">
        <f>E75*G75*('Ref-Savings Calculations'!$C$55-'Ref-Savings Calculations'!$C$76)*Applicability*ControlShare</f>
        <v>15.699549726259697</v>
      </c>
      <c r="R75" s="37"/>
      <c r="S75" s="605" t="s">
        <v>69</v>
      </c>
      <c r="T75" s="605" t="s">
        <v>69</v>
      </c>
      <c r="U75" s="605" t="s">
        <v>69</v>
      </c>
      <c r="V75" s="605" t="s">
        <v>69</v>
      </c>
      <c r="W75" s="605" t="s">
        <v>76</v>
      </c>
      <c r="X75" s="37"/>
      <c r="Y75" s="37"/>
      <c r="Z75" s="605" t="s">
        <v>78</v>
      </c>
      <c r="AA75" s="605" t="s">
        <v>78</v>
      </c>
      <c r="AB75" s="37"/>
      <c r="AC75" s="681">
        <f>'Ref-ComHOU'!$G$65</f>
        <v>7.2356164383561641</v>
      </c>
      <c r="AD75" s="605" t="s">
        <v>72</v>
      </c>
      <c r="AE75" s="610" t="s">
        <v>73</v>
      </c>
      <c r="AF75" s="822"/>
      <c r="AG75" s="822"/>
      <c r="AH75" s="822"/>
      <c r="AI75" s="822"/>
      <c r="AJ75" s="822"/>
      <c r="AK75" s="822"/>
      <c r="AL75" s="822"/>
      <c r="AM75" s="822"/>
      <c r="AN75" s="822"/>
      <c r="AO75" s="822"/>
      <c r="AP75" s="822"/>
      <c r="AQ75" s="822"/>
      <c r="AR75" s="822"/>
      <c r="AS75" s="822"/>
      <c r="AT75" s="822"/>
      <c r="AU75" s="822"/>
      <c r="AV75" s="822"/>
      <c r="AW75" s="822"/>
      <c r="AX75" s="822"/>
      <c r="AY75" s="822"/>
      <c r="AZ75" s="822"/>
      <c r="BA75" s="822"/>
      <c r="BB75" s="822"/>
      <c r="BC75" s="822"/>
      <c r="BD75" s="822"/>
      <c r="BE75" s="822"/>
      <c r="BF75" s="822"/>
      <c r="BG75" s="822"/>
      <c r="BH75" s="822"/>
      <c r="BI75" s="822"/>
      <c r="BJ75" s="822"/>
      <c r="BK75" s="822"/>
      <c r="BL75" s="822"/>
      <c r="BM75" s="822"/>
      <c r="BN75" s="822"/>
      <c r="BO75" s="822"/>
      <c r="BP75" s="822"/>
      <c r="BQ75" s="822"/>
      <c r="BR75" s="822"/>
      <c r="BS75" s="822"/>
      <c r="BT75" s="822"/>
      <c r="BU75" s="822"/>
      <c r="BV75" s="822"/>
      <c r="BW75" s="822"/>
      <c r="BX75" s="822"/>
      <c r="BY75" s="822"/>
      <c r="BZ75" s="822"/>
      <c r="CA75" s="822"/>
      <c r="CB75" s="822"/>
      <c r="CC75" s="822"/>
      <c r="CD75" s="822"/>
      <c r="CE75" s="822"/>
      <c r="CF75" s="822"/>
      <c r="CG75" s="822"/>
      <c r="CH75" s="822"/>
      <c r="CI75" s="822"/>
      <c r="CJ75" s="392"/>
      <c r="CK75" s="392"/>
      <c r="CL75" s="392"/>
      <c r="CM75" s="392"/>
      <c r="CN75" s="392"/>
      <c r="CO75" s="392"/>
      <c r="CP75" s="392"/>
      <c r="CQ75" s="392"/>
      <c r="CR75" s="392"/>
      <c r="CS75" s="392"/>
      <c r="CT75" s="392"/>
      <c r="CU75" s="392"/>
      <c r="CV75" s="392"/>
      <c r="CW75" s="392"/>
      <c r="CX75" s="392"/>
      <c r="CY75" s="392"/>
      <c r="CZ75" s="392"/>
      <c r="DA75" s="392"/>
      <c r="DB75" s="392"/>
      <c r="DC75" s="392"/>
    </row>
    <row r="76" spans="1:107" s="337" customFormat="1" ht="56.25">
      <c r="A76" s="37"/>
      <c r="B76" s="604" t="s">
        <v>23</v>
      </c>
      <c r="C76" s="605" t="s">
        <v>181</v>
      </c>
      <c r="D76" s="606" t="s">
        <v>97</v>
      </c>
      <c r="E76" s="607">
        <f>'Ref-ComSources'!$AB$9*AVERAGE('Ref-ComSources'!$E$74:$E$75)</f>
        <v>594.25379854162532</v>
      </c>
      <c r="F76" s="605" t="s">
        <v>27</v>
      </c>
      <c r="G76" s="608">
        <f>'Ref-2013CSSsaturationsINT'!$F$12</f>
        <v>0.19425684096182766</v>
      </c>
      <c r="H76" s="605" t="s">
        <v>66</v>
      </c>
      <c r="I76" s="609">
        <f>'Ref-2013CSSsaturationsINT'!$J$12</f>
        <v>1</v>
      </c>
      <c r="J76" s="605" t="s">
        <v>1097</v>
      </c>
      <c r="K76" s="610" t="s">
        <v>1052</v>
      </c>
      <c r="L76" s="605" t="s">
        <v>960</v>
      </c>
      <c r="M76" s="610" t="s">
        <v>90</v>
      </c>
      <c r="N76" s="614">
        <f>E76*G76*'Ref-Savings Calculations'!$E$33*Applicability</f>
        <v>17.049284770598771</v>
      </c>
      <c r="O76" s="614">
        <f>E76*G76*'Ref-Savings Calculations'!$C$78*Applicability*ControlShare</f>
        <v>24.934578977000697</v>
      </c>
      <c r="P76" s="614">
        <f>E76*G76*'Ref-Savings Calculations'!$E$34*Applicability</f>
        <v>14.776046801185595</v>
      </c>
      <c r="Q76" s="614">
        <f>E76*G76*('Ref-Savings Calculations'!$C$78-'Ref-Savings Calculations'!$C$76)*Applicability*ControlShare</f>
        <v>20.317064351630201</v>
      </c>
      <c r="R76" s="37"/>
      <c r="S76" s="605" t="s">
        <v>69</v>
      </c>
      <c r="T76" s="605" t="s">
        <v>69</v>
      </c>
      <c r="U76" s="605" t="s">
        <v>69</v>
      </c>
      <c r="V76" s="605" t="s">
        <v>69</v>
      </c>
      <c r="W76" s="605" t="s">
        <v>76</v>
      </c>
      <c r="X76" s="37"/>
      <c r="Y76" s="37"/>
      <c r="Z76" s="605" t="s">
        <v>78</v>
      </c>
      <c r="AA76" s="605" t="s">
        <v>78</v>
      </c>
      <c r="AB76" s="37"/>
      <c r="AC76" s="681">
        <f>'Ref-ComHOU'!$G$65</f>
        <v>7.2356164383561641</v>
      </c>
      <c r="AD76" s="605" t="s">
        <v>72</v>
      </c>
      <c r="AE76" s="610" t="s">
        <v>73</v>
      </c>
      <c r="AF76" s="822"/>
      <c r="AG76" s="822"/>
      <c r="AH76" s="822"/>
      <c r="AI76" s="822"/>
      <c r="AJ76" s="822"/>
      <c r="AK76" s="822"/>
      <c r="AL76" s="822"/>
      <c r="AM76" s="822"/>
      <c r="AN76" s="822"/>
      <c r="AO76" s="822"/>
      <c r="AP76" s="822"/>
      <c r="AQ76" s="822"/>
      <c r="AR76" s="822"/>
      <c r="AS76" s="822"/>
      <c r="AT76" s="822"/>
      <c r="AU76" s="822"/>
      <c r="AV76" s="822"/>
      <c r="AW76" s="822"/>
      <c r="AX76" s="822"/>
      <c r="AY76" s="822"/>
      <c r="AZ76" s="822"/>
      <c r="BA76" s="822"/>
      <c r="BB76" s="822"/>
      <c r="BC76" s="822"/>
      <c r="BD76" s="822"/>
      <c r="BE76" s="822"/>
      <c r="BF76" s="822"/>
      <c r="BG76" s="822"/>
      <c r="BH76" s="822"/>
      <c r="BI76" s="822"/>
      <c r="BJ76" s="822"/>
      <c r="BK76" s="822"/>
      <c r="BL76" s="822"/>
      <c r="BM76" s="822"/>
      <c r="BN76" s="822"/>
      <c r="BO76" s="822"/>
      <c r="BP76" s="822"/>
      <c r="BQ76" s="822"/>
      <c r="BR76" s="822"/>
      <c r="BS76" s="822"/>
      <c r="BT76" s="822"/>
      <c r="BU76" s="822"/>
      <c r="BV76" s="822"/>
      <c r="BW76" s="822"/>
      <c r="BX76" s="822"/>
      <c r="BY76" s="822"/>
      <c r="BZ76" s="822"/>
      <c r="CA76" s="822"/>
      <c r="CB76" s="822"/>
      <c r="CC76" s="822"/>
      <c r="CD76" s="822"/>
      <c r="CE76" s="822"/>
      <c r="CF76" s="822"/>
      <c r="CG76" s="822"/>
      <c r="CH76" s="822"/>
      <c r="CI76" s="822"/>
      <c r="CJ76" s="392"/>
      <c r="CK76" s="392"/>
      <c r="CL76" s="392"/>
      <c r="CM76" s="392"/>
      <c r="CN76" s="392"/>
      <c r="CO76" s="392"/>
      <c r="CP76" s="392"/>
      <c r="CQ76" s="392"/>
      <c r="CR76" s="392"/>
      <c r="CS76" s="392"/>
      <c r="CT76" s="392"/>
      <c r="CU76" s="392"/>
      <c r="CV76" s="392"/>
      <c r="CW76" s="392"/>
      <c r="CX76" s="392"/>
      <c r="CY76" s="392"/>
      <c r="CZ76" s="392"/>
      <c r="DA76" s="392"/>
      <c r="DB76" s="392"/>
      <c r="DC76" s="392"/>
    </row>
    <row r="77" spans="1:107" s="337" customFormat="1" ht="56.25">
      <c r="A77" s="37"/>
      <c r="B77" s="604" t="s">
        <v>23</v>
      </c>
      <c r="C77" s="605" t="s">
        <v>181</v>
      </c>
      <c r="D77" s="606" t="s">
        <v>97</v>
      </c>
      <c r="E77" s="607">
        <f>'Ref-ComSources'!$AB$9*AVERAGE('Ref-ComSources'!$E$74:$E$75)</f>
        <v>594.25379854162532</v>
      </c>
      <c r="F77" s="605" t="s">
        <v>27</v>
      </c>
      <c r="G77" s="608">
        <f>'Ref-2013CSSsaturationsINT'!$F$12</f>
        <v>0.19425684096182766</v>
      </c>
      <c r="H77" s="605" t="s">
        <v>66</v>
      </c>
      <c r="I77" s="609">
        <f>'Ref-2013CSSsaturationsINT'!$J$12</f>
        <v>1</v>
      </c>
      <c r="J77" s="605" t="s">
        <v>1097</v>
      </c>
      <c r="K77" s="610" t="s">
        <v>1052</v>
      </c>
      <c r="L77" s="605" t="s">
        <v>960</v>
      </c>
      <c r="M77" s="610" t="s">
        <v>91</v>
      </c>
      <c r="N77" s="614">
        <f>E77*G77*'Ref-Savings Calculations'!$E$33*Applicability</f>
        <v>17.049284770598771</v>
      </c>
      <c r="O77" s="614">
        <f>E77*G77*'Ref-Savings Calculations'!$C$90*Applicability*ControlShare</f>
        <v>32.322602377593498</v>
      </c>
      <c r="P77" s="614">
        <f>E77*G77*'Ref-Savings Calculations'!$E$34*Applicability</f>
        <v>14.776046801185595</v>
      </c>
      <c r="Q77" s="614">
        <f>E77*G77*('Ref-Savings Calculations'!$C$90-'Ref-Savings Calculations'!$C$76)*Applicability*ControlShare</f>
        <v>27.705087752222994</v>
      </c>
      <c r="R77" s="37"/>
      <c r="S77" s="605" t="s">
        <v>69</v>
      </c>
      <c r="T77" s="605" t="s">
        <v>69</v>
      </c>
      <c r="U77" s="605" t="s">
        <v>69</v>
      </c>
      <c r="V77" s="605" t="s">
        <v>69</v>
      </c>
      <c r="W77" s="605" t="s">
        <v>76</v>
      </c>
      <c r="X77" s="37"/>
      <c r="Y77" s="37"/>
      <c r="Z77" s="605" t="s">
        <v>78</v>
      </c>
      <c r="AA77" s="605" t="s">
        <v>78</v>
      </c>
      <c r="AB77" s="37"/>
      <c r="AC77" s="681">
        <f>'Ref-ComHOU'!$G$65</f>
        <v>7.2356164383561641</v>
      </c>
      <c r="AD77" s="605" t="s">
        <v>72</v>
      </c>
      <c r="AE77" s="610" t="s">
        <v>73</v>
      </c>
      <c r="AF77" s="822"/>
      <c r="AG77" s="822"/>
      <c r="AH77" s="822"/>
      <c r="AI77" s="822"/>
      <c r="AJ77" s="822"/>
      <c r="AK77" s="822"/>
      <c r="AL77" s="822"/>
      <c r="AM77" s="822"/>
      <c r="AN77" s="822"/>
      <c r="AO77" s="822"/>
      <c r="AP77" s="822"/>
      <c r="AQ77" s="822"/>
      <c r="AR77" s="822"/>
      <c r="AS77" s="822"/>
      <c r="AT77" s="822"/>
      <c r="AU77" s="822"/>
      <c r="AV77" s="822"/>
      <c r="AW77" s="822"/>
      <c r="AX77" s="822"/>
      <c r="AY77" s="822"/>
      <c r="AZ77" s="822"/>
      <c r="BA77" s="822"/>
      <c r="BB77" s="822"/>
      <c r="BC77" s="822"/>
      <c r="BD77" s="822"/>
      <c r="BE77" s="822"/>
      <c r="BF77" s="822"/>
      <c r="BG77" s="822"/>
      <c r="BH77" s="822"/>
      <c r="BI77" s="822"/>
      <c r="BJ77" s="822"/>
      <c r="BK77" s="822"/>
      <c r="BL77" s="822"/>
      <c r="BM77" s="822"/>
      <c r="BN77" s="822"/>
      <c r="BO77" s="822"/>
      <c r="BP77" s="822"/>
      <c r="BQ77" s="822"/>
      <c r="BR77" s="822"/>
      <c r="BS77" s="822"/>
      <c r="BT77" s="822"/>
      <c r="BU77" s="822"/>
      <c r="BV77" s="822"/>
      <c r="BW77" s="822"/>
      <c r="BX77" s="822"/>
      <c r="BY77" s="822"/>
      <c r="BZ77" s="822"/>
      <c r="CA77" s="822"/>
      <c r="CB77" s="822"/>
      <c r="CC77" s="822"/>
      <c r="CD77" s="822"/>
      <c r="CE77" s="822"/>
      <c r="CF77" s="822"/>
      <c r="CG77" s="822"/>
      <c r="CH77" s="822"/>
      <c r="CI77" s="822"/>
      <c r="CJ77" s="392"/>
      <c r="CK77" s="392"/>
      <c r="CL77" s="392"/>
      <c r="CM77" s="392"/>
      <c r="CN77" s="392"/>
      <c r="CO77" s="392"/>
      <c r="CP77" s="392"/>
      <c r="CQ77" s="392"/>
      <c r="CR77" s="392"/>
      <c r="CS77" s="392"/>
      <c r="CT77" s="392"/>
      <c r="CU77" s="392"/>
      <c r="CV77" s="392"/>
      <c r="CW77" s="392"/>
      <c r="CX77" s="392"/>
      <c r="CY77" s="392"/>
      <c r="CZ77" s="392"/>
      <c r="DA77" s="392"/>
      <c r="DB77" s="392"/>
      <c r="DC77" s="392"/>
    </row>
    <row r="78" spans="1:107" s="337" customFormat="1" ht="56.25">
      <c r="A78" s="37"/>
      <c r="B78" s="604" t="s">
        <v>23</v>
      </c>
      <c r="C78" s="605" t="s">
        <v>181</v>
      </c>
      <c r="D78" s="606" t="s">
        <v>97</v>
      </c>
      <c r="E78" s="607">
        <f>'Ref-ComSources'!$AB$9*AVERAGE('Ref-ComSources'!$E$74:$E$75)</f>
        <v>594.25379854162532</v>
      </c>
      <c r="F78" s="605" t="s">
        <v>27</v>
      </c>
      <c r="G78" s="608">
        <f>'Ref-2013CSSsaturationsINT'!$F$12</f>
        <v>0.19425684096182766</v>
      </c>
      <c r="H78" s="605" t="s">
        <v>66</v>
      </c>
      <c r="I78" s="609">
        <f>'Ref-2013CSSsaturationsINT'!$J$12</f>
        <v>1</v>
      </c>
      <c r="J78" s="605" t="s">
        <v>1097</v>
      </c>
      <c r="K78" s="610" t="s">
        <v>1052</v>
      </c>
      <c r="L78" s="605" t="s">
        <v>960</v>
      </c>
      <c r="M78" s="610" t="s">
        <v>92</v>
      </c>
      <c r="N78" s="614">
        <f>E78*G78*'Ref-Savings Calculations'!$E$33*Applicability</f>
        <v>17.049284770598771</v>
      </c>
      <c r="O78" s="614">
        <f>E78*G78*'Ref-Savings Calculations'!$C$100*Applicability*ControlShare</f>
        <v>33.246105302667594</v>
      </c>
      <c r="P78" s="614">
        <f>E78*G78*'Ref-Savings Calculations'!$E$34*Applicability</f>
        <v>14.776046801185595</v>
      </c>
      <c r="Q78" s="614">
        <f>E78*G78*('Ref-Savings Calculations'!$C$100-'Ref-Savings Calculations'!$C$76)*Applicability*ControlShare</f>
        <v>28.628590677297097</v>
      </c>
      <c r="R78" s="37"/>
      <c r="S78" s="605" t="s">
        <v>69</v>
      </c>
      <c r="T78" s="605" t="s">
        <v>69</v>
      </c>
      <c r="U78" s="605" t="s">
        <v>69</v>
      </c>
      <c r="V78" s="605" t="s">
        <v>69</v>
      </c>
      <c r="W78" s="605" t="s">
        <v>76</v>
      </c>
      <c r="X78" s="37"/>
      <c r="Y78" s="37"/>
      <c r="Z78" s="605" t="s">
        <v>78</v>
      </c>
      <c r="AA78" s="605" t="s">
        <v>78</v>
      </c>
      <c r="AB78" s="37"/>
      <c r="AC78" s="681">
        <f>'Ref-ComHOU'!$G$65</f>
        <v>7.2356164383561641</v>
      </c>
      <c r="AD78" s="605" t="s">
        <v>72</v>
      </c>
      <c r="AE78" s="610" t="s">
        <v>73</v>
      </c>
      <c r="AF78" s="822"/>
      <c r="AG78" s="822"/>
      <c r="AH78" s="822"/>
      <c r="AI78" s="822"/>
      <c r="AJ78" s="822"/>
      <c r="AK78" s="822"/>
      <c r="AL78" s="822"/>
      <c r="AM78" s="822"/>
      <c r="AN78" s="822"/>
      <c r="AO78" s="822"/>
      <c r="AP78" s="822"/>
      <c r="AQ78" s="822"/>
      <c r="AR78" s="822"/>
      <c r="AS78" s="822"/>
      <c r="AT78" s="822"/>
      <c r="AU78" s="822"/>
      <c r="AV78" s="822"/>
      <c r="AW78" s="822"/>
      <c r="AX78" s="822"/>
      <c r="AY78" s="822"/>
      <c r="AZ78" s="822"/>
      <c r="BA78" s="822"/>
      <c r="BB78" s="822"/>
      <c r="BC78" s="822"/>
      <c r="BD78" s="822"/>
      <c r="BE78" s="822"/>
      <c r="BF78" s="822"/>
      <c r="BG78" s="822"/>
      <c r="BH78" s="822"/>
      <c r="BI78" s="822"/>
      <c r="BJ78" s="822"/>
      <c r="BK78" s="822"/>
      <c r="BL78" s="822"/>
      <c r="BM78" s="822"/>
      <c r="BN78" s="822"/>
      <c r="BO78" s="822"/>
      <c r="BP78" s="822"/>
      <c r="BQ78" s="822"/>
      <c r="BR78" s="822"/>
      <c r="BS78" s="822"/>
      <c r="BT78" s="822"/>
      <c r="BU78" s="822"/>
      <c r="BV78" s="822"/>
      <c r="BW78" s="822"/>
      <c r="BX78" s="822"/>
      <c r="BY78" s="822"/>
      <c r="BZ78" s="822"/>
      <c r="CA78" s="822"/>
      <c r="CB78" s="822"/>
      <c r="CC78" s="822"/>
      <c r="CD78" s="822"/>
      <c r="CE78" s="822"/>
      <c r="CF78" s="822"/>
      <c r="CG78" s="822"/>
      <c r="CH78" s="822"/>
      <c r="CI78" s="822"/>
      <c r="CJ78" s="392"/>
      <c r="CK78" s="392"/>
      <c r="CL78" s="392"/>
      <c r="CM78" s="392"/>
      <c r="CN78" s="392"/>
      <c r="CO78" s="392"/>
      <c r="CP78" s="392"/>
      <c r="CQ78" s="392"/>
      <c r="CR78" s="392"/>
      <c r="CS78" s="392"/>
      <c r="CT78" s="392"/>
      <c r="CU78" s="392"/>
      <c r="CV78" s="392"/>
      <c r="CW78" s="392"/>
      <c r="CX78" s="392"/>
      <c r="CY78" s="392"/>
      <c r="CZ78" s="392"/>
      <c r="DA78" s="392"/>
      <c r="DB78" s="392"/>
      <c r="DC78" s="392"/>
    </row>
    <row r="79" spans="1:107" s="337" customFormat="1" ht="56.25">
      <c r="A79" s="37"/>
      <c r="B79" s="604" t="s">
        <v>23</v>
      </c>
      <c r="C79" s="605" t="s">
        <v>181</v>
      </c>
      <c r="D79" s="606" t="s">
        <v>97</v>
      </c>
      <c r="E79" s="607">
        <f>'Ref-ComSources'!$AB$9*AVERAGE('Ref-ComSources'!$E$74:$E$75)</f>
        <v>594.25379854162532</v>
      </c>
      <c r="F79" s="605" t="s">
        <v>27</v>
      </c>
      <c r="G79" s="608">
        <f>'Ref-2013CSSsaturationsINT'!$F$12</f>
        <v>0.19425684096182766</v>
      </c>
      <c r="H79" s="605" t="s">
        <v>66</v>
      </c>
      <c r="I79" s="609">
        <f>'Ref-2013CSSsaturationsINT'!$J$12</f>
        <v>1</v>
      </c>
      <c r="J79" s="605" t="s">
        <v>1097</v>
      </c>
      <c r="K79" s="610" t="s">
        <v>1052</v>
      </c>
      <c r="L79" s="605" t="s">
        <v>960</v>
      </c>
      <c r="M79" s="612" t="s">
        <v>93</v>
      </c>
      <c r="N79" s="614">
        <f>E79*G79*'Ref-Savings Calculations'!$E$33*Applicability</f>
        <v>17.049284770598771</v>
      </c>
      <c r="O79" s="614">
        <f>E79*G79*'Ref-Savings Calculations'!$C$110*Applicability*ControlShare</f>
        <v>36.940117002963994</v>
      </c>
      <c r="P79" s="614">
        <f>E79*G79*'Ref-Savings Calculations'!$E$34*Applicability</f>
        <v>14.776046801185595</v>
      </c>
      <c r="Q79" s="614">
        <f>E79*G79*('Ref-Savings Calculations'!$C$110-'Ref-Savings Calculations'!$C$76)*Applicability*ControlShare</f>
        <v>32.322602377593498</v>
      </c>
      <c r="R79" s="37"/>
      <c r="S79" s="605" t="s">
        <v>69</v>
      </c>
      <c r="T79" s="605" t="s">
        <v>69</v>
      </c>
      <c r="U79" s="610" t="s">
        <v>44</v>
      </c>
      <c r="V79" s="610" t="s">
        <v>75</v>
      </c>
      <c r="W79" s="605" t="s">
        <v>76</v>
      </c>
      <c r="X79" s="37"/>
      <c r="Y79" s="37"/>
      <c r="Z79" s="605" t="s">
        <v>78</v>
      </c>
      <c r="AA79" s="605" t="s">
        <v>78</v>
      </c>
      <c r="AB79" s="37"/>
      <c r="AC79" s="681">
        <f>'Ref-ComHOU'!$G$65</f>
        <v>7.2356164383561641</v>
      </c>
      <c r="AD79" s="605" t="s">
        <v>72</v>
      </c>
      <c r="AE79" s="610" t="s">
        <v>73</v>
      </c>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822"/>
      <c r="BK79" s="822"/>
      <c r="BL79" s="822"/>
      <c r="BM79" s="822"/>
      <c r="BN79" s="822"/>
      <c r="BO79" s="822"/>
      <c r="BP79" s="822"/>
      <c r="BQ79" s="822"/>
      <c r="BR79" s="822"/>
      <c r="BS79" s="822"/>
      <c r="BT79" s="822"/>
      <c r="BU79" s="822"/>
      <c r="BV79" s="822"/>
      <c r="BW79" s="822"/>
      <c r="BX79" s="822"/>
      <c r="BY79" s="822"/>
      <c r="BZ79" s="822"/>
      <c r="CA79" s="822"/>
      <c r="CB79" s="822"/>
      <c r="CC79" s="822"/>
      <c r="CD79" s="822"/>
      <c r="CE79" s="822"/>
      <c r="CF79" s="822"/>
      <c r="CG79" s="822"/>
      <c r="CH79" s="822"/>
      <c r="CI79" s="822"/>
      <c r="CJ79" s="392"/>
      <c r="CK79" s="392"/>
      <c r="CL79" s="392"/>
      <c r="CM79" s="392"/>
      <c r="CN79" s="392"/>
      <c r="CO79" s="392"/>
      <c r="CP79" s="392"/>
      <c r="CQ79" s="392"/>
      <c r="CR79" s="392"/>
      <c r="CS79" s="392"/>
      <c r="CT79" s="392"/>
      <c r="CU79" s="392"/>
      <c r="CV79" s="392"/>
      <c r="CW79" s="392"/>
      <c r="CX79" s="392"/>
      <c r="CY79" s="392"/>
      <c r="CZ79" s="392"/>
      <c r="DA79" s="392"/>
      <c r="DB79" s="392"/>
      <c r="DC79" s="392"/>
    </row>
    <row r="80" spans="1:107" s="337" customFormat="1" ht="24">
      <c r="A80" s="37"/>
      <c r="B80" s="604" t="s">
        <v>23</v>
      </c>
      <c r="C80" s="605" t="s">
        <v>181</v>
      </c>
      <c r="D80" s="606" t="s">
        <v>97</v>
      </c>
      <c r="E80" s="607">
        <f>'Ref-ComSources'!$AB$9*AVERAGE('Ref-ComSources'!$E$74:$E$75)</f>
        <v>594.25379854162532</v>
      </c>
      <c r="F80" s="605" t="s">
        <v>24</v>
      </c>
      <c r="G80" s="608">
        <f>'Ref-2013CSSsaturationsINT'!$F$15</f>
        <v>0.14364620675929671</v>
      </c>
      <c r="H80" s="605" t="s">
        <v>66</v>
      </c>
      <c r="I80" s="609">
        <f>'Ref-2013CSSsaturationsINT'!$J$15</f>
        <v>0.98097503900836736</v>
      </c>
      <c r="J80" s="610" t="s">
        <v>25</v>
      </c>
      <c r="K80" s="610" t="s">
        <v>1052</v>
      </c>
      <c r="L80" s="610" t="s">
        <v>99</v>
      </c>
      <c r="M80" s="610" t="s">
        <v>88</v>
      </c>
      <c r="N80" s="611">
        <f>E80*G80*'Ref-Savings Calculations'!$E$7*Applicability</f>
        <v>15.759194586979897</v>
      </c>
      <c r="O80" s="611">
        <f>E80*G80*'Ref-Savings Calculations'!$C$55*Applicability*ControlShare</f>
        <v>14.737938953550247</v>
      </c>
      <c r="P80" s="611">
        <f>rMarketSolutions[[#This Row],[Lighting Savings
(lamp and/or ballast)]]</f>
        <v>15.759194586979897</v>
      </c>
      <c r="Q80" s="611">
        <f>E80*G80*('Ref-Savings Calculations'!$C$55-'Ref-Savings Calculations'!$C$76)*Applicability*ControlShare</f>
        <v>11.388407373197918</v>
      </c>
      <c r="R80" s="37"/>
      <c r="S80" s="605" t="s">
        <v>44</v>
      </c>
      <c r="T80" s="610" t="s">
        <v>63</v>
      </c>
      <c r="U80" s="605" t="s">
        <v>69</v>
      </c>
      <c r="V80" s="605" t="s">
        <v>69</v>
      </c>
      <c r="W80" s="605" t="s">
        <v>76</v>
      </c>
      <c r="X80" s="37"/>
      <c r="Y80" s="37"/>
      <c r="Z80" s="605" t="s">
        <v>78</v>
      </c>
      <c r="AA80" s="605" t="s">
        <v>78</v>
      </c>
      <c r="AB80" s="37"/>
      <c r="AC80" s="681">
        <f>'Ref-ComHOU'!$G$65</f>
        <v>7.2356164383561641</v>
      </c>
      <c r="AD80" s="605" t="s">
        <v>72</v>
      </c>
      <c r="AE80" s="610" t="s">
        <v>73</v>
      </c>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822"/>
      <c r="BK80" s="822"/>
      <c r="BL80" s="822"/>
      <c r="BM80" s="822"/>
      <c r="BN80" s="822"/>
      <c r="BO80" s="822"/>
      <c r="BP80" s="822"/>
      <c r="BQ80" s="822"/>
      <c r="BR80" s="822"/>
      <c r="BS80" s="822"/>
      <c r="BT80" s="822"/>
      <c r="BU80" s="822"/>
      <c r="BV80" s="822"/>
      <c r="BW80" s="822"/>
      <c r="BX80" s="822"/>
      <c r="BY80" s="822"/>
      <c r="BZ80" s="822"/>
      <c r="CA80" s="822"/>
      <c r="CB80" s="822"/>
      <c r="CC80" s="822"/>
      <c r="CD80" s="822"/>
      <c r="CE80" s="822"/>
      <c r="CF80" s="822"/>
      <c r="CG80" s="822"/>
      <c r="CH80" s="822"/>
      <c r="CI80" s="822"/>
      <c r="CJ80" s="392"/>
      <c r="CK80" s="392"/>
      <c r="CL80" s="392"/>
      <c r="CM80" s="392"/>
      <c r="CN80" s="392"/>
      <c r="CO80" s="392"/>
      <c r="CP80" s="392"/>
      <c r="CQ80" s="392"/>
      <c r="CR80" s="392"/>
      <c r="CS80" s="392"/>
      <c r="CT80" s="392"/>
      <c r="CU80" s="392"/>
      <c r="CV80" s="392"/>
      <c r="CW80" s="392"/>
      <c r="CX80" s="392"/>
      <c r="CY80" s="392"/>
      <c r="CZ80" s="392"/>
      <c r="DA80" s="392"/>
      <c r="DB80" s="392"/>
      <c r="DC80" s="392"/>
    </row>
    <row r="81" spans="1:107" s="337" customFormat="1" ht="24">
      <c r="A81" s="37"/>
      <c r="B81" s="604" t="s">
        <v>23</v>
      </c>
      <c r="C81" s="605" t="s">
        <v>181</v>
      </c>
      <c r="D81" s="606" t="s">
        <v>97</v>
      </c>
      <c r="E81" s="607">
        <f>'Ref-ComSources'!$AB$9*AVERAGE('Ref-ComSources'!$E$74:$E$75)</f>
        <v>594.25379854162532</v>
      </c>
      <c r="F81" s="605" t="s">
        <v>24</v>
      </c>
      <c r="G81" s="608">
        <f>'Ref-2013CSSsaturationsINT'!$F$15</f>
        <v>0.14364620675929671</v>
      </c>
      <c r="H81" s="605" t="s">
        <v>66</v>
      </c>
      <c r="I81" s="609">
        <f>'Ref-2013CSSsaturationsINT'!$J$15</f>
        <v>0.98097503900836736</v>
      </c>
      <c r="J81" s="610" t="s">
        <v>25</v>
      </c>
      <c r="K81" s="610" t="s">
        <v>1052</v>
      </c>
      <c r="L81" s="610" t="s">
        <v>99</v>
      </c>
      <c r="M81" s="610" t="s">
        <v>90</v>
      </c>
      <c r="N81" s="611">
        <f>E81*G81*'Ref-Savings Calculations'!$E$7*Applicability</f>
        <v>15.759194586979897</v>
      </c>
      <c r="O81" s="611">
        <f>E81*G81*'Ref-Savings Calculations'!$C$78*Applicability*ControlShare</f>
        <v>18.087470533902579</v>
      </c>
      <c r="P81" s="611">
        <f>rMarketSolutions[[#This Row],[Lighting Savings
(lamp and/or ballast)]]</f>
        <v>15.759194586979897</v>
      </c>
      <c r="Q81" s="611">
        <f>E81*G81*('Ref-Savings Calculations'!$C$78-'Ref-Savings Calculations'!$C$76)*Applicability*ControlShare</f>
        <v>14.73793895355025</v>
      </c>
      <c r="R81" s="37"/>
      <c r="S81" s="605" t="s">
        <v>44</v>
      </c>
      <c r="T81" s="610" t="s">
        <v>63</v>
      </c>
      <c r="U81" s="605" t="s">
        <v>69</v>
      </c>
      <c r="V81" s="605" t="s">
        <v>69</v>
      </c>
      <c r="W81" s="605" t="s">
        <v>76</v>
      </c>
      <c r="X81" s="37"/>
      <c r="Y81" s="37"/>
      <c r="Z81" s="605" t="s">
        <v>78</v>
      </c>
      <c r="AA81" s="605" t="s">
        <v>78</v>
      </c>
      <c r="AB81" s="37"/>
      <c r="AC81" s="681">
        <f>'Ref-ComHOU'!$G$65</f>
        <v>7.2356164383561641</v>
      </c>
      <c r="AD81" s="605" t="s">
        <v>72</v>
      </c>
      <c r="AE81" s="610" t="s">
        <v>73</v>
      </c>
      <c r="AF81" s="822"/>
      <c r="AG81" s="822"/>
      <c r="AH81" s="822"/>
      <c r="AI81" s="822"/>
      <c r="AJ81" s="822"/>
      <c r="AK81" s="822"/>
      <c r="AL81" s="822"/>
      <c r="AM81" s="822"/>
      <c r="AN81" s="822"/>
      <c r="AO81" s="822"/>
      <c r="AP81" s="822"/>
      <c r="AQ81" s="822"/>
      <c r="AR81" s="822"/>
      <c r="AS81" s="822"/>
      <c r="AT81" s="822"/>
      <c r="AU81" s="822"/>
      <c r="AV81" s="822"/>
      <c r="AW81" s="822"/>
      <c r="AX81" s="822"/>
      <c r="AY81" s="822"/>
      <c r="AZ81" s="822"/>
      <c r="BA81" s="822"/>
      <c r="BB81" s="822"/>
      <c r="BC81" s="822"/>
      <c r="BD81" s="822"/>
      <c r="BE81" s="822"/>
      <c r="BF81" s="822"/>
      <c r="BG81" s="822"/>
      <c r="BH81" s="822"/>
      <c r="BI81" s="822"/>
      <c r="BJ81" s="822"/>
      <c r="BK81" s="822"/>
      <c r="BL81" s="822"/>
      <c r="BM81" s="822"/>
      <c r="BN81" s="822"/>
      <c r="BO81" s="822"/>
      <c r="BP81" s="822"/>
      <c r="BQ81" s="822"/>
      <c r="BR81" s="822"/>
      <c r="BS81" s="822"/>
      <c r="BT81" s="822"/>
      <c r="BU81" s="822"/>
      <c r="BV81" s="822"/>
      <c r="BW81" s="822"/>
      <c r="BX81" s="822"/>
      <c r="BY81" s="822"/>
      <c r="BZ81" s="822"/>
      <c r="CA81" s="822"/>
      <c r="CB81" s="822"/>
      <c r="CC81" s="822"/>
      <c r="CD81" s="822"/>
      <c r="CE81" s="822"/>
      <c r="CF81" s="822"/>
      <c r="CG81" s="822"/>
      <c r="CH81" s="822"/>
      <c r="CI81" s="822"/>
      <c r="CJ81" s="392"/>
      <c r="CK81" s="392"/>
      <c r="CL81" s="392"/>
      <c r="CM81" s="392"/>
      <c r="CN81" s="392"/>
      <c r="CO81" s="392"/>
      <c r="CP81" s="392"/>
      <c r="CQ81" s="392"/>
      <c r="CR81" s="392"/>
      <c r="CS81" s="392"/>
      <c r="CT81" s="392"/>
      <c r="CU81" s="392"/>
      <c r="CV81" s="392"/>
      <c r="CW81" s="392"/>
      <c r="CX81" s="392"/>
      <c r="CY81" s="392"/>
      <c r="CZ81" s="392"/>
      <c r="DA81" s="392"/>
      <c r="DB81" s="392"/>
      <c r="DC81" s="392"/>
    </row>
    <row r="82" spans="1:107" s="337" customFormat="1" ht="24">
      <c r="A82" s="37"/>
      <c r="B82" s="604" t="s">
        <v>23</v>
      </c>
      <c r="C82" s="605" t="s">
        <v>181</v>
      </c>
      <c r="D82" s="606" t="s">
        <v>97</v>
      </c>
      <c r="E82" s="607">
        <f>'Ref-ComSources'!$AB$9*AVERAGE('Ref-ComSources'!$E$74:$E$75)</f>
        <v>594.25379854162532</v>
      </c>
      <c r="F82" s="605" t="s">
        <v>24</v>
      </c>
      <c r="G82" s="608">
        <f>'Ref-2013CSSsaturationsINT'!$F$15</f>
        <v>0.14364620675929671</v>
      </c>
      <c r="H82" s="605" t="s">
        <v>66</v>
      </c>
      <c r="I82" s="609">
        <f>'Ref-2013CSSsaturationsINT'!$J$15</f>
        <v>0.98097503900836736</v>
      </c>
      <c r="J82" s="610" t="s">
        <v>25</v>
      </c>
      <c r="K82" s="610" t="s">
        <v>1052</v>
      </c>
      <c r="L82" s="610" t="s">
        <v>99</v>
      </c>
      <c r="M82" s="610" t="s">
        <v>91</v>
      </c>
      <c r="N82" s="611">
        <f>E82*G82*'Ref-Savings Calculations'!$E$7*Applicability</f>
        <v>15.759194586979897</v>
      </c>
      <c r="O82" s="611">
        <f>E82*G82*'Ref-Savings Calculations'!$C$90*Applicability*ControlShare</f>
        <v>23.446721062466299</v>
      </c>
      <c r="P82" s="611">
        <f>rMarketSolutions[[#This Row],[Lighting Savings
(lamp and/or ballast)]]</f>
        <v>15.759194586979897</v>
      </c>
      <c r="Q82" s="611">
        <f>E82*G82*('Ref-Savings Calculations'!$C$90-'Ref-Savings Calculations'!$C$76)*Applicability*ControlShare</f>
        <v>20.097189482113972</v>
      </c>
      <c r="R82" s="37"/>
      <c r="S82" s="605" t="s">
        <v>44</v>
      </c>
      <c r="T82" s="610" t="s">
        <v>63</v>
      </c>
      <c r="U82" s="605" t="s">
        <v>69</v>
      </c>
      <c r="V82" s="605" t="s">
        <v>69</v>
      </c>
      <c r="W82" s="605" t="s">
        <v>76</v>
      </c>
      <c r="X82" s="37"/>
      <c r="Y82" s="37"/>
      <c r="Z82" s="605" t="s">
        <v>78</v>
      </c>
      <c r="AA82" s="605" t="s">
        <v>78</v>
      </c>
      <c r="AB82" s="37"/>
      <c r="AC82" s="681">
        <f>'Ref-ComHOU'!$G$65</f>
        <v>7.2356164383561641</v>
      </c>
      <c r="AD82" s="605" t="s">
        <v>72</v>
      </c>
      <c r="AE82" s="610" t="s">
        <v>73</v>
      </c>
      <c r="AF82" s="822"/>
      <c r="AG82" s="822"/>
      <c r="AH82" s="822"/>
      <c r="AI82" s="822"/>
      <c r="AJ82" s="822"/>
      <c r="AK82" s="822"/>
      <c r="AL82" s="822"/>
      <c r="AM82" s="822"/>
      <c r="AN82" s="822"/>
      <c r="AO82" s="822"/>
      <c r="AP82" s="822"/>
      <c r="AQ82" s="822"/>
      <c r="AR82" s="822"/>
      <c r="AS82" s="822"/>
      <c r="AT82" s="822"/>
      <c r="AU82" s="822"/>
      <c r="AV82" s="822"/>
      <c r="AW82" s="822"/>
      <c r="AX82" s="822"/>
      <c r="AY82" s="822"/>
      <c r="AZ82" s="822"/>
      <c r="BA82" s="822"/>
      <c r="BB82" s="822"/>
      <c r="BC82" s="822"/>
      <c r="BD82" s="822"/>
      <c r="BE82" s="822"/>
      <c r="BF82" s="822"/>
      <c r="BG82" s="822"/>
      <c r="BH82" s="822"/>
      <c r="BI82" s="822"/>
      <c r="BJ82" s="822"/>
      <c r="BK82" s="822"/>
      <c r="BL82" s="822"/>
      <c r="BM82" s="822"/>
      <c r="BN82" s="822"/>
      <c r="BO82" s="822"/>
      <c r="BP82" s="822"/>
      <c r="BQ82" s="822"/>
      <c r="BR82" s="822"/>
      <c r="BS82" s="822"/>
      <c r="BT82" s="822"/>
      <c r="BU82" s="822"/>
      <c r="BV82" s="822"/>
      <c r="BW82" s="822"/>
      <c r="BX82" s="822"/>
      <c r="BY82" s="822"/>
      <c r="BZ82" s="822"/>
      <c r="CA82" s="822"/>
      <c r="CB82" s="822"/>
      <c r="CC82" s="822"/>
      <c r="CD82" s="822"/>
      <c r="CE82" s="822"/>
      <c r="CF82" s="822"/>
      <c r="CG82" s="822"/>
      <c r="CH82" s="822"/>
      <c r="CI82" s="822"/>
      <c r="CJ82" s="392"/>
      <c r="CK82" s="392"/>
      <c r="CL82" s="392"/>
      <c r="CM82" s="392"/>
      <c r="CN82" s="392"/>
      <c r="CO82" s="392"/>
      <c r="CP82" s="392"/>
      <c r="CQ82" s="392"/>
      <c r="CR82" s="392"/>
      <c r="CS82" s="392"/>
      <c r="CT82" s="392"/>
      <c r="CU82" s="392"/>
      <c r="CV82" s="392"/>
      <c r="CW82" s="392"/>
      <c r="CX82" s="392"/>
      <c r="CY82" s="392"/>
      <c r="CZ82" s="392"/>
      <c r="DA82" s="392"/>
      <c r="DB82" s="392"/>
      <c r="DC82" s="392"/>
    </row>
    <row r="83" spans="1:107" s="337" customFormat="1" ht="24">
      <c r="A83" s="37"/>
      <c r="B83" s="604" t="s">
        <v>23</v>
      </c>
      <c r="C83" s="605" t="s">
        <v>181</v>
      </c>
      <c r="D83" s="606" t="s">
        <v>97</v>
      </c>
      <c r="E83" s="607">
        <f>'Ref-ComSources'!$AB$9*AVERAGE('Ref-ComSources'!$E$74:$E$75)</f>
        <v>594.25379854162532</v>
      </c>
      <c r="F83" s="605" t="s">
        <v>24</v>
      </c>
      <c r="G83" s="608">
        <f>'Ref-2013CSSsaturationsINT'!$F$15</f>
        <v>0.14364620675929671</v>
      </c>
      <c r="H83" s="605" t="s">
        <v>66</v>
      </c>
      <c r="I83" s="609">
        <f>'Ref-2013CSSsaturationsINT'!$J$15</f>
        <v>0.98097503900836736</v>
      </c>
      <c r="J83" s="610" t="s">
        <v>25</v>
      </c>
      <c r="K83" s="610" t="s">
        <v>1052</v>
      </c>
      <c r="L83" s="610" t="s">
        <v>99</v>
      </c>
      <c r="M83" s="610" t="s">
        <v>92</v>
      </c>
      <c r="N83" s="611">
        <f>E83*G83*'Ref-Savings Calculations'!$E$7*Applicability</f>
        <v>15.759194586979897</v>
      </c>
      <c r="O83" s="611" t="s">
        <v>870</v>
      </c>
      <c r="P83" s="611">
        <f>rMarketSolutions[[#This Row],[Lighting Savings
(lamp and/or ballast)]]</f>
        <v>15.759194586979897</v>
      </c>
      <c r="Q83" s="611" t="s">
        <v>870</v>
      </c>
      <c r="R83" s="37"/>
      <c r="S83" s="605" t="s">
        <v>44</v>
      </c>
      <c r="T83" s="610" t="s">
        <v>63</v>
      </c>
      <c r="U83" s="610" t="s">
        <v>870</v>
      </c>
      <c r="V83" s="610" t="s">
        <v>870</v>
      </c>
      <c r="W83" s="610" t="s">
        <v>76</v>
      </c>
      <c r="X83" s="37"/>
      <c r="Y83" s="37"/>
      <c r="Z83" s="605" t="s">
        <v>78</v>
      </c>
      <c r="AA83" s="605" t="s">
        <v>78</v>
      </c>
      <c r="AB83" s="37"/>
      <c r="AC83" s="681">
        <f>'Ref-ComHOU'!$G$65</f>
        <v>7.2356164383561641</v>
      </c>
      <c r="AD83" s="605" t="s">
        <v>72</v>
      </c>
      <c r="AE83" s="610" t="s">
        <v>73</v>
      </c>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822"/>
      <c r="BK83" s="822"/>
      <c r="BL83" s="822"/>
      <c r="BM83" s="822"/>
      <c r="BN83" s="822"/>
      <c r="BO83" s="822"/>
      <c r="BP83" s="822"/>
      <c r="BQ83" s="822"/>
      <c r="BR83" s="822"/>
      <c r="BS83" s="822"/>
      <c r="BT83" s="822"/>
      <c r="BU83" s="822"/>
      <c r="BV83" s="822"/>
      <c r="BW83" s="822"/>
      <c r="BX83" s="822"/>
      <c r="BY83" s="822"/>
      <c r="BZ83" s="822"/>
      <c r="CA83" s="822"/>
      <c r="CB83" s="822"/>
      <c r="CC83" s="822"/>
      <c r="CD83" s="822"/>
      <c r="CE83" s="822"/>
      <c r="CF83" s="822"/>
      <c r="CG83" s="822"/>
      <c r="CH83" s="822"/>
      <c r="CI83" s="822"/>
      <c r="CJ83" s="392"/>
      <c r="CK83" s="392"/>
      <c r="CL83" s="392"/>
      <c r="CM83" s="392"/>
      <c r="CN83" s="392"/>
      <c r="CO83" s="392"/>
      <c r="CP83" s="392"/>
      <c r="CQ83" s="392"/>
      <c r="CR83" s="392"/>
      <c r="CS83" s="392"/>
      <c r="CT83" s="392"/>
      <c r="CU83" s="392"/>
      <c r="CV83" s="392"/>
      <c r="CW83" s="392"/>
      <c r="CX83" s="392"/>
      <c r="CY83" s="392"/>
      <c r="CZ83" s="392"/>
      <c r="DA83" s="392"/>
      <c r="DB83" s="392"/>
      <c r="DC83" s="392"/>
    </row>
    <row r="84" spans="1:107" s="337" customFormat="1" ht="24">
      <c r="A84" s="37"/>
      <c r="B84" s="604" t="s">
        <v>23</v>
      </c>
      <c r="C84" s="605" t="s">
        <v>181</v>
      </c>
      <c r="D84" s="606" t="s">
        <v>97</v>
      </c>
      <c r="E84" s="607">
        <f>'Ref-ComSources'!$AB$9*AVERAGE('Ref-ComSources'!$E$74:$E$75)</f>
        <v>594.25379854162532</v>
      </c>
      <c r="F84" s="605" t="s">
        <v>24</v>
      </c>
      <c r="G84" s="608">
        <f>'Ref-2013CSSsaturationsINT'!$F$15</f>
        <v>0.14364620675929671</v>
      </c>
      <c r="H84" s="605" t="s">
        <v>66</v>
      </c>
      <c r="I84" s="609">
        <f>'Ref-2013CSSsaturationsINT'!$J$15</f>
        <v>0.98097503900836736</v>
      </c>
      <c r="J84" s="610" t="s">
        <v>25</v>
      </c>
      <c r="K84" s="610" t="s">
        <v>1052</v>
      </c>
      <c r="L84" s="612" t="s">
        <v>99</v>
      </c>
      <c r="M84" s="612" t="s">
        <v>93</v>
      </c>
      <c r="N84" s="611">
        <f>E84*G84*'Ref-Savings Calculations'!$E$7*Applicability</f>
        <v>15.759194586979897</v>
      </c>
      <c r="O84" s="613">
        <f>E84*G84*'Ref-Savings Calculations'!$C$110*Applicability*ControlShare</f>
        <v>26.796252642818629</v>
      </c>
      <c r="P84" s="611">
        <f>rMarketSolutions[[#This Row],[Lighting Savings
(lamp and/or ballast)]]</f>
        <v>15.759194586979897</v>
      </c>
      <c r="Q84" s="611">
        <f>E84*G84*('Ref-Savings Calculations'!$C$110-'Ref-Savings Calculations'!$C$76)*Applicability*ControlShare</f>
        <v>23.446721062466302</v>
      </c>
      <c r="R84" s="37"/>
      <c r="S84" s="605" t="s">
        <v>44</v>
      </c>
      <c r="T84" s="610" t="s">
        <v>63</v>
      </c>
      <c r="U84" s="610" t="s">
        <v>44</v>
      </c>
      <c r="V84" s="610" t="s">
        <v>75</v>
      </c>
      <c r="W84" s="605" t="s">
        <v>76</v>
      </c>
      <c r="X84" s="37"/>
      <c r="Y84" s="37"/>
      <c r="Z84" s="605" t="s">
        <v>78</v>
      </c>
      <c r="AA84" s="605" t="s">
        <v>78</v>
      </c>
      <c r="AB84" s="37"/>
      <c r="AC84" s="681">
        <f>'Ref-ComHOU'!$G$65</f>
        <v>7.2356164383561641</v>
      </c>
      <c r="AD84" s="605" t="s">
        <v>72</v>
      </c>
      <c r="AE84" s="610" t="s">
        <v>73</v>
      </c>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822"/>
      <c r="BK84" s="822"/>
      <c r="BL84" s="822"/>
      <c r="BM84" s="822"/>
      <c r="BN84" s="822"/>
      <c r="BO84" s="822"/>
      <c r="BP84" s="822"/>
      <c r="BQ84" s="822"/>
      <c r="BR84" s="822"/>
      <c r="BS84" s="822"/>
      <c r="BT84" s="822"/>
      <c r="BU84" s="822"/>
      <c r="BV84" s="822"/>
      <c r="BW84" s="822"/>
      <c r="BX84" s="822"/>
      <c r="BY84" s="822"/>
      <c r="BZ84" s="822"/>
      <c r="CA84" s="822"/>
      <c r="CB84" s="822"/>
      <c r="CC84" s="822"/>
      <c r="CD84" s="822"/>
      <c r="CE84" s="822"/>
      <c r="CF84" s="822"/>
      <c r="CG84" s="822"/>
      <c r="CH84" s="822"/>
      <c r="CI84" s="822"/>
      <c r="CJ84" s="392"/>
      <c r="CK84" s="392"/>
      <c r="CL84" s="392"/>
      <c r="CM84" s="392"/>
      <c r="CN84" s="392"/>
      <c r="CO84" s="392"/>
      <c r="CP84" s="392"/>
      <c r="CQ84" s="392"/>
      <c r="CR84" s="392"/>
      <c r="CS84" s="392"/>
      <c r="CT84" s="392"/>
      <c r="CU84" s="392"/>
      <c r="CV84" s="392"/>
      <c r="CW84" s="392"/>
      <c r="CX84" s="392"/>
      <c r="CY84" s="392"/>
      <c r="CZ84" s="392"/>
      <c r="DA84" s="392"/>
      <c r="DB84" s="392"/>
      <c r="DC84" s="392"/>
    </row>
    <row r="85" spans="1:107" s="337" customFormat="1" ht="24">
      <c r="A85" s="37"/>
      <c r="B85" s="604" t="s">
        <v>23</v>
      </c>
      <c r="C85" s="605" t="s">
        <v>181</v>
      </c>
      <c r="D85" s="606" t="s">
        <v>97</v>
      </c>
      <c r="E85" s="607">
        <f>'Ref-ComSources'!$AB$9*AVERAGE('Ref-ComSources'!$E$74:$E$75)</f>
        <v>594.25379854162532</v>
      </c>
      <c r="F85" s="605" t="s">
        <v>26</v>
      </c>
      <c r="G85" s="608">
        <f>'Ref-2013CSSsaturationsINT'!$F$16</f>
        <v>0.63115519641773232</v>
      </c>
      <c r="H85" s="605" t="s">
        <v>66</v>
      </c>
      <c r="I85" s="609">
        <f>'Ref-2013CSSsaturationsINT'!$J$16</f>
        <v>1</v>
      </c>
      <c r="J85" s="610" t="s">
        <v>25</v>
      </c>
      <c r="K85" s="610" t="s">
        <v>1052</v>
      </c>
      <c r="L85" s="610" t="s">
        <v>99</v>
      </c>
      <c r="M85" s="610" t="s">
        <v>88</v>
      </c>
      <c r="N85" s="611">
        <f>E85*G85*'Ref-Savings Calculations'!$E$11*Applicability</f>
        <v>250.04424862701541</v>
      </c>
      <c r="O85" s="611">
        <f>E85*G85*'Ref-Savings Calculations'!$C$55*Applicability*ControlShare</f>
        <v>66.011681637532064</v>
      </c>
      <c r="P85" s="611">
        <f>E85*G85*'Ref-Savings Calculations'!$E$9*Applicability</f>
        <v>237.54203619566462</v>
      </c>
      <c r="Q85" s="611">
        <f>E85*G85*('Ref-Savings Calculations'!$C$55-'Ref-Savings Calculations'!$C$76)*Applicability*ControlShare</f>
        <v>51.009026719911134</v>
      </c>
      <c r="R85" s="37"/>
      <c r="S85" s="605" t="s">
        <v>44</v>
      </c>
      <c r="T85" s="610" t="s">
        <v>63</v>
      </c>
      <c r="U85" s="605" t="s">
        <v>69</v>
      </c>
      <c r="V85" s="605" t="s">
        <v>69</v>
      </c>
      <c r="W85" s="605" t="s">
        <v>76</v>
      </c>
      <c r="X85" s="37"/>
      <c r="Y85" s="37"/>
      <c r="Z85" s="605" t="s">
        <v>78</v>
      </c>
      <c r="AA85" s="605" t="s">
        <v>78</v>
      </c>
      <c r="AB85" s="37"/>
      <c r="AC85" s="681">
        <f>'Ref-ComHOU'!$G$65</f>
        <v>7.2356164383561641</v>
      </c>
      <c r="AD85" s="605" t="s">
        <v>72</v>
      </c>
      <c r="AE85" s="610" t="s">
        <v>73</v>
      </c>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822"/>
      <c r="BK85" s="822"/>
      <c r="BL85" s="822"/>
      <c r="BM85" s="822"/>
      <c r="BN85" s="822"/>
      <c r="BO85" s="822"/>
      <c r="BP85" s="822"/>
      <c r="BQ85" s="822"/>
      <c r="BR85" s="822"/>
      <c r="BS85" s="822"/>
      <c r="BT85" s="822"/>
      <c r="BU85" s="822"/>
      <c r="BV85" s="822"/>
      <c r="BW85" s="822"/>
      <c r="BX85" s="822"/>
      <c r="BY85" s="822"/>
      <c r="BZ85" s="822"/>
      <c r="CA85" s="822"/>
      <c r="CB85" s="822"/>
      <c r="CC85" s="822"/>
      <c r="CD85" s="822"/>
      <c r="CE85" s="822"/>
      <c r="CF85" s="822"/>
      <c r="CG85" s="822"/>
      <c r="CH85" s="822"/>
      <c r="CI85" s="822"/>
      <c r="CJ85" s="392"/>
      <c r="CK85" s="392"/>
      <c r="CL85" s="392"/>
      <c r="CM85" s="392"/>
      <c r="CN85" s="392"/>
      <c r="CO85" s="392"/>
      <c r="CP85" s="392"/>
      <c r="CQ85" s="392"/>
      <c r="CR85" s="392"/>
      <c r="CS85" s="392"/>
      <c r="CT85" s="392"/>
      <c r="CU85" s="392"/>
      <c r="CV85" s="392"/>
      <c r="CW85" s="392"/>
      <c r="CX85" s="392"/>
      <c r="CY85" s="392"/>
      <c r="CZ85" s="392"/>
      <c r="DA85" s="392"/>
      <c r="DB85" s="392"/>
      <c r="DC85" s="392"/>
    </row>
    <row r="86" spans="1:107" s="337" customFormat="1" ht="24">
      <c r="A86" s="37"/>
      <c r="B86" s="604" t="s">
        <v>23</v>
      </c>
      <c r="C86" s="605" t="s">
        <v>181</v>
      </c>
      <c r="D86" s="606" t="s">
        <v>97</v>
      </c>
      <c r="E86" s="607">
        <f>'Ref-ComSources'!$AB$9*AVERAGE('Ref-ComSources'!$E$74:$E$75)</f>
        <v>594.25379854162532</v>
      </c>
      <c r="F86" s="605" t="s">
        <v>26</v>
      </c>
      <c r="G86" s="608">
        <f>'Ref-2013CSSsaturationsINT'!$F$16</f>
        <v>0.63115519641773232</v>
      </c>
      <c r="H86" s="605" t="s">
        <v>66</v>
      </c>
      <c r="I86" s="609">
        <f>'Ref-2013CSSsaturationsINT'!$J$16</f>
        <v>1</v>
      </c>
      <c r="J86" s="610" t="s">
        <v>25</v>
      </c>
      <c r="K86" s="610" t="s">
        <v>1052</v>
      </c>
      <c r="L86" s="610" t="s">
        <v>99</v>
      </c>
      <c r="M86" s="610" t="s">
        <v>90</v>
      </c>
      <c r="N86" s="611">
        <f>E86*G86*'Ref-Savings Calculations'!$E$11*Applicability</f>
        <v>250.04424862701541</v>
      </c>
      <c r="O86" s="611">
        <f>E86*G86*'Ref-Savings Calculations'!$C$78*Applicability*ControlShare</f>
        <v>81.014336555152994</v>
      </c>
      <c r="P86" s="611">
        <f>E86*G86*'Ref-Savings Calculations'!$E$9*Applicability</f>
        <v>237.54203619566462</v>
      </c>
      <c r="Q86" s="611">
        <f>E86*G86*('Ref-Savings Calculations'!$C$78-'Ref-Savings Calculations'!$C$76)*Applicability*ControlShare</f>
        <v>66.011681637532078</v>
      </c>
      <c r="R86" s="37"/>
      <c r="S86" s="605" t="s">
        <v>44</v>
      </c>
      <c r="T86" s="610" t="s">
        <v>63</v>
      </c>
      <c r="U86" s="605" t="s">
        <v>69</v>
      </c>
      <c r="V86" s="605" t="s">
        <v>69</v>
      </c>
      <c r="W86" s="605" t="s">
        <v>76</v>
      </c>
      <c r="X86" s="37"/>
      <c r="Y86" s="37"/>
      <c r="Z86" s="605" t="s">
        <v>78</v>
      </c>
      <c r="AA86" s="605" t="s">
        <v>78</v>
      </c>
      <c r="AB86" s="37"/>
      <c r="AC86" s="681">
        <f>'Ref-ComHOU'!$G$65</f>
        <v>7.2356164383561641</v>
      </c>
      <c r="AD86" s="605" t="s">
        <v>72</v>
      </c>
      <c r="AE86" s="610" t="s">
        <v>73</v>
      </c>
      <c r="AF86" s="822"/>
      <c r="AG86" s="822"/>
      <c r="AH86" s="822"/>
      <c r="AI86" s="822"/>
      <c r="AJ86" s="822"/>
      <c r="AK86" s="822"/>
      <c r="AL86" s="822"/>
      <c r="AM86" s="822"/>
      <c r="AN86" s="822"/>
      <c r="AO86" s="822"/>
      <c r="AP86" s="822"/>
      <c r="AQ86" s="822"/>
      <c r="AR86" s="822"/>
      <c r="AS86" s="822"/>
      <c r="AT86" s="822"/>
      <c r="AU86" s="822"/>
      <c r="AV86" s="822"/>
      <c r="AW86" s="822"/>
      <c r="AX86" s="822"/>
      <c r="AY86" s="822"/>
      <c r="AZ86" s="822"/>
      <c r="BA86" s="822"/>
      <c r="BB86" s="822"/>
      <c r="BC86" s="822"/>
      <c r="BD86" s="822"/>
      <c r="BE86" s="822"/>
      <c r="BF86" s="822"/>
      <c r="BG86" s="822"/>
      <c r="BH86" s="822"/>
      <c r="BI86" s="822"/>
      <c r="BJ86" s="822"/>
      <c r="BK86" s="822"/>
      <c r="BL86" s="822"/>
      <c r="BM86" s="822"/>
      <c r="BN86" s="822"/>
      <c r="BO86" s="822"/>
      <c r="BP86" s="822"/>
      <c r="BQ86" s="822"/>
      <c r="BR86" s="822"/>
      <c r="BS86" s="822"/>
      <c r="BT86" s="822"/>
      <c r="BU86" s="822"/>
      <c r="BV86" s="822"/>
      <c r="BW86" s="822"/>
      <c r="BX86" s="822"/>
      <c r="BY86" s="822"/>
      <c r="BZ86" s="822"/>
      <c r="CA86" s="822"/>
      <c r="CB86" s="822"/>
      <c r="CC86" s="822"/>
      <c r="CD86" s="822"/>
      <c r="CE86" s="822"/>
      <c r="CF86" s="822"/>
      <c r="CG86" s="822"/>
      <c r="CH86" s="822"/>
      <c r="CI86" s="822"/>
      <c r="CJ86" s="392"/>
      <c r="CK86" s="392"/>
      <c r="CL86" s="392"/>
      <c r="CM86" s="392"/>
      <c r="CN86" s="392"/>
      <c r="CO86" s="392"/>
      <c r="CP86" s="392"/>
      <c r="CQ86" s="392"/>
      <c r="CR86" s="392"/>
      <c r="CS86" s="392"/>
      <c r="CT86" s="392"/>
      <c r="CU86" s="392"/>
      <c r="CV86" s="392"/>
      <c r="CW86" s="392"/>
      <c r="CX86" s="392"/>
      <c r="CY86" s="392"/>
      <c r="CZ86" s="392"/>
      <c r="DA86" s="392"/>
      <c r="DB86" s="392"/>
      <c r="DC86" s="392"/>
    </row>
    <row r="87" spans="1:107" s="337" customFormat="1" ht="24">
      <c r="A87" s="37"/>
      <c r="B87" s="604" t="s">
        <v>23</v>
      </c>
      <c r="C87" s="605" t="s">
        <v>181</v>
      </c>
      <c r="D87" s="606" t="s">
        <v>97</v>
      </c>
      <c r="E87" s="607">
        <f>'Ref-ComSources'!$AB$9*AVERAGE('Ref-ComSources'!$E$74:$E$75)</f>
        <v>594.25379854162532</v>
      </c>
      <c r="F87" s="605" t="s">
        <v>26</v>
      </c>
      <c r="G87" s="608">
        <f>'Ref-2013CSSsaturationsINT'!$F$16</f>
        <v>0.63115519641773232</v>
      </c>
      <c r="H87" s="605" t="s">
        <v>66</v>
      </c>
      <c r="I87" s="609">
        <f>'Ref-2013CSSsaturationsINT'!$J$16</f>
        <v>1</v>
      </c>
      <c r="J87" s="610" t="s">
        <v>25</v>
      </c>
      <c r="K87" s="610" t="s">
        <v>1052</v>
      </c>
      <c r="L87" s="610" t="s">
        <v>99</v>
      </c>
      <c r="M87" s="610" t="s">
        <v>91</v>
      </c>
      <c r="N87" s="611">
        <f>E87*G87*'Ref-Savings Calculations'!$E$11*Applicability</f>
        <v>250.04424862701541</v>
      </c>
      <c r="O87" s="611">
        <f>E87*G87*'Ref-Savings Calculations'!$C$90*Applicability*ControlShare</f>
        <v>105.01858442334647</v>
      </c>
      <c r="P87" s="611">
        <f>E87*G87*'Ref-Savings Calculations'!$E$9*Applicability</f>
        <v>237.54203619566462</v>
      </c>
      <c r="Q87" s="611">
        <f>E87*G87*('Ref-Savings Calculations'!$C$90-'Ref-Savings Calculations'!$C$76)*Applicability*ControlShare</f>
        <v>90.015929505725538</v>
      </c>
      <c r="R87" s="37"/>
      <c r="S87" s="605" t="s">
        <v>44</v>
      </c>
      <c r="T87" s="610" t="s">
        <v>63</v>
      </c>
      <c r="U87" s="605" t="s">
        <v>69</v>
      </c>
      <c r="V87" s="605" t="s">
        <v>69</v>
      </c>
      <c r="W87" s="605" t="s">
        <v>76</v>
      </c>
      <c r="X87" s="37"/>
      <c r="Y87" s="37"/>
      <c r="Z87" s="605" t="s">
        <v>78</v>
      </c>
      <c r="AA87" s="605" t="s">
        <v>78</v>
      </c>
      <c r="AB87" s="37"/>
      <c r="AC87" s="681">
        <f>'Ref-ComHOU'!$G$65</f>
        <v>7.2356164383561641</v>
      </c>
      <c r="AD87" s="605" t="s">
        <v>72</v>
      </c>
      <c r="AE87" s="610" t="s">
        <v>73</v>
      </c>
      <c r="AF87" s="822"/>
      <c r="AG87" s="822"/>
      <c r="AH87" s="822"/>
      <c r="AI87" s="822"/>
      <c r="AJ87" s="822"/>
      <c r="AK87" s="822"/>
      <c r="AL87" s="822"/>
      <c r="AM87" s="822"/>
      <c r="AN87" s="822"/>
      <c r="AO87" s="822"/>
      <c r="AP87" s="822"/>
      <c r="AQ87" s="822"/>
      <c r="AR87" s="822"/>
      <c r="AS87" s="822"/>
      <c r="AT87" s="822"/>
      <c r="AU87" s="822"/>
      <c r="AV87" s="822"/>
      <c r="AW87" s="822"/>
      <c r="AX87" s="822"/>
      <c r="AY87" s="822"/>
      <c r="AZ87" s="822"/>
      <c r="BA87" s="822"/>
      <c r="BB87" s="822"/>
      <c r="BC87" s="822"/>
      <c r="BD87" s="822"/>
      <c r="BE87" s="822"/>
      <c r="BF87" s="822"/>
      <c r="BG87" s="822"/>
      <c r="BH87" s="822"/>
      <c r="BI87" s="822"/>
      <c r="BJ87" s="822"/>
      <c r="BK87" s="822"/>
      <c r="BL87" s="822"/>
      <c r="BM87" s="822"/>
      <c r="BN87" s="822"/>
      <c r="BO87" s="822"/>
      <c r="BP87" s="822"/>
      <c r="BQ87" s="822"/>
      <c r="BR87" s="822"/>
      <c r="BS87" s="822"/>
      <c r="BT87" s="822"/>
      <c r="BU87" s="822"/>
      <c r="BV87" s="822"/>
      <c r="BW87" s="822"/>
      <c r="BX87" s="822"/>
      <c r="BY87" s="822"/>
      <c r="BZ87" s="822"/>
      <c r="CA87" s="822"/>
      <c r="CB87" s="822"/>
      <c r="CC87" s="822"/>
      <c r="CD87" s="822"/>
      <c r="CE87" s="822"/>
      <c r="CF87" s="822"/>
      <c r="CG87" s="822"/>
      <c r="CH87" s="822"/>
      <c r="CI87" s="822"/>
      <c r="CJ87" s="392"/>
      <c r="CK87" s="392"/>
      <c r="CL87" s="392"/>
      <c r="CM87" s="392"/>
      <c r="CN87" s="392"/>
      <c r="CO87" s="392"/>
      <c r="CP87" s="392"/>
      <c r="CQ87" s="392"/>
      <c r="CR87" s="392"/>
      <c r="CS87" s="392"/>
      <c r="CT87" s="392"/>
      <c r="CU87" s="392"/>
      <c r="CV87" s="392"/>
      <c r="CW87" s="392"/>
      <c r="CX87" s="392"/>
      <c r="CY87" s="392"/>
      <c r="CZ87" s="392"/>
      <c r="DA87" s="392"/>
      <c r="DB87" s="392"/>
      <c r="DC87" s="392"/>
    </row>
    <row r="88" spans="1:107" s="337" customFormat="1" ht="24">
      <c r="A88" s="37"/>
      <c r="B88" s="604" t="s">
        <v>23</v>
      </c>
      <c r="C88" s="605" t="s">
        <v>181</v>
      </c>
      <c r="D88" s="606" t="s">
        <v>97</v>
      </c>
      <c r="E88" s="607">
        <f>'Ref-ComSources'!$AB$9*AVERAGE('Ref-ComSources'!$E$74:$E$75)</f>
        <v>594.25379854162532</v>
      </c>
      <c r="F88" s="605" t="s">
        <v>26</v>
      </c>
      <c r="G88" s="608">
        <f>'Ref-2013CSSsaturationsINT'!$F$16</f>
        <v>0.63115519641773232</v>
      </c>
      <c r="H88" s="605" t="s">
        <v>66</v>
      </c>
      <c r="I88" s="609">
        <f>'Ref-2013CSSsaturationsINT'!$J$16</f>
        <v>1</v>
      </c>
      <c r="J88" s="610" t="s">
        <v>25</v>
      </c>
      <c r="K88" s="610" t="s">
        <v>1052</v>
      </c>
      <c r="L88" s="610" t="s">
        <v>99</v>
      </c>
      <c r="M88" s="610" t="s">
        <v>92</v>
      </c>
      <c r="N88" s="611">
        <f>E88*G88*'Ref-Savings Calculations'!$E$11*Applicability</f>
        <v>250.04424862701541</v>
      </c>
      <c r="O88" s="611" t="s">
        <v>870</v>
      </c>
      <c r="P88" s="611">
        <f>E88*G88*'Ref-Savings Calculations'!$E$9*Applicability</f>
        <v>237.54203619566462</v>
      </c>
      <c r="Q88" s="611" t="s">
        <v>870</v>
      </c>
      <c r="R88" s="37"/>
      <c r="S88" s="605" t="s">
        <v>44</v>
      </c>
      <c r="T88" s="610" t="s">
        <v>63</v>
      </c>
      <c r="U88" s="610" t="s">
        <v>870</v>
      </c>
      <c r="V88" s="610" t="s">
        <v>870</v>
      </c>
      <c r="W88" s="610" t="s">
        <v>76</v>
      </c>
      <c r="X88" s="37"/>
      <c r="Y88" s="37"/>
      <c r="Z88" s="605" t="s">
        <v>78</v>
      </c>
      <c r="AA88" s="605" t="s">
        <v>78</v>
      </c>
      <c r="AB88" s="37"/>
      <c r="AC88" s="681">
        <f>'Ref-ComHOU'!$G$65</f>
        <v>7.2356164383561641</v>
      </c>
      <c r="AD88" s="605" t="s">
        <v>72</v>
      </c>
      <c r="AE88" s="610" t="s">
        <v>73</v>
      </c>
      <c r="AF88" s="822"/>
      <c r="AG88" s="822"/>
      <c r="AH88" s="822"/>
      <c r="AI88" s="822"/>
      <c r="AJ88" s="822"/>
      <c r="AK88" s="822"/>
      <c r="AL88" s="822"/>
      <c r="AM88" s="822"/>
      <c r="AN88" s="822"/>
      <c r="AO88" s="822"/>
      <c r="AP88" s="822"/>
      <c r="AQ88" s="822"/>
      <c r="AR88" s="822"/>
      <c r="AS88" s="822"/>
      <c r="AT88" s="822"/>
      <c r="AU88" s="822"/>
      <c r="AV88" s="822"/>
      <c r="AW88" s="822"/>
      <c r="AX88" s="822"/>
      <c r="AY88" s="822"/>
      <c r="AZ88" s="822"/>
      <c r="BA88" s="822"/>
      <c r="BB88" s="822"/>
      <c r="BC88" s="822"/>
      <c r="BD88" s="822"/>
      <c r="BE88" s="822"/>
      <c r="BF88" s="822"/>
      <c r="BG88" s="822"/>
      <c r="BH88" s="822"/>
      <c r="BI88" s="822"/>
      <c r="BJ88" s="822"/>
      <c r="BK88" s="822"/>
      <c r="BL88" s="822"/>
      <c r="BM88" s="822"/>
      <c r="BN88" s="822"/>
      <c r="BO88" s="822"/>
      <c r="BP88" s="822"/>
      <c r="BQ88" s="822"/>
      <c r="BR88" s="822"/>
      <c r="BS88" s="822"/>
      <c r="BT88" s="822"/>
      <c r="BU88" s="822"/>
      <c r="BV88" s="822"/>
      <c r="BW88" s="822"/>
      <c r="BX88" s="822"/>
      <c r="BY88" s="822"/>
      <c r="BZ88" s="822"/>
      <c r="CA88" s="822"/>
      <c r="CB88" s="822"/>
      <c r="CC88" s="822"/>
      <c r="CD88" s="822"/>
      <c r="CE88" s="822"/>
      <c r="CF88" s="822"/>
      <c r="CG88" s="822"/>
      <c r="CH88" s="822"/>
      <c r="CI88" s="822"/>
      <c r="CJ88" s="392"/>
      <c r="CK88" s="392"/>
      <c r="CL88" s="392"/>
      <c r="CM88" s="392"/>
      <c r="CN88" s="392"/>
      <c r="CO88" s="392"/>
      <c r="CP88" s="392"/>
      <c r="CQ88" s="392"/>
      <c r="CR88" s="392"/>
      <c r="CS88" s="392"/>
      <c r="CT88" s="392"/>
      <c r="CU88" s="392"/>
      <c r="CV88" s="392"/>
      <c r="CW88" s="392"/>
      <c r="CX88" s="392"/>
      <c r="CY88" s="392"/>
      <c r="CZ88" s="392"/>
      <c r="DA88" s="392"/>
      <c r="DB88" s="392"/>
      <c r="DC88" s="392"/>
    </row>
    <row r="89" spans="1:107" s="337" customFormat="1" ht="24">
      <c r="A89" s="37"/>
      <c r="B89" s="604" t="s">
        <v>23</v>
      </c>
      <c r="C89" s="605" t="s">
        <v>181</v>
      </c>
      <c r="D89" s="606" t="s">
        <v>97</v>
      </c>
      <c r="E89" s="607">
        <f>'Ref-ComSources'!$AB$9*AVERAGE('Ref-ComSources'!$E$74:$E$75)</f>
        <v>594.25379854162532</v>
      </c>
      <c r="F89" s="605" t="s">
        <v>26</v>
      </c>
      <c r="G89" s="608">
        <f>'Ref-2013CSSsaturationsINT'!$F$16</f>
        <v>0.63115519641773232</v>
      </c>
      <c r="H89" s="605" t="s">
        <v>66</v>
      </c>
      <c r="I89" s="609">
        <f>'Ref-2013CSSsaturationsINT'!$J$16</f>
        <v>1</v>
      </c>
      <c r="J89" s="610" t="s">
        <v>25</v>
      </c>
      <c r="K89" s="610" t="s">
        <v>1052</v>
      </c>
      <c r="L89" s="612" t="s">
        <v>99</v>
      </c>
      <c r="M89" s="612" t="s">
        <v>93</v>
      </c>
      <c r="N89" s="611">
        <f>E89*G89*'Ref-Savings Calculations'!$E$11*Applicability</f>
        <v>250.04424862701541</v>
      </c>
      <c r="O89" s="613">
        <f>E89*G89*'Ref-Savings Calculations'!$C$110*Applicability*ControlShare</f>
        <v>120.0212393409674</v>
      </c>
      <c r="P89" s="611">
        <f>E89*G89*'Ref-Savings Calculations'!$E$9*Applicability</f>
        <v>237.54203619566462</v>
      </c>
      <c r="Q89" s="611">
        <f>E89*G89*('Ref-Savings Calculations'!$C$110-'Ref-Savings Calculations'!$C$76)*Applicability*ControlShare</f>
        <v>105.01858442334647</v>
      </c>
      <c r="R89" s="37"/>
      <c r="S89" s="605" t="s">
        <v>44</v>
      </c>
      <c r="T89" s="610" t="s">
        <v>63</v>
      </c>
      <c r="U89" s="610" t="s">
        <v>44</v>
      </c>
      <c r="V89" s="610" t="s">
        <v>75</v>
      </c>
      <c r="W89" s="605" t="s">
        <v>76</v>
      </c>
      <c r="X89" s="37"/>
      <c r="Y89" s="37"/>
      <c r="Z89" s="605" t="s">
        <v>78</v>
      </c>
      <c r="AA89" s="605" t="s">
        <v>78</v>
      </c>
      <c r="AB89" s="37"/>
      <c r="AC89" s="681">
        <f>'Ref-ComHOU'!$G$65</f>
        <v>7.2356164383561641</v>
      </c>
      <c r="AD89" s="605" t="s">
        <v>72</v>
      </c>
      <c r="AE89" s="610" t="s">
        <v>73</v>
      </c>
      <c r="AF89" s="822"/>
      <c r="AG89" s="822"/>
      <c r="AH89" s="822"/>
      <c r="AI89" s="822"/>
      <c r="AJ89" s="822"/>
      <c r="AK89" s="822"/>
      <c r="AL89" s="822"/>
      <c r="AM89" s="822"/>
      <c r="AN89" s="822"/>
      <c r="AO89" s="822"/>
      <c r="AP89" s="822"/>
      <c r="AQ89" s="822"/>
      <c r="AR89" s="822"/>
      <c r="AS89" s="822"/>
      <c r="AT89" s="822"/>
      <c r="AU89" s="822"/>
      <c r="AV89" s="822"/>
      <c r="AW89" s="822"/>
      <c r="AX89" s="822"/>
      <c r="AY89" s="822"/>
      <c r="AZ89" s="822"/>
      <c r="BA89" s="822"/>
      <c r="BB89" s="822"/>
      <c r="BC89" s="822"/>
      <c r="BD89" s="822"/>
      <c r="BE89" s="822"/>
      <c r="BF89" s="822"/>
      <c r="BG89" s="822"/>
      <c r="BH89" s="822"/>
      <c r="BI89" s="822"/>
      <c r="BJ89" s="822"/>
      <c r="BK89" s="822"/>
      <c r="BL89" s="822"/>
      <c r="BM89" s="822"/>
      <c r="BN89" s="822"/>
      <c r="BO89" s="822"/>
      <c r="BP89" s="822"/>
      <c r="BQ89" s="822"/>
      <c r="BR89" s="822"/>
      <c r="BS89" s="822"/>
      <c r="BT89" s="822"/>
      <c r="BU89" s="822"/>
      <c r="BV89" s="822"/>
      <c r="BW89" s="822"/>
      <c r="BX89" s="822"/>
      <c r="BY89" s="822"/>
      <c r="BZ89" s="822"/>
      <c r="CA89" s="822"/>
      <c r="CB89" s="822"/>
      <c r="CC89" s="822"/>
      <c r="CD89" s="822"/>
      <c r="CE89" s="822"/>
      <c r="CF89" s="822"/>
      <c r="CG89" s="822"/>
      <c r="CH89" s="822"/>
      <c r="CI89" s="822"/>
      <c r="CJ89" s="392"/>
      <c r="CK89" s="392"/>
      <c r="CL89" s="392"/>
      <c r="CM89" s="392"/>
      <c r="CN89" s="392"/>
      <c r="CO89" s="392"/>
      <c r="CP89" s="392"/>
      <c r="CQ89" s="392"/>
      <c r="CR89" s="392"/>
      <c r="CS89" s="392"/>
      <c r="CT89" s="392"/>
      <c r="CU89" s="392"/>
      <c r="CV89" s="392"/>
      <c r="CW89" s="392"/>
      <c r="CX89" s="392"/>
      <c r="CY89" s="392"/>
      <c r="CZ89" s="392"/>
      <c r="DA89" s="392"/>
      <c r="DB89" s="392"/>
      <c r="DC89" s="392"/>
    </row>
    <row r="90" spans="1:107" s="337" customFormat="1" ht="24">
      <c r="A90" s="37"/>
      <c r="B90" s="616" t="s">
        <v>23</v>
      </c>
      <c r="C90" s="617" t="s">
        <v>181</v>
      </c>
      <c r="D90" s="618" t="s">
        <v>1147</v>
      </c>
      <c r="E90" s="619">
        <f>'Ref-ComSources'!$AB$9*AVERAGE('Ref-ComSources'!$F$74:$F$75)</f>
        <v>193.8338570350366</v>
      </c>
      <c r="F90" s="617" t="s">
        <v>846</v>
      </c>
      <c r="G90" s="620">
        <f>'Ref-2013CSSsaturationsINT'!$F$19</f>
        <v>0.3709864630099019</v>
      </c>
      <c r="H90" s="617" t="s">
        <v>66</v>
      </c>
      <c r="I90" s="621">
        <f>'Ref-2013CSSsaturationsINT'!$J$19</f>
        <v>0.99903230780260144</v>
      </c>
      <c r="J90" s="622" t="s">
        <v>25</v>
      </c>
      <c r="K90" s="622" t="s">
        <v>1012</v>
      </c>
      <c r="L90" s="623" t="s">
        <v>94</v>
      </c>
      <c r="M90" s="623" t="s">
        <v>88</v>
      </c>
      <c r="N90" s="624">
        <f>E90*G90*'Ref-Savings Calculations'!$E$9*Applicability</f>
        <v>45.542833454230305</v>
      </c>
      <c r="O90" s="625">
        <f>E90*G90*'Ref-Savings Calculations'!$C$55*Applicability*ControlShare</f>
        <v>12.643866495313048</v>
      </c>
      <c r="P90" s="624">
        <f>E90*G90*'Ref-Savings Calculations'!$E$9*Applicability</f>
        <v>45.542833454230305</v>
      </c>
      <c r="Q90" s="624">
        <f>E90*G90*('Ref-Savings Calculations'!$C$55-'Ref-Savings Calculations'!$C$124)*Applicability*ControlShare</f>
        <v>1.1494424086648221</v>
      </c>
      <c r="R90" s="37"/>
      <c r="S90" s="617" t="s">
        <v>44</v>
      </c>
      <c r="T90" s="622" t="s">
        <v>63</v>
      </c>
      <c r="U90" s="617" t="s">
        <v>69</v>
      </c>
      <c r="V90" s="617" t="s">
        <v>69</v>
      </c>
      <c r="W90" s="617" t="s">
        <v>76</v>
      </c>
      <c r="X90" s="37"/>
      <c r="Y90" s="37"/>
      <c r="Z90" s="617" t="s">
        <v>78</v>
      </c>
      <c r="AA90" s="617" t="s">
        <v>78</v>
      </c>
      <c r="AB90" s="37"/>
      <c r="AC90" s="812">
        <f>'Ref-ComHOU'!$G$65</f>
        <v>7.2356164383561641</v>
      </c>
      <c r="AD90" s="617" t="s">
        <v>72</v>
      </c>
      <c r="AE90" s="622" t="s">
        <v>73</v>
      </c>
      <c r="AF90" s="822"/>
      <c r="AG90" s="822"/>
      <c r="AH90" s="822"/>
      <c r="AI90" s="822"/>
      <c r="AJ90" s="822"/>
      <c r="AK90" s="822"/>
      <c r="AL90" s="822"/>
      <c r="AM90" s="822"/>
      <c r="AN90" s="822"/>
      <c r="AO90" s="822"/>
      <c r="AP90" s="822"/>
      <c r="AQ90" s="822"/>
      <c r="AR90" s="822"/>
      <c r="AS90" s="822"/>
      <c r="AT90" s="822"/>
      <c r="AU90" s="822"/>
      <c r="AV90" s="822"/>
      <c r="AW90" s="822"/>
      <c r="AX90" s="822"/>
      <c r="AY90" s="822"/>
      <c r="AZ90" s="822"/>
      <c r="BA90" s="822"/>
      <c r="BB90" s="822"/>
      <c r="BC90" s="822"/>
      <c r="BD90" s="822"/>
      <c r="BE90" s="822"/>
      <c r="BF90" s="822"/>
      <c r="BG90" s="822"/>
      <c r="BH90" s="822"/>
      <c r="BI90" s="822"/>
      <c r="BJ90" s="822"/>
      <c r="BK90" s="822"/>
      <c r="BL90" s="822"/>
      <c r="BM90" s="822"/>
      <c r="BN90" s="822"/>
      <c r="BO90" s="822"/>
      <c r="BP90" s="822"/>
      <c r="BQ90" s="822"/>
      <c r="BR90" s="822"/>
      <c r="BS90" s="822"/>
      <c r="BT90" s="822"/>
      <c r="BU90" s="822"/>
      <c r="BV90" s="822"/>
      <c r="BW90" s="822"/>
      <c r="BX90" s="822"/>
      <c r="BY90" s="822"/>
      <c r="BZ90" s="822"/>
      <c r="CA90" s="822"/>
      <c r="CB90" s="822"/>
      <c r="CC90" s="822"/>
      <c r="CD90" s="822"/>
      <c r="CE90" s="822"/>
      <c r="CF90" s="822"/>
      <c r="CG90" s="822"/>
      <c r="CH90" s="822"/>
      <c r="CI90" s="822"/>
      <c r="CJ90" s="392"/>
      <c r="CK90" s="392"/>
      <c r="CL90" s="392"/>
      <c r="CM90" s="392"/>
      <c r="CN90" s="392"/>
      <c r="CO90" s="392"/>
      <c r="CP90" s="392"/>
      <c r="CQ90" s="392"/>
      <c r="CR90" s="392"/>
      <c r="CS90" s="392"/>
      <c r="CT90" s="392"/>
      <c r="CU90" s="392"/>
      <c r="CV90" s="392"/>
      <c r="CW90" s="392"/>
      <c r="CX90" s="392"/>
      <c r="CY90" s="392"/>
      <c r="CZ90" s="392"/>
      <c r="DA90" s="392"/>
      <c r="DB90" s="392"/>
      <c r="DC90" s="392"/>
    </row>
    <row r="91" spans="1:107" s="337" customFormat="1" ht="24">
      <c r="A91" s="37"/>
      <c r="B91" s="616" t="s">
        <v>23</v>
      </c>
      <c r="C91" s="617" t="s">
        <v>181</v>
      </c>
      <c r="D91" s="618" t="s">
        <v>1147</v>
      </c>
      <c r="E91" s="619">
        <f>'Ref-ComSources'!$AB$9*AVERAGE('Ref-ComSources'!$F$74:$F$75)</f>
        <v>193.8338570350366</v>
      </c>
      <c r="F91" s="617" t="s">
        <v>846</v>
      </c>
      <c r="G91" s="620">
        <f>'Ref-2013CSSsaturationsINT'!$F$19</f>
        <v>0.3709864630099019</v>
      </c>
      <c r="H91" s="617" t="s">
        <v>66</v>
      </c>
      <c r="I91" s="621">
        <f>'Ref-2013CSSsaturationsINT'!$J$19</f>
        <v>0.99903230780260144</v>
      </c>
      <c r="J91" s="622" t="s">
        <v>25</v>
      </c>
      <c r="K91" s="622" t="s">
        <v>1012</v>
      </c>
      <c r="L91" s="623" t="s">
        <v>94</v>
      </c>
      <c r="M91" s="623" t="s">
        <v>90</v>
      </c>
      <c r="N91" s="624">
        <f>E91*G91*'Ref-Savings Calculations'!$E$9*Applicability</f>
        <v>45.542833454230305</v>
      </c>
      <c r="O91" s="625">
        <f>E91*G91*'Ref-Savings Calculations'!$C$78*Applicability*ControlShare</f>
        <v>15.517472516975108</v>
      </c>
      <c r="P91" s="624">
        <f>E91*G91*'Ref-Savings Calculations'!$E$9*Applicability</f>
        <v>45.542833454230305</v>
      </c>
      <c r="Q91" s="624">
        <f>E91*G91*('Ref-Savings Calculations'!$C$78-'Ref-Savings Calculations'!$C$124)*Applicability*ControlShare</f>
        <v>4.0230484303268792</v>
      </c>
      <c r="R91" s="37"/>
      <c r="S91" s="617" t="s">
        <v>44</v>
      </c>
      <c r="T91" s="622" t="s">
        <v>63</v>
      </c>
      <c r="U91" s="617" t="s">
        <v>69</v>
      </c>
      <c r="V91" s="617" t="s">
        <v>69</v>
      </c>
      <c r="W91" s="617" t="s">
        <v>76</v>
      </c>
      <c r="X91" s="37"/>
      <c r="Y91" s="37"/>
      <c r="Z91" s="617" t="s">
        <v>78</v>
      </c>
      <c r="AA91" s="617" t="s">
        <v>78</v>
      </c>
      <c r="AB91" s="37"/>
      <c r="AC91" s="812">
        <f>'Ref-ComHOU'!$G$65</f>
        <v>7.2356164383561641</v>
      </c>
      <c r="AD91" s="617" t="s">
        <v>72</v>
      </c>
      <c r="AE91" s="622" t="s">
        <v>73</v>
      </c>
      <c r="AF91" s="822"/>
      <c r="AG91" s="822"/>
      <c r="AH91" s="822"/>
      <c r="AI91" s="822"/>
      <c r="AJ91" s="822"/>
      <c r="AK91" s="822"/>
      <c r="AL91" s="822"/>
      <c r="AM91" s="822"/>
      <c r="AN91" s="822"/>
      <c r="AO91" s="822"/>
      <c r="AP91" s="822"/>
      <c r="AQ91" s="822"/>
      <c r="AR91" s="822"/>
      <c r="AS91" s="822"/>
      <c r="AT91" s="822"/>
      <c r="AU91" s="822"/>
      <c r="AV91" s="822"/>
      <c r="AW91" s="822"/>
      <c r="AX91" s="822"/>
      <c r="AY91" s="822"/>
      <c r="AZ91" s="822"/>
      <c r="BA91" s="822"/>
      <c r="BB91" s="822"/>
      <c r="BC91" s="822"/>
      <c r="BD91" s="822"/>
      <c r="BE91" s="822"/>
      <c r="BF91" s="822"/>
      <c r="BG91" s="822"/>
      <c r="BH91" s="822"/>
      <c r="BI91" s="822"/>
      <c r="BJ91" s="822"/>
      <c r="BK91" s="822"/>
      <c r="BL91" s="822"/>
      <c r="BM91" s="822"/>
      <c r="BN91" s="822"/>
      <c r="BO91" s="822"/>
      <c r="BP91" s="822"/>
      <c r="BQ91" s="822"/>
      <c r="BR91" s="822"/>
      <c r="BS91" s="822"/>
      <c r="BT91" s="822"/>
      <c r="BU91" s="822"/>
      <c r="BV91" s="822"/>
      <c r="BW91" s="822"/>
      <c r="BX91" s="822"/>
      <c r="BY91" s="822"/>
      <c r="BZ91" s="822"/>
      <c r="CA91" s="822"/>
      <c r="CB91" s="822"/>
      <c r="CC91" s="822"/>
      <c r="CD91" s="822"/>
      <c r="CE91" s="822"/>
      <c r="CF91" s="822"/>
      <c r="CG91" s="822"/>
      <c r="CH91" s="822"/>
      <c r="CI91" s="822"/>
      <c r="CJ91" s="392"/>
      <c r="CK91" s="392"/>
      <c r="CL91" s="392"/>
      <c r="CM91" s="392"/>
      <c r="CN91" s="392"/>
      <c r="CO91" s="392"/>
      <c r="CP91" s="392"/>
      <c r="CQ91" s="392"/>
      <c r="CR91" s="392"/>
      <c r="CS91" s="392"/>
      <c r="CT91" s="392"/>
      <c r="CU91" s="392"/>
      <c r="CV91" s="392"/>
      <c r="CW91" s="392"/>
      <c r="CX91" s="392"/>
      <c r="CY91" s="392"/>
      <c r="CZ91" s="392"/>
      <c r="DA91" s="392"/>
      <c r="DB91" s="392"/>
      <c r="DC91" s="392"/>
    </row>
    <row r="92" spans="1:107" s="337" customFormat="1" ht="24">
      <c r="A92" s="37"/>
      <c r="B92" s="616" t="s">
        <v>23</v>
      </c>
      <c r="C92" s="617" t="s">
        <v>181</v>
      </c>
      <c r="D92" s="618" t="s">
        <v>1147</v>
      </c>
      <c r="E92" s="619">
        <f>'Ref-ComSources'!$AB$9*AVERAGE('Ref-ComSources'!$F$74:$F$75)</f>
        <v>193.8338570350366</v>
      </c>
      <c r="F92" s="617" t="s">
        <v>846</v>
      </c>
      <c r="G92" s="620">
        <f>'Ref-2013CSSsaturationsINT'!$F$19</f>
        <v>0.3709864630099019</v>
      </c>
      <c r="H92" s="617" t="s">
        <v>66</v>
      </c>
      <c r="I92" s="621">
        <f>'Ref-2013CSSsaturationsINT'!$J$19</f>
        <v>0.99903230780260144</v>
      </c>
      <c r="J92" s="622" t="s">
        <v>25</v>
      </c>
      <c r="K92" s="622" t="s">
        <v>1012</v>
      </c>
      <c r="L92" s="623" t="s">
        <v>94</v>
      </c>
      <c r="M92" s="623" t="s">
        <v>91</v>
      </c>
      <c r="N92" s="624">
        <f>E92*G92*'Ref-Savings Calculations'!$E$9*Applicability</f>
        <v>45.542833454230305</v>
      </c>
      <c r="O92" s="625">
        <f>E92*G92*'Ref-Savings Calculations'!$C$90*Applicability*ControlShare</f>
        <v>20.115242151634394</v>
      </c>
      <c r="P92" s="624">
        <f>E92*G92*'Ref-Savings Calculations'!$E$9*Applicability</f>
        <v>45.542833454230305</v>
      </c>
      <c r="Q92" s="624">
        <f>E92*G92*('Ref-Savings Calculations'!$C$90-'Ref-Savings Calculations'!$C$124)*Applicability*ControlShare</f>
        <v>8.6208180649861674</v>
      </c>
      <c r="R92" s="37"/>
      <c r="S92" s="617" t="s">
        <v>44</v>
      </c>
      <c r="T92" s="622" t="s">
        <v>63</v>
      </c>
      <c r="U92" s="617" t="s">
        <v>69</v>
      </c>
      <c r="V92" s="617" t="s">
        <v>69</v>
      </c>
      <c r="W92" s="617" t="s">
        <v>76</v>
      </c>
      <c r="X92" s="37"/>
      <c r="Y92" s="37"/>
      <c r="Z92" s="617" t="s">
        <v>78</v>
      </c>
      <c r="AA92" s="617" t="s">
        <v>78</v>
      </c>
      <c r="AB92" s="37"/>
      <c r="AC92" s="812">
        <f>'Ref-ComHOU'!$G$65</f>
        <v>7.2356164383561641</v>
      </c>
      <c r="AD92" s="617" t="s">
        <v>72</v>
      </c>
      <c r="AE92" s="622" t="s">
        <v>73</v>
      </c>
      <c r="AF92" s="822"/>
      <c r="AG92" s="822"/>
      <c r="AH92" s="822"/>
      <c r="AI92" s="822"/>
      <c r="AJ92" s="822"/>
      <c r="AK92" s="822"/>
      <c r="AL92" s="822"/>
      <c r="AM92" s="822"/>
      <c r="AN92" s="822"/>
      <c r="AO92" s="822"/>
      <c r="AP92" s="822"/>
      <c r="AQ92" s="822"/>
      <c r="AR92" s="822"/>
      <c r="AS92" s="822"/>
      <c r="AT92" s="822"/>
      <c r="AU92" s="822"/>
      <c r="AV92" s="822"/>
      <c r="AW92" s="822"/>
      <c r="AX92" s="822"/>
      <c r="AY92" s="822"/>
      <c r="AZ92" s="822"/>
      <c r="BA92" s="822"/>
      <c r="BB92" s="822"/>
      <c r="BC92" s="822"/>
      <c r="BD92" s="822"/>
      <c r="BE92" s="822"/>
      <c r="BF92" s="822"/>
      <c r="BG92" s="822"/>
      <c r="BH92" s="822"/>
      <c r="BI92" s="822"/>
      <c r="BJ92" s="822"/>
      <c r="BK92" s="822"/>
      <c r="BL92" s="822"/>
      <c r="BM92" s="822"/>
      <c r="BN92" s="822"/>
      <c r="BO92" s="822"/>
      <c r="BP92" s="822"/>
      <c r="BQ92" s="822"/>
      <c r="BR92" s="822"/>
      <c r="BS92" s="822"/>
      <c r="BT92" s="822"/>
      <c r="BU92" s="822"/>
      <c r="BV92" s="822"/>
      <c r="BW92" s="822"/>
      <c r="BX92" s="822"/>
      <c r="BY92" s="822"/>
      <c r="BZ92" s="822"/>
      <c r="CA92" s="822"/>
      <c r="CB92" s="822"/>
      <c r="CC92" s="822"/>
      <c r="CD92" s="822"/>
      <c r="CE92" s="822"/>
      <c r="CF92" s="822"/>
      <c r="CG92" s="822"/>
      <c r="CH92" s="822"/>
      <c r="CI92" s="822"/>
      <c r="CJ92" s="392"/>
      <c r="CK92" s="392"/>
      <c r="CL92" s="392"/>
      <c r="CM92" s="392"/>
      <c r="CN92" s="392"/>
      <c r="CO92" s="392"/>
      <c r="CP92" s="392"/>
      <c r="CQ92" s="392"/>
      <c r="CR92" s="392"/>
      <c r="CS92" s="392"/>
      <c r="CT92" s="392"/>
      <c r="CU92" s="392"/>
      <c r="CV92" s="392"/>
      <c r="CW92" s="392"/>
      <c r="CX92" s="392"/>
      <c r="CY92" s="392"/>
      <c r="CZ92" s="392"/>
      <c r="DA92" s="392"/>
      <c r="DB92" s="392"/>
      <c r="DC92" s="392"/>
    </row>
    <row r="93" spans="1:107" s="337" customFormat="1" ht="24">
      <c r="A93" s="37"/>
      <c r="B93" s="616" t="s">
        <v>23</v>
      </c>
      <c r="C93" s="617" t="s">
        <v>181</v>
      </c>
      <c r="D93" s="618" t="s">
        <v>1147</v>
      </c>
      <c r="E93" s="619">
        <f>'Ref-ComSources'!$AB$9*AVERAGE('Ref-ComSources'!$F$74:$F$75)</f>
        <v>193.8338570350366</v>
      </c>
      <c r="F93" s="617" t="s">
        <v>846</v>
      </c>
      <c r="G93" s="620">
        <f>'Ref-2013CSSsaturationsINT'!$F$19</f>
        <v>0.3709864630099019</v>
      </c>
      <c r="H93" s="617" t="s">
        <v>66</v>
      </c>
      <c r="I93" s="621">
        <f>'Ref-2013CSSsaturationsINT'!$J$19</f>
        <v>0.99903230780260144</v>
      </c>
      <c r="J93" s="622" t="s">
        <v>25</v>
      </c>
      <c r="K93" s="622" t="s">
        <v>1012</v>
      </c>
      <c r="L93" s="623" t="s">
        <v>94</v>
      </c>
      <c r="M93" s="623" t="s">
        <v>92</v>
      </c>
      <c r="N93" s="624">
        <f>E93*G93*'Ref-Savings Calculations'!$E$9*Applicability</f>
        <v>45.542833454230305</v>
      </c>
      <c r="O93" s="625">
        <f>E93*G93*'Ref-Savings Calculations'!$C$100*Applicability*ControlShare</f>
        <v>20.689963355966807</v>
      </c>
      <c r="P93" s="624">
        <f>E93*G93*'Ref-Savings Calculations'!$E$9*Applicability</f>
        <v>45.542833454230305</v>
      </c>
      <c r="Q93" s="624">
        <f>E93*G93*('Ref-Savings Calculations'!$C$100-'Ref-Savings Calculations'!$C$124)*Applicability*ControlShare</f>
        <v>9.19553926931858</v>
      </c>
      <c r="R93" s="37"/>
      <c r="S93" s="617" t="s">
        <v>44</v>
      </c>
      <c r="T93" s="622" t="s">
        <v>63</v>
      </c>
      <c r="U93" s="617" t="s">
        <v>69</v>
      </c>
      <c r="V93" s="617" t="s">
        <v>69</v>
      </c>
      <c r="W93" s="617" t="s">
        <v>76</v>
      </c>
      <c r="X93" s="37"/>
      <c r="Y93" s="37"/>
      <c r="Z93" s="617" t="s">
        <v>78</v>
      </c>
      <c r="AA93" s="617" t="s">
        <v>78</v>
      </c>
      <c r="AB93" s="37"/>
      <c r="AC93" s="812">
        <f>'Ref-ComHOU'!$G$65</f>
        <v>7.2356164383561641</v>
      </c>
      <c r="AD93" s="617" t="s">
        <v>72</v>
      </c>
      <c r="AE93" s="622" t="s">
        <v>73</v>
      </c>
      <c r="AF93" s="822"/>
      <c r="AG93" s="822"/>
      <c r="AH93" s="822"/>
      <c r="AI93" s="822"/>
      <c r="AJ93" s="822"/>
      <c r="AK93" s="822"/>
      <c r="AL93" s="822"/>
      <c r="AM93" s="822"/>
      <c r="AN93" s="822"/>
      <c r="AO93" s="822"/>
      <c r="AP93" s="822"/>
      <c r="AQ93" s="822"/>
      <c r="AR93" s="822"/>
      <c r="AS93" s="822"/>
      <c r="AT93" s="822"/>
      <c r="AU93" s="822"/>
      <c r="AV93" s="822"/>
      <c r="AW93" s="822"/>
      <c r="AX93" s="822"/>
      <c r="AY93" s="822"/>
      <c r="AZ93" s="822"/>
      <c r="BA93" s="822"/>
      <c r="BB93" s="822"/>
      <c r="BC93" s="822"/>
      <c r="BD93" s="822"/>
      <c r="BE93" s="822"/>
      <c r="BF93" s="822"/>
      <c r="BG93" s="822"/>
      <c r="BH93" s="822"/>
      <c r="BI93" s="822"/>
      <c r="BJ93" s="822"/>
      <c r="BK93" s="822"/>
      <c r="BL93" s="822"/>
      <c r="BM93" s="822"/>
      <c r="BN93" s="822"/>
      <c r="BO93" s="822"/>
      <c r="BP93" s="822"/>
      <c r="BQ93" s="822"/>
      <c r="BR93" s="822"/>
      <c r="BS93" s="822"/>
      <c r="BT93" s="822"/>
      <c r="BU93" s="822"/>
      <c r="BV93" s="822"/>
      <c r="BW93" s="822"/>
      <c r="BX93" s="822"/>
      <c r="BY93" s="822"/>
      <c r="BZ93" s="822"/>
      <c r="CA93" s="822"/>
      <c r="CB93" s="822"/>
      <c r="CC93" s="822"/>
      <c r="CD93" s="822"/>
      <c r="CE93" s="822"/>
      <c r="CF93" s="822"/>
      <c r="CG93" s="822"/>
      <c r="CH93" s="822"/>
      <c r="CI93" s="822"/>
      <c r="CJ93" s="392"/>
      <c r="CK93" s="392"/>
      <c r="CL93" s="392"/>
      <c r="CM93" s="392"/>
      <c r="CN93" s="392"/>
      <c r="CO93" s="392"/>
      <c r="CP93" s="392"/>
      <c r="CQ93" s="392"/>
      <c r="CR93" s="392"/>
      <c r="CS93" s="392"/>
      <c r="CT93" s="392"/>
      <c r="CU93" s="392"/>
      <c r="CV93" s="392"/>
      <c r="CW93" s="392"/>
      <c r="CX93" s="392"/>
      <c r="CY93" s="392"/>
      <c r="CZ93" s="392"/>
      <c r="DA93" s="392"/>
      <c r="DB93" s="392"/>
      <c r="DC93" s="392"/>
    </row>
    <row r="94" spans="1:107" s="337" customFormat="1" ht="24">
      <c r="A94" s="37"/>
      <c r="B94" s="616" t="s">
        <v>23</v>
      </c>
      <c r="C94" s="617" t="s">
        <v>181</v>
      </c>
      <c r="D94" s="618" t="s">
        <v>1147</v>
      </c>
      <c r="E94" s="619">
        <f>'Ref-ComSources'!$AB$9*AVERAGE('Ref-ComSources'!$F$74:$F$75)</f>
        <v>193.8338570350366</v>
      </c>
      <c r="F94" s="617" t="s">
        <v>846</v>
      </c>
      <c r="G94" s="620">
        <f>'Ref-2013CSSsaturationsINT'!$F$19</f>
        <v>0.3709864630099019</v>
      </c>
      <c r="H94" s="617" t="s">
        <v>66</v>
      </c>
      <c r="I94" s="621">
        <f>'Ref-2013CSSsaturationsINT'!$J$19</f>
        <v>0.99903230780260144</v>
      </c>
      <c r="J94" s="622" t="s">
        <v>25</v>
      </c>
      <c r="K94" s="622" t="s">
        <v>1012</v>
      </c>
      <c r="L94" s="623" t="s">
        <v>94</v>
      </c>
      <c r="M94" s="623" t="s">
        <v>93</v>
      </c>
      <c r="N94" s="624">
        <f>E94*G94*'Ref-Savings Calculations'!$E$9*Applicability</f>
        <v>45.542833454230305</v>
      </c>
      <c r="O94" s="625">
        <f>E94*G94*'Ref-Savings Calculations'!$C$110*Applicability*ControlShare</f>
        <v>22.988848173296457</v>
      </c>
      <c r="P94" s="624">
        <f>E94*G94*'Ref-Savings Calculations'!$E$9*Applicability</f>
        <v>45.542833454230305</v>
      </c>
      <c r="Q94" s="624">
        <f>E94*G94*('Ref-Savings Calculations'!$C$110-'Ref-Savings Calculations'!$C$124)*Applicability*ControlShare</f>
        <v>11.494424086648229</v>
      </c>
      <c r="R94" s="37"/>
      <c r="S94" s="617" t="s">
        <v>44</v>
      </c>
      <c r="T94" s="622" t="s">
        <v>63</v>
      </c>
      <c r="U94" s="622" t="s">
        <v>44</v>
      </c>
      <c r="V94" s="622" t="s">
        <v>75</v>
      </c>
      <c r="W94" s="617" t="s">
        <v>76</v>
      </c>
      <c r="X94" s="37"/>
      <c r="Y94" s="37"/>
      <c r="Z94" s="617" t="s">
        <v>78</v>
      </c>
      <c r="AA94" s="617" t="s">
        <v>78</v>
      </c>
      <c r="AB94" s="37"/>
      <c r="AC94" s="812">
        <f>'Ref-ComHOU'!$G$65</f>
        <v>7.2356164383561641</v>
      </c>
      <c r="AD94" s="617" t="s">
        <v>72</v>
      </c>
      <c r="AE94" s="622" t="s">
        <v>73</v>
      </c>
      <c r="AF94" s="822"/>
      <c r="AG94" s="822"/>
      <c r="AH94" s="822"/>
      <c r="AI94" s="822"/>
      <c r="AJ94" s="822"/>
      <c r="AK94" s="822"/>
      <c r="AL94" s="822"/>
      <c r="AM94" s="822"/>
      <c r="AN94" s="822"/>
      <c r="AO94" s="822"/>
      <c r="AP94" s="822"/>
      <c r="AQ94" s="822"/>
      <c r="AR94" s="822"/>
      <c r="AS94" s="822"/>
      <c r="AT94" s="822"/>
      <c r="AU94" s="822"/>
      <c r="AV94" s="822"/>
      <c r="AW94" s="822"/>
      <c r="AX94" s="822"/>
      <c r="AY94" s="822"/>
      <c r="AZ94" s="822"/>
      <c r="BA94" s="822"/>
      <c r="BB94" s="822"/>
      <c r="BC94" s="822"/>
      <c r="BD94" s="822"/>
      <c r="BE94" s="822"/>
      <c r="BF94" s="822"/>
      <c r="BG94" s="822"/>
      <c r="BH94" s="822"/>
      <c r="BI94" s="822"/>
      <c r="BJ94" s="822"/>
      <c r="BK94" s="822"/>
      <c r="BL94" s="822"/>
      <c r="BM94" s="822"/>
      <c r="BN94" s="822"/>
      <c r="BO94" s="822"/>
      <c r="BP94" s="822"/>
      <c r="BQ94" s="822"/>
      <c r="BR94" s="822"/>
      <c r="BS94" s="822"/>
      <c r="BT94" s="822"/>
      <c r="BU94" s="822"/>
      <c r="BV94" s="822"/>
      <c r="BW94" s="822"/>
      <c r="BX94" s="822"/>
      <c r="BY94" s="822"/>
      <c r="BZ94" s="822"/>
      <c r="CA94" s="822"/>
      <c r="CB94" s="822"/>
      <c r="CC94" s="822"/>
      <c r="CD94" s="822"/>
      <c r="CE94" s="822"/>
      <c r="CF94" s="822"/>
      <c r="CG94" s="822"/>
      <c r="CH94" s="822"/>
      <c r="CI94" s="822"/>
      <c r="CJ94" s="392"/>
      <c r="CK94" s="392"/>
      <c r="CL94" s="392"/>
      <c r="CM94" s="392"/>
      <c r="CN94" s="392"/>
      <c r="CO94" s="392"/>
      <c r="CP94" s="392"/>
      <c r="CQ94" s="392"/>
      <c r="CR94" s="392"/>
      <c r="CS94" s="392"/>
      <c r="CT94" s="392"/>
      <c r="CU94" s="392"/>
      <c r="CV94" s="392"/>
      <c r="CW94" s="392"/>
      <c r="CX94" s="392"/>
      <c r="CY94" s="392"/>
      <c r="CZ94" s="392"/>
      <c r="DA94" s="392"/>
      <c r="DB94" s="392"/>
      <c r="DC94" s="392"/>
    </row>
    <row r="95" spans="1:107" s="337" customFormat="1" ht="24">
      <c r="A95" s="37"/>
      <c r="B95" s="616" t="s">
        <v>23</v>
      </c>
      <c r="C95" s="617" t="s">
        <v>181</v>
      </c>
      <c r="D95" s="618" t="s">
        <v>1147</v>
      </c>
      <c r="E95" s="619">
        <f>'Ref-ComSources'!$AB$9*AVERAGE('Ref-ComSources'!$F$74:$F$75)</f>
        <v>193.8338570350366</v>
      </c>
      <c r="F95" s="617" t="s">
        <v>24</v>
      </c>
      <c r="G95" s="620">
        <f>'Ref-2013CSSsaturationsINT'!$F$21</f>
        <v>0.16834284077922379</v>
      </c>
      <c r="H95" s="617" t="s">
        <v>66</v>
      </c>
      <c r="I95" s="621">
        <f>'Ref-2013CSSsaturationsINT'!$J$21</f>
        <v>0.99961337150129925</v>
      </c>
      <c r="J95" s="622" t="s">
        <v>25</v>
      </c>
      <c r="K95" s="622" t="s">
        <v>1012</v>
      </c>
      <c r="L95" s="623" t="s">
        <v>94</v>
      </c>
      <c r="M95" s="623" t="s">
        <v>88</v>
      </c>
      <c r="N95" s="624">
        <f>E95*G95*'Ref-Savings Calculations'!$E$7*Applicability</f>
        <v>6.0241000859948306</v>
      </c>
      <c r="O95" s="625">
        <f>E95*G95*'Ref-Savings Calculations'!$C$55*Applicability*ControlShare</f>
        <v>5.7407550173521731</v>
      </c>
      <c r="P95" s="624">
        <f>rMarketSolutions[[#This Row],[Lighting Savings
(lamp and/or ballast)]]</f>
        <v>6.0241000859948306</v>
      </c>
      <c r="Q95" s="624">
        <f>E95*G95*('Ref-Savings Calculations'!$C$55-'Ref-Savings Calculations'!$C$124)*Applicability*ControlShare</f>
        <v>0.52188681975928819</v>
      </c>
      <c r="R95" s="37"/>
      <c r="S95" s="617" t="s">
        <v>44</v>
      </c>
      <c r="T95" s="622" t="s">
        <v>63</v>
      </c>
      <c r="U95" s="617" t="s">
        <v>69</v>
      </c>
      <c r="V95" s="617" t="s">
        <v>69</v>
      </c>
      <c r="W95" s="617" t="s">
        <v>76</v>
      </c>
      <c r="X95" s="37"/>
      <c r="Y95" s="37"/>
      <c r="Z95" s="617" t="s">
        <v>78</v>
      </c>
      <c r="AA95" s="617" t="s">
        <v>78</v>
      </c>
      <c r="AB95" s="37"/>
      <c r="AC95" s="812">
        <f>'Ref-ComHOU'!$G$65</f>
        <v>7.2356164383561641</v>
      </c>
      <c r="AD95" s="617" t="s">
        <v>72</v>
      </c>
      <c r="AE95" s="622" t="s">
        <v>73</v>
      </c>
      <c r="AF95" s="822"/>
      <c r="AG95" s="822"/>
      <c r="AH95" s="822"/>
      <c r="AI95" s="822"/>
      <c r="AJ95" s="822"/>
      <c r="AK95" s="822"/>
      <c r="AL95" s="822"/>
      <c r="AM95" s="822"/>
      <c r="AN95" s="822"/>
      <c r="AO95" s="822"/>
      <c r="AP95" s="822"/>
      <c r="AQ95" s="822"/>
      <c r="AR95" s="822"/>
      <c r="AS95" s="822"/>
      <c r="AT95" s="822"/>
      <c r="AU95" s="822"/>
      <c r="AV95" s="822"/>
      <c r="AW95" s="822"/>
      <c r="AX95" s="822"/>
      <c r="AY95" s="822"/>
      <c r="AZ95" s="822"/>
      <c r="BA95" s="822"/>
      <c r="BB95" s="822"/>
      <c r="BC95" s="822"/>
      <c r="BD95" s="822"/>
      <c r="BE95" s="822"/>
      <c r="BF95" s="822"/>
      <c r="BG95" s="822"/>
      <c r="BH95" s="822"/>
      <c r="BI95" s="822"/>
      <c r="BJ95" s="822"/>
      <c r="BK95" s="822"/>
      <c r="BL95" s="822"/>
      <c r="BM95" s="822"/>
      <c r="BN95" s="822"/>
      <c r="BO95" s="822"/>
      <c r="BP95" s="822"/>
      <c r="BQ95" s="822"/>
      <c r="BR95" s="822"/>
      <c r="BS95" s="822"/>
      <c r="BT95" s="822"/>
      <c r="BU95" s="822"/>
      <c r="BV95" s="822"/>
      <c r="BW95" s="822"/>
      <c r="BX95" s="822"/>
      <c r="BY95" s="822"/>
      <c r="BZ95" s="822"/>
      <c r="CA95" s="822"/>
      <c r="CB95" s="822"/>
      <c r="CC95" s="822"/>
      <c r="CD95" s="822"/>
      <c r="CE95" s="822"/>
      <c r="CF95" s="822"/>
      <c r="CG95" s="822"/>
      <c r="CH95" s="822"/>
      <c r="CI95" s="822"/>
      <c r="CJ95" s="392"/>
      <c r="CK95" s="392"/>
      <c r="CL95" s="392"/>
      <c r="CM95" s="392"/>
      <c r="CN95" s="392"/>
      <c r="CO95" s="392"/>
      <c r="CP95" s="392"/>
      <c r="CQ95" s="392"/>
      <c r="CR95" s="392"/>
      <c r="CS95" s="392"/>
      <c r="CT95" s="392"/>
      <c r="CU95" s="392"/>
      <c r="CV95" s="392"/>
      <c r="CW95" s="392"/>
      <c r="CX95" s="392"/>
      <c r="CY95" s="392"/>
      <c r="CZ95" s="392"/>
      <c r="DA95" s="392"/>
      <c r="DB95" s="392"/>
      <c r="DC95" s="392"/>
    </row>
    <row r="96" spans="1:107" s="337" customFormat="1" ht="24">
      <c r="A96" s="37"/>
      <c r="B96" s="616" t="s">
        <v>23</v>
      </c>
      <c r="C96" s="617" t="s">
        <v>181</v>
      </c>
      <c r="D96" s="618" t="s">
        <v>1147</v>
      </c>
      <c r="E96" s="619">
        <f>'Ref-ComSources'!$AB$9*AVERAGE('Ref-ComSources'!$F$74:$F$75)</f>
        <v>193.8338570350366</v>
      </c>
      <c r="F96" s="617" t="s">
        <v>24</v>
      </c>
      <c r="G96" s="620">
        <f>'Ref-2013CSSsaturationsINT'!$F$21</f>
        <v>0.16834284077922379</v>
      </c>
      <c r="H96" s="617" t="s">
        <v>66</v>
      </c>
      <c r="I96" s="621">
        <f>'Ref-2013CSSsaturationsINT'!$J$21</f>
        <v>0.99961337150129925</v>
      </c>
      <c r="J96" s="622" t="s">
        <v>25</v>
      </c>
      <c r="K96" s="622" t="s">
        <v>1012</v>
      </c>
      <c r="L96" s="623" t="s">
        <v>94</v>
      </c>
      <c r="M96" s="623" t="s">
        <v>90</v>
      </c>
      <c r="N96" s="624">
        <f>E96*G96*'Ref-Savings Calculations'!$E$7*Applicability</f>
        <v>6.0241000859948306</v>
      </c>
      <c r="O96" s="625">
        <f>E96*G96*'Ref-Savings Calculations'!$C$78*Applicability*ControlShare</f>
        <v>7.0454720667503947</v>
      </c>
      <c r="P96" s="624">
        <f>rMarketSolutions[[#This Row],[Lighting Savings
(lamp and/or ballast)]]</f>
        <v>6.0241000859948306</v>
      </c>
      <c r="Q96" s="624">
        <f>E96*G96*('Ref-Savings Calculations'!$C$78-'Ref-Savings Calculations'!$C$124)*Applicability*ControlShare</f>
        <v>1.8266038691575099</v>
      </c>
      <c r="R96" s="37"/>
      <c r="S96" s="617" t="s">
        <v>44</v>
      </c>
      <c r="T96" s="622" t="s">
        <v>63</v>
      </c>
      <c r="U96" s="617" t="s">
        <v>69</v>
      </c>
      <c r="V96" s="617" t="s">
        <v>69</v>
      </c>
      <c r="W96" s="617" t="s">
        <v>76</v>
      </c>
      <c r="X96" s="37"/>
      <c r="Y96" s="37"/>
      <c r="Z96" s="617" t="s">
        <v>78</v>
      </c>
      <c r="AA96" s="617" t="s">
        <v>78</v>
      </c>
      <c r="AB96" s="37"/>
      <c r="AC96" s="812">
        <f>'Ref-ComHOU'!$G$65</f>
        <v>7.2356164383561641</v>
      </c>
      <c r="AD96" s="617" t="s">
        <v>72</v>
      </c>
      <c r="AE96" s="622" t="s">
        <v>73</v>
      </c>
      <c r="AF96" s="822"/>
      <c r="AG96" s="822"/>
      <c r="AH96" s="822"/>
      <c r="AI96" s="822"/>
      <c r="AJ96" s="822"/>
      <c r="AK96" s="822"/>
      <c r="AL96" s="822"/>
      <c r="AM96" s="822"/>
      <c r="AN96" s="822"/>
      <c r="AO96" s="822"/>
      <c r="AP96" s="822"/>
      <c r="AQ96" s="822"/>
      <c r="AR96" s="822"/>
      <c r="AS96" s="822"/>
      <c r="AT96" s="822"/>
      <c r="AU96" s="822"/>
      <c r="AV96" s="822"/>
      <c r="AW96" s="822"/>
      <c r="AX96" s="822"/>
      <c r="AY96" s="822"/>
      <c r="AZ96" s="822"/>
      <c r="BA96" s="822"/>
      <c r="BB96" s="822"/>
      <c r="BC96" s="822"/>
      <c r="BD96" s="822"/>
      <c r="BE96" s="822"/>
      <c r="BF96" s="822"/>
      <c r="BG96" s="822"/>
      <c r="BH96" s="822"/>
      <c r="BI96" s="822"/>
      <c r="BJ96" s="822"/>
      <c r="BK96" s="822"/>
      <c r="BL96" s="822"/>
      <c r="BM96" s="822"/>
      <c r="BN96" s="822"/>
      <c r="BO96" s="822"/>
      <c r="BP96" s="822"/>
      <c r="BQ96" s="822"/>
      <c r="BR96" s="822"/>
      <c r="BS96" s="822"/>
      <c r="BT96" s="822"/>
      <c r="BU96" s="822"/>
      <c r="BV96" s="822"/>
      <c r="BW96" s="822"/>
      <c r="BX96" s="822"/>
      <c r="BY96" s="822"/>
      <c r="BZ96" s="822"/>
      <c r="CA96" s="822"/>
      <c r="CB96" s="822"/>
      <c r="CC96" s="822"/>
      <c r="CD96" s="822"/>
      <c r="CE96" s="822"/>
      <c r="CF96" s="822"/>
      <c r="CG96" s="822"/>
      <c r="CH96" s="822"/>
      <c r="CI96" s="822"/>
      <c r="CJ96" s="392"/>
      <c r="CK96" s="392"/>
      <c r="CL96" s="392"/>
      <c r="CM96" s="392"/>
      <c r="CN96" s="392"/>
      <c r="CO96" s="392"/>
      <c r="CP96" s="392"/>
      <c r="CQ96" s="392"/>
      <c r="CR96" s="392"/>
      <c r="CS96" s="392"/>
      <c r="CT96" s="392"/>
      <c r="CU96" s="392"/>
      <c r="CV96" s="392"/>
      <c r="CW96" s="392"/>
      <c r="CX96" s="392"/>
      <c r="CY96" s="392"/>
      <c r="CZ96" s="392"/>
      <c r="DA96" s="392"/>
      <c r="DB96" s="392"/>
      <c r="DC96" s="392"/>
    </row>
    <row r="97" spans="1:107" s="337" customFormat="1" ht="24">
      <c r="A97" s="37"/>
      <c r="B97" s="616" t="s">
        <v>23</v>
      </c>
      <c r="C97" s="617" t="s">
        <v>181</v>
      </c>
      <c r="D97" s="618" t="s">
        <v>1147</v>
      </c>
      <c r="E97" s="619">
        <f>'Ref-ComSources'!$AB$9*AVERAGE('Ref-ComSources'!$F$74:$F$75)</f>
        <v>193.8338570350366</v>
      </c>
      <c r="F97" s="617" t="s">
        <v>24</v>
      </c>
      <c r="G97" s="620">
        <f>'Ref-2013CSSsaturationsINT'!$F$21</f>
        <v>0.16834284077922379</v>
      </c>
      <c r="H97" s="617" t="s">
        <v>66</v>
      </c>
      <c r="I97" s="621">
        <f>'Ref-2013CSSsaturationsINT'!$J$21</f>
        <v>0.99961337150129925</v>
      </c>
      <c r="J97" s="622" t="s">
        <v>25</v>
      </c>
      <c r="K97" s="622" t="s">
        <v>1012</v>
      </c>
      <c r="L97" s="623" t="s">
        <v>94</v>
      </c>
      <c r="M97" s="623" t="s">
        <v>91</v>
      </c>
      <c r="N97" s="624">
        <f>E97*G97*'Ref-Savings Calculations'!$E$7*Applicability</f>
        <v>6.0241000859948306</v>
      </c>
      <c r="O97" s="625">
        <f>E97*G97*'Ref-Savings Calculations'!$C$90*Applicability*ControlShare</f>
        <v>9.133019345787547</v>
      </c>
      <c r="P97" s="624">
        <f>rMarketSolutions[[#This Row],[Lighting Savings
(lamp and/or ballast)]]</f>
        <v>6.0241000859948306</v>
      </c>
      <c r="Q97" s="624">
        <f>E97*G97*('Ref-Savings Calculations'!$C$90-'Ref-Savings Calculations'!$C$124)*Applicability*ControlShare</f>
        <v>3.9141511481946623</v>
      </c>
      <c r="R97" s="37"/>
      <c r="S97" s="617" t="s">
        <v>44</v>
      </c>
      <c r="T97" s="622" t="s">
        <v>63</v>
      </c>
      <c r="U97" s="617" t="s">
        <v>69</v>
      </c>
      <c r="V97" s="617" t="s">
        <v>69</v>
      </c>
      <c r="W97" s="617" t="s">
        <v>76</v>
      </c>
      <c r="X97" s="37"/>
      <c r="Y97" s="37"/>
      <c r="Z97" s="617" t="s">
        <v>78</v>
      </c>
      <c r="AA97" s="617" t="s">
        <v>78</v>
      </c>
      <c r="AB97" s="37"/>
      <c r="AC97" s="812">
        <f>'Ref-ComHOU'!$G$65</f>
        <v>7.2356164383561641</v>
      </c>
      <c r="AD97" s="617" t="s">
        <v>72</v>
      </c>
      <c r="AE97" s="622" t="s">
        <v>73</v>
      </c>
      <c r="AF97" s="822"/>
      <c r="AG97" s="822"/>
      <c r="AH97" s="822"/>
      <c r="AI97" s="822"/>
      <c r="AJ97" s="822"/>
      <c r="AK97" s="822"/>
      <c r="AL97" s="822"/>
      <c r="AM97" s="822"/>
      <c r="AN97" s="822"/>
      <c r="AO97" s="822"/>
      <c r="AP97" s="822"/>
      <c r="AQ97" s="822"/>
      <c r="AR97" s="822"/>
      <c r="AS97" s="822"/>
      <c r="AT97" s="822"/>
      <c r="AU97" s="822"/>
      <c r="AV97" s="822"/>
      <c r="AW97" s="822"/>
      <c r="AX97" s="822"/>
      <c r="AY97" s="822"/>
      <c r="AZ97" s="822"/>
      <c r="BA97" s="822"/>
      <c r="BB97" s="822"/>
      <c r="BC97" s="822"/>
      <c r="BD97" s="822"/>
      <c r="BE97" s="822"/>
      <c r="BF97" s="822"/>
      <c r="BG97" s="822"/>
      <c r="BH97" s="822"/>
      <c r="BI97" s="822"/>
      <c r="BJ97" s="822"/>
      <c r="BK97" s="822"/>
      <c r="BL97" s="822"/>
      <c r="BM97" s="822"/>
      <c r="BN97" s="822"/>
      <c r="BO97" s="822"/>
      <c r="BP97" s="822"/>
      <c r="BQ97" s="822"/>
      <c r="BR97" s="822"/>
      <c r="BS97" s="822"/>
      <c r="BT97" s="822"/>
      <c r="BU97" s="822"/>
      <c r="BV97" s="822"/>
      <c r="BW97" s="822"/>
      <c r="BX97" s="822"/>
      <c r="BY97" s="822"/>
      <c r="BZ97" s="822"/>
      <c r="CA97" s="822"/>
      <c r="CB97" s="822"/>
      <c r="CC97" s="822"/>
      <c r="CD97" s="822"/>
      <c r="CE97" s="822"/>
      <c r="CF97" s="822"/>
      <c r="CG97" s="822"/>
      <c r="CH97" s="822"/>
      <c r="CI97" s="822"/>
      <c r="CJ97" s="392"/>
      <c r="CK97" s="392"/>
      <c r="CL97" s="392"/>
      <c r="CM97" s="392"/>
      <c r="CN97" s="392"/>
      <c r="CO97" s="392"/>
      <c r="CP97" s="392"/>
      <c r="CQ97" s="392"/>
      <c r="CR97" s="392"/>
      <c r="CS97" s="392"/>
      <c r="CT97" s="392"/>
      <c r="CU97" s="392"/>
      <c r="CV97" s="392"/>
      <c r="CW97" s="392"/>
      <c r="CX97" s="392"/>
      <c r="CY97" s="392"/>
      <c r="CZ97" s="392"/>
      <c r="DA97" s="392"/>
      <c r="DB97" s="392"/>
      <c r="DC97" s="392"/>
    </row>
    <row r="98" spans="1:107" s="337" customFormat="1" ht="24">
      <c r="A98" s="37"/>
      <c r="B98" s="616" t="s">
        <v>23</v>
      </c>
      <c r="C98" s="617" t="s">
        <v>181</v>
      </c>
      <c r="D98" s="618" t="s">
        <v>1147</v>
      </c>
      <c r="E98" s="619">
        <f>'Ref-ComSources'!$AB$9*AVERAGE('Ref-ComSources'!$F$74:$F$75)</f>
        <v>193.8338570350366</v>
      </c>
      <c r="F98" s="617" t="s">
        <v>24</v>
      </c>
      <c r="G98" s="620">
        <f>'Ref-2013CSSsaturationsINT'!$F$21</f>
        <v>0.16834284077922379</v>
      </c>
      <c r="H98" s="617" t="s">
        <v>66</v>
      </c>
      <c r="I98" s="621">
        <f>'Ref-2013CSSsaturationsINT'!$J$21</f>
        <v>0.99961337150129925</v>
      </c>
      <c r="J98" s="622" t="s">
        <v>25</v>
      </c>
      <c r="K98" s="622" t="s">
        <v>1012</v>
      </c>
      <c r="L98" s="623" t="s">
        <v>94</v>
      </c>
      <c r="M98" s="623" t="s">
        <v>92</v>
      </c>
      <c r="N98" s="624">
        <f>E98*G98*'Ref-Savings Calculations'!$E$7*Applicability</f>
        <v>6.0241000859948306</v>
      </c>
      <c r="O98" s="625">
        <f>E98*G98*'Ref-Savings Calculations'!$C$100*Applicability*ControlShare</f>
        <v>9.3939627556671912</v>
      </c>
      <c r="P98" s="624">
        <f>rMarketSolutions[[#This Row],[Lighting Savings
(lamp and/or ballast)]]</f>
        <v>6.0241000859948306</v>
      </c>
      <c r="Q98" s="624">
        <f>E98*G98*('Ref-Savings Calculations'!$C$100-'Ref-Savings Calculations'!$C$124)*Applicability*ControlShare</f>
        <v>4.1750945580743064</v>
      </c>
      <c r="R98" s="37"/>
      <c r="S98" s="617" t="s">
        <v>44</v>
      </c>
      <c r="T98" s="622" t="s">
        <v>63</v>
      </c>
      <c r="U98" s="617" t="s">
        <v>69</v>
      </c>
      <c r="V98" s="617" t="s">
        <v>69</v>
      </c>
      <c r="W98" s="617" t="s">
        <v>76</v>
      </c>
      <c r="X98" s="37"/>
      <c r="Y98" s="37"/>
      <c r="Z98" s="617" t="s">
        <v>78</v>
      </c>
      <c r="AA98" s="617" t="s">
        <v>78</v>
      </c>
      <c r="AB98" s="37"/>
      <c r="AC98" s="812">
        <f>'Ref-ComHOU'!$G$65</f>
        <v>7.2356164383561641</v>
      </c>
      <c r="AD98" s="617" t="s">
        <v>72</v>
      </c>
      <c r="AE98" s="622" t="s">
        <v>73</v>
      </c>
      <c r="AF98" s="822"/>
      <c r="AG98" s="822"/>
      <c r="AH98" s="822"/>
      <c r="AI98" s="822"/>
      <c r="AJ98" s="822"/>
      <c r="AK98" s="822"/>
      <c r="AL98" s="822"/>
      <c r="AM98" s="822"/>
      <c r="AN98" s="822"/>
      <c r="AO98" s="822"/>
      <c r="AP98" s="822"/>
      <c r="AQ98" s="822"/>
      <c r="AR98" s="822"/>
      <c r="AS98" s="822"/>
      <c r="AT98" s="822"/>
      <c r="AU98" s="822"/>
      <c r="AV98" s="822"/>
      <c r="AW98" s="822"/>
      <c r="AX98" s="822"/>
      <c r="AY98" s="822"/>
      <c r="AZ98" s="822"/>
      <c r="BA98" s="822"/>
      <c r="BB98" s="822"/>
      <c r="BC98" s="822"/>
      <c r="BD98" s="822"/>
      <c r="BE98" s="822"/>
      <c r="BF98" s="822"/>
      <c r="BG98" s="822"/>
      <c r="BH98" s="822"/>
      <c r="BI98" s="822"/>
      <c r="BJ98" s="822"/>
      <c r="BK98" s="822"/>
      <c r="BL98" s="822"/>
      <c r="BM98" s="822"/>
      <c r="BN98" s="822"/>
      <c r="BO98" s="822"/>
      <c r="BP98" s="822"/>
      <c r="BQ98" s="822"/>
      <c r="BR98" s="822"/>
      <c r="BS98" s="822"/>
      <c r="BT98" s="822"/>
      <c r="BU98" s="822"/>
      <c r="BV98" s="822"/>
      <c r="BW98" s="822"/>
      <c r="BX98" s="822"/>
      <c r="BY98" s="822"/>
      <c r="BZ98" s="822"/>
      <c r="CA98" s="822"/>
      <c r="CB98" s="822"/>
      <c r="CC98" s="822"/>
      <c r="CD98" s="822"/>
      <c r="CE98" s="822"/>
      <c r="CF98" s="822"/>
      <c r="CG98" s="822"/>
      <c r="CH98" s="822"/>
      <c r="CI98" s="822"/>
      <c r="CJ98" s="392"/>
      <c r="CK98" s="392"/>
      <c r="CL98" s="392"/>
      <c r="CM98" s="392"/>
      <c r="CN98" s="392"/>
      <c r="CO98" s="392"/>
      <c r="CP98" s="392"/>
      <c r="CQ98" s="392"/>
      <c r="CR98" s="392"/>
      <c r="CS98" s="392"/>
      <c r="CT98" s="392"/>
      <c r="CU98" s="392"/>
      <c r="CV98" s="392"/>
      <c r="CW98" s="392"/>
      <c r="CX98" s="392"/>
      <c r="CY98" s="392"/>
      <c r="CZ98" s="392"/>
      <c r="DA98" s="392"/>
      <c r="DB98" s="392"/>
      <c r="DC98" s="392"/>
    </row>
    <row r="99" spans="1:107" s="337" customFormat="1" ht="24">
      <c r="A99" s="37"/>
      <c r="B99" s="616" t="s">
        <v>23</v>
      </c>
      <c r="C99" s="617" t="s">
        <v>181</v>
      </c>
      <c r="D99" s="618" t="s">
        <v>1147</v>
      </c>
      <c r="E99" s="619">
        <f>'Ref-ComSources'!$AB$9*AVERAGE('Ref-ComSources'!$F$74:$F$75)</f>
        <v>193.8338570350366</v>
      </c>
      <c r="F99" s="617" t="s">
        <v>24</v>
      </c>
      <c r="G99" s="620">
        <f>'Ref-2013CSSsaturationsINT'!$F$21</f>
        <v>0.16834284077922379</v>
      </c>
      <c r="H99" s="617" t="s">
        <v>66</v>
      </c>
      <c r="I99" s="621">
        <f>'Ref-2013CSSsaturationsINT'!$J$21</f>
        <v>0.99961337150129925</v>
      </c>
      <c r="J99" s="622" t="s">
        <v>25</v>
      </c>
      <c r="K99" s="622" t="s">
        <v>1012</v>
      </c>
      <c r="L99" s="623" t="s">
        <v>94</v>
      </c>
      <c r="M99" s="623" t="s">
        <v>93</v>
      </c>
      <c r="N99" s="624">
        <f>E99*G99*'Ref-Savings Calculations'!$E$7*Applicability</f>
        <v>6.0241000859948306</v>
      </c>
      <c r="O99" s="625">
        <f>E99*G99*'Ref-Savings Calculations'!$C$110*Applicability*ControlShare</f>
        <v>10.43773639518577</v>
      </c>
      <c r="P99" s="624">
        <f>rMarketSolutions[[#This Row],[Lighting Savings
(lamp and/or ballast)]]</f>
        <v>6.0241000859948306</v>
      </c>
      <c r="Q99" s="624">
        <f>E99*G99*('Ref-Savings Calculations'!$C$110-'Ref-Savings Calculations'!$C$124)*Applicability*ControlShare</f>
        <v>5.2188681975928848</v>
      </c>
      <c r="R99" s="37"/>
      <c r="S99" s="617" t="s">
        <v>44</v>
      </c>
      <c r="T99" s="622" t="s">
        <v>63</v>
      </c>
      <c r="U99" s="622" t="s">
        <v>44</v>
      </c>
      <c r="V99" s="622" t="s">
        <v>75</v>
      </c>
      <c r="W99" s="617" t="s">
        <v>76</v>
      </c>
      <c r="X99" s="37"/>
      <c r="Y99" s="37"/>
      <c r="Z99" s="617" t="s">
        <v>78</v>
      </c>
      <c r="AA99" s="617" t="s">
        <v>78</v>
      </c>
      <c r="AB99" s="37"/>
      <c r="AC99" s="812">
        <f>'Ref-ComHOU'!$G$65</f>
        <v>7.2356164383561641</v>
      </c>
      <c r="AD99" s="617" t="s">
        <v>72</v>
      </c>
      <c r="AE99" s="622" t="s">
        <v>73</v>
      </c>
      <c r="AF99" s="822"/>
      <c r="AG99" s="822"/>
      <c r="AH99" s="822"/>
      <c r="AI99" s="822"/>
      <c r="AJ99" s="822"/>
      <c r="AK99" s="822"/>
      <c r="AL99" s="822"/>
      <c r="AM99" s="822"/>
      <c r="AN99" s="822"/>
      <c r="AO99" s="822"/>
      <c r="AP99" s="822"/>
      <c r="AQ99" s="822"/>
      <c r="AR99" s="822"/>
      <c r="AS99" s="822"/>
      <c r="AT99" s="822"/>
      <c r="AU99" s="822"/>
      <c r="AV99" s="822"/>
      <c r="AW99" s="822"/>
      <c r="AX99" s="822"/>
      <c r="AY99" s="822"/>
      <c r="AZ99" s="822"/>
      <c r="BA99" s="822"/>
      <c r="BB99" s="822"/>
      <c r="BC99" s="822"/>
      <c r="BD99" s="822"/>
      <c r="BE99" s="822"/>
      <c r="BF99" s="822"/>
      <c r="BG99" s="822"/>
      <c r="BH99" s="822"/>
      <c r="BI99" s="822"/>
      <c r="BJ99" s="822"/>
      <c r="BK99" s="822"/>
      <c r="BL99" s="822"/>
      <c r="BM99" s="822"/>
      <c r="BN99" s="822"/>
      <c r="BO99" s="822"/>
      <c r="BP99" s="822"/>
      <c r="BQ99" s="822"/>
      <c r="BR99" s="822"/>
      <c r="BS99" s="822"/>
      <c r="BT99" s="822"/>
      <c r="BU99" s="822"/>
      <c r="BV99" s="822"/>
      <c r="BW99" s="822"/>
      <c r="BX99" s="822"/>
      <c r="BY99" s="822"/>
      <c r="BZ99" s="822"/>
      <c r="CA99" s="822"/>
      <c r="CB99" s="822"/>
      <c r="CC99" s="822"/>
      <c r="CD99" s="822"/>
      <c r="CE99" s="822"/>
      <c r="CF99" s="822"/>
      <c r="CG99" s="822"/>
      <c r="CH99" s="822"/>
      <c r="CI99" s="822"/>
      <c r="CJ99" s="392"/>
      <c r="CK99" s="392"/>
      <c r="CL99" s="392"/>
      <c r="CM99" s="392"/>
      <c r="CN99" s="392"/>
      <c r="CO99" s="392"/>
      <c r="CP99" s="392"/>
      <c r="CQ99" s="392"/>
      <c r="CR99" s="392"/>
      <c r="CS99" s="392"/>
      <c r="CT99" s="392"/>
      <c r="CU99" s="392"/>
      <c r="CV99" s="392"/>
      <c r="CW99" s="392"/>
      <c r="CX99" s="392"/>
      <c r="CY99" s="392"/>
      <c r="CZ99" s="392"/>
      <c r="DA99" s="392"/>
      <c r="DB99" s="392"/>
      <c r="DC99" s="392"/>
    </row>
    <row r="100" spans="1:107" s="337" customFormat="1" ht="24">
      <c r="A100" s="37"/>
      <c r="B100" s="616" t="s">
        <v>23</v>
      </c>
      <c r="C100" s="617" t="s">
        <v>181</v>
      </c>
      <c r="D100" s="618" t="s">
        <v>1147</v>
      </c>
      <c r="E100" s="619">
        <f>'Ref-ComSources'!$AB$9*AVERAGE('Ref-ComSources'!$F$74:$F$75)</f>
        <v>193.8338570350366</v>
      </c>
      <c r="F100" s="617" t="s">
        <v>26</v>
      </c>
      <c r="G100" s="620">
        <f>'Ref-2013CSSsaturationsINT'!$F$22</f>
        <v>0.45887705811233376</v>
      </c>
      <c r="H100" s="617" t="s">
        <v>66</v>
      </c>
      <c r="I100" s="621">
        <f>'Ref-2013CSSsaturationsINT'!$J$22</f>
        <v>0.98719147858836809</v>
      </c>
      <c r="J100" s="622" t="s">
        <v>25</v>
      </c>
      <c r="K100" s="622" t="s">
        <v>1012</v>
      </c>
      <c r="L100" s="623" t="s">
        <v>94</v>
      </c>
      <c r="M100" s="623" t="s">
        <v>88</v>
      </c>
      <c r="N100" s="624">
        <f>E100*G100*'Ref-Savings Calculations'!$E$11*Applicability</f>
        <v>59.297273385869531</v>
      </c>
      <c r="O100" s="625">
        <f>E100*G100*'Ref-Savings Calculations'!$C$55*Applicability*ControlShare</f>
        <v>15.453969429374581</v>
      </c>
      <c r="P100" s="624">
        <f>E100*G100*'Ref-Savings Calculations'!$E$9*Applicability</f>
        <v>56.332409716576052</v>
      </c>
      <c r="Q100" s="624">
        <f>E100*G100*('Ref-Savings Calculations'!$C$55-'Ref-Savings Calculations'!$C$124)*Applicability*ControlShare</f>
        <v>1.404906311761325</v>
      </c>
      <c r="R100" s="37"/>
      <c r="S100" s="617" t="s">
        <v>44</v>
      </c>
      <c r="T100" s="622" t="s">
        <v>63</v>
      </c>
      <c r="U100" s="617" t="s">
        <v>69</v>
      </c>
      <c r="V100" s="617" t="s">
        <v>69</v>
      </c>
      <c r="W100" s="617" t="s">
        <v>76</v>
      </c>
      <c r="X100" s="37"/>
      <c r="Y100" s="37"/>
      <c r="Z100" s="617" t="s">
        <v>78</v>
      </c>
      <c r="AA100" s="617" t="s">
        <v>78</v>
      </c>
      <c r="AB100" s="37"/>
      <c r="AC100" s="812">
        <f>'Ref-ComHOU'!$G$65</f>
        <v>7.2356164383561641</v>
      </c>
      <c r="AD100" s="617" t="s">
        <v>72</v>
      </c>
      <c r="AE100" s="622" t="s">
        <v>73</v>
      </c>
      <c r="AF100" s="822"/>
      <c r="AG100" s="822"/>
      <c r="AH100" s="822"/>
      <c r="AI100" s="822"/>
      <c r="AJ100" s="822"/>
      <c r="AK100" s="822"/>
      <c r="AL100" s="822"/>
      <c r="AM100" s="822"/>
      <c r="AN100" s="822"/>
      <c r="AO100" s="822"/>
      <c r="AP100" s="822"/>
      <c r="AQ100" s="822"/>
      <c r="AR100" s="822"/>
      <c r="AS100" s="822"/>
      <c r="AT100" s="822"/>
      <c r="AU100" s="822"/>
      <c r="AV100" s="822"/>
      <c r="AW100" s="822"/>
      <c r="AX100" s="822"/>
      <c r="AY100" s="822"/>
      <c r="AZ100" s="822"/>
      <c r="BA100" s="822"/>
      <c r="BB100" s="822"/>
      <c r="BC100" s="822"/>
      <c r="BD100" s="822"/>
      <c r="BE100" s="822"/>
      <c r="BF100" s="822"/>
      <c r="BG100" s="822"/>
      <c r="BH100" s="822"/>
      <c r="BI100" s="822"/>
      <c r="BJ100" s="822"/>
      <c r="BK100" s="822"/>
      <c r="BL100" s="822"/>
      <c r="BM100" s="822"/>
      <c r="BN100" s="822"/>
      <c r="BO100" s="822"/>
      <c r="BP100" s="822"/>
      <c r="BQ100" s="822"/>
      <c r="BR100" s="822"/>
      <c r="BS100" s="822"/>
      <c r="BT100" s="822"/>
      <c r="BU100" s="822"/>
      <c r="BV100" s="822"/>
      <c r="BW100" s="822"/>
      <c r="BX100" s="822"/>
      <c r="BY100" s="822"/>
      <c r="BZ100" s="822"/>
      <c r="CA100" s="822"/>
      <c r="CB100" s="822"/>
      <c r="CC100" s="822"/>
      <c r="CD100" s="822"/>
      <c r="CE100" s="822"/>
      <c r="CF100" s="822"/>
      <c r="CG100" s="822"/>
      <c r="CH100" s="822"/>
      <c r="CI100" s="822"/>
      <c r="CJ100" s="392"/>
      <c r="CK100" s="392"/>
      <c r="CL100" s="392"/>
      <c r="CM100" s="392"/>
      <c r="CN100" s="392"/>
      <c r="CO100" s="392"/>
      <c r="CP100" s="392"/>
      <c r="CQ100" s="392"/>
      <c r="CR100" s="392"/>
      <c r="CS100" s="392"/>
      <c r="CT100" s="392"/>
      <c r="CU100" s="392"/>
      <c r="CV100" s="392"/>
      <c r="CW100" s="392"/>
      <c r="CX100" s="392"/>
      <c r="CY100" s="392"/>
      <c r="CZ100" s="392"/>
      <c r="DA100" s="392"/>
      <c r="DB100" s="392"/>
      <c r="DC100" s="392"/>
    </row>
    <row r="101" spans="1:107" s="337" customFormat="1" ht="24">
      <c r="A101" s="37"/>
      <c r="B101" s="616" t="s">
        <v>23</v>
      </c>
      <c r="C101" s="617" t="s">
        <v>181</v>
      </c>
      <c r="D101" s="618" t="s">
        <v>1147</v>
      </c>
      <c r="E101" s="619">
        <f>'Ref-ComSources'!$AB$9*AVERAGE('Ref-ComSources'!$F$74:$F$75)</f>
        <v>193.8338570350366</v>
      </c>
      <c r="F101" s="617" t="s">
        <v>26</v>
      </c>
      <c r="G101" s="620">
        <f>'Ref-2013CSSsaturationsINT'!$F$22</f>
        <v>0.45887705811233376</v>
      </c>
      <c r="H101" s="617" t="s">
        <v>66</v>
      </c>
      <c r="I101" s="621">
        <f>'Ref-2013CSSsaturationsINT'!$J$22</f>
        <v>0.98719147858836809</v>
      </c>
      <c r="J101" s="622" t="s">
        <v>25</v>
      </c>
      <c r="K101" s="622" t="s">
        <v>1012</v>
      </c>
      <c r="L101" s="623" t="s">
        <v>94</v>
      </c>
      <c r="M101" s="623" t="s">
        <v>90</v>
      </c>
      <c r="N101" s="624">
        <f>E101*G101*'Ref-Savings Calculations'!$E$11*Applicability</f>
        <v>59.297273385869531</v>
      </c>
      <c r="O101" s="625">
        <f>E101*G101*'Ref-Savings Calculations'!$C$78*Applicability*ControlShare</f>
        <v>18.966235208777896</v>
      </c>
      <c r="P101" s="624">
        <f>E101*G101*'Ref-Savings Calculations'!$E$9*Applicability</f>
        <v>56.332409716576052</v>
      </c>
      <c r="Q101" s="624">
        <f>E101*G101*('Ref-Savings Calculations'!$C$78-'Ref-Savings Calculations'!$C$124)*Applicability*ControlShare</f>
        <v>4.9171720911646402</v>
      </c>
      <c r="R101" s="37"/>
      <c r="S101" s="617" t="s">
        <v>44</v>
      </c>
      <c r="T101" s="622" t="s">
        <v>63</v>
      </c>
      <c r="U101" s="617" t="s">
        <v>69</v>
      </c>
      <c r="V101" s="617" t="s">
        <v>69</v>
      </c>
      <c r="W101" s="617" t="s">
        <v>76</v>
      </c>
      <c r="X101" s="37"/>
      <c r="Y101" s="37"/>
      <c r="Z101" s="617" t="s">
        <v>78</v>
      </c>
      <c r="AA101" s="617" t="s">
        <v>78</v>
      </c>
      <c r="AB101" s="37"/>
      <c r="AC101" s="812">
        <f>'Ref-ComHOU'!$G$65</f>
        <v>7.2356164383561641</v>
      </c>
      <c r="AD101" s="617" t="s">
        <v>72</v>
      </c>
      <c r="AE101" s="622" t="s">
        <v>73</v>
      </c>
      <c r="AF101" s="822"/>
      <c r="AG101" s="822"/>
      <c r="AH101" s="822"/>
      <c r="AI101" s="822"/>
      <c r="AJ101" s="822"/>
      <c r="AK101" s="822"/>
      <c r="AL101" s="822"/>
      <c r="AM101" s="822"/>
      <c r="AN101" s="822"/>
      <c r="AO101" s="822"/>
      <c r="AP101" s="822"/>
      <c r="AQ101" s="822"/>
      <c r="AR101" s="822"/>
      <c r="AS101" s="822"/>
      <c r="AT101" s="822"/>
      <c r="AU101" s="822"/>
      <c r="AV101" s="822"/>
      <c r="AW101" s="822"/>
      <c r="AX101" s="822"/>
      <c r="AY101" s="822"/>
      <c r="AZ101" s="822"/>
      <c r="BA101" s="822"/>
      <c r="BB101" s="822"/>
      <c r="BC101" s="822"/>
      <c r="BD101" s="822"/>
      <c r="BE101" s="822"/>
      <c r="BF101" s="822"/>
      <c r="BG101" s="822"/>
      <c r="BH101" s="822"/>
      <c r="BI101" s="822"/>
      <c r="BJ101" s="822"/>
      <c r="BK101" s="822"/>
      <c r="BL101" s="822"/>
      <c r="BM101" s="822"/>
      <c r="BN101" s="822"/>
      <c r="BO101" s="822"/>
      <c r="BP101" s="822"/>
      <c r="BQ101" s="822"/>
      <c r="BR101" s="822"/>
      <c r="BS101" s="822"/>
      <c r="BT101" s="822"/>
      <c r="BU101" s="822"/>
      <c r="BV101" s="822"/>
      <c r="BW101" s="822"/>
      <c r="BX101" s="822"/>
      <c r="BY101" s="822"/>
      <c r="BZ101" s="822"/>
      <c r="CA101" s="822"/>
      <c r="CB101" s="822"/>
      <c r="CC101" s="822"/>
      <c r="CD101" s="822"/>
      <c r="CE101" s="822"/>
      <c r="CF101" s="822"/>
      <c r="CG101" s="822"/>
      <c r="CH101" s="822"/>
      <c r="CI101" s="822"/>
      <c r="CJ101" s="392"/>
      <c r="CK101" s="392"/>
      <c r="CL101" s="392"/>
      <c r="CM101" s="392"/>
      <c r="CN101" s="392"/>
      <c r="CO101" s="392"/>
      <c r="CP101" s="392"/>
      <c r="CQ101" s="392"/>
      <c r="CR101" s="392"/>
      <c r="CS101" s="392"/>
      <c r="CT101" s="392"/>
      <c r="CU101" s="392"/>
      <c r="CV101" s="392"/>
      <c r="CW101" s="392"/>
      <c r="CX101" s="392"/>
      <c r="CY101" s="392"/>
      <c r="CZ101" s="392"/>
      <c r="DA101" s="392"/>
      <c r="DB101" s="392"/>
      <c r="DC101" s="392"/>
    </row>
    <row r="102" spans="1:107" s="337" customFormat="1" ht="24">
      <c r="A102" s="37"/>
      <c r="B102" s="616" t="s">
        <v>23</v>
      </c>
      <c r="C102" s="617" t="s">
        <v>181</v>
      </c>
      <c r="D102" s="618" t="s">
        <v>1147</v>
      </c>
      <c r="E102" s="619">
        <f>'Ref-ComSources'!$AB$9*AVERAGE('Ref-ComSources'!$F$74:$F$75)</f>
        <v>193.8338570350366</v>
      </c>
      <c r="F102" s="617" t="s">
        <v>26</v>
      </c>
      <c r="G102" s="620">
        <f>'Ref-2013CSSsaturationsINT'!$F$22</f>
        <v>0.45887705811233376</v>
      </c>
      <c r="H102" s="617" t="s">
        <v>66</v>
      </c>
      <c r="I102" s="621">
        <f>'Ref-2013CSSsaturationsINT'!$J$22</f>
        <v>0.98719147858836809</v>
      </c>
      <c r="J102" s="622" t="s">
        <v>25</v>
      </c>
      <c r="K102" s="622" t="s">
        <v>1012</v>
      </c>
      <c r="L102" s="623" t="s">
        <v>94</v>
      </c>
      <c r="M102" s="623" t="s">
        <v>91</v>
      </c>
      <c r="N102" s="624">
        <f>E102*G102*'Ref-Savings Calculations'!$E$11*Applicability</f>
        <v>59.297273385869531</v>
      </c>
      <c r="O102" s="625">
        <f>E102*G102*'Ref-Savings Calculations'!$C$90*Applicability*ControlShare</f>
        <v>24.585860455823195</v>
      </c>
      <c r="P102" s="624">
        <f>E102*G102*'Ref-Savings Calculations'!$E$9*Applicability</f>
        <v>56.332409716576052</v>
      </c>
      <c r="Q102" s="624">
        <f>E102*G102*('Ref-Savings Calculations'!$C$90-'Ref-Savings Calculations'!$C$124)*Applicability*ControlShare</f>
        <v>10.536797338209938</v>
      </c>
      <c r="R102" s="37"/>
      <c r="S102" s="617" t="s">
        <v>44</v>
      </c>
      <c r="T102" s="622" t="s">
        <v>63</v>
      </c>
      <c r="U102" s="617" t="s">
        <v>69</v>
      </c>
      <c r="V102" s="617" t="s">
        <v>69</v>
      </c>
      <c r="W102" s="617" t="s">
        <v>76</v>
      </c>
      <c r="X102" s="37"/>
      <c r="Y102" s="37"/>
      <c r="Z102" s="617" t="s">
        <v>78</v>
      </c>
      <c r="AA102" s="617" t="s">
        <v>78</v>
      </c>
      <c r="AB102" s="37"/>
      <c r="AC102" s="812">
        <f>'Ref-ComHOU'!$G$65</f>
        <v>7.2356164383561641</v>
      </c>
      <c r="AD102" s="617" t="s">
        <v>72</v>
      </c>
      <c r="AE102" s="622" t="s">
        <v>73</v>
      </c>
      <c r="AF102" s="822"/>
      <c r="AG102" s="822"/>
      <c r="AH102" s="822"/>
      <c r="AI102" s="822"/>
      <c r="AJ102" s="822"/>
      <c r="AK102" s="822"/>
      <c r="AL102" s="822"/>
      <c r="AM102" s="822"/>
      <c r="AN102" s="822"/>
      <c r="AO102" s="822"/>
      <c r="AP102" s="822"/>
      <c r="AQ102" s="822"/>
      <c r="AR102" s="822"/>
      <c r="AS102" s="822"/>
      <c r="AT102" s="822"/>
      <c r="AU102" s="822"/>
      <c r="AV102" s="822"/>
      <c r="AW102" s="822"/>
      <c r="AX102" s="822"/>
      <c r="AY102" s="822"/>
      <c r="AZ102" s="822"/>
      <c r="BA102" s="822"/>
      <c r="BB102" s="822"/>
      <c r="BC102" s="822"/>
      <c r="BD102" s="822"/>
      <c r="BE102" s="822"/>
      <c r="BF102" s="822"/>
      <c r="BG102" s="822"/>
      <c r="BH102" s="822"/>
      <c r="BI102" s="822"/>
      <c r="BJ102" s="822"/>
      <c r="BK102" s="822"/>
      <c r="BL102" s="822"/>
      <c r="BM102" s="822"/>
      <c r="BN102" s="822"/>
      <c r="BO102" s="822"/>
      <c r="BP102" s="822"/>
      <c r="BQ102" s="822"/>
      <c r="BR102" s="822"/>
      <c r="BS102" s="822"/>
      <c r="BT102" s="822"/>
      <c r="BU102" s="822"/>
      <c r="BV102" s="822"/>
      <c r="BW102" s="822"/>
      <c r="BX102" s="822"/>
      <c r="BY102" s="822"/>
      <c r="BZ102" s="822"/>
      <c r="CA102" s="822"/>
      <c r="CB102" s="822"/>
      <c r="CC102" s="822"/>
      <c r="CD102" s="822"/>
      <c r="CE102" s="822"/>
      <c r="CF102" s="822"/>
      <c r="CG102" s="822"/>
      <c r="CH102" s="822"/>
      <c r="CI102" s="822"/>
      <c r="CJ102" s="392"/>
      <c r="CK102" s="392"/>
      <c r="CL102" s="392"/>
      <c r="CM102" s="392"/>
      <c r="CN102" s="392"/>
      <c r="CO102" s="392"/>
      <c r="CP102" s="392"/>
      <c r="CQ102" s="392"/>
      <c r="CR102" s="392"/>
      <c r="CS102" s="392"/>
      <c r="CT102" s="392"/>
      <c r="CU102" s="392"/>
      <c r="CV102" s="392"/>
      <c r="CW102" s="392"/>
      <c r="CX102" s="392"/>
      <c r="CY102" s="392"/>
      <c r="CZ102" s="392"/>
      <c r="DA102" s="392"/>
      <c r="DB102" s="392"/>
      <c r="DC102" s="392"/>
    </row>
    <row r="103" spans="1:107" s="337" customFormat="1" ht="24">
      <c r="A103" s="37"/>
      <c r="B103" s="616" t="s">
        <v>23</v>
      </c>
      <c r="C103" s="617" t="s">
        <v>181</v>
      </c>
      <c r="D103" s="618" t="s">
        <v>1147</v>
      </c>
      <c r="E103" s="619">
        <f>'Ref-ComSources'!$AB$9*AVERAGE('Ref-ComSources'!$F$74:$F$75)</f>
        <v>193.8338570350366</v>
      </c>
      <c r="F103" s="617" t="s">
        <v>26</v>
      </c>
      <c r="G103" s="620">
        <f>'Ref-2013CSSsaturationsINT'!$F$22</f>
        <v>0.45887705811233376</v>
      </c>
      <c r="H103" s="617" t="s">
        <v>66</v>
      </c>
      <c r="I103" s="621">
        <f>'Ref-2013CSSsaturationsINT'!$J$22</f>
        <v>0.98719147858836809</v>
      </c>
      <c r="J103" s="622" t="s">
        <v>25</v>
      </c>
      <c r="K103" s="622" t="s">
        <v>1012</v>
      </c>
      <c r="L103" s="623" t="s">
        <v>94</v>
      </c>
      <c r="M103" s="623" t="s">
        <v>92</v>
      </c>
      <c r="N103" s="624">
        <f>E103*G103*'Ref-Savings Calculations'!$E$11*Applicability</f>
        <v>59.297273385869531</v>
      </c>
      <c r="O103" s="625">
        <f>E103*G103*'Ref-Savings Calculations'!$C$100*Applicability*ControlShare</f>
        <v>25.28831361170386</v>
      </c>
      <c r="P103" s="624">
        <f>E103*G103*'Ref-Savings Calculations'!$E$9*Applicability</f>
        <v>56.332409716576052</v>
      </c>
      <c r="Q103" s="624">
        <f>E103*G103*('Ref-Savings Calculations'!$C$100-'Ref-Savings Calculations'!$C$124)*Applicability*ControlShare</f>
        <v>11.239250494090603</v>
      </c>
      <c r="R103" s="37"/>
      <c r="S103" s="617" t="s">
        <v>44</v>
      </c>
      <c r="T103" s="622" t="s">
        <v>63</v>
      </c>
      <c r="U103" s="617" t="s">
        <v>69</v>
      </c>
      <c r="V103" s="617" t="s">
        <v>69</v>
      </c>
      <c r="W103" s="617" t="s">
        <v>76</v>
      </c>
      <c r="X103" s="37"/>
      <c r="Y103" s="37"/>
      <c r="Z103" s="617" t="s">
        <v>78</v>
      </c>
      <c r="AA103" s="617" t="s">
        <v>78</v>
      </c>
      <c r="AB103" s="37"/>
      <c r="AC103" s="812">
        <f>'Ref-ComHOU'!$G$65</f>
        <v>7.2356164383561641</v>
      </c>
      <c r="AD103" s="617" t="s">
        <v>72</v>
      </c>
      <c r="AE103" s="622" t="s">
        <v>73</v>
      </c>
      <c r="AF103" s="822"/>
      <c r="AG103" s="822"/>
      <c r="AH103" s="822"/>
      <c r="AI103" s="822"/>
      <c r="AJ103" s="822"/>
      <c r="AK103" s="822"/>
      <c r="AL103" s="822"/>
      <c r="AM103" s="822"/>
      <c r="AN103" s="822"/>
      <c r="AO103" s="822"/>
      <c r="AP103" s="822"/>
      <c r="AQ103" s="822"/>
      <c r="AR103" s="822"/>
      <c r="AS103" s="822"/>
      <c r="AT103" s="822"/>
      <c r="AU103" s="822"/>
      <c r="AV103" s="822"/>
      <c r="AW103" s="822"/>
      <c r="AX103" s="822"/>
      <c r="AY103" s="822"/>
      <c r="AZ103" s="822"/>
      <c r="BA103" s="822"/>
      <c r="BB103" s="822"/>
      <c r="BC103" s="822"/>
      <c r="BD103" s="822"/>
      <c r="BE103" s="822"/>
      <c r="BF103" s="822"/>
      <c r="BG103" s="822"/>
      <c r="BH103" s="822"/>
      <c r="BI103" s="822"/>
      <c r="BJ103" s="822"/>
      <c r="BK103" s="822"/>
      <c r="BL103" s="822"/>
      <c r="BM103" s="822"/>
      <c r="BN103" s="822"/>
      <c r="BO103" s="822"/>
      <c r="BP103" s="822"/>
      <c r="BQ103" s="822"/>
      <c r="BR103" s="822"/>
      <c r="BS103" s="822"/>
      <c r="BT103" s="822"/>
      <c r="BU103" s="822"/>
      <c r="BV103" s="822"/>
      <c r="BW103" s="822"/>
      <c r="BX103" s="822"/>
      <c r="BY103" s="822"/>
      <c r="BZ103" s="822"/>
      <c r="CA103" s="822"/>
      <c r="CB103" s="822"/>
      <c r="CC103" s="822"/>
      <c r="CD103" s="822"/>
      <c r="CE103" s="822"/>
      <c r="CF103" s="822"/>
      <c r="CG103" s="822"/>
      <c r="CH103" s="822"/>
      <c r="CI103" s="822"/>
      <c r="CJ103" s="392"/>
      <c r="CK103" s="392"/>
      <c r="CL103" s="392"/>
      <c r="CM103" s="392"/>
      <c r="CN103" s="392"/>
      <c r="CO103" s="392"/>
      <c r="CP103" s="392"/>
      <c r="CQ103" s="392"/>
      <c r="CR103" s="392"/>
      <c r="CS103" s="392"/>
      <c r="CT103" s="392"/>
      <c r="CU103" s="392"/>
      <c r="CV103" s="392"/>
      <c r="CW103" s="392"/>
      <c r="CX103" s="392"/>
      <c r="CY103" s="392"/>
      <c r="CZ103" s="392"/>
      <c r="DA103" s="392"/>
      <c r="DB103" s="392"/>
      <c r="DC103" s="392"/>
    </row>
    <row r="104" spans="1:107" s="337" customFormat="1" ht="24">
      <c r="A104" s="37"/>
      <c r="B104" s="616" t="s">
        <v>23</v>
      </c>
      <c r="C104" s="617" t="s">
        <v>181</v>
      </c>
      <c r="D104" s="618" t="s">
        <v>1147</v>
      </c>
      <c r="E104" s="619">
        <f>'Ref-ComSources'!$AB$9*AVERAGE('Ref-ComSources'!$F$74:$F$75)</f>
        <v>193.8338570350366</v>
      </c>
      <c r="F104" s="617" t="s">
        <v>26</v>
      </c>
      <c r="G104" s="620">
        <f>'Ref-2013CSSsaturationsINT'!$F$22</f>
        <v>0.45887705811233376</v>
      </c>
      <c r="H104" s="617" t="s">
        <v>66</v>
      </c>
      <c r="I104" s="621">
        <f>'Ref-2013CSSsaturationsINT'!$J$22</f>
        <v>0.98719147858836809</v>
      </c>
      <c r="J104" s="622" t="s">
        <v>25</v>
      </c>
      <c r="K104" s="622" t="s">
        <v>1012</v>
      </c>
      <c r="L104" s="623" t="s">
        <v>94</v>
      </c>
      <c r="M104" s="623" t="s">
        <v>93</v>
      </c>
      <c r="N104" s="624">
        <f>E104*G104*'Ref-Savings Calculations'!$E$11*Applicability</f>
        <v>59.297273385869531</v>
      </c>
      <c r="O104" s="625">
        <f>E104*G104*'Ref-Savings Calculations'!$C$110*Applicability*ControlShare</f>
        <v>28.098126235226509</v>
      </c>
      <c r="P104" s="624">
        <f>E104*G104*'Ref-Savings Calculations'!$E$9*Applicability</f>
        <v>56.332409716576052</v>
      </c>
      <c r="Q104" s="624">
        <f>E104*G104*('Ref-Savings Calculations'!$C$110-'Ref-Savings Calculations'!$C$124)*Applicability*ControlShare</f>
        <v>14.049063117613255</v>
      </c>
      <c r="R104" s="37"/>
      <c r="S104" s="617" t="s">
        <v>44</v>
      </c>
      <c r="T104" s="622" t="s">
        <v>63</v>
      </c>
      <c r="U104" s="622" t="s">
        <v>44</v>
      </c>
      <c r="V104" s="622" t="s">
        <v>75</v>
      </c>
      <c r="W104" s="617" t="s">
        <v>76</v>
      </c>
      <c r="X104" s="37"/>
      <c r="Y104" s="37"/>
      <c r="Z104" s="617" t="s">
        <v>78</v>
      </c>
      <c r="AA104" s="617" t="s">
        <v>78</v>
      </c>
      <c r="AB104" s="37"/>
      <c r="AC104" s="812">
        <f>'Ref-ComHOU'!$G$65</f>
        <v>7.2356164383561641</v>
      </c>
      <c r="AD104" s="617" t="s">
        <v>72</v>
      </c>
      <c r="AE104" s="622" t="s">
        <v>73</v>
      </c>
      <c r="AF104" s="822"/>
      <c r="AG104" s="822"/>
      <c r="AH104" s="822"/>
      <c r="AI104" s="822"/>
      <c r="AJ104" s="822"/>
      <c r="AK104" s="822"/>
      <c r="AL104" s="822"/>
      <c r="AM104" s="822"/>
      <c r="AN104" s="822"/>
      <c r="AO104" s="822"/>
      <c r="AP104" s="822"/>
      <c r="AQ104" s="822"/>
      <c r="AR104" s="822"/>
      <c r="AS104" s="822"/>
      <c r="AT104" s="822"/>
      <c r="AU104" s="822"/>
      <c r="AV104" s="822"/>
      <c r="AW104" s="822"/>
      <c r="AX104" s="822"/>
      <c r="AY104" s="822"/>
      <c r="AZ104" s="822"/>
      <c r="BA104" s="822"/>
      <c r="BB104" s="822"/>
      <c r="BC104" s="822"/>
      <c r="BD104" s="822"/>
      <c r="BE104" s="822"/>
      <c r="BF104" s="822"/>
      <c r="BG104" s="822"/>
      <c r="BH104" s="822"/>
      <c r="BI104" s="822"/>
      <c r="BJ104" s="822"/>
      <c r="BK104" s="822"/>
      <c r="BL104" s="822"/>
      <c r="BM104" s="822"/>
      <c r="BN104" s="822"/>
      <c r="BO104" s="822"/>
      <c r="BP104" s="822"/>
      <c r="BQ104" s="822"/>
      <c r="BR104" s="822"/>
      <c r="BS104" s="822"/>
      <c r="BT104" s="822"/>
      <c r="BU104" s="822"/>
      <c r="BV104" s="822"/>
      <c r="BW104" s="822"/>
      <c r="BX104" s="822"/>
      <c r="BY104" s="822"/>
      <c r="BZ104" s="822"/>
      <c r="CA104" s="822"/>
      <c r="CB104" s="822"/>
      <c r="CC104" s="822"/>
      <c r="CD104" s="822"/>
      <c r="CE104" s="822"/>
      <c r="CF104" s="822"/>
      <c r="CG104" s="822"/>
      <c r="CH104" s="822"/>
      <c r="CI104" s="822"/>
      <c r="CJ104" s="392"/>
      <c r="CK104" s="392"/>
      <c r="CL104" s="392"/>
      <c r="CM104" s="392"/>
      <c r="CN104" s="392"/>
      <c r="CO104" s="392"/>
      <c r="CP104" s="392"/>
      <c r="CQ104" s="392"/>
      <c r="CR104" s="392"/>
      <c r="CS104" s="392"/>
      <c r="CT104" s="392"/>
      <c r="CU104" s="392"/>
      <c r="CV104" s="392"/>
      <c r="CW104" s="392"/>
      <c r="CX104" s="392"/>
      <c r="CY104" s="392"/>
      <c r="CZ104" s="392"/>
      <c r="DA104" s="392"/>
      <c r="DB104" s="392"/>
      <c r="DC104" s="392"/>
    </row>
    <row r="105" spans="1:107" s="337" customFormat="1" ht="56.25">
      <c r="A105" s="37"/>
      <c r="B105" s="626" t="s">
        <v>23</v>
      </c>
      <c r="C105" s="627" t="s">
        <v>499</v>
      </c>
      <c r="D105" s="628" t="s">
        <v>1220</v>
      </c>
      <c r="E105" s="629">
        <f>'Ref-ComSources'!$AB$10*AVERAGE('Ref-ComSources'!$E$84,'Ref-ComSources'!$E$86,'Ref-ComSources'!$E$88)</f>
        <v>758.78476960128171</v>
      </c>
      <c r="F105" s="627" t="s">
        <v>27</v>
      </c>
      <c r="G105" s="630">
        <f>'Ref-2013CSSsaturationsINT'!$F$112</f>
        <v>0.84767927678194332</v>
      </c>
      <c r="H105" s="627" t="s">
        <v>66</v>
      </c>
      <c r="I105" s="631">
        <f>'Ref-2013CSSsaturationsINT'!$J$112</f>
        <v>0.75536978039511848</v>
      </c>
      <c r="J105" s="632" t="s">
        <v>1097</v>
      </c>
      <c r="K105" s="632" t="s">
        <v>1012</v>
      </c>
      <c r="L105" s="633" t="s">
        <v>960</v>
      </c>
      <c r="M105" s="633" t="s">
        <v>88</v>
      </c>
      <c r="N105" s="634">
        <f>E105*G105*'Ref-Savings Calculations'!$E$33*Applicability</f>
        <v>94.996596883018057</v>
      </c>
      <c r="O105" s="635">
        <f>E105*G105*'Ref-Savings Calculations'!$C$54*Applicability*ControlShare</f>
        <v>93.284826083551607</v>
      </c>
      <c r="P105" s="634">
        <f>E105*G105*'Ref-Savings Calculations'!$E$34*Applicability</f>
        <v>82.330383965282294</v>
      </c>
      <c r="Q105" s="634">
        <f>E105*G105*('Ref-Savings Calculations'!$C$54-'Ref-Savings Calculations'!$C$124)*Applicability*ControlShare</f>
        <v>15.547471013925259</v>
      </c>
      <c r="R105" s="37"/>
      <c r="S105" s="627" t="s">
        <v>69</v>
      </c>
      <c r="T105" s="627" t="s">
        <v>69</v>
      </c>
      <c r="U105" s="627" t="s">
        <v>69</v>
      </c>
      <c r="V105" s="627" t="s">
        <v>69</v>
      </c>
      <c r="W105" s="627" t="s">
        <v>76</v>
      </c>
      <c r="X105" s="37"/>
      <c r="Y105" s="37"/>
      <c r="Z105" s="627" t="s">
        <v>78</v>
      </c>
      <c r="AA105" s="627" t="s">
        <v>78</v>
      </c>
      <c r="AB105" s="37"/>
      <c r="AC105" s="813">
        <f>'Ref-ComHOU'!$G$96</f>
        <v>12.202739726027396</v>
      </c>
      <c r="AD105" s="627" t="s">
        <v>72</v>
      </c>
      <c r="AE105" s="632" t="s">
        <v>73</v>
      </c>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c r="BG105" s="822"/>
      <c r="BH105" s="822"/>
      <c r="BI105" s="822"/>
      <c r="BJ105" s="822"/>
      <c r="BK105" s="822"/>
      <c r="BL105" s="822"/>
      <c r="BM105" s="822"/>
      <c r="BN105" s="822"/>
      <c r="BO105" s="822"/>
      <c r="BP105" s="822"/>
      <c r="BQ105" s="822"/>
      <c r="BR105" s="822"/>
      <c r="BS105" s="822"/>
      <c r="BT105" s="822"/>
      <c r="BU105" s="822"/>
      <c r="BV105" s="822"/>
      <c r="BW105" s="822"/>
      <c r="BX105" s="822"/>
      <c r="BY105" s="822"/>
      <c r="BZ105" s="822"/>
      <c r="CA105" s="822"/>
      <c r="CB105" s="822"/>
      <c r="CC105" s="822"/>
      <c r="CD105" s="822"/>
      <c r="CE105" s="822"/>
      <c r="CF105" s="822"/>
      <c r="CG105" s="822"/>
      <c r="CH105" s="822"/>
      <c r="CI105" s="822"/>
      <c r="CJ105" s="392"/>
      <c r="CK105" s="392"/>
      <c r="CL105" s="392"/>
      <c r="CM105" s="392"/>
      <c r="CN105" s="392"/>
      <c r="CO105" s="392"/>
      <c r="CP105" s="392"/>
      <c r="CQ105" s="392"/>
      <c r="CR105" s="392"/>
      <c r="CS105" s="392"/>
      <c r="CT105" s="392"/>
      <c r="CU105" s="392"/>
      <c r="CV105" s="392"/>
      <c r="CW105" s="392"/>
      <c r="CX105" s="392"/>
      <c r="CY105" s="392"/>
      <c r="CZ105" s="392"/>
      <c r="DA105" s="392"/>
      <c r="DB105" s="392"/>
      <c r="DC105" s="392"/>
    </row>
    <row r="106" spans="1:107" s="337" customFormat="1" ht="56.25">
      <c r="A106" s="37"/>
      <c r="B106" s="626" t="s">
        <v>23</v>
      </c>
      <c r="C106" s="627" t="s">
        <v>499</v>
      </c>
      <c r="D106" s="628" t="s">
        <v>1220</v>
      </c>
      <c r="E106" s="629">
        <f>'Ref-ComSources'!$AB$10*AVERAGE('Ref-ComSources'!$E$84,'Ref-ComSources'!$E$86,'Ref-ComSources'!$E$88)</f>
        <v>758.78476960128171</v>
      </c>
      <c r="F106" s="627" t="s">
        <v>27</v>
      </c>
      <c r="G106" s="630">
        <f>'Ref-2013CSSsaturationsINT'!$F$112</f>
        <v>0.84767927678194332</v>
      </c>
      <c r="H106" s="627" t="s">
        <v>66</v>
      </c>
      <c r="I106" s="631">
        <f>'Ref-2013CSSsaturationsINT'!$J$112</f>
        <v>0.75536978039511848</v>
      </c>
      <c r="J106" s="632" t="s">
        <v>1097</v>
      </c>
      <c r="K106" s="632" t="s">
        <v>1012</v>
      </c>
      <c r="L106" s="633" t="s">
        <v>960</v>
      </c>
      <c r="M106" s="633" t="s">
        <v>90</v>
      </c>
      <c r="N106" s="634">
        <f>E106*G106*'Ref-Savings Calculations'!$E$33*Applicability</f>
        <v>94.996596883018057</v>
      </c>
      <c r="O106" s="635">
        <f>E106*G106*'Ref-Savings Calculations'!$C$82*Applicability*ControlShare</f>
        <v>112.71916485095818</v>
      </c>
      <c r="P106" s="634">
        <f>E106*G106*'Ref-Savings Calculations'!$E$34*Applicability</f>
        <v>82.330383965282294</v>
      </c>
      <c r="Q106" s="634">
        <f>E106*G106*('Ref-Savings Calculations'!$C$82-'Ref-Savings Calculations'!$C$124)*Applicability*ControlShare</f>
        <v>34.98180978133184</v>
      </c>
      <c r="R106" s="37"/>
      <c r="S106" s="627" t="s">
        <v>69</v>
      </c>
      <c r="T106" s="627" t="s">
        <v>69</v>
      </c>
      <c r="U106" s="627" t="s">
        <v>69</v>
      </c>
      <c r="V106" s="627" t="s">
        <v>69</v>
      </c>
      <c r="W106" s="627" t="s">
        <v>76</v>
      </c>
      <c r="X106" s="37"/>
      <c r="Y106" s="37"/>
      <c r="Z106" s="627" t="s">
        <v>78</v>
      </c>
      <c r="AA106" s="627" t="s">
        <v>78</v>
      </c>
      <c r="AB106" s="37"/>
      <c r="AC106" s="813">
        <f>'Ref-ComHOU'!$G$96</f>
        <v>12.202739726027396</v>
      </c>
      <c r="AD106" s="627" t="s">
        <v>72</v>
      </c>
      <c r="AE106" s="632" t="s">
        <v>73</v>
      </c>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c r="BG106" s="822"/>
      <c r="BH106" s="822"/>
      <c r="BI106" s="822"/>
      <c r="BJ106" s="822"/>
      <c r="BK106" s="822"/>
      <c r="BL106" s="822"/>
      <c r="BM106" s="822"/>
      <c r="BN106" s="822"/>
      <c r="BO106" s="822"/>
      <c r="BP106" s="822"/>
      <c r="BQ106" s="822"/>
      <c r="BR106" s="822"/>
      <c r="BS106" s="822"/>
      <c r="BT106" s="822"/>
      <c r="BU106" s="822"/>
      <c r="BV106" s="822"/>
      <c r="BW106" s="822"/>
      <c r="BX106" s="822"/>
      <c r="BY106" s="822"/>
      <c r="BZ106" s="822"/>
      <c r="CA106" s="822"/>
      <c r="CB106" s="822"/>
      <c r="CC106" s="822"/>
      <c r="CD106" s="822"/>
      <c r="CE106" s="822"/>
      <c r="CF106" s="822"/>
      <c r="CG106" s="822"/>
      <c r="CH106" s="822"/>
      <c r="CI106" s="822"/>
      <c r="CJ106" s="392"/>
      <c r="CK106" s="392"/>
      <c r="CL106" s="392"/>
      <c r="CM106" s="392"/>
      <c r="CN106" s="392"/>
      <c r="CO106" s="392"/>
      <c r="CP106" s="392"/>
      <c r="CQ106" s="392"/>
      <c r="CR106" s="392"/>
      <c r="CS106" s="392"/>
      <c r="CT106" s="392"/>
      <c r="CU106" s="392"/>
      <c r="CV106" s="392"/>
      <c r="CW106" s="392"/>
      <c r="CX106" s="392"/>
      <c r="CY106" s="392"/>
      <c r="CZ106" s="392"/>
      <c r="DA106" s="392"/>
      <c r="DB106" s="392"/>
      <c r="DC106" s="392"/>
    </row>
    <row r="107" spans="1:107" s="337" customFormat="1" ht="56.25">
      <c r="A107" s="37"/>
      <c r="B107" s="626" t="s">
        <v>23</v>
      </c>
      <c r="C107" s="627" t="s">
        <v>499</v>
      </c>
      <c r="D107" s="628" t="s">
        <v>1220</v>
      </c>
      <c r="E107" s="629">
        <f>'Ref-ComSources'!$AB$10*AVERAGE('Ref-ComSources'!$E$84,'Ref-ComSources'!$E$86,'Ref-ComSources'!$E$88)</f>
        <v>758.78476960128171</v>
      </c>
      <c r="F107" s="627" t="s">
        <v>27</v>
      </c>
      <c r="G107" s="630">
        <f>'Ref-2013CSSsaturationsINT'!$F$112</f>
        <v>0.84767927678194332</v>
      </c>
      <c r="H107" s="627" t="s">
        <v>66</v>
      </c>
      <c r="I107" s="631">
        <f>'Ref-2013CSSsaturationsINT'!$J$112</f>
        <v>0.75536978039511848</v>
      </c>
      <c r="J107" s="632" t="s">
        <v>1097</v>
      </c>
      <c r="K107" s="632" t="s">
        <v>1012</v>
      </c>
      <c r="L107" s="633" t="s">
        <v>960</v>
      </c>
      <c r="M107" s="633" t="s">
        <v>92</v>
      </c>
      <c r="N107" s="634">
        <f>E107*G107*'Ref-Savings Calculations'!$E$33*Applicability</f>
        <v>94.996596883018057</v>
      </c>
      <c r="O107" s="635">
        <f>E107*G107*'Ref-Savings Calculations'!$C$99*Applicability*ControlShare</f>
        <v>139.92723912532742</v>
      </c>
      <c r="P107" s="634">
        <f>E107*G107*'Ref-Savings Calculations'!$E$34*Applicability</f>
        <v>82.330383965282294</v>
      </c>
      <c r="Q107" s="634">
        <f>E107*G107*('Ref-Savings Calculations'!$C$99-'Ref-Savings Calculations'!$C$124)*Applicability*ControlShare</f>
        <v>62.189884055701071</v>
      </c>
      <c r="R107" s="37"/>
      <c r="S107" s="627" t="s">
        <v>69</v>
      </c>
      <c r="T107" s="627" t="s">
        <v>69</v>
      </c>
      <c r="U107" s="627" t="s">
        <v>69</v>
      </c>
      <c r="V107" s="627" t="s">
        <v>69</v>
      </c>
      <c r="W107" s="627" t="s">
        <v>76</v>
      </c>
      <c r="X107" s="37"/>
      <c r="Y107" s="37"/>
      <c r="Z107" s="627" t="s">
        <v>78</v>
      </c>
      <c r="AA107" s="627" t="s">
        <v>78</v>
      </c>
      <c r="AB107" s="37"/>
      <c r="AC107" s="813">
        <f>'Ref-ComHOU'!$G$96</f>
        <v>12.202739726027396</v>
      </c>
      <c r="AD107" s="627" t="s">
        <v>72</v>
      </c>
      <c r="AE107" s="632" t="s">
        <v>73</v>
      </c>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822"/>
      <c r="BK107" s="822"/>
      <c r="BL107" s="822"/>
      <c r="BM107" s="822"/>
      <c r="BN107" s="822"/>
      <c r="BO107" s="822"/>
      <c r="BP107" s="822"/>
      <c r="BQ107" s="822"/>
      <c r="BR107" s="822"/>
      <c r="BS107" s="822"/>
      <c r="BT107" s="822"/>
      <c r="BU107" s="822"/>
      <c r="BV107" s="822"/>
      <c r="BW107" s="822"/>
      <c r="BX107" s="822"/>
      <c r="BY107" s="822"/>
      <c r="BZ107" s="822"/>
      <c r="CA107" s="822"/>
      <c r="CB107" s="822"/>
      <c r="CC107" s="822"/>
      <c r="CD107" s="822"/>
      <c r="CE107" s="822"/>
      <c r="CF107" s="822"/>
      <c r="CG107" s="822"/>
      <c r="CH107" s="822"/>
      <c r="CI107" s="822"/>
      <c r="CJ107" s="392"/>
      <c r="CK107" s="392"/>
      <c r="CL107" s="392"/>
      <c r="CM107" s="392"/>
      <c r="CN107" s="392"/>
      <c r="CO107" s="392"/>
      <c r="CP107" s="392"/>
      <c r="CQ107" s="392"/>
      <c r="CR107" s="392"/>
      <c r="CS107" s="392"/>
      <c r="CT107" s="392"/>
      <c r="CU107" s="392"/>
      <c r="CV107" s="392"/>
      <c r="CW107" s="392"/>
      <c r="CX107" s="392"/>
      <c r="CY107" s="392"/>
      <c r="CZ107" s="392"/>
      <c r="DA107" s="392"/>
      <c r="DB107" s="392"/>
      <c r="DC107" s="392"/>
    </row>
    <row r="108" spans="1:107" s="337" customFormat="1" ht="56.25">
      <c r="A108" s="37"/>
      <c r="B108" s="626" t="s">
        <v>23</v>
      </c>
      <c r="C108" s="627" t="s">
        <v>499</v>
      </c>
      <c r="D108" s="628" t="s">
        <v>1220</v>
      </c>
      <c r="E108" s="629">
        <f>'Ref-ComSources'!$AB$10*AVERAGE('Ref-ComSources'!$E$84,'Ref-ComSources'!$E$86,'Ref-ComSources'!$E$88)</f>
        <v>758.78476960128171</v>
      </c>
      <c r="F108" s="627" t="s">
        <v>27</v>
      </c>
      <c r="G108" s="630">
        <f>'Ref-2013CSSsaturationsINT'!$F$112</f>
        <v>0.84767927678194332</v>
      </c>
      <c r="H108" s="627" t="s">
        <v>66</v>
      </c>
      <c r="I108" s="631">
        <f>'Ref-2013CSSsaturationsINT'!$J$112</f>
        <v>0.75536978039511848</v>
      </c>
      <c r="J108" s="632" t="s">
        <v>1097</v>
      </c>
      <c r="K108" s="632" t="s">
        <v>1012</v>
      </c>
      <c r="L108" s="633" t="s">
        <v>960</v>
      </c>
      <c r="M108" s="633" t="s">
        <v>93</v>
      </c>
      <c r="N108" s="634">
        <f>E108*G108*'Ref-Savings Calculations'!$E$33*Applicability</f>
        <v>94.996596883018057</v>
      </c>
      <c r="O108" s="635">
        <f>E108*G108*'Ref-Savings Calculations'!$C$109*Applicability*ControlShare</f>
        <v>147.70097463229004</v>
      </c>
      <c r="P108" s="634">
        <f>E108*G108*'Ref-Savings Calculations'!$E$34*Applicability</f>
        <v>82.330383965282294</v>
      </c>
      <c r="Q108" s="634">
        <f>E108*G108*('Ref-Savings Calculations'!$C$109-'Ref-Savings Calculations'!$C$124)*Applicability*ControlShare</f>
        <v>69.963619562663709</v>
      </c>
      <c r="R108" s="37"/>
      <c r="S108" s="627" t="s">
        <v>69</v>
      </c>
      <c r="T108" s="627" t="s">
        <v>69</v>
      </c>
      <c r="U108" s="632" t="s">
        <v>44</v>
      </c>
      <c r="V108" s="632" t="s">
        <v>75</v>
      </c>
      <c r="W108" s="627" t="s">
        <v>76</v>
      </c>
      <c r="X108" s="37"/>
      <c r="Y108" s="37"/>
      <c r="Z108" s="627" t="s">
        <v>78</v>
      </c>
      <c r="AA108" s="627" t="s">
        <v>78</v>
      </c>
      <c r="AB108" s="37"/>
      <c r="AC108" s="813">
        <f>'Ref-ComHOU'!$G$96</f>
        <v>12.202739726027396</v>
      </c>
      <c r="AD108" s="627" t="s">
        <v>72</v>
      </c>
      <c r="AE108" s="632" t="s">
        <v>73</v>
      </c>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822"/>
      <c r="BK108" s="822"/>
      <c r="BL108" s="822"/>
      <c r="BM108" s="822"/>
      <c r="BN108" s="822"/>
      <c r="BO108" s="822"/>
      <c r="BP108" s="822"/>
      <c r="BQ108" s="822"/>
      <c r="BR108" s="822"/>
      <c r="BS108" s="822"/>
      <c r="BT108" s="822"/>
      <c r="BU108" s="822"/>
      <c r="BV108" s="822"/>
      <c r="BW108" s="822"/>
      <c r="BX108" s="822"/>
      <c r="BY108" s="822"/>
      <c r="BZ108" s="822"/>
      <c r="CA108" s="822"/>
      <c r="CB108" s="822"/>
      <c r="CC108" s="822"/>
      <c r="CD108" s="822"/>
      <c r="CE108" s="822"/>
      <c r="CF108" s="822"/>
      <c r="CG108" s="822"/>
      <c r="CH108" s="822"/>
      <c r="CI108" s="822"/>
      <c r="CJ108" s="392"/>
      <c r="CK108" s="392"/>
      <c r="CL108" s="392"/>
      <c r="CM108" s="392"/>
      <c r="CN108" s="392"/>
      <c r="CO108" s="392"/>
      <c r="CP108" s="392"/>
      <c r="CQ108" s="392"/>
      <c r="CR108" s="392"/>
      <c r="CS108" s="392"/>
      <c r="CT108" s="392"/>
      <c r="CU108" s="392"/>
      <c r="CV108" s="392"/>
      <c r="CW108" s="392"/>
      <c r="CX108" s="392"/>
      <c r="CY108" s="392"/>
      <c r="CZ108" s="392"/>
      <c r="DA108" s="392"/>
      <c r="DB108" s="392"/>
      <c r="DC108" s="392"/>
    </row>
    <row r="109" spans="1:107" s="337" customFormat="1" ht="56.25">
      <c r="A109" s="37"/>
      <c r="B109" s="626" t="s">
        <v>23</v>
      </c>
      <c r="C109" s="627" t="s">
        <v>499</v>
      </c>
      <c r="D109" s="628" t="s">
        <v>1220</v>
      </c>
      <c r="E109" s="629">
        <f>'Ref-ComSources'!$AB$10*AVERAGE('Ref-ComSources'!$E$84,'Ref-ComSources'!$E$86,'Ref-ComSources'!$E$88)</f>
        <v>758.78476960128171</v>
      </c>
      <c r="F109" s="627" t="s">
        <v>27</v>
      </c>
      <c r="G109" s="630">
        <f>'Ref-2013CSSsaturationsINT'!$F$112</f>
        <v>0.84767927678194332</v>
      </c>
      <c r="H109" s="627" t="s">
        <v>66</v>
      </c>
      <c r="I109" s="631">
        <f>'Ref-2013CSSsaturationsINT'!$J$112</f>
        <v>0.75536978039511848</v>
      </c>
      <c r="J109" s="632" t="s">
        <v>1097</v>
      </c>
      <c r="K109" s="632" t="s">
        <v>1012</v>
      </c>
      <c r="L109" s="633" t="s">
        <v>15</v>
      </c>
      <c r="M109" s="633" t="s">
        <v>88</v>
      </c>
      <c r="N109" s="634">
        <f>E109*G109*'Ref-Savings Calculations'!$E$39*Applicability</f>
        <v>131.70411125398581</v>
      </c>
      <c r="O109" s="635">
        <f>E109*G109*'Ref-Savings Calculations'!$C$54*Applicability*ControlShare</f>
        <v>93.284826083551607</v>
      </c>
      <c r="P109" s="634">
        <f>E109*G109*'Ref-Savings Calculations'!$E$40*Applicability</f>
        <v>112.56107182753441</v>
      </c>
      <c r="Q109" s="634">
        <f>E109*G109*('Ref-Savings Calculations'!$C$54-'Ref-Savings Calculations'!$C$124)*Applicability*ControlShare</f>
        <v>15.547471013925259</v>
      </c>
      <c r="R109" s="37"/>
      <c r="S109" s="627" t="s">
        <v>44</v>
      </c>
      <c r="T109" s="632" t="s">
        <v>63</v>
      </c>
      <c r="U109" s="627" t="s">
        <v>69</v>
      </c>
      <c r="V109" s="627" t="s">
        <v>69</v>
      </c>
      <c r="W109" s="627" t="s">
        <v>76</v>
      </c>
      <c r="X109" s="37"/>
      <c r="Y109" s="37"/>
      <c r="Z109" s="627" t="s">
        <v>78</v>
      </c>
      <c r="AA109" s="627" t="s">
        <v>78</v>
      </c>
      <c r="AB109" s="37"/>
      <c r="AC109" s="813">
        <f>'Ref-ComHOU'!$G$96</f>
        <v>12.202739726027396</v>
      </c>
      <c r="AD109" s="627" t="s">
        <v>72</v>
      </c>
      <c r="AE109" s="632" t="s">
        <v>73</v>
      </c>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822"/>
      <c r="BK109" s="822"/>
      <c r="BL109" s="822"/>
      <c r="BM109" s="822"/>
      <c r="BN109" s="822"/>
      <c r="BO109" s="822"/>
      <c r="BP109" s="822"/>
      <c r="BQ109" s="822"/>
      <c r="BR109" s="822"/>
      <c r="BS109" s="822"/>
      <c r="BT109" s="822"/>
      <c r="BU109" s="822"/>
      <c r="BV109" s="822"/>
      <c r="BW109" s="822"/>
      <c r="BX109" s="822"/>
      <c r="BY109" s="822"/>
      <c r="BZ109" s="822"/>
      <c r="CA109" s="822"/>
      <c r="CB109" s="822"/>
      <c r="CC109" s="822"/>
      <c r="CD109" s="822"/>
      <c r="CE109" s="822"/>
      <c r="CF109" s="822"/>
      <c r="CG109" s="822"/>
      <c r="CH109" s="822"/>
      <c r="CI109" s="822"/>
      <c r="CJ109" s="392"/>
      <c r="CK109" s="392"/>
      <c r="CL109" s="392"/>
      <c r="CM109" s="392"/>
      <c r="CN109" s="392"/>
      <c r="CO109" s="392"/>
      <c r="CP109" s="392"/>
      <c r="CQ109" s="392"/>
      <c r="CR109" s="392"/>
      <c r="CS109" s="392"/>
      <c r="CT109" s="392"/>
      <c r="CU109" s="392"/>
      <c r="CV109" s="392"/>
      <c r="CW109" s="392"/>
      <c r="CX109" s="392"/>
      <c r="CY109" s="392"/>
      <c r="CZ109" s="392"/>
      <c r="DA109" s="392"/>
      <c r="DB109" s="392"/>
      <c r="DC109" s="392"/>
    </row>
    <row r="110" spans="1:107" s="337" customFormat="1" ht="56.25">
      <c r="A110" s="37"/>
      <c r="B110" s="626" t="s">
        <v>23</v>
      </c>
      <c r="C110" s="627" t="s">
        <v>499</v>
      </c>
      <c r="D110" s="628" t="s">
        <v>1220</v>
      </c>
      <c r="E110" s="629">
        <f>'Ref-ComSources'!$AB$10*AVERAGE('Ref-ComSources'!$E$84,'Ref-ComSources'!$E$86,'Ref-ComSources'!$E$88)</f>
        <v>758.78476960128171</v>
      </c>
      <c r="F110" s="627" t="s">
        <v>27</v>
      </c>
      <c r="G110" s="630">
        <f>'Ref-2013CSSsaturationsINT'!$F$112</f>
        <v>0.84767927678194332</v>
      </c>
      <c r="H110" s="627" t="s">
        <v>66</v>
      </c>
      <c r="I110" s="631">
        <f>'Ref-2013CSSsaturationsINT'!$J$112</f>
        <v>0.75536978039511848</v>
      </c>
      <c r="J110" s="632" t="s">
        <v>1097</v>
      </c>
      <c r="K110" s="632" t="s">
        <v>1012</v>
      </c>
      <c r="L110" s="633" t="s">
        <v>15</v>
      </c>
      <c r="M110" s="633" t="s">
        <v>90</v>
      </c>
      <c r="N110" s="634">
        <f>E110*G110*'Ref-Savings Calculations'!$E$39*Applicability</f>
        <v>131.70411125398581</v>
      </c>
      <c r="O110" s="635">
        <f>E110*G110*'Ref-Savings Calculations'!$C$82*Applicability*ControlShare</f>
        <v>112.71916485095818</v>
      </c>
      <c r="P110" s="634">
        <f>E110*G110*'Ref-Savings Calculations'!$E$40*Applicability</f>
        <v>112.56107182753441</v>
      </c>
      <c r="Q110" s="634">
        <f>E110*G110*('Ref-Savings Calculations'!$C$82-'Ref-Savings Calculations'!$C$124)*Applicability*ControlShare</f>
        <v>34.98180978133184</v>
      </c>
      <c r="R110" s="37"/>
      <c r="S110" s="627" t="s">
        <v>44</v>
      </c>
      <c r="T110" s="632" t="s">
        <v>63</v>
      </c>
      <c r="U110" s="627" t="s">
        <v>69</v>
      </c>
      <c r="V110" s="627" t="s">
        <v>69</v>
      </c>
      <c r="W110" s="627" t="s">
        <v>76</v>
      </c>
      <c r="X110" s="37"/>
      <c r="Y110" s="37"/>
      <c r="Z110" s="627" t="s">
        <v>78</v>
      </c>
      <c r="AA110" s="627" t="s">
        <v>78</v>
      </c>
      <c r="AB110" s="37"/>
      <c r="AC110" s="813">
        <f>'Ref-ComHOU'!$G$96</f>
        <v>12.202739726027396</v>
      </c>
      <c r="AD110" s="627" t="s">
        <v>72</v>
      </c>
      <c r="AE110" s="632" t="s">
        <v>73</v>
      </c>
      <c r="AF110" s="822"/>
      <c r="AG110" s="822"/>
      <c r="AH110" s="822"/>
      <c r="AI110" s="822"/>
      <c r="AJ110" s="822"/>
      <c r="AK110" s="822"/>
      <c r="AL110" s="822"/>
      <c r="AM110" s="822"/>
      <c r="AN110" s="822"/>
      <c r="AO110" s="822"/>
      <c r="AP110" s="822"/>
      <c r="AQ110" s="822"/>
      <c r="AR110" s="822"/>
      <c r="AS110" s="822"/>
      <c r="AT110" s="822"/>
      <c r="AU110" s="822"/>
      <c r="AV110" s="822"/>
      <c r="AW110" s="822"/>
      <c r="AX110" s="822"/>
      <c r="AY110" s="822"/>
      <c r="AZ110" s="822"/>
      <c r="BA110" s="822"/>
      <c r="BB110" s="822"/>
      <c r="BC110" s="822"/>
      <c r="BD110" s="822"/>
      <c r="BE110" s="822"/>
      <c r="BF110" s="822"/>
      <c r="BG110" s="822"/>
      <c r="BH110" s="822"/>
      <c r="BI110" s="822"/>
      <c r="BJ110" s="822"/>
      <c r="BK110" s="822"/>
      <c r="BL110" s="822"/>
      <c r="BM110" s="822"/>
      <c r="BN110" s="822"/>
      <c r="BO110" s="822"/>
      <c r="BP110" s="822"/>
      <c r="BQ110" s="822"/>
      <c r="BR110" s="822"/>
      <c r="BS110" s="822"/>
      <c r="BT110" s="822"/>
      <c r="BU110" s="822"/>
      <c r="BV110" s="822"/>
      <c r="BW110" s="822"/>
      <c r="BX110" s="822"/>
      <c r="BY110" s="822"/>
      <c r="BZ110" s="822"/>
      <c r="CA110" s="822"/>
      <c r="CB110" s="822"/>
      <c r="CC110" s="822"/>
      <c r="CD110" s="822"/>
      <c r="CE110" s="822"/>
      <c r="CF110" s="822"/>
      <c r="CG110" s="822"/>
      <c r="CH110" s="822"/>
      <c r="CI110" s="822"/>
      <c r="CJ110" s="392"/>
      <c r="CK110" s="392"/>
      <c r="CL110" s="392"/>
      <c r="CM110" s="392"/>
      <c r="CN110" s="392"/>
      <c r="CO110" s="392"/>
      <c r="CP110" s="392"/>
      <c r="CQ110" s="392"/>
      <c r="CR110" s="392"/>
      <c r="CS110" s="392"/>
      <c r="CT110" s="392"/>
      <c r="CU110" s="392"/>
      <c r="CV110" s="392"/>
      <c r="CW110" s="392"/>
      <c r="CX110" s="392"/>
      <c r="CY110" s="392"/>
      <c r="CZ110" s="392"/>
      <c r="DA110" s="392"/>
      <c r="DB110" s="392"/>
      <c r="DC110" s="392"/>
    </row>
    <row r="111" spans="1:107" s="337" customFormat="1" ht="56.25">
      <c r="A111" s="37"/>
      <c r="B111" s="626" t="s">
        <v>23</v>
      </c>
      <c r="C111" s="627" t="s">
        <v>499</v>
      </c>
      <c r="D111" s="628" t="s">
        <v>1220</v>
      </c>
      <c r="E111" s="629">
        <f>'Ref-ComSources'!$AB$10*AVERAGE('Ref-ComSources'!$E$84,'Ref-ComSources'!$E$86,'Ref-ComSources'!$E$88)</f>
        <v>758.78476960128171</v>
      </c>
      <c r="F111" s="627" t="s">
        <v>27</v>
      </c>
      <c r="G111" s="630">
        <f>'Ref-2013CSSsaturationsINT'!$F$112</f>
        <v>0.84767927678194332</v>
      </c>
      <c r="H111" s="627" t="s">
        <v>66</v>
      </c>
      <c r="I111" s="631">
        <f>'Ref-2013CSSsaturationsINT'!$J$112</f>
        <v>0.75536978039511848</v>
      </c>
      <c r="J111" s="632" t="s">
        <v>1097</v>
      </c>
      <c r="K111" s="632" t="s">
        <v>1012</v>
      </c>
      <c r="L111" s="633" t="s">
        <v>15</v>
      </c>
      <c r="M111" s="633" t="s">
        <v>92</v>
      </c>
      <c r="N111" s="634">
        <f>E111*G111*'Ref-Savings Calculations'!$E$39*Applicability</f>
        <v>131.70411125398581</v>
      </c>
      <c r="O111" s="635">
        <f>E111*G111*'Ref-Savings Calculations'!$C$99*Applicability*ControlShare</f>
        <v>139.92723912532742</v>
      </c>
      <c r="P111" s="634">
        <f>E111*G111*'Ref-Savings Calculations'!$E$40*Applicability</f>
        <v>112.56107182753441</v>
      </c>
      <c r="Q111" s="634">
        <f>E111*G111*('Ref-Savings Calculations'!$C$99-'Ref-Savings Calculations'!$C$124)*Applicability*ControlShare</f>
        <v>62.189884055701071</v>
      </c>
      <c r="R111" s="37"/>
      <c r="S111" s="627" t="s">
        <v>44</v>
      </c>
      <c r="T111" s="632" t="s">
        <v>63</v>
      </c>
      <c r="U111" s="627" t="s">
        <v>69</v>
      </c>
      <c r="V111" s="627" t="s">
        <v>69</v>
      </c>
      <c r="W111" s="627" t="s">
        <v>76</v>
      </c>
      <c r="X111" s="37"/>
      <c r="Y111" s="37"/>
      <c r="Z111" s="627" t="s">
        <v>78</v>
      </c>
      <c r="AA111" s="627" t="s">
        <v>78</v>
      </c>
      <c r="AB111" s="37"/>
      <c r="AC111" s="813">
        <f>'Ref-ComHOU'!$G$96</f>
        <v>12.202739726027396</v>
      </c>
      <c r="AD111" s="627" t="s">
        <v>72</v>
      </c>
      <c r="AE111" s="632" t="s">
        <v>73</v>
      </c>
      <c r="AF111" s="822"/>
      <c r="AG111" s="822"/>
      <c r="AH111" s="822"/>
      <c r="AI111" s="822"/>
      <c r="AJ111" s="822"/>
      <c r="AK111" s="822"/>
      <c r="AL111" s="822"/>
      <c r="AM111" s="822"/>
      <c r="AN111" s="822"/>
      <c r="AO111" s="822"/>
      <c r="AP111" s="822"/>
      <c r="AQ111" s="822"/>
      <c r="AR111" s="822"/>
      <c r="AS111" s="822"/>
      <c r="AT111" s="822"/>
      <c r="AU111" s="822"/>
      <c r="AV111" s="822"/>
      <c r="AW111" s="822"/>
      <c r="AX111" s="822"/>
      <c r="AY111" s="822"/>
      <c r="AZ111" s="822"/>
      <c r="BA111" s="822"/>
      <c r="BB111" s="822"/>
      <c r="BC111" s="822"/>
      <c r="BD111" s="822"/>
      <c r="BE111" s="822"/>
      <c r="BF111" s="822"/>
      <c r="BG111" s="822"/>
      <c r="BH111" s="822"/>
      <c r="BI111" s="822"/>
      <c r="BJ111" s="822"/>
      <c r="BK111" s="822"/>
      <c r="BL111" s="822"/>
      <c r="BM111" s="822"/>
      <c r="BN111" s="822"/>
      <c r="BO111" s="822"/>
      <c r="BP111" s="822"/>
      <c r="BQ111" s="822"/>
      <c r="BR111" s="822"/>
      <c r="BS111" s="822"/>
      <c r="BT111" s="822"/>
      <c r="BU111" s="822"/>
      <c r="BV111" s="822"/>
      <c r="BW111" s="822"/>
      <c r="BX111" s="822"/>
      <c r="BY111" s="822"/>
      <c r="BZ111" s="822"/>
      <c r="CA111" s="822"/>
      <c r="CB111" s="822"/>
      <c r="CC111" s="822"/>
      <c r="CD111" s="822"/>
      <c r="CE111" s="822"/>
      <c r="CF111" s="822"/>
      <c r="CG111" s="822"/>
      <c r="CH111" s="822"/>
      <c r="CI111" s="822"/>
      <c r="CJ111" s="392"/>
      <c r="CK111" s="392"/>
      <c r="CL111" s="392"/>
      <c r="CM111" s="392"/>
      <c r="CN111" s="392"/>
      <c r="CO111" s="392"/>
      <c r="CP111" s="392"/>
      <c r="CQ111" s="392"/>
      <c r="CR111" s="392"/>
      <c r="CS111" s="392"/>
      <c r="CT111" s="392"/>
      <c r="CU111" s="392"/>
      <c r="CV111" s="392"/>
      <c r="CW111" s="392"/>
      <c r="CX111" s="392"/>
      <c r="CY111" s="392"/>
      <c r="CZ111" s="392"/>
      <c r="DA111" s="392"/>
      <c r="DB111" s="392"/>
      <c r="DC111" s="392"/>
    </row>
    <row r="112" spans="1:107" s="337" customFormat="1" ht="56.25">
      <c r="A112" s="37"/>
      <c r="B112" s="626" t="s">
        <v>23</v>
      </c>
      <c r="C112" s="627" t="s">
        <v>499</v>
      </c>
      <c r="D112" s="628" t="s">
        <v>1220</v>
      </c>
      <c r="E112" s="629">
        <f>'Ref-ComSources'!$AB$10*AVERAGE('Ref-ComSources'!$E$84,'Ref-ComSources'!$E$86,'Ref-ComSources'!$E$88)</f>
        <v>758.78476960128171</v>
      </c>
      <c r="F112" s="627" t="s">
        <v>27</v>
      </c>
      <c r="G112" s="630">
        <f>'Ref-2013CSSsaturationsINT'!$F$112</f>
        <v>0.84767927678194332</v>
      </c>
      <c r="H112" s="627" t="s">
        <v>66</v>
      </c>
      <c r="I112" s="631">
        <f>'Ref-2013CSSsaturationsINT'!$J$112</f>
        <v>0.75536978039511848</v>
      </c>
      <c r="J112" s="632" t="s">
        <v>1097</v>
      </c>
      <c r="K112" s="632" t="s">
        <v>1012</v>
      </c>
      <c r="L112" s="633" t="s">
        <v>15</v>
      </c>
      <c r="M112" s="633" t="s">
        <v>93</v>
      </c>
      <c r="N112" s="634">
        <f>E112*G112*'Ref-Savings Calculations'!$E$39*Applicability</f>
        <v>131.70411125398581</v>
      </c>
      <c r="O112" s="635">
        <f>E112*G112*'Ref-Savings Calculations'!$C$109*Applicability*ControlShare</f>
        <v>147.70097463229004</v>
      </c>
      <c r="P112" s="634">
        <f>E112*G112*'Ref-Savings Calculations'!$E$40*Applicability</f>
        <v>112.56107182753441</v>
      </c>
      <c r="Q112" s="634">
        <f>E112*G112*('Ref-Savings Calculations'!$C$109-'Ref-Savings Calculations'!$C$124)*Applicability*ControlShare</f>
        <v>69.963619562663709</v>
      </c>
      <c r="R112" s="37"/>
      <c r="S112" s="627" t="s">
        <v>44</v>
      </c>
      <c r="T112" s="632" t="s">
        <v>63</v>
      </c>
      <c r="U112" s="632" t="s">
        <v>44</v>
      </c>
      <c r="V112" s="632" t="s">
        <v>75</v>
      </c>
      <c r="W112" s="627" t="s">
        <v>76</v>
      </c>
      <c r="X112" s="37"/>
      <c r="Y112" s="37"/>
      <c r="Z112" s="627" t="s">
        <v>78</v>
      </c>
      <c r="AA112" s="627" t="s">
        <v>78</v>
      </c>
      <c r="AB112" s="37"/>
      <c r="AC112" s="813">
        <f>'Ref-ComHOU'!$G$96</f>
        <v>12.202739726027396</v>
      </c>
      <c r="AD112" s="627" t="s">
        <v>72</v>
      </c>
      <c r="AE112" s="632" t="s">
        <v>73</v>
      </c>
      <c r="AF112" s="822"/>
      <c r="AG112" s="822"/>
      <c r="AH112" s="822"/>
      <c r="AI112" s="822"/>
      <c r="AJ112" s="822"/>
      <c r="AK112" s="822"/>
      <c r="AL112" s="822"/>
      <c r="AM112" s="822"/>
      <c r="AN112" s="822"/>
      <c r="AO112" s="822"/>
      <c r="AP112" s="822"/>
      <c r="AQ112" s="822"/>
      <c r="AR112" s="822"/>
      <c r="AS112" s="822"/>
      <c r="AT112" s="822"/>
      <c r="AU112" s="822"/>
      <c r="AV112" s="822"/>
      <c r="AW112" s="822"/>
      <c r="AX112" s="822"/>
      <c r="AY112" s="822"/>
      <c r="AZ112" s="822"/>
      <c r="BA112" s="822"/>
      <c r="BB112" s="822"/>
      <c r="BC112" s="822"/>
      <c r="BD112" s="822"/>
      <c r="BE112" s="822"/>
      <c r="BF112" s="822"/>
      <c r="BG112" s="822"/>
      <c r="BH112" s="822"/>
      <c r="BI112" s="822"/>
      <c r="BJ112" s="822"/>
      <c r="BK112" s="822"/>
      <c r="BL112" s="822"/>
      <c r="BM112" s="822"/>
      <c r="BN112" s="822"/>
      <c r="BO112" s="822"/>
      <c r="BP112" s="822"/>
      <c r="BQ112" s="822"/>
      <c r="BR112" s="822"/>
      <c r="BS112" s="822"/>
      <c r="BT112" s="822"/>
      <c r="BU112" s="822"/>
      <c r="BV112" s="822"/>
      <c r="BW112" s="822"/>
      <c r="BX112" s="822"/>
      <c r="BY112" s="822"/>
      <c r="BZ112" s="822"/>
      <c r="CA112" s="822"/>
      <c r="CB112" s="822"/>
      <c r="CC112" s="822"/>
      <c r="CD112" s="822"/>
      <c r="CE112" s="822"/>
      <c r="CF112" s="822"/>
      <c r="CG112" s="822"/>
      <c r="CH112" s="822"/>
      <c r="CI112" s="822"/>
      <c r="CJ112" s="392"/>
      <c r="CK112" s="392"/>
      <c r="CL112" s="392"/>
      <c r="CM112" s="392"/>
      <c r="CN112" s="392"/>
      <c r="CO112" s="392"/>
      <c r="CP112" s="392"/>
      <c r="CQ112" s="392"/>
      <c r="CR112" s="392"/>
      <c r="CS112" s="392"/>
      <c r="CT112" s="392"/>
      <c r="CU112" s="392"/>
      <c r="CV112" s="392"/>
      <c r="CW112" s="392"/>
      <c r="CX112" s="392"/>
      <c r="CY112" s="392"/>
      <c r="CZ112" s="392"/>
      <c r="DA112" s="392"/>
      <c r="DB112" s="392"/>
      <c r="DC112" s="392"/>
    </row>
    <row r="113" spans="1:107" s="337" customFormat="1" ht="56.25">
      <c r="A113" s="37"/>
      <c r="B113" s="464" t="s">
        <v>23</v>
      </c>
      <c r="C113" s="465" t="s">
        <v>499</v>
      </c>
      <c r="D113" s="348" t="s">
        <v>1226</v>
      </c>
      <c r="E113" s="467">
        <f>'Ref-ComSources'!$AB$10*AVERAGE('Ref-ComSources'!$D$84,'Ref-ComSources'!$D$86,'Ref-ComSources'!$D$88)</f>
        <v>3705.1477049846249</v>
      </c>
      <c r="F113" s="465" t="s">
        <v>27</v>
      </c>
      <c r="G113" s="468">
        <f>'Ref-2013CSSsaturationsINT'!$F$120</f>
        <v>0.66609954826932927</v>
      </c>
      <c r="H113" s="465" t="s">
        <v>66</v>
      </c>
      <c r="I113" s="469">
        <f>'Ref-2013CSSsaturationsINT'!$J$120</f>
        <v>0.58665934423576938</v>
      </c>
      <c r="J113" s="344" t="s">
        <v>1097</v>
      </c>
      <c r="K113" s="344" t="s">
        <v>1012</v>
      </c>
      <c r="L113" s="344" t="s">
        <v>1228</v>
      </c>
      <c r="M113" s="472" t="s">
        <v>88</v>
      </c>
      <c r="N113" s="347">
        <f>E113*G113*'Ref-Savings Calculations'!$E$35*Applicability</f>
        <v>290.57174729024797</v>
      </c>
      <c r="O113" s="473">
        <f>E113*G113*'Ref-Savings Calculations'!$C$54*Applicability*ControlShare</f>
        <v>277.99173624901977</v>
      </c>
      <c r="P113" s="347">
        <f>E113*G113*'Ref-Savings Calculations'!$E$36*Applicability</f>
        <v>236.9277324058944</v>
      </c>
      <c r="Q113" s="347">
        <f>E113*G113*('Ref-Savings Calculations'!$C$54-'Ref-Savings Calculations'!$C$124)*Applicability*ControlShare</f>
        <v>46.331956041503283</v>
      </c>
      <c r="R113" s="37"/>
      <c r="S113" s="465" t="s">
        <v>69</v>
      </c>
      <c r="T113" s="465" t="s">
        <v>69</v>
      </c>
      <c r="U113" s="465" t="s">
        <v>69</v>
      </c>
      <c r="V113" s="465" t="s">
        <v>69</v>
      </c>
      <c r="W113" s="465" t="s">
        <v>76</v>
      </c>
      <c r="X113" s="37"/>
      <c r="Y113" s="37"/>
      <c r="Z113" s="465" t="s">
        <v>78</v>
      </c>
      <c r="AA113" s="465" t="s">
        <v>78</v>
      </c>
      <c r="AB113" s="37"/>
      <c r="AC113" s="474">
        <f>'Ref-ComHOU'!$G$96</f>
        <v>12.202739726027396</v>
      </c>
      <c r="AD113" s="465" t="s">
        <v>72</v>
      </c>
      <c r="AE113" s="344" t="s">
        <v>73</v>
      </c>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2"/>
      <c r="BE113" s="822"/>
      <c r="BF113" s="822"/>
      <c r="BG113" s="822"/>
      <c r="BH113" s="822"/>
      <c r="BI113" s="822"/>
      <c r="BJ113" s="822"/>
      <c r="BK113" s="822"/>
      <c r="BL113" s="822"/>
      <c r="BM113" s="822"/>
      <c r="BN113" s="822"/>
      <c r="BO113" s="822"/>
      <c r="BP113" s="822"/>
      <c r="BQ113" s="822"/>
      <c r="BR113" s="822"/>
      <c r="BS113" s="822"/>
      <c r="BT113" s="822"/>
      <c r="BU113" s="822"/>
      <c r="BV113" s="822"/>
      <c r="BW113" s="822"/>
      <c r="BX113" s="822"/>
      <c r="BY113" s="822"/>
      <c r="BZ113" s="822"/>
      <c r="CA113" s="822"/>
      <c r="CB113" s="822"/>
      <c r="CC113" s="822"/>
      <c r="CD113" s="822"/>
      <c r="CE113" s="822"/>
      <c r="CF113" s="822"/>
      <c r="CG113" s="822"/>
      <c r="CH113" s="822"/>
      <c r="CI113" s="822"/>
      <c r="CJ113" s="392"/>
      <c r="CK113" s="392"/>
      <c r="CL113" s="392"/>
      <c r="CM113" s="392"/>
      <c r="CN113" s="392"/>
      <c r="CO113" s="392"/>
      <c r="CP113" s="392"/>
      <c r="CQ113" s="392"/>
      <c r="CR113" s="392"/>
      <c r="CS113" s="392"/>
      <c r="CT113" s="392"/>
      <c r="CU113" s="392"/>
      <c r="CV113" s="392"/>
      <c r="CW113" s="392"/>
      <c r="CX113" s="392"/>
      <c r="CY113" s="392"/>
      <c r="CZ113" s="392"/>
      <c r="DA113" s="392"/>
      <c r="DB113" s="392"/>
      <c r="DC113" s="392"/>
    </row>
    <row r="114" spans="1:107" s="337" customFormat="1" ht="56.25">
      <c r="A114" s="37"/>
      <c r="B114" s="464" t="s">
        <v>23</v>
      </c>
      <c r="C114" s="465" t="s">
        <v>499</v>
      </c>
      <c r="D114" s="348" t="s">
        <v>1226</v>
      </c>
      <c r="E114" s="467">
        <f>'Ref-ComSources'!$AB$10*AVERAGE('Ref-ComSources'!$D$84,'Ref-ComSources'!$D$86,'Ref-ComSources'!$D$88)</f>
        <v>3705.1477049846249</v>
      </c>
      <c r="F114" s="465" t="s">
        <v>27</v>
      </c>
      <c r="G114" s="468">
        <f>'Ref-2013CSSsaturationsINT'!$F$120</f>
        <v>0.66609954826932927</v>
      </c>
      <c r="H114" s="465" t="s">
        <v>66</v>
      </c>
      <c r="I114" s="469">
        <f>'Ref-2013CSSsaturationsINT'!$J$120</f>
        <v>0.58665934423576938</v>
      </c>
      <c r="J114" s="344" t="s">
        <v>1097</v>
      </c>
      <c r="K114" s="344" t="s">
        <v>1012</v>
      </c>
      <c r="L114" s="344" t="s">
        <v>1228</v>
      </c>
      <c r="M114" s="472" t="s">
        <v>90</v>
      </c>
      <c r="N114" s="347">
        <f>E114*G114*'Ref-Savings Calculations'!$E$35*Applicability</f>
        <v>290.57174729024797</v>
      </c>
      <c r="O114" s="473">
        <f>E114*G114*'Ref-Savings Calculations'!$C$82*Applicability*ControlShare</f>
        <v>335.90668130089892</v>
      </c>
      <c r="P114" s="347">
        <f>E114*G114*'Ref-Savings Calculations'!$E$36*Applicability</f>
        <v>236.9277324058944</v>
      </c>
      <c r="Q114" s="347">
        <f>E114*G114*('Ref-Savings Calculations'!$C$82-'Ref-Savings Calculations'!$C$124)*Applicability*ControlShare</f>
        <v>104.24690109338239</v>
      </c>
      <c r="R114" s="37"/>
      <c r="S114" s="465" t="s">
        <v>69</v>
      </c>
      <c r="T114" s="465" t="s">
        <v>69</v>
      </c>
      <c r="U114" s="465" t="s">
        <v>69</v>
      </c>
      <c r="V114" s="465" t="s">
        <v>69</v>
      </c>
      <c r="W114" s="465" t="s">
        <v>76</v>
      </c>
      <c r="X114" s="37"/>
      <c r="Y114" s="37"/>
      <c r="Z114" s="465" t="s">
        <v>78</v>
      </c>
      <c r="AA114" s="465" t="s">
        <v>78</v>
      </c>
      <c r="AB114" s="37"/>
      <c r="AC114" s="474">
        <f>'Ref-ComHOU'!$G$96</f>
        <v>12.202739726027396</v>
      </c>
      <c r="AD114" s="465" t="s">
        <v>72</v>
      </c>
      <c r="AE114" s="344" t="s">
        <v>73</v>
      </c>
      <c r="AF114" s="822"/>
      <c r="AG114" s="822"/>
      <c r="AH114" s="822"/>
      <c r="AI114" s="822"/>
      <c r="AJ114" s="822"/>
      <c r="AK114" s="822"/>
      <c r="AL114" s="822"/>
      <c r="AM114" s="822"/>
      <c r="AN114" s="822"/>
      <c r="AO114" s="822"/>
      <c r="AP114" s="822"/>
      <c r="AQ114" s="822"/>
      <c r="AR114" s="822"/>
      <c r="AS114" s="822"/>
      <c r="AT114" s="822"/>
      <c r="AU114" s="822"/>
      <c r="AV114" s="822"/>
      <c r="AW114" s="822"/>
      <c r="AX114" s="822"/>
      <c r="AY114" s="822"/>
      <c r="AZ114" s="822"/>
      <c r="BA114" s="822"/>
      <c r="BB114" s="822"/>
      <c r="BC114" s="822"/>
      <c r="BD114" s="822"/>
      <c r="BE114" s="822"/>
      <c r="BF114" s="822"/>
      <c r="BG114" s="822"/>
      <c r="BH114" s="822"/>
      <c r="BI114" s="822"/>
      <c r="BJ114" s="822"/>
      <c r="BK114" s="822"/>
      <c r="BL114" s="822"/>
      <c r="BM114" s="822"/>
      <c r="BN114" s="822"/>
      <c r="BO114" s="822"/>
      <c r="BP114" s="822"/>
      <c r="BQ114" s="822"/>
      <c r="BR114" s="822"/>
      <c r="BS114" s="822"/>
      <c r="BT114" s="822"/>
      <c r="BU114" s="822"/>
      <c r="BV114" s="822"/>
      <c r="BW114" s="822"/>
      <c r="BX114" s="822"/>
      <c r="BY114" s="822"/>
      <c r="BZ114" s="822"/>
      <c r="CA114" s="822"/>
      <c r="CB114" s="822"/>
      <c r="CC114" s="822"/>
      <c r="CD114" s="822"/>
      <c r="CE114" s="822"/>
      <c r="CF114" s="822"/>
      <c r="CG114" s="822"/>
      <c r="CH114" s="822"/>
      <c r="CI114" s="822"/>
      <c r="CJ114" s="392"/>
      <c r="CK114" s="392"/>
      <c r="CL114" s="392"/>
      <c r="CM114" s="392"/>
      <c r="CN114" s="392"/>
      <c r="CO114" s="392"/>
      <c r="CP114" s="392"/>
      <c r="CQ114" s="392"/>
      <c r="CR114" s="392"/>
      <c r="CS114" s="392"/>
      <c r="CT114" s="392"/>
      <c r="CU114" s="392"/>
      <c r="CV114" s="392"/>
      <c r="CW114" s="392"/>
      <c r="CX114" s="392"/>
      <c r="CY114" s="392"/>
      <c r="CZ114" s="392"/>
      <c r="DA114" s="392"/>
      <c r="DB114" s="392"/>
      <c r="DC114" s="392"/>
    </row>
    <row r="115" spans="1:107" s="337" customFormat="1" ht="56.25">
      <c r="A115" s="37"/>
      <c r="B115" s="464" t="s">
        <v>23</v>
      </c>
      <c r="C115" s="465" t="s">
        <v>499</v>
      </c>
      <c r="D115" s="348" t="s">
        <v>1226</v>
      </c>
      <c r="E115" s="467">
        <f>'Ref-ComSources'!$AB$10*AVERAGE('Ref-ComSources'!$D$84,'Ref-ComSources'!$D$86,'Ref-ComSources'!$D$88)</f>
        <v>3705.1477049846249</v>
      </c>
      <c r="F115" s="465" t="s">
        <v>27</v>
      </c>
      <c r="G115" s="468">
        <f>'Ref-2013CSSsaturationsINT'!$F$120</f>
        <v>0.66609954826932927</v>
      </c>
      <c r="H115" s="465" t="s">
        <v>66</v>
      </c>
      <c r="I115" s="469">
        <f>'Ref-2013CSSsaturationsINT'!$J$120</f>
        <v>0.58665934423576938</v>
      </c>
      <c r="J115" s="344" t="s">
        <v>1097</v>
      </c>
      <c r="K115" s="344" t="s">
        <v>1012</v>
      </c>
      <c r="L115" s="344" t="s">
        <v>1228</v>
      </c>
      <c r="M115" s="472" t="s">
        <v>92</v>
      </c>
      <c r="N115" s="347">
        <f>E115*G115*'Ref-Savings Calculations'!$E$35*Applicability</f>
        <v>290.57174729024797</v>
      </c>
      <c r="O115" s="473">
        <f>E115*G115*'Ref-Savings Calculations'!$C$99*Applicability*ControlShare</f>
        <v>416.98760437352968</v>
      </c>
      <c r="P115" s="347">
        <f>E115*G115*'Ref-Savings Calculations'!$E$36*Applicability</f>
        <v>236.9277324058944</v>
      </c>
      <c r="Q115" s="347">
        <f>E115*G115*('Ref-Savings Calculations'!$C$99-'Ref-Savings Calculations'!$C$124)*Applicability*ControlShare</f>
        <v>185.32782416601319</v>
      </c>
      <c r="R115" s="37"/>
      <c r="S115" s="465" t="s">
        <v>69</v>
      </c>
      <c r="T115" s="465" t="s">
        <v>69</v>
      </c>
      <c r="U115" s="465" t="s">
        <v>69</v>
      </c>
      <c r="V115" s="465" t="s">
        <v>69</v>
      </c>
      <c r="W115" s="465" t="s">
        <v>76</v>
      </c>
      <c r="X115" s="37"/>
      <c r="Y115" s="37"/>
      <c r="Z115" s="465" t="s">
        <v>78</v>
      </c>
      <c r="AA115" s="465" t="s">
        <v>78</v>
      </c>
      <c r="AB115" s="37"/>
      <c r="AC115" s="474">
        <f>'Ref-ComHOU'!$G$96</f>
        <v>12.202739726027396</v>
      </c>
      <c r="AD115" s="465" t="s">
        <v>72</v>
      </c>
      <c r="AE115" s="344" t="s">
        <v>73</v>
      </c>
      <c r="AF115" s="822"/>
      <c r="AG115" s="822"/>
      <c r="AH115" s="822"/>
      <c r="AI115" s="822"/>
      <c r="AJ115" s="822"/>
      <c r="AK115" s="822"/>
      <c r="AL115" s="822"/>
      <c r="AM115" s="822"/>
      <c r="AN115" s="822"/>
      <c r="AO115" s="822"/>
      <c r="AP115" s="822"/>
      <c r="AQ115" s="822"/>
      <c r="AR115" s="822"/>
      <c r="AS115" s="822"/>
      <c r="AT115" s="822"/>
      <c r="AU115" s="822"/>
      <c r="AV115" s="822"/>
      <c r="AW115" s="822"/>
      <c r="AX115" s="822"/>
      <c r="AY115" s="822"/>
      <c r="AZ115" s="822"/>
      <c r="BA115" s="822"/>
      <c r="BB115" s="822"/>
      <c r="BC115" s="822"/>
      <c r="BD115" s="822"/>
      <c r="BE115" s="822"/>
      <c r="BF115" s="822"/>
      <c r="BG115" s="822"/>
      <c r="BH115" s="822"/>
      <c r="BI115" s="822"/>
      <c r="BJ115" s="822"/>
      <c r="BK115" s="822"/>
      <c r="BL115" s="822"/>
      <c r="BM115" s="822"/>
      <c r="BN115" s="822"/>
      <c r="BO115" s="822"/>
      <c r="BP115" s="822"/>
      <c r="BQ115" s="822"/>
      <c r="BR115" s="822"/>
      <c r="BS115" s="822"/>
      <c r="BT115" s="822"/>
      <c r="BU115" s="822"/>
      <c r="BV115" s="822"/>
      <c r="BW115" s="822"/>
      <c r="BX115" s="822"/>
      <c r="BY115" s="822"/>
      <c r="BZ115" s="822"/>
      <c r="CA115" s="822"/>
      <c r="CB115" s="822"/>
      <c r="CC115" s="822"/>
      <c r="CD115" s="822"/>
      <c r="CE115" s="822"/>
      <c r="CF115" s="822"/>
      <c r="CG115" s="822"/>
      <c r="CH115" s="822"/>
      <c r="CI115" s="822"/>
      <c r="CJ115" s="392"/>
      <c r="CK115" s="392"/>
      <c r="CL115" s="392"/>
      <c r="CM115" s="392"/>
      <c r="CN115" s="392"/>
      <c r="CO115" s="392"/>
      <c r="CP115" s="392"/>
      <c r="CQ115" s="392"/>
      <c r="CR115" s="392"/>
      <c r="CS115" s="392"/>
      <c r="CT115" s="392"/>
      <c r="CU115" s="392"/>
      <c r="CV115" s="392"/>
      <c r="CW115" s="392"/>
      <c r="CX115" s="392"/>
      <c r="CY115" s="392"/>
      <c r="CZ115" s="392"/>
      <c r="DA115" s="392"/>
      <c r="DB115" s="392"/>
      <c r="DC115" s="392"/>
    </row>
    <row r="116" spans="1:107" s="337" customFormat="1" ht="56.25">
      <c r="A116" s="37"/>
      <c r="B116" s="464" t="s">
        <v>23</v>
      </c>
      <c r="C116" s="465" t="s">
        <v>499</v>
      </c>
      <c r="D116" s="348" t="s">
        <v>1226</v>
      </c>
      <c r="E116" s="467">
        <f>'Ref-ComSources'!$AB$10*AVERAGE('Ref-ComSources'!$D$84,'Ref-ComSources'!$D$86,'Ref-ComSources'!$D$88)</f>
        <v>3705.1477049846249</v>
      </c>
      <c r="F116" s="465" t="s">
        <v>27</v>
      </c>
      <c r="G116" s="468">
        <f>'Ref-2013CSSsaturationsINT'!$F$120</f>
        <v>0.66609954826932927</v>
      </c>
      <c r="H116" s="465" t="s">
        <v>66</v>
      </c>
      <c r="I116" s="469">
        <f>'Ref-2013CSSsaturationsINT'!$J$120</f>
        <v>0.58665934423576938</v>
      </c>
      <c r="J116" s="344" t="s">
        <v>1097</v>
      </c>
      <c r="K116" s="344" t="s">
        <v>1012</v>
      </c>
      <c r="L116" s="344" t="s">
        <v>1228</v>
      </c>
      <c r="M116" s="472" t="s">
        <v>93</v>
      </c>
      <c r="N116" s="347">
        <f>E116*G116*'Ref-Savings Calculations'!$E$35*Applicability</f>
        <v>290.57174729024797</v>
      </c>
      <c r="O116" s="473">
        <f>E116*G116*'Ref-Savings Calculations'!$C$109*Applicability*ControlShare</f>
        <v>440.15358239428133</v>
      </c>
      <c r="P116" s="347">
        <f>E116*G116*'Ref-Savings Calculations'!$E$36*Applicability</f>
        <v>236.9277324058944</v>
      </c>
      <c r="Q116" s="347">
        <f>E116*G116*('Ref-Savings Calculations'!$C$109-'Ref-Savings Calculations'!$C$124)*Applicability*ControlShare</f>
        <v>208.49380218676484</v>
      </c>
      <c r="R116" s="37"/>
      <c r="S116" s="465" t="s">
        <v>69</v>
      </c>
      <c r="T116" s="465" t="s">
        <v>69</v>
      </c>
      <c r="U116" s="344" t="s">
        <v>44</v>
      </c>
      <c r="V116" s="344" t="s">
        <v>75</v>
      </c>
      <c r="W116" s="465" t="s">
        <v>76</v>
      </c>
      <c r="X116" s="37"/>
      <c r="Y116" s="37"/>
      <c r="Z116" s="465" t="s">
        <v>78</v>
      </c>
      <c r="AA116" s="465" t="s">
        <v>78</v>
      </c>
      <c r="AB116" s="37"/>
      <c r="AC116" s="474">
        <f>'Ref-ComHOU'!$G$96</f>
        <v>12.202739726027396</v>
      </c>
      <c r="AD116" s="465" t="s">
        <v>72</v>
      </c>
      <c r="AE116" s="344" t="s">
        <v>73</v>
      </c>
      <c r="AF116" s="822"/>
      <c r="AG116" s="822"/>
      <c r="AH116" s="822"/>
      <c r="AI116" s="822"/>
      <c r="AJ116" s="822"/>
      <c r="AK116" s="822"/>
      <c r="AL116" s="822"/>
      <c r="AM116" s="822"/>
      <c r="AN116" s="822"/>
      <c r="AO116" s="822"/>
      <c r="AP116" s="822"/>
      <c r="AQ116" s="822"/>
      <c r="AR116" s="822"/>
      <c r="AS116" s="822"/>
      <c r="AT116" s="822"/>
      <c r="AU116" s="822"/>
      <c r="AV116" s="822"/>
      <c r="AW116" s="822"/>
      <c r="AX116" s="822"/>
      <c r="AY116" s="822"/>
      <c r="AZ116" s="822"/>
      <c r="BA116" s="822"/>
      <c r="BB116" s="822"/>
      <c r="BC116" s="822"/>
      <c r="BD116" s="822"/>
      <c r="BE116" s="822"/>
      <c r="BF116" s="822"/>
      <c r="BG116" s="822"/>
      <c r="BH116" s="822"/>
      <c r="BI116" s="822"/>
      <c r="BJ116" s="822"/>
      <c r="BK116" s="822"/>
      <c r="BL116" s="822"/>
      <c r="BM116" s="822"/>
      <c r="BN116" s="822"/>
      <c r="BO116" s="822"/>
      <c r="BP116" s="822"/>
      <c r="BQ116" s="822"/>
      <c r="BR116" s="822"/>
      <c r="BS116" s="822"/>
      <c r="BT116" s="822"/>
      <c r="BU116" s="822"/>
      <c r="BV116" s="822"/>
      <c r="BW116" s="822"/>
      <c r="BX116" s="822"/>
      <c r="BY116" s="822"/>
      <c r="BZ116" s="822"/>
      <c r="CA116" s="822"/>
      <c r="CB116" s="822"/>
      <c r="CC116" s="822"/>
      <c r="CD116" s="822"/>
      <c r="CE116" s="822"/>
      <c r="CF116" s="822"/>
      <c r="CG116" s="822"/>
      <c r="CH116" s="822"/>
      <c r="CI116" s="822"/>
      <c r="CJ116" s="392"/>
      <c r="CK116" s="392"/>
      <c r="CL116" s="392"/>
      <c r="CM116" s="392"/>
      <c r="CN116" s="392"/>
      <c r="CO116" s="392"/>
      <c r="CP116" s="392"/>
      <c r="CQ116" s="392"/>
      <c r="CR116" s="392"/>
      <c r="CS116" s="392"/>
      <c r="CT116" s="392"/>
      <c r="CU116" s="392"/>
      <c r="CV116" s="392"/>
      <c r="CW116" s="392"/>
      <c r="CX116" s="392"/>
      <c r="CY116" s="392"/>
      <c r="CZ116" s="392"/>
      <c r="DA116" s="392"/>
      <c r="DB116" s="392"/>
      <c r="DC116" s="392"/>
    </row>
    <row r="117" spans="1:107" s="337" customFormat="1" ht="56.25">
      <c r="A117" s="37"/>
      <c r="B117" s="464" t="s">
        <v>23</v>
      </c>
      <c r="C117" s="465" t="s">
        <v>499</v>
      </c>
      <c r="D117" s="348" t="s">
        <v>1226</v>
      </c>
      <c r="E117" s="467">
        <f>'Ref-ComSources'!$AB$10*AVERAGE('Ref-ComSources'!$D$84,'Ref-ComSources'!$D$86,'Ref-ComSources'!$D$88)</f>
        <v>3705.1477049846249</v>
      </c>
      <c r="F117" s="465" t="s">
        <v>27</v>
      </c>
      <c r="G117" s="468">
        <f>'Ref-2013CSSsaturationsINT'!$F$120</f>
        <v>0.66609954826932927</v>
      </c>
      <c r="H117" s="465" t="s">
        <v>66</v>
      </c>
      <c r="I117" s="469">
        <f>'Ref-2013CSSsaturationsINT'!$J$120</f>
        <v>0.58665934423576938</v>
      </c>
      <c r="J117" s="344" t="s">
        <v>1097</v>
      </c>
      <c r="K117" s="344" t="s">
        <v>1012</v>
      </c>
      <c r="L117" s="472" t="s">
        <v>1227</v>
      </c>
      <c r="M117" s="472" t="s">
        <v>88</v>
      </c>
      <c r="N117" s="347">
        <f>E117*G117*'Ref-Savings Calculations'!$E$39*Applicability</f>
        <v>505.35181019114407</v>
      </c>
      <c r="O117" s="473">
        <f>E117*G117*'Ref-Savings Calculations'!$C$54*Applicability*ControlShare</f>
        <v>277.99173624901977</v>
      </c>
      <c r="P117" s="347">
        <f>E117*G117*'Ref-Savings Calculations'!$E$40*Applicability</f>
        <v>431.89951219824519</v>
      </c>
      <c r="Q117" s="347">
        <f>E117*G117*('Ref-Savings Calculations'!$C$54-'Ref-Savings Calculations'!$C$124)*Applicability*ControlShare</f>
        <v>46.331956041503283</v>
      </c>
      <c r="R117" s="37"/>
      <c r="S117" s="465" t="s">
        <v>44</v>
      </c>
      <c r="T117" s="344" t="s">
        <v>63</v>
      </c>
      <c r="U117" s="465" t="s">
        <v>69</v>
      </c>
      <c r="V117" s="465" t="s">
        <v>69</v>
      </c>
      <c r="W117" s="465" t="s">
        <v>76</v>
      </c>
      <c r="X117" s="37"/>
      <c r="Y117" s="37"/>
      <c r="Z117" s="465" t="s">
        <v>78</v>
      </c>
      <c r="AA117" s="465" t="s">
        <v>78</v>
      </c>
      <c r="AB117" s="37"/>
      <c r="AC117" s="474">
        <f>'Ref-ComHOU'!$G$96</f>
        <v>12.202739726027396</v>
      </c>
      <c r="AD117" s="465" t="s">
        <v>72</v>
      </c>
      <c r="AE117" s="344" t="s">
        <v>73</v>
      </c>
      <c r="AF117" s="822"/>
      <c r="AG117" s="822"/>
      <c r="AH117" s="822"/>
      <c r="AI117" s="822"/>
      <c r="AJ117" s="822"/>
      <c r="AK117" s="822"/>
      <c r="AL117" s="822"/>
      <c r="AM117" s="822"/>
      <c r="AN117" s="822"/>
      <c r="AO117" s="822"/>
      <c r="AP117" s="822"/>
      <c r="AQ117" s="822"/>
      <c r="AR117" s="822"/>
      <c r="AS117" s="822"/>
      <c r="AT117" s="822"/>
      <c r="AU117" s="822"/>
      <c r="AV117" s="822"/>
      <c r="AW117" s="822"/>
      <c r="AX117" s="822"/>
      <c r="AY117" s="822"/>
      <c r="AZ117" s="822"/>
      <c r="BA117" s="822"/>
      <c r="BB117" s="822"/>
      <c r="BC117" s="822"/>
      <c r="BD117" s="822"/>
      <c r="BE117" s="822"/>
      <c r="BF117" s="822"/>
      <c r="BG117" s="822"/>
      <c r="BH117" s="822"/>
      <c r="BI117" s="822"/>
      <c r="BJ117" s="822"/>
      <c r="BK117" s="822"/>
      <c r="BL117" s="822"/>
      <c r="BM117" s="822"/>
      <c r="BN117" s="822"/>
      <c r="BO117" s="822"/>
      <c r="BP117" s="822"/>
      <c r="BQ117" s="822"/>
      <c r="BR117" s="822"/>
      <c r="BS117" s="822"/>
      <c r="BT117" s="822"/>
      <c r="BU117" s="822"/>
      <c r="BV117" s="822"/>
      <c r="BW117" s="822"/>
      <c r="BX117" s="822"/>
      <c r="BY117" s="822"/>
      <c r="BZ117" s="822"/>
      <c r="CA117" s="822"/>
      <c r="CB117" s="822"/>
      <c r="CC117" s="822"/>
      <c r="CD117" s="822"/>
      <c r="CE117" s="822"/>
      <c r="CF117" s="822"/>
      <c r="CG117" s="822"/>
      <c r="CH117" s="822"/>
      <c r="CI117" s="822"/>
      <c r="CJ117" s="392"/>
      <c r="CK117" s="392"/>
      <c r="CL117" s="392"/>
      <c r="CM117" s="392"/>
      <c r="CN117" s="392"/>
      <c r="CO117" s="392"/>
      <c r="CP117" s="392"/>
      <c r="CQ117" s="392"/>
      <c r="CR117" s="392"/>
      <c r="CS117" s="392"/>
      <c r="CT117" s="392"/>
      <c r="CU117" s="392"/>
      <c r="CV117" s="392"/>
      <c r="CW117" s="392"/>
      <c r="CX117" s="392"/>
      <c r="CY117" s="392"/>
      <c r="CZ117" s="392"/>
      <c r="DA117" s="392"/>
      <c r="DB117" s="392"/>
      <c r="DC117" s="392"/>
    </row>
    <row r="118" spans="1:107" s="337" customFormat="1" ht="56.25">
      <c r="A118" s="37"/>
      <c r="B118" s="464" t="s">
        <v>23</v>
      </c>
      <c r="C118" s="465" t="s">
        <v>499</v>
      </c>
      <c r="D118" s="348" t="s">
        <v>1226</v>
      </c>
      <c r="E118" s="467">
        <f>'Ref-ComSources'!$AB$10*AVERAGE('Ref-ComSources'!$D$84,'Ref-ComSources'!$D$86,'Ref-ComSources'!$D$88)</f>
        <v>3705.1477049846249</v>
      </c>
      <c r="F118" s="465" t="s">
        <v>27</v>
      </c>
      <c r="G118" s="468">
        <f>'Ref-2013CSSsaturationsINT'!$F$120</f>
        <v>0.66609954826932927</v>
      </c>
      <c r="H118" s="465" t="s">
        <v>66</v>
      </c>
      <c r="I118" s="469">
        <f>'Ref-2013CSSsaturationsINT'!$J$120</f>
        <v>0.58665934423576938</v>
      </c>
      <c r="J118" s="344" t="s">
        <v>1097</v>
      </c>
      <c r="K118" s="344" t="s">
        <v>1012</v>
      </c>
      <c r="L118" s="472" t="s">
        <v>1227</v>
      </c>
      <c r="M118" s="472" t="s">
        <v>90</v>
      </c>
      <c r="N118" s="347">
        <f>E118*G118*'Ref-Savings Calculations'!$E$39*Applicability</f>
        <v>505.35181019114407</v>
      </c>
      <c r="O118" s="473">
        <f>E118*G118*'Ref-Savings Calculations'!$C$82*Applicability*ControlShare</f>
        <v>335.90668130089892</v>
      </c>
      <c r="P118" s="347">
        <f>E118*G118*'Ref-Savings Calculations'!$E$40*Applicability</f>
        <v>431.89951219824519</v>
      </c>
      <c r="Q118" s="347">
        <f>E118*G118*('Ref-Savings Calculations'!$C$82-'Ref-Savings Calculations'!$C$124)*Applicability*ControlShare</f>
        <v>104.24690109338239</v>
      </c>
      <c r="R118" s="37"/>
      <c r="S118" s="465" t="s">
        <v>44</v>
      </c>
      <c r="T118" s="344" t="s">
        <v>63</v>
      </c>
      <c r="U118" s="465" t="s">
        <v>69</v>
      </c>
      <c r="V118" s="465" t="s">
        <v>69</v>
      </c>
      <c r="W118" s="465" t="s">
        <v>76</v>
      </c>
      <c r="X118" s="37"/>
      <c r="Y118" s="37"/>
      <c r="Z118" s="465" t="s">
        <v>78</v>
      </c>
      <c r="AA118" s="465" t="s">
        <v>78</v>
      </c>
      <c r="AB118" s="37"/>
      <c r="AC118" s="474">
        <f>'Ref-ComHOU'!$G$96</f>
        <v>12.202739726027396</v>
      </c>
      <c r="AD118" s="465" t="s">
        <v>72</v>
      </c>
      <c r="AE118" s="344" t="s">
        <v>73</v>
      </c>
      <c r="AF118" s="822"/>
      <c r="AG118" s="822"/>
      <c r="AH118" s="822"/>
      <c r="AI118" s="822"/>
      <c r="AJ118" s="822"/>
      <c r="AK118" s="822"/>
      <c r="AL118" s="822"/>
      <c r="AM118" s="822"/>
      <c r="AN118" s="822"/>
      <c r="AO118" s="822"/>
      <c r="AP118" s="822"/>
      <c r="AQ118" s="822"/>
      <c r="AR118" s="822"/>
      <c r="AS118" s="822"/>
      <c r="AT118" s="822"/>
      <c r="AU118" s="822"/>
      <c r="AV118" s="822"/>
      <c r="AW118" s="822"/>
      <c r="AX118" s="822"/>
      <c r="AY118" s="822"/>
      <c r="AZ118" s="822"/>
      <c r="BA118" s="822"/>
      <c r="BB118" s="822"/>
      <c r="BC118" s="822"/>
      <c r="BD118" s="822"/>
      <c r="BE118" s="822"/>
      <c r="BF118" s="822"/>
      <c r="BG118" s="822"/>
      <c r="BH118" s="822"/>
      <c r="BI118" s="822"/>
      <c r="BJ118" s="822"/>
      <c r="BK118" s="822"/>
      <c r="BL118" s="822"/>
      <c r="BM118" s="822"/>
      <c r="BN118" s="822"/>
      <c r="BO118" s="822"/>
      <c r="BP118" s="822"/>
      <c r="BQ118" s="822"/>
      <c r="BR118" s="822"/>
      <c r="BS118" s="822"/>
      <c r="BT118" s="822"/>
      <c r="BU118" s="822"/>
      <c r="BV118" s="822"/>
      <c r="BW118" s="822"/>
      <c r="BX118" s="822"/>
      <c r="BY118" s="822"/>
      <c r="BZ118" s="822"/>
      <c r="CA118" s="822"/>
      <c r="CB118" s="822"/>
      <c r="CC118" s="822"/>
      <c r="CD118" s="822"/>
      <c r="CE118" s="822"/>
      <c r="CF118" s="822"/>
      <c r="CG118" s="822"/>
      <c r="CH118" s="822"/>
      <c r="CI118" s="822"/>
      <c r="CJ118" s="392"/>
      <c r="CK118" s="392"/>
      <c r="CL118" s="392"/>
      <c r="CM118" s="392"/>
      <c r="CN118" s="392"/>
      <c r="CO118" s="392"/>
      <c r="CP118" s="392"/>
      <c r="CQ118" s="392"/>
      <c r="CR118" s="392"/>
      <c r="CS118" s="392"/>
      <c r="CT118" s="392"/>
      <c r="CU118" s="392"/>
      <c r="CV118" s="392"/>
      <c r="CW118" s="392"/>
      <c r="CX118" s="392"/>
      <c r="CY118" s="392"/>
      <c r="CZ118" s="392"/>
      <c r="DA118" s="392"/>
      <c r="DB118" s="392"/>
      <c r="DC118" s="392"/>
    </row>
    <row r="119" spans="1:107" s="337" customFormat="1" ht="56.25">
      <c r="A119" s="37"/>
      <c r="B119" s="464" t="s">
        <v>23</v>
      </c>
      <c r="C119" s="465" t="s">
        <v>499</v>
      </c>
      <c r="D119" s="348" t="s">
        <v>1226</v>
      </c>
      <c r="E119" s="467">
        <f>'Ref-ComSources'!$AB$10*AVERAGE('Ref-ComSources'!$D$84,'Ref-ComSources'!$D$86,'Ref-ComSources'!$D$88)</f>
        <v>3705.1477049846249</v>
      </c>
      <c r="F119" s="465" t="s">
        <v>27</v>
      </c>
      <c r="G119" s="468">
        <f>'Ref-2013CSSsaturationsINT'!$F$120</f>
        <v>0.66609954826932927</v>
      </c>
      <c r="H119" s="465" t="s">
        <v>66</v>
      </c>
      <c r="I119" s="469">
        <f>'Ref-2013CSSsaturationsINT'!$J$120</f>
        <v>0.58665934423576938</v>
      </c>
      <c r="J119" s="344" t="s">
        <v>1097</v>
      </c>
      <c r="K119" s="344" t="s">
        <v>1012</v>
      </c>
      <c r="L119" s="472" t="s">
        <v>1227</v>
      </c>
      <c r="M119" s="472" t="s">
        <v>92</v>
      </c>
      <c r="N119" s="347">
        <f>E119*G119*'Ref-Savings Calculations'!$E$39*Applicability</f>
        <v>505.35181019114407</v>
      </c>
      <c r="O119" s="473">
        <f>E119*G119*'Ref-Savings Calculations'!$C$99*Applicability*ControlShare</f>
        <v>416.98760437352968</v>
      </c>
      <c r="P119" s="347">
        <f>E119*G119*'Ref-Savings Calculations'!$E$40*Applicability</f>
        <v>431.89951219824519</v>
      </c>
      <c r="Q119" s="347">
        <f>E119*G119*('Ref-Savings Calculations'!$C$99-'Ref-Savings Calculations'!$C$124)*Applicability*ControlShare</f>
        <v>185.32782416601319</v>
      </c>
      <c r="R119" s="37"/>
      <c r="S119" s="465" t="s">
        <v>44</v>
      </c>
      <c r="T119" s="344" t="s">
        <v>63</v>
      </c>
      <c r="U119" s="465" t="s">
        <v>69</v>
      </c>
      <c r="V119" s="465" t="s">
        <v>69</v>
      </c>
      <c r="W119" s="465" t="s">
        <v>76</v>
      </c>
      <c r="X119" s="37"/>
      <c r="Y119" s="37"/>
      <c r="Z119" s="465" t="s">
        <v>78</v>
      </c>
      <c r="AA119" s="465" t="s">
        <v>78</v>
      </c>
      <c r="AB119" s="37"/>
      <c r="AC119" s="474">
        <f>'Ref-ComHOU'!$G$96</f>
        <v>12.202739726027396</v>
      </c>
      <c r="AD119" s="465" t="s">
        <v>72</v>
      </c>
      <c r="AE119" s="344" t="s">
        <v>73</v>
      </c>
      <c r="AF119" s="822"/>
      <c r="AG119" s="822"/>
      <c r="AH119" s="822"/>
      <c r="AI119" s="822"/>
      <c r="AJ119" s="822"/>
      <c r="AK119" s="822"/>
      <c r="AL119" s="822"/>
      <c r="AM119" s="822"/>
      <c r="AN119" s="822"/>
      <c r="AO119" s="822"/>
      <c r="AP119" s="822"/>
      <c r="AQ119" s="822"/>
      <c r="AR119" s="822"/>
      <c r="AS119" s="822"/>
      <c r="AT119" s="822"/>
      <c r="AU119" s="822"/>
      <c r="AV119" s="822"/>
      <c r="AW119" s="822"/>
      <c r="AX119" s="822"/>
      <c r="AY119" s="822"/>
      <c r="AZ119" s="822"/>
      <c r="BA119" s="822"/>
      <c r="BB119" s="822"/>
      <c r="BC119" s="822"/>
      <c r="BD119" s="822"/>
      <c r="BE119" s="822"/>
      <c r="BF119" s="822"/>
      <c r="BG119" s="822"/>
      <c r="BH119" s="822"/>
      <c r="BI119" s="822"/>
      <c r="BJ119" s="822"/>
      <c r="BK119" s="822"/>
      <c r="BL119" s="822"/>
      <c r="BM119" s="822"/>
      <c r="BN119" s="822"/>
      <c r="BO119" s="822"/>
      <c r="BP119" s="822"/>
      <c r="BQ119" s="822"/>
      <c r="BR119" s="822"/>
      <c r="BS119" s="822"/>
      <c r="BT119" s="822"/>
      <c r="BU119" s="822"/>
      <c r="BV119" s="822"/>
      <c r="BW119" s="822"/>
      <c r="BX119" s="822"/>
      <c r="BY119" s="822"/>
      <c r="BZ119" s="822"/>
      <c r="CA119" s="822"/>
      <c r="CB119" s="822"/>
      <c r="CC119" s="822"/>
      <c r="CD119" s="822"/>
      <c r="CE119" s="822"/>
      <c r="CF119" s="822"/>
      <c r="CG119" s="822"/>
      <c r="CH119" s="822"/>
      <c r="CI119" s="822"/>
      <c r="CJ119" s="392"/>
      <c r="CK119" s="392"/>
      <c r="CL119" s="392"/>
      <c r="CM119" s="392"/>
      <c r="CN119" s="392"/>
      <c r="CO119" s="392"/>
      <c r="CP119" s="392"/>
      <c r="CQ119" s="392"/>
      <c r="CR119" s="392"/>
      <c r="CS119" s="392"/>
      <c r="CT119" s="392"/>
      <c r="CU119" s="392"/>
      <c r="CV119" s="392"/>
      <c r="CW119" s="392"/>
      <c r="CX119" s="392"/>
      <c r="CY119" s="392"/>
      <c r="CZ119" s="392"/>
      <c r="DA119" s="392"/>
      <c r="DB119" s="392"/>
      <c r="DC119" s="392"/>
    </row>
    <row r="120" spans="1:107" s="337" customFormat="1" ht="56.25">
      <c r="A120" s="37"/>
      <c r="B120" s="464" t="s">
        <v>23</v>
      </c>
      <c r="C120" s="465" t="s">
        <v>499</v>
      </c>
      <c r="D120" s="348" t="s">
        <v>1226</v>
      </c>
      <c r="E120" s="467">
        <f>'Ref-ComSources'!$AB$10*AVERAGE('Ref-ComSources'!$D$84,'Ref-ComSources'!$D$86,'Ref-ComSources'!$D$88)</f>
        <v>3705.1477049846249</v>
      </c>
      <c r="F120" s="465" t="s">
        <v>27</v>
      </c>
      <c r="G120" s="468">
        <f>'Ref-2013CSSsaturationsINT'!$F$120</f>
        <v>0.66609954826932927</v>
      </c>
      <c r="H120" s="465" t="s">
        <v>66</v>
      </c>
      <c r="I120" s="469">
        <f>'Ref-2013CSSsaturationsINT'!$J$120</f>
        <v>0.58665934423576938</v>
      </c>
      <c r="J120" s="344" t="s">
        <v>1097</v>
      </c>
      <c r="K120" s="344" t="s">
        <v>1012</v>
      </c>
      <c r="L120" s="472" t="s">
        <v>1227</v>
      </c>
      <c r="M120" s="472" t="s">
        <v>93</v>
      </c>
      <c r="N120" s="347">
        <f>E120*G120*'Ref-Savings Calculations'!$E$39*Applicability</f>
        <v>505.35181019114407</v>
      </c>
      <c r="O120" s="473">
        <f>E120*G120*'Ref-Savings Calculations'!$C$109*Applicability*ControlShare</f>
        <v>440.15358239428133</v>
      </c>
      <c r="P120" s="347">
        <f>E120*G120*'Ref-Savings Calculations'!$E$40*Applicability</f>
        <v>431.89951219824519</v>
      </c>
      <c r="Q120" s="347">
        <f>E120*G120*('Ref-Savings Calculations'!$C$109-'Ref-Savings Calculations'!$C$124)*Applicability*ControlShare</f>
        <v>208.49380218676484</v>
      </c>
      <c r="R120" s="37"/>
      <c r="S120" s="465" t="s">
        <v>44</v>
      </c>
      <c r="T120" s="344" t="s">
        <v>63</v>
      </c>
      <c r="U120" s="344" t="s">
        <v>44</v>
      </c>
      <c r="V120" s="344" t="s">
        <v>75</v>
      </c>
      <c r="W120" s="465" t="s">
        <v>76</v>
      </c>
      <c r="X120" s="37"/>
      <c r="Y120" s="37"/>
      <c r="Z120" s="465" t="s">
        <v>78</v>
      </c>
      <c r="AA120" s="465" t="s">
        <v>78</v>
      </c>
      <c r="AB120" s="37"/>
      <c r="AC120" s="474">
        <f>'Ref-ComHOU'!$G$96</f>
        <v>12.202739726027396</v>
      </c>
      <c r="AD120" s="465" t="s">
        <v>72</v>
      </c>
      <c r="AE120" s="344" t="s">
        <v>73</v>
      </c>
      <c r="AF120" s="822"/>
      <c r="AG120" s="822"/>
      <c r="AH120" s="822"/>
      <c r="AI120" s="822"/>
      <c r="AJ120" s="822"/>
      <c r="AK120" s="822"/>
      <c r="AL120" s="822"/>
      <c r="AM120" s="822"/>
      <c r="AN120" s="822"/>
      <c r="AO120" s="822"/>
      <c r="AP120" s="822"/>
      <c r="AQ120" s="822"/>
      <c r="AR120" s="822"/>
      <c r="AS120" s="822"/>
      <c r="AT120" s="822"/>
      <c r="AU120" s="822"/>
      <c r="AV120" s="822"/>
      <c r="AW120" s="822"/>
      <c r="AX120" s="822"/>
      <c r="AY120" s="822"/>
      <c r="AZ120" s="822"/>
      <c r="BA120" s="822"/>
      <c r="BB120" s="822"/>
      <c r="BC120" s="822"/>
      <c r="BD120" s="822"/>
      <c r="BE120" s="822"/>
      <c r="BF120" s="822"/>
      <c r="BG120" s="822"/>
      <c r="BH120" s="822"/>
      <c r="BI120" s="822"/>
      <c r="BJ120" s="822"/>
      <c r="BK120" s="822"/>
      <c r="BL120" s="822"/>
      <c r="BM120" s="822"/>
      <c r="BN120" s="822"/>
      <c r="BO120" s="822"/>
      <c r="BP120" s="822"/>
      <c r="BQ120" s="822"/>
      <c r="BR120" s="822"/>
      <c r="BS120" s="822"/>
      <c r="BT120" s="822"/>
      <c r="BU120" s="822"/>
      <c r="BV120" s="822"/>
      <c r="BW120" s="822"/>
      <c r="BX120" s="822"/>
      <c r="BY120" s="822"/>
      <c r="BZ120" s="822"/>
      <c r="CA120" s="822"/>
      <c r="CB120" s="822"/>
      <c r="CC120" s="822"/>
      <c r="CD120" s="822"/>
      <c r="CE120" s="822"/>
      <c r="CF120" s="822"/>
      <c r="CG120" s="822"/>
      <c r="CH120" s="822"/>
      <c r="CI120" s="822"/>
      <c r="CJ120" s="392"/>
      <c r="CK120" s="392"/>
      <c r="CL120" s="392"/>
      <c r="CM120" s="392"/>
      <c r="CN120" s="392"/>
      <c r="CO120" s="392"/>
      <c r="CP120" s="392"/>
      <c r="CQ120" s="392"/>
      <c r="CR120" s="392"/>
      <c r="CS120" s="392"/>
      <c r="CT120" s="392"/>
      <c r="CU120" s="392"/>
      <c r="CV120" s="392"/>
      <c r="CW120" s="392"/>
      <c r="CX120" s="392"/>
      <c r="CY120" s="392"/>
      <c r="CZ120" s="392"/>
      <c r="DA120" s="392"/>
      <c r="DB120" s="392"/>
      <c r="DC120" s="392"/>
    </row>
    <row r="121" spans="1:107" s="337" customFormat="1" ht="24">
      <c r="A121" s="37"/>
      <c r="B121" s="464" t="s">
        <v>23</v>
      </c>
      <c r="C121" s="465" t="s">
        <v>499</v>
      </c>
      <c r="D121" s="348" t="s">
        <v>1226</v>
      </c>
      <c r="E121" s="467">
        <f>'Ref-ComSources'!$AB$10*AVERAGE('Ref-ComSources'!$D$84,'Ref-ComSources'!$D$86,'Ref-ComSources'!$D$88)</f>
        <v>3705.1477049846249</v>
      </c>
      <c r="F121" s="465" t="s">
        <v>24</v>
      </c>
      <c r="G121" s="468">
        <f>'Ref-2013CSSsaturationsINT'!$F$123</f>
        <v>5.6103825970068889E-2</v>
      </c>
      <c r="H121" s="465" t="s">
        <v>66</v>
      </c>
      <c r="I121" s="469">
        <f>'Ref-2013CSSsaturationsINT'!$J$123</f>
        <v>0.9589143169529637</v>
      </c>
      <c r="J121" s="344" t="s">
        <v>25</v>
      </c>
      <c r="K121" s="344" t="s">
        <v>1012</v>
      </c>
      <c r="L121" s="344" t="s">
        <v>1227</v>
      </c>
      <c r="M121" s="472" t="s">
        <v>88</v>
      </c>
      <c r="N121" s="347">
        <f>E121*G121*'Ref-Savings Calculations'!$E$7*Applicability</f>
        <v>38.376546837019859</v>
      </c>
      <c r="O121" s="473">
        <f>E121*G121*'Ref-Savings Calculations'!$C$54*Applicability*ControlShare</f>
        <v>38.271813005123683</v>
      </c>
      <c r="P121" s="347">
        <f>rMarketSolutions[[#This Row],[Lighting Savings
(lamp and/or ballast)]]</f>
        <v>38.376546837019859</v>
      </c>
      <c r="Q121" s="347">
        <f>E121*G121*('Ref-Savings Calculations'!$C$54-'Ref-Savings Calculations'!$C$124)*Applicability*ControlShare</f>
        <v>6.3786355008539442</v>
      </c>
      <c r="R121" s="37"/>
      <c r="S121" s="465" t="s">
        <v>44</v>
      </c>
      <c r="T121" s="344" t="s">
        <v>63</v>
      </c>
      <c r="U121" s="465" t="s">
        <v>69</v>
      </c>
      <c r="V121" s="465" t="s">
        <v>69</v>
      </c>
      <c r="W121" s="465" t="s">
        <v>76</v>
      </c>
      <c r="X121" s="37"/>
      <c r="Y121" s="37"/>
      <c r="Z121" s="465" t="s">
        <v>78</v>
      </c>
      <c r="AA121" s="465" t="s">
        <v>78</v>
      </c>
      <c r="AB121" s="37"/>
      <c r="AC121" s="474">
        <f>'Ref-ComHOU'!$G$96</f>
        <v>12.202739726027396</v>
      </c>
      <c r="AD121" s="465" t="s">
        <v>72</v>
      </c>
      <c r="AE121" s="344" t="s">
        <v>73</v>
      </c>
      <c r="AF121" s="822"/>
      <c r="AG121" s="822"/>
      <c r="AH121" s="822"/>
      <c r="AI121" s="822"/>
      <c r="AJ121" s="822"/>
      <c r="AK121" s="822"/>
      <c r="AL121" s="822"/>
      <c r="AM121" s="822"/>
      <c r="AN121" s="822"/>
      <c r="AO121" s="822"/>
      <c r="AP121" s="822"/>
      <c r="AQ121" s="822"/>
      <c r="AR121" s="822"/>
      <c r="AS121" s="822"/>
      <c r="AT121" s="822"/>
      <c r="AU121" s="822"/>
      <c r="AV121" s="822"/>
      <c r="AW121" s="822"/>
      <c r="AX121" s="822"/>
      <c r="AY121" s="822"/>
      <c r="AZ121" s="822"/>
      <c r="BA121" s="822"/>
      <c r="BB121" s="822"/>
      <c r="BC121" s="822"/>
      <c r="BD121" s="822"/>
      <c r="BE121" s="822"/>
      <c r="BF121" s="822"/>
      <c r="BG121" s="822"/>
      <c r="BH121" s="822"/>
      <c r="BI121" s="822"/>
      <c r="BJ121" s="822"/>
      <c r="BK121" s="822"/>
      <c r="BL121" s="822"/>
      <c r="BM121" s="822"/>
      <c r="BN121" s="822"/>
      <c r="BO121" s="822"/>
      <c r="BP121" s="822"/>
      <c r="BQ121" s="822"/>
      <c r="BR121" s="822"/>
      <c r="BS121" s="822"/>
      <c r="BT121" s="822"/>
      <c r="BU121" s="822"/>
      <c r="BV121" s="822"/>
      <c r="BW121" s="822"/>
      <c r="BX121" s="822"/>
      <c r="BY121" s="822"/>
      <c r="BZ121" s="822"/>
      <c r="CA121" s="822"/>
      <c r="CB121" s="822"/>
      <c r="CC121" s="822"/>
      <c r="CD121" s="822"/>
      <c r="CE121" s="822"/>
      <c r="CF121" s="822"/>
      <c r="CG121" s="822"/>
      <c r="CH121" s="822"/>
      <c r="CI121" s="822"/>
      <c r="CJ121" s="392"/>
      <c r="CK121" s="392"/>
      <c r="CL121" s="392"/>
      <c r="CM121" s="392"/>
      <c r="CN121" s="392"/>
      <c r="CO121" s="392"/>
      <c r="CP121" s="392"/>
      <c r="CQ121" s="392"/>
      <c r="CR121" s="392"/>
      <c r="CS121" s="392"/>
      <c r="CT121" s="392"/>
      <c r="CU121" s="392"/>
      <c r="CV121" s="392"/>
      <c r="CW121" s="392"/>
      <c r="CX121" s="392"/>
      <c r="CY121" s="392"/>
      <c r="CZ121" s="392"/>
      <c r="DA121" s="392"/>
      <c r="DB121" s="392"/>
      <c r="DC121" s="392"/>
    </row>
    <row r="122" spans="1:107" s="337" customFormat="1" ht="24">
      <c r="A122" s="37"/>
      <c r="B122" s="464" t="s">
        <v>23</v>
      </c>
      <c r="C122" s="465" t="s">
        <v>499</v>
      </c>
      <c r="D122" s="348" t="s">
        <v>1226</v>
      </c>
      <c r="E122" s="467">
        <f>'Ref-ComSources'!$AB$10*AVERAGE('Ref-ComSources'!$D$84,'Ref-ComSources'!$D$86,'Ref-ComSources'!$D$88)</f>
        <v>3705.1477049846249</v>
      </c>
      <c r="F122" s="465" t="s">
        <v>24</v>
      </c>
      <c r="G122" s="468">
        <f>'Ref-2013CSSsaturationsINT'!$F$123</f>
        <v>5.6103825970068889E-2</v>
      </c>
      <c r="H122" s="465" t="s">
        <v>66</v>
      </c>
      <c r="I122" s="469">
        <f>'Ref-2013CSSsaturationsINT'!$J$123</f>
        <v>0.9589143169529637</v>
      </c>
      <c r="J122" s="344" t="s">
        <v>25</v>
      </c>
      <c r="K122" s="344" t="s">
        <v>1012</v>
      </c>
      <c r="L122" s="344" t="s">
        <v>1227</v>
      </c>
      <c r="M122" s="472" t="s">
        <v>90</v>
      </c>
      <c r="N122" s="347">
        <f>E122*G122*'Ref-Savings Calculations'!$E$7*Applicability</f>
        <v>38.376546837019859</v>
      </c>
      <c r="O122" s="473">
        <f>E122*G122*'Ref-Savings Calculations'!$C$82*Applicability*ControlShare</f>
        <v>46.245107381191119</v>
      </c>
      <c r="P122" s="347">
        <f>rMarketSolutions[[#This Row],[Lighting Savings
(lamp and/or ballast)]]</f>
        <v>38.376546837019859</v>
      </c>
      <c r="Q122" s="347">
        <f>E122*G122*('Ref-Savings Calculations'!$C$82-'Ref-Savings Calculations'!$C$124)*Applicability*ControlShare</f>
        <v>14.351929876921377</v>
      </c>
      <c r="R122" s="37"/>
      <c r="S122" s="465" t="s">
        <v>44</v>
      </c>
      <c r="T122" s="344" t="s">
        <v>63</v>
      </c>
      <c r="U122" s="465" t="s">
        <v>69</v>
      </c>
      <c r="V122" s="465" t="s">
        <v>69</v>
      </c>
      <c r="W122" s="465" t="s">
        <v>76</v>
      </c>
      <c r="X122" s="37"/>
      <c r="Y122" s="37"/>
      <c r="Z122" s="465" t="s">
        <v>78</v>
      </c>
      <c r="AA122" s="465" t="s">
        <v>78</v>
      </c>
      <c r="AB122" s="37"/>
      <c r="AC122" s="474">
        <f>'Ref-ComHOU'!$G$96</f>
        <v>12.202739726027396</v>
      </c>
      <c r="AD122" s="465" t="s">
        <v>72</v>
      </c>
      <c r="AE122" s="344" t="s">
        <v>73</v>
      </c>
      <c r="AF122" s="822"/>
      <c r="AG122" s="822"/>
      <c r="AH122" s="822"/>
      <c r="AI122" s="822"/>
      <c r="AJ122" s="822"/>
      <c r="AK122" s="822"/>
      <c r="AL122" s="822"/>
      <c r="AM122" s="822"/>
      <c r="AN122" s="822"/>
      <c r="AO122" s="822"/>
      <c r="AP122" s="822"/>
      <c r="AQ122" s="822"/>
      <c r="AR122" s="822"/>
      <c r="AS122" s="822"/>
      <c r="AT122" s="822"/>
      <c r="AU122" s="822"/>
      <c r="AV122" s="822"/>
      <c r="AW122" s="822"/>
      <c r="AX122" s="822"/>
      <c r="AY122" s="822"/>
      <c r="AZ122" s="822"/>
      <c r="BA122" s="822"/>
      <c r="BB122" s="822"/>
      <c r="BC122" s="822"/>
      <c r="BD122" s="822"/>
      <c r="BE122" s="822"/>
      <c r="BF122" s="822"/>
      <c r="BG122" s="822"/>
      <c r="BH122" s="822"/>
      <c r="BI122" s="822"/>
      <c r="BJ122" s="822"/>
      <c r="BK122" s="822"/>
      <c r="BL122" s="822"/>
      <c r="BM122" s="822"/>
      <c r="BN122" s="822"/>
      <c r="BO122" s="822"/>
      <c r="BP122" s="822"/>
      <c r="BQ122" s="822"/>
      <c r="BR122" s="822"/>
      <c r="BS122" s="822"/>
      <c r="BT122" s="822"/>
      <c r="BU122" s="822"/>
      <c r="BV122" s="822"/>
      <c r="BW122" s="822"/>
      <c r="BX122" s="822"/>
      <c r="BY122" s="822"/>
      <c r="BZ122" s="822"/>
      <c r="CA122" s="822"/>
      <c r="CB122" s="822"/>
      <c r="CC122" s="822"/>
      <c r="CD122" s="822"/>
      <c r="CE122" s="822"/>
      <c r="CF122" s="822"/>
      <c r="CG122" s="822"/>
      <c r="CH122" s="822"/>
      <c r="CI122" s="822"/>
      <c r="CJ122" s="392"/>
      <c r="CK122" s="392"/>
      <c r="CL122" s="392"/>
      <c r="CM122" s="392"/>
      <c r="CN122" s="392"/>
      <c r="CO122" s="392"/>
      <c r="CP122" s="392"/>
      <c r="CQ122" s="392"/>
      <c r="CR122" s="392"/>
      <c r="CS122" s="392"/>
      <c r="CT122" s="392"/>
      <c r="CU122" s="392"/>
      <c r="CV122" s="392"/>
      <c r="CW122" s="392"/>
      <c r="CX122" s="392"/>
      <c r="CY122" s="392"/>
      <c r="CZ122" s="392"/>
      <c r="DA122" s="392"/>
      <c r="DB122" s="392"/>
      <c r="DC122" s="392"/>
    </row>
    <row r="123" spans="1:107" s="337" customFormat="1" ht="24">
      <c r="A123" s="37"/>
      <c r="B123" s="464" t="s">
        <v>23</v>
      </c>
      <c r="C123" s="465" t="s">
        <v>499</v>
      </c>
      <c r="D123" s="348" t="s">
        <v>1226</v>
      </c>
      <c r="E123" s="467">
        <f>'Ref-ComSources'!$AB$10*AVERAGE('Ref-ComSources'!$D$84,'Ref-ComSources'!$D$86,'Ref-ComSources'!$D$88)</f>
        <v>3705.1477049846249</v>
      </c>
      <c r="F123" s="465" t="s">
        <v>24</v>
      </c>
      <c r="G123" s="468">
        <f>'Ref-2013CSSsaturationsINT'!$F$123</f>
        <v>5.6103825970068889E-2</v>
      </c>
      <c r="H123" s="465" t="s">
        <v>66</v>
      </c>
      <c r="I123" s="469">
        <f>'Ref-2013CSSsaturationsINT'!$J$123</f>
        <v>0.9589143169529637</v>
      </c>
      <c r="J123" s="344" t="s">
        <v>25</v>
      </c>
      <c r="K123" s="344" t="s">
        <v>1012</v>
      </c>
      <c r="L123" s="344" t="s">
        <v>1227</v>
      </c>
      <c r="M123" s="472" t="s">
        <v>92</v>
      </c>
      <c r="N123" s="347">
        <f>E123*G123*'Ref-Savings Calculations'!$E$7*Applicability</f>
        <v>38.376546837019859</v>
      </c>
      <c r="O123" s="473">
        <f>E123*G123*'Ref-Savings Calculations'!$C$99*Applicability*ControlShare</f>
        <v>57.40771950768552</v>
      </c>
      <c r="P123" s="347">
        <f>rMarketSolutions[[#This Row],[Lighting Savings
(lamp and/or ballast)]]</f>
        <v>38.376546837019859</v>
      </c>
      <c r="Q123" s="347">
        <f>E123*G123*('Ref-Savings Calculations'!$C$99-'Ref-Savings Calculations'!$C$124)*Applicability*ControlShare</f>
        <v>25.514542003415787</v>
      </c>
      <c r="R123" s="37"/>
      <c r="S123" s="465" t="s">
        <v>44</v>
      </c>
      <c r="T123" s="344" t="s">
        <v>63</v>
      </c>
      <c r="U123" s="465" t="s">
        <v>69</v>
      </c>
      <c r="V123" s="465" t="s">
        <v>69</v>
      </c>
      <c r="W123" s="465" t="s">
        <v>76</v>
      </c>
      <c r="X123" s="37"/>
      <c r="Y123" s="37"/>
      <c r="Z123" s="465" t="s">
        <v>78</v>
      </c>
      <c r="AA123" s="465" t="s">
        <v>78</v>
      </c>
      <c r="AB123" s="37"/>
      <c r="AC123" s="474">
        <f>'Ref-ComHOU'!$G$96</f>
        <v>12.202739726027396</v>
      </c>
      <c r="AD123" s="465" t="s">
        <v>72</v>
      </c>
      <c r="AE123" s="344" t="s">
        <v>73</v>
      </c>
      <c r="AF123" s="822"/>
      <c r="AG123" s="822"/>
      <c r="AH123" s="822"/>
      <c r="AI123" s="822"/>
      <c r="AJ123" s="822"/>
      <c r="AK123" s="822"/>
      <c r="AL123" s="822"/>
      <c r="AM123" s="822"/>
      <c r="AN123" s="822"/>
      <c r="AO123" s="822"/>
      <c r="AP123" s="822"/>
      <c r="AQ123" s="822"/>
      <c r="AR123" s="822"/>
      <c r="AS123" s="822"/>
      <c r="AT123" s="822"/>
      <c r="AU123" s="822"/>
      <c r="AV123" s="822"/>
      <c r="AW123" s="822"/>
      <c r="AX123" s="822"/>
      <c r="AY123" s="822"/>
      <c r="AZ123" s="822"/>
      <c r="BA123" s="822"/>
      <c r="BB123" s="822"/>
      <c r="BC123" s="822"/>
      <c r="BD123" s="822"/>
      <c r="BE123" s="822"/>
      <c r="BF123" s="822"/>
      <c r="BG123" s="822"/>
      <c r="BH123" s="822"/>
      <c r="BI123" s="822"/>
      <c r="BJ123" s="822"/>
      <c r="BK123" s="822"/>
      <c r="BL123" s="822"/>
      <c r="BM123" s="822"/>
      <c r="BN123" s="822"/>
      <c r="BO123" s="822"/>
      <c r="BP123" s="822"/>
      <c r="BQ123" s="822"/>
      <c r="BR123" s="822"/>
      <c r="BS123" s="822"/>
      <c r="BT123" s="822"/>
      <c r="BU123" s="822"/>
      <c r="BV123" s="822"/>
      <c r="BW123" s="822"/>
      <c r="BX123" s="822"/>
      <c r="BY123" s="822"/>
      <c r="BZ123" s="822"/>
      <c r="CA123" s="822"/>
      <c r="CB123" s="822"/>
      <c r="CC123" s="822"/>
      <c r="CD123" s="822"/>
      <c r="CE123" s="822"/>
      <c r="CF123" s="822"/>
      <c r="CG123" s="822"/>
      <c r="CH123" s="822"/>
      <c r="CI123" s="822"/>
      <c r="CJ123" s="392"/>
      <c r="CK123" s="392"/>
      <c r="CL123" s="392"/>
      <c r="CM123" s="392"/>
      <c r="CN123" s="392"/>
      <c r="CO123" s="392"/>
      <c r="CP123" s="392"/>
      <c r="CQ123" s="392"/>
      <c r="CR123" s="392"/>
      <c r="CS123" s="392"/>
      <c r="CT123" s="392"/>
      <c r="CU123" s="392"/>
      <c r="CV123" s="392"/>
      <c r="CW123" s="392"/>
      <c r="CX123" s="392"/>
      <c r="CY123" s="392"/>
      <c r="CZ123" s="392"/>
      <c r="DA123" s="392"/>
      <c r="DB123" s="392"/>
      <c r="DC123" s="392"/>
    </row>
    <row r="124" spans="1:107" s="337" customFormat="1" ht="24">
      <c r="A124" s="37"/>
      <c r="B124" s="464" t="s">
        <v>23</v>
      </c>
      <c r="C124" s="465" t="s">
        <v>499</v>
      </c>
      <c r="D124" s="348" t="s">
        <v>1226</v>
      </c>
      <c r="E124" s="467">
        <f>'Ref-ComSources'!$AB$10*AVERAGE('Ref-ComSources'!$D$84,'Ref-ComSources'!$D$86,'Ref-ComSources'!$D$88)</f>
        <v>3705.1477049846249</v>
      </c>
      <c r="F124" s="465" t="s">
        <v>24</v>
      </c>
      <c r="G124" s="468">
        <f>'Ref-2013CSSsaturationsINT'!$F$123</f>
        <v>5.6103825970068889E-2</v>
      </c>
      <c r="H124" s="465" t="s">
        <v>66</v>
      </c>
      <c r="I124" s="469">
        <f>'Ref-2013CSSsaturationsINT'!$J$123</f>
        <v>0.9589143169529637</v>
      </c>
      <c r="J124" s="344" t="s">
        <v>25</v>
      </c>
      <c r="K124" s="344" t="s">
        <v>1012</v>
      </c>
      <c r="L124" s="344" t="s">
        <v>1227</v>
      </c>
      <c r="M124" s="472" t="s">
        <v>93</v>
      </c>
      <c r="N124" s="347">
        <f>E124*G124*'Ref-Savings Calculations'!$E$7*Applicability</f>
        <v>38.376546837019859</v>
      </c>
      <c r="O124" s="473">
        <f>E124*G124*'Ref-Savings Calculations'!$C$109*Applicability*ControlShare</f>
        <v>60.597037258112501</v>
      </c>
      <c r="P124" s="347">
        <f>rMarketSolutions[[#This Row],[Lighting Savings
(lamp and/or ballast)]]</f>
        <v>38.376546837019859</v>
      </c>
      <c r="Q124" s="347">
        <f>E124*G124*('Ref-Savings Calculations'!$C$109-'Ref-Savings Calculations'!$C$124)*Applicability*ControlShare</f>
        <v>28.70385975384276</v>
      </c>
      <c r="R124" s="37"/>
      <c r="S124" s="465" t="s">
        <v>44</v>
      </c>
      <c r="T124" s="344" t="s">
        <v>63</v>
      </c>
      <c r="U124" s="344" t="s">
        <v>44</v>
      </c>
      <c r="V124" s="344" t="s">
        <v>75</v>
      </c>
      <c r="W124" s="465" t="s">
        <v>76</v>
      </c>
      <c r="X124" s="37"/>
      <c r="Y124" s="37"/>
      <c r="Z124" s="465" t="s">
        <v>78</v>
      </c>
      <c r="AA124" s="465" t="s">
        <v>78</v>
      </c>
      <c r="AB124" s="37"/>
      <c r="AC124" s="474">
        <f>'Ref-ComHOU'!$G$96</f>
        <v>12.202739726027396</v>
      </c>
      <c r="AD124" s="465" t="s">
        <v>72</v>
      </c>
      <c r="AE124" s="344" t="s">
        <v>73</v>
      </c>
      <c r="AF124" s="822"/>
      <c r="AG124" s="822"/>
      <c r="AH124" s="822"/>
      <c r="AI124" s="822"/>
      <c r="AJ124" s="822"/>
      <c r="AK124" s="822"/>
      <c r="AL124" s="822"/>
      <c r="AM124" s="822"/>
      <c r="AN124" s="822"/>
      <c r="AO124" s="822"/>
      <c r="AP124" s="822"/>
      <c r="AQ124" s="822"/>
      <c r="AR124" s="822"/>
      <c r="AS124" s="822"/>
      <c r="AT124" s="822"/>
      <c r="AU124" s="822"/>
      <c r="AV124" s="822"/>
      <c r="AW124" s="822"/>
      <c r="AX124" s="822"/>
      <c r="AY124" s="822"/>
      <c r="AZ124" s="822"/>
      <c r="BA124" s="822"/>
      <c r="BB124" s="822"/>
      <c r="BC124" s="822"/>
      <c r="BD124" s="822"/>
      <c r="BE124" s="822"/>
      <c r="BF124" s="822"/>
      <c r="BG124" s="822"/>
      <c r="BH124" s="822"/>
      <c r="BI124" s="822"/>
      <c r="BJ124" s="822"/>
      <c r="BK124" s="822"/>
      <c r="BL124" s="822"/>
      <c r="BM124" s="822"/>
      <c r="BN124" s="822"/>
      <c r="BO124" s="822"/>
      <c r="BP124" s="822"/>
      <c r="BQ124" s="822"/>
      <c r="BR124" s="822"/>
      <c r="BS124" s="822"/>
      <c r="BT124" s="822"/>
      <c r="BU124" s="822"/>
      <c r="BV124" s="822"/>
      <c r="BW124" s="822"/>
      <c r="BX124" s="822"/>
      <c r="BY124" s="822"/>
      <c r="BZ124" s="822"/>
      <c r="CA124" s="822"/>
      <c r="CB124" s="822"/>
      <c r="CC124" s="822"/>
      <c r="CD124" s="822"/>
      <c r="CE124" s="822"/>
      <c r="CF124" s="822"/>
      <c r="CG124" s="822"/>
      <c r="CH124" s="822"/>
      <c r="CI124" s="822"/>
      <c r="CJ124" s="392"/>
      <c r="CK124" s="392"/>
      <c r="CL124" s="392"/>
      <c r="CM124" s="392"/>
      <c r="CN124" s="392"/>
      <c r="CO124" s="392"/>
      <c r="CP124" s="392"/>
      <c r="CQ124" s="392"/>
      <c r="CR124" s="392"/>
      <c r="CS124" s="392"/>
      <c r="CT124" s="392"/>
      <c r="CU124" s="392"/>
      <c r="CV124" s="392"/>
      <c r="CW124" s="392"/>
      <c r="CX124" s="392"/>
      <c r="CY124" s="392"/>
      <c r="CZ124" s="392"/>
      <c r="DA124" s="392"/>
      <c r="DB124" s="392"/>
      <c r="DC124" s="392"/>
    </row>
    <row r="125" spans="1:107" s="337" customFormat="1" ht="24">
      <c r="A125" s="37"/>
      <c r="B125" s="464" t="s">
        <v>23</v>
      </c>
      <c r="C125" s="465" t="s">
        <v>499</v>
      </c>
      <c r="D125" s="348" t="s">
        <v>1226</v>
      </c>
      <c r="E125" s="467">
        <f>'Ref-ComSources'!$AB$10*AVERAGE('Ref-ComSources'!$D$84,'Ref-ComSources'!$D$86,'Ref-ComSources'!$D$88)</f>
        <v>3705.1477049846249</v>
      </c>
      <c r="F125" s="344" t="s">
        <v>1245</v>
      </c>
      <c r="G125" s="468">
        <f>'Ref-2013CSSsaturationsINT'!$F$124</f>
        <v>0.25391231918802248</v>
      </c>
      <c r="H125" s="465" t="s">
        <v>66</v>
      </c>
      <c r="I125" s="469">
        <f>'Ref-2013CSSsaturationsINT'!$J$124</f>
        <v>0.85075992286636826</v>
      </c>
      <c r="J125" s="352" t="s">
        <v>994</v>
      </c>
      <c r="K125" s="344" t="s">
        <v>1012</v>
      </c>
      <c r="L125" s="352" t="s">
        <v>995</v>
      </c>
      <c r="M125" s="472" t="s">
        <v>88</v>
      </c>
      <c r="N125" s="347">
        <f>E125*G125*'Ref-Savings Calculations'!$E$19*Applicability</f>
        <v>181.95356683560576</v>
      </c>
      <c r="O125" s="473">
        <f>E125*G125*'Ref-Savings Calculations'!$C$54*Applicability*ControlShare</f>
        <v>153.67299301369275</v>
      </c>
      <c r="P125" s="347">
        <f>E125*G125*'Ref-Savings Calculations'!$E$20*Applicability</f>
        <v>148.77493017689329</v>
      </c>
      <c r="Q125" s="347">
        <f>E125*G125*('Ref-Savings Calculations'!$C$54-'Ref-Savings Calculations'!$C$124)*Applicability*ControlShare</f>
        <v>25.612165502282107</v>
      </c>
      <c r="R125" s="37"/>
      <c r="S125" s="465" t="s">
        <v>44</v>
      </c>
      <c r="T125" s="465" t="s">
        <v>69</v>
      </c>
      <c r="U125" s="465" t="s">
        <v>69</v>
      </c>
      <c r="V125" s="465" t="s">
        <v>69</v>
      </c>
      <c r="W125" s="465" t="s">
        <v>76</v>
      </c>
      <c r="X125" s="37"/>
      <c r="Y125" s="37"/>
      <c r="Z125" s="465" t="s">
        <v>78</v>
      </c>
      <c r="AA125" s="465" t="s">
        <v>78</v>
      </c>
      <c r="AB125" s="37"/>
      <c r="AC125" s="474">
        <f>'Ref-ComHOU'!$G$96</f>
        <v>12.202739726027396</v>
      </c>
      <c r="AD125" s="465" t="s">
        <v>72</v>
      </c>
      <c r="AE125" s="344" t="s">
        <v>73</v>
      </c>
      <c r="AF125" s="822"/>
      <c r="AG125" s="822"/>
      <c r="AH125" s="822"/>
      <c r="AI125" s="822"/>
      <c r="AJ125" s="822"/>
      <c r="AK125" s="822"/>
      <c r="AL125" s="822"/>
      <c r="AM125" s="822"/>
      <c r="AN125" s="822"/>
      <c r="AO125" s="822"/>
      <c r="AP125" s="822"/>
      <c r="AQ125" s="822"/>
      <c r="AR125" s="822"/>
      <c r="AS125" s="822"/>
      <c r="AT125" s="822"/>
      <c r="AU125" s="822"/>
      <c r="AV125" s="822"/>
      <c r="AW125" s="822"/>
      <c r="AX125" s="822"/>
      <c r="AY125" s="822"/>
      <c r="AZ125" s="822"/>
      <c r="BA125" s="822"/>
      <c r="BB125" s="822"/>
      <c r="BC125" s="822"/>
      <c r="BD125" s="822"/>
      <c r="BE125" s="822"/>
      <c r="BF125" s="822"/>
      <c r="BG125" s="822"/>
      <c r="BH125" s="822"/>
      <c r="BI125" s="822"/>
      <c r="BJ125" s="822"/>
      <c r="BK125" s="822"/>
      <c r="BL125" s="822"/>
      <c r="BM125" s="822"/>
      <c r="BN125" s="822"/>
      <c r="BO125" s="822"/>
      <c r="BP125" s="822"/>
      <c r="BQ125" s="822"/>
      <c r="BR125" s="822"/>
      <c r="BS125" s="822"/>
      <c r="BT125" s="822"/>
      <c r="BU125" s="822"/>
      <c r="BV125" s="822"/>
      <c r="BW125" s="822"/>
      <c r="BX125" s="822"/>
      <c r="BY125" s="822"/>
      <c r="BZ125" s="822"/>
      <c r="CA125" s="822"/>
      <c r="CB125" s="822"/>
      <c r="CC125" s="822"/>
      <c r="CD125" s="822"/>
      <c r="CE125" s="822"/>
      <c r="CF125" s="822"/>
      <c r="CG125" s="822"/>
      <c r="CH125" s="822"/>
      <c r="CI125" s="822"/>
      <c r="CJ125" s="392"/>
      <c r="CK125" s="392"/>
      <c r="CL125" s="392"/>
      <c r="CM125" s="392"/>
      <c r="CN125" s="392"/>
      <c r="CO125" s="392"/>
      <c r="CP125" s="392"/>
      <c r="CQ125" s="392"/>
      <c r="CR125" s="392"/>
      <c r="CS125" s="392"/>
      <c r="CT125" s="392"/>
      <c r="CU125" s="392"/>
      <c r="CV125" s="392"/>
      <c r="CW125" s="392"/>
      <c r="CX125" s="392"/>
      <c r="CY125" s="392"/>
      <c r="CZ125" s="392"/>
      <c r="DA125" s="392"/>
      <c r="DB125" s="392"/>
      <c r="DC125" s="392"/>
    </row>
    <row r="126" spans="1:107" s="337" customFormat="1" ht="24">
      <c r="A126" s="37"/>
      <c r="B126" s="464" t="s">
        <v>23</v>
      </c>
      <c r="C126" s="465" t="s">
        <v>499</v>
      </c>
      <c r="D126" s="348" t="s">
        <v>1226</v>
      </c>
      <c r="E126" s="467">
        <f>'Ref-ComSources'!$AB$10*AVERAGE('Ref-ComSources'!$D$84,'Ref-ComSources'!$D$86,'Ref-ComSources'!$D$88)</f>
        <v>3705.1477049846249</v>
      </c>
      <c r="F126" s="344" t="s">
        <v>1245</v>
      </c>
      <c r="G126" s="468">
        <f>'Ref-2013CSSsaturationsINT'!$F$124</f>
        <v>0.25391231918802248</v>
      </c>
      <c r="H126" s="465" t="s">
        <v>66</v>
      </c>
      <c r="I126" s="469">
        <f>'Ref-2013CSSsaturationsINT'!$J$124</f>
        <v>0.85075992286636826</v>
      </c>
      <c r="J126" s="352" t="s">
        <v>994</v>
      </c>
      <c r="K126" s="344" t="s">
        <v>1012</v>
      </c>
      <c r="L126" s="352" t="s">
        <v>995</v>
      </c>
      <c r="M126" s="472" t="s">
        <v>90</v>
      </c>
      <c r="N126" s="347">
        <f>E126*G126*'Ref-Savings Calculations'!$E$19*Applicability</f>
        <v>181.95356683560576</v>
      </c>
      <c r="O126" s="473">
        <f>E126*G126*'Ref-Savings Calculations'!$C$82*Applicability*ControlShare</f>
        <v>185.68819989154537</v>
      </c>
      <c r="P126" s="347">
        <f>E126*G126*'Ref-Savings Calculations'!$E$20*Applicability</f>
        <v>148.77493017689329</v>
      </c>
      <c r="Q126" s="347">
        <f>E126*G126*('Ref-Savings Calculations'!$C$82-'Ref-Savings Calculations'!$C$124)*Applicability*ControlShare</f>
        <v>57.627372380134759</v>
      </c>
      <c r="R126" s="37"/>
      <c r="S126" s="465" t="s">
        <v>44</v>
      </c>
      <c r="T126" s="465" t="s">
        <v>69</v>
      </c>
      <c r="U126" s="465" t="s">
        <v>69</v>
      </c>
      <c r="V126" s="465" t="s">
        <v>69</v>
      </c>
      <c r="W126" s="465" t="s">
        <v>76</v>
      </c>
      <c r="X126" s="37"/>
      <c r="Y126" s="37"/>
      <c r="Z126" s="465" t="s">
        <v>78</v>
      </c>
      <c r="AA126" s="465" t="s">
        <v>78</v>
      </c>
      <c r="AB126" s="37"/>
      <c r="AC126" s="474">
        <f>'Ref-ComHOU'!$G$96</f>
        <v>12.202739726027396</v>
      </c>
      <c r="AD126" s="465" t="s">
        <v>72</v>
      </c>
      <c r="AE126" s="344" t="s">
        <v>73</v>
      </c>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2"/>
      <c r="BV126" s="822"/>
      <c r="BW126" s="822"/>
      <c r="BX126" s="822"/>
      <c r="BY126" s="822"/>
      <c r="BZ126" s="822"/>
      <c r="CA126" s="822"/>
      <c r="CB126" s="822"/>
      <c r="CC126" s="822"/>
      <c r="CD126" s="822"/>
      <c r="CE126" s="822"/>
      <c r="CF126" s="822"/>
      <c r="CG126" s="822"/>
      <c r="CH126" s="822"/>
      <c r="CI126" s="822"/>
      <c r="CJ126" s="392"/>
      <c r="CK126" s="392"/>
      <c r="CL126" s="392"/>
      <c r="CM126" s="392"/>
      <c r="CN126" s="392"/>
      <c r="CO126" s="392"/>
      <c r="CP126" s="392"/>
      <c r="CQ126" s="392"/>
      <c r="CR126" s="392"/>
      <c r="CS126" s="392"/>
      <c r="CT126" s="392"/>
      <c r="CU126" s="392"/>
      <c r="CV126" s="392"/>
      <c r="CW126" s="392"/>
      <c r="CX126" s="392"/>
      <c r="CY126" s="392"/>
      <c r="CZ126" s="392"/>
      <c r="DA126" s="392"/>
      <c r="DB126" s="392"/>
      <c r="DC126" s="392"/>
    </row>
    <row r="127" spans="1:107" s="337" customFormat="1" ht="24">
      <c r="A127" s="37"/>
      <c r="B127" s="464" t="s">
        <v>23</v>
      </c>
      <c r="C127" s="465" t="s">
        <v>499</v>
      </c>
      <c r="D127" s="348" t="s">
        <v>1226</v>
      </c>
      <c r="E127" s="467">
        <f>'Ref-ComSources'!$AB$10*AVERAGE('Ref-ComSources'!$D$84,'Ref-ComSources'!$D$86,'Ref-ComSources'!$D$88)</f>
        <v>3705.1477049846249</v>
      </c>
      <c r="F127" s="344" t="s">
        <v>1245</v>
      </c>
      <c r="G127" s="468">
        <f>'Ref-2013CSSsaturationsINT'!$F$124</f>
        <v>0.25391231918802248</v>
      </c>
      <c r="H127" s="465" t="s">
        <v>66</v>
      </c>
      <c r="I127" s="469">
        <f>'Ref-2013CSSsaturationsINT'!$J$124</f>
        <v>0.85075992286636826</v>
      </c>
      <c r="J127" s="352" t="s">
        <v>994</v>
      </c>
      <c r="K127" s="344" t="s">
        <v>1012</v>
      </c>
      <c r="L127" s="352" t="s">
        <v>995</v>
      </c>
      <c r="M127" s="472" t="s">
        <v>92</v>
      </c>
      <c r="N127" s="347">
        <f>E127*G127*'Ref-Savings Calculations'!$E$19*Applicability</f>
        <v>181.95356683560576</v>
      </c>
      <c r="O127" s="473">
        <f>E127*G127*'Ref-Savings Calculations'!$C$99*Applicability*ControlShare</f>
        <v>230.50948952053909</v>
      </c>
      <c r="P127" s="347">
        <f>E127*G127*'Ref-Savings Calculations'!$E$20*Applicability</f>
        <v>148.77493017689329</v>
      </c>
      <c r="Q127" s="347">
        <f>E127*G127*('Ref-Savings Calculations'!$C$99-'Ref-Savings Calculations'!$C$124)*Applicability*ControlShare</f>
        <v>102.44866200912847</v>
      </c>
      <c r="R127" s="37"/>
      <c r="S127" s="465" t="s">
        <v>44</v>
      </c>
      <c r="T127" s="465" t="s">
        <v>69</v>
      </c>
      <c r="U127" s="465" t="s">
        <v>69</v>
      </c>
      <c r="V127" s="465" t="s">
        <v>69</v>
      </c>
      <c r="W127" s="465" t="s">
        <v>76</v>
      </c>
      <c r="X127" s="37"/>
      <c r="Y127" s="37"/>
      <c r="Z127" s="465" t="s">
        <v>78</v>
      </c>
      <c r="AA127" s="465" t="s">
        <v>78</v>
      </c>
      <c r="AB127" s="37"/>
      <c r="AC127" s="474">
        <f>'Ref-ComHOU'!$G$96</f>
        <v>12.202739726027396</v>
      </c>
      <c r="AD127" s="465" t="s">
        <v>72</v>
      </c>
      <c r="AE127" s="344" t="s">
        <v>73</v>
      </c>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822"/>
      <c r="BK127" s="822"/>
      <c r="BL127" s="822"/>
      <c r="BM127" s="822"/>
      <c r="BN127" s="822"/>
      <c r="BO127" s="822"/>
      <c r="BP127" s="822"/>
      <c r="BQ127" s="822"/>
      <c r="BR127" s="822"/>
      <c r="BS127" s="822"/>
      <c r="BT127" s="822"/>
      <c r="BU127" s="822"/>
      <c r="BV127" s="822"/>
      <c r="BW127" s="822"/>
      <c r="BX127" s="822"/>
      <c r="BY127" s="822"/>
      <c r="BZ127" s="822"/>
      <c r="CA127" s="822"/>
      <c r="CB127" s="822"/>
      <c r="CC127" s="822"/>
      <c r="CD127" s="822"/>
      <c r="CE127" s="822"/>
      <c r="CF127" s="822"/>
      <c r="CG127" s="822"/>
      <c r="CH127" s="822"/>
      <c r="CI127" s="822"/>
      <c r="CJ127" s="392"/>
      <c r="CK127" s="392"/>
      <c r="CL127" s="392"/>
      <c r="CM127" s="392"/>
      <c r="CN127" s="392"/>
      <c r="CO127" s="392"/>
      <c r="CP127" s="392"/>
      <c r="CQ127" s="392"/>
      <c r="CR127" s="392"/>
      <c r="CS127" s="392"/>
      <c r="CT127" s="392"/>
      <c r="CU127" s="392"/>
      <c r="CV127" s="392"/>
      <c r="CW127" s="392"/>
      <c r="CX127" s="392"/>
      <c r="CY127" s="392"/>
      <c r="CZ127" s="392"/>
      <c r="DA127" s="392"/>
      <c r="DB127" s="392"/>
      <c r="DC127" s="392"/>
    </row>
    <row r="128" spans="1:107" s="337" customFormat="1" ht="24">
      <c r="A128" s="37"/>
      <c r="B128" s="464" t="s">
        <v>23</v>
      </c>
      <c r="C128" s="465" t="s">
        <v>499</v>
      </c>
      <c r="D128" s="348" t="s">
        <v>1226</v>
      </c>
      <c r="E128" s="467">
        <f>'Ref-ComSources'!$AB$10*AVERAGE('Ref-ComSources'!$D$84,'Ref-ComSources'!$D$86,'Ref-ComSources'!$D$88)</f>
        <v>3705.1477049846249</v>
      </c>
      <c r="F128" s="344" t="s">
        <v>1245</v>
      </c>
      <c r="G128" s="468">
        <f>'Ref-2013CSSsaturationsINT'!$F$124</f>
        <v>0.25391231918802248</v>
      </c>
      <c r="H128" s="465" t="s">
        <v>66</v>
      </c>
      <c r="I128" s="469">
        <f>'Ref-2013CSSsaturationsINT'!$J$124</f>
        <v>0.85075992286636826</v>
      </c>
      <c r="J128" s="352" t="s">
        <v>994</v>
      </c>
      <c r="K128" s="344" t="s">
        <v>1012</v>
      </c>
      <c r="L128" s="352" t="s">
        <v>995</v>
      </c>
      <c r="M128" s="472" t="s">
        <v>93</v>
      </c>
      <c r="N128" s="347">
        <f>E128*G128*'Ref-Savings Calculations'!$E$19*Applicability</f>
        <v>181.95356683560576</v>
      </c>
      <c r="O128" s="473">
        <f>E128*G128*'Ref-Savings Calculations'!$C$109*Applicability*ControlShare</f>
        <v>243.31557227168014</v>
      </c>
      <c r="P128" s="347">
        <f>E128*G128*'Ref-Savings Calculations'!$E$20*Applicability</f>
        <v>148.77493017689329</v>
      </c>
      <c r="Q128" s="347">
        <f>E128*G128*('Ref-Savings Calculations'!$C$109-'Ref-Savings Calculations'!$C$124)*Applicability*ControlShare</f>
        <v>115.25474476026955</v>
      </c>
      <c r="R128" s="37"/>
      <c r="S128" s="465" t="s">
        <v>44</v>
      </c>
      <c r="T128" s="465" t="s">
        <v>69</v>
      </c>
      <c r="U128" s="344" t="s">
        <v>44</v>
      </c>
      <c r="V128" s="344" t="s">
        <v>75</v>
      </c>
      <c r="W128" s="465" t="s">
        <v>76</v>
      </c>
      <c r="X128" s="37"/>
      <c r="Y128" s="37"/>
      <c r="Z128" s="465" t="s">
        <v>78</v>
      </c>
      <c r="AA128" s="465" t="s">
        <v>78</v>
      </c>
      <c r="AB128" s="37"/>
      <c r="AC128" s="474">
        <f>'Ref-ComHOU'!$G$96</f>
        <v>12.202739726027396</v>
      </c>
      <c r="AD128" s="465" t="s">
        <v>72</v>
      </c>
      <c r="AE128" s="344" t="s">
        <v>73</v>
      </c>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F128" s="822"/>
      <c r="CG128" s="822"/>
      <c r="CH128" s="822"/>
      <c r="CI128" s="822"/>
      <c r="CJ128" s="392"/>
      <c r="CK128" s="392"/>
      <c r="CL128" s="392"/>
      <c r="CM128" s="392"/>
      <c r="CN128" s="392"/>
      <c r="CO128" s="392"/>
      <c r="CP128" s="392"/>
      <c r="CQ128" s="392"/>
      <c r="CR128" s="392"/>
      <c r="CS128" s="392"/>
      <c r="CT128" s="392"/>
      <c r="CU128" s="392"/>
      <c r="CV128" s="392"/>
      <c r="CW128" s="392"/>
      <c r="CX128" s="392"/>
      <c r="CY128" s="392"/>
      <c r="CZ128" s="392"/>
      <c r="DA128" s="392"/>
      <c r="DB128" s="392"/>
      <c r="DC128" s="392"/>
    </row>
    <row r="129" spans="1:107" s="337" customFormat="1" ht="33.75">
      <c r="A129" s="37"/>
      <c r="B129" s="464" t="s">
        <v>23</v>
      </c>
      <c r="C129" s="465" t="s">
        <v>499</v>
      </c>
      <c r="D129" s="348" t="s">
        <v>1226</v>
      </c>
      <c r="E129" s="467">
        <f>'Ref-ComSources'!$AB$10*AVERAGE('Ref-ComSources'!$D$84,'Ref-ComSources'!$D$86,'Ref-ComSources'!$D$88)</f>
        <v>3705.1477049846249</v>
      </c>
      <c r="F129" s="344" t="s">
        <v>1245</v>
      </c>
      <c r="G129" s="468">
        <f>'Ref-2013CSSsaturationsINT'!$F$124</f>
        <v>0.25391231918802248</v>
      </c>
      <c r="H129" s="465" t="s">
        <v>66</v>
      </c>
      <c r="I129" s="469">
        <f>'Ref-2013CSSsaturationsINT'!$J$124</f>
        <v>0.85075992286636826</v>
      </c>
      <c r="J129" s="352" t="s">
        <v>994</v>
      </c>
      <c r="K129" s="344" t="s">
        <v>1012</v>
      </c>
      <c r="L129" s="344" t="s">
        <v>1228</v>
      </c>
      <c r="M129" s="472" t="s">
        <v>88</v>
      </c>
      <c r="N129" s="349">
        <f>E129*G129*'Ref-Savings Calculations'!$E$17*Applicability</f>
        <v>143.98064853947932</v>
      </c>
      <c r="O129" s="473">
        <f>E129*G129*'Ref-Savings Calculations'!$C$54*Applicability*ControlShare</f>
        <v>153.67299301369275</v>
      </c>
      <c r="P129" s="349">
        <f>E129*G129*'Ref-Savings Calculations'!$E$18*Applicability</f>
        <v>109.00102389430798</v>
      </c>
      <c r="Q129" s="347">
        <f>E129*G129*('Ref-Savings Calculations'!$C$54-'Ref-Savings Calculations'!$C$124)*Applicability*ControlShare</f>
        <v>25.612165502282107</v>
      </c>
      <c r="R129" s="37"/>
      <c r="S129" s="465" t="s">
        <v>69</v>
      </c>
      <c r="T129" s="465" t="s">
        <v>69</v>
      </c>
      <c r="U129" s="465" t="s">
        <v>69</v>
      </c>
      <c r="V129" s="465" t="s">
        <v>69</v>
      </c>
      <c r="W129" s="465" t="s">
        <v>76</v>
      </c>
      <c r="X129" s="37"/>
      <c r="Y129" s="37"/>
      <c r="Z129" s="344" t="s">
        <v>78</v>
      </c>
      <c r="AA129" s="344" t="s">
        <v>78</v>
      </c>
      <c r="AB129" s="37"/>
      <c r="AC129" s="347">
        <f>'Ref-ComHOU'!$G$96</f>
        <v>12.202739726027396</v>
      </c>
      <c r="AD129" s="344" t="s">
        <v>72</v>
      </c>
      <c r="AE129" s="344" t="s">
        <v>73</v>
      </c>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822"/>
      <c r="CF129" s="822"/>
      <c r="CG129" s="822"/>
      <c r="CH129" s="822"/>
      <c r="CI129" s="822"/>
      <c r="CJ129" s="392"/>
      <c r="CK129" s="392"/>
      <c r="CL129" s="392"/>
      <c r="CM129" s="392"/>
      <c r="CN129" s="392"/>
      <c r="CO129" s="392"/>
      <c r="CP129" s="392"/>
      <c r="CQ129" s="392"/>
      <c r="CR129" s="392"/>
      <c r="CS129" s="392"/>
      <c r="CT129" s="392"/>
      <c r="CU129" s="392"/>
      <c r="CV129" s="392"/>
      <c r="CW129" s="392"/>
      <c r="CX129" s="392"/>
      <c r="CY129" s="392"/>
      <c r="CZ129" s="392"/>
      <c r="DA129" s="392"/>
      <c r="DB129" s="392"/>
      <c r="DC129" s="392"/>
    </row>
    <row r="130" spans="1:107" s="337" customFormat="1" ht="33.75">
      <c r="A130" s="37"/>
      <c r="B130" s="464" t="s">
        <v>23</v>
      </c>
      <c r="C130" s="465" t="s">
        <v>499</v>
      </c>
      <c r="D130" s="348" t="s">
        <v>1226</v>
      </c>
      <c r="E130" s="467">
        <f>'Ref-ComSources'!$AB$10*AVERAGE('Ref-ComSources'!$D$84,'Ref-ComSources'!$D$86,'Ref-ComSources'!$D$88)</f>
        <v>3705.1477049846249</v>
      </c>
      <c r="F130" s="344" t="s">
        <v>1245</v>
      </c>
      <c r="G130" s="468">
        <f>'Ref-2013CSSsaturationsINT'!$F$124</f>
        <v>0.25391231918802248</v>
      </c>
      <c r="H130" s="465" t="s">
        <v>66</v>
      </c>
      <c r="I130" s="469">
        <f>'Ref-2013CSSsaturationsINT'!$J$124</f>
        <v>0.85075992286636826</v>
      </c>
      <c r="J130" s="352" t="s">
        <v>994</v>
      </c>
      <c r="K130" s="344" t="s">
        <v>1012</v>
      </c>
      <c r="L130" s="344" t="s">
        <v>1228</v>
      </c>
      <c r="M130" s="472" t="s">
        <v>90</v>
      </c>
      <c r="N130" s="349">
        <f>E130*G130*'Ref-Savings Calculations'!$E$17*Applicability</f>
        <v>143.98064853947932</v>
      </c>
      <c r="O130" s="473">
        <f>E130*G130*'Ref-Savings Calculations'!$C$82*Applicability*ControlShare</f>
        <v>185.68819989154537</v>
      </c>
      <c r="P130" s="349">
        <f>E130*G130*'Ref-Savings Calculations'!$E$18*Applicability</f>
        <v>109.00102389430798</v>
      </c>
      <c r="Q130" s="347">
        <f>E130*G130*('Ref-Savings Calculations'!$C$82-'Ref-Savings Calculations'!$C$124)*Applicability*ControlShare</f>
        <v>57.627372380134759</v>
      </c>
      <c r="R130" s="37"/>
      <c r="S130" s="465" t="s">
        <v>69</v>
      </c>
      <c r="T130" s="465" t="s">
        <v>69</v>
      </c>
      <c r="U130" s="465" t="s">
        <v>69</v>
      </c>
      <c r="V130" s="465" t="s">
        <v>69</v>
      </c>
      <c r="W130" s="465" t="s">
        <v>76</v>
      </c>
      <c r="X130" s="37"/>
      <c r="Y130" s="37"/>
      <c r="Z130" s="344" t="s">
        <v>78</v>
      </c>
      <c r="AA130" s="344" t="s">
        <v>78</v>
      </c>
      <c r="AB130" s="37"/>
      <c r="AC130" s="347">
        <f>'Ref-ComHOU'!$G$96</f>
        <v>12.202739726027396</v>
      </c>
      <c r="AD130" s="344" t="s">
        <v>72</v>
      </c>
      <c r="AE130" s="344" t="s">
        <v>73</v>
      </c>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822"/>
      <c r="CF130" s="822"/>
      <c r="CG130" s="822"/>
      <c r="CH130" s="822"/>
      <c r="CI130" s="822"/>
      <c r="CJ130" s="392"/>
      <c r="CK130" s="392"/>
      <c r="CL130" s="392"/>
      <c r="CM130" s="392"/>
      <c r="CN130" s="392"/>
      <c r="CO130" s="392"/>
      <c r="CP130" s="392"/>
      <c r="CQ130" s="392"/>
      <c r="CR130" s="392"/>
      <c r="CS130" s="392"/>
      <c r="CT130" s="392"/>
      <c r="CU130" s="392"/>
      <c r="CV130" s="392"/>
      <c r="CW130" s="392"/>
      <c r="CX130" s="392"/>
      <c r="CY130" s="392"/>
      <c r="CZ130" s="392"/>
      <c r="DA130" s="392"/>
      <c r="DB130" s="392"/>
      <c r="DC130" s="392"/>
    </row>
    <row r="131" spans="1:107" s="337" customFormat="1" ht="33.75">
      <c r="A131" s="37"/>
      <c r="B131" s="464" t="s">
        <v>23</v>
      </c>
      <c r="C131" s="465" t="s">
        <v>499</v>
      </c>
      <c r="D131" s="348" t="s">
        <v>1226</v>
      </c>
      <c r="E131" s="467">
        <f>'Ref-ComSources'!$AB$10*AVERAGE('Ref-ComSources'!$D$84,'Ref-ComSources'!$D$86,'Ref-ComSources'!$D$88)</f>
        <v>3705.1477049846249</v>
      </c>
      <c r="F131" s="344" t="s">
        <v>1245</v>
      </c>
      <c r="G131" s="468">
        <f>'Ref-2013CSSsaturationsINT'!$F$124</f>
        <v>0.25391231918802248</v>
      </c>
      <c r="H131" s="465" t="s">
        <v>66</v>
      </c>
      <c r="I131" s="469">
        <f>'Ref-2013CSSsaturationsINT'!$J$124</f>
        <v>0.85075992286636826</v>
      </c>
      <c r="J131" s="352" t="s">
        <v>994</v>
      </c>
      <c r="K131" s="344" t="s">
        <v>1012</v>
      </c>
      <c r="L131" s="344" t="s">
        <v>1228</v>
      </c>
      <c r="M131" s="472" t="s">
        <v>92</v>
      </c>
      <c r="N131" s="349">
        <f>E131*G131*'Ref-Savings Calculations'!$E$17*Applicability</f>
        <v>143.98064853947932</v>
      </c>
      <c r="O131" s="473">
        <f>E131*G131*'Ref-Savings Calculations'!$C$99*Applicability*ControlShare</f>
        <v>230.50948952053909</v>
      </c>
      <c r="P131" s="349">
        <f>E131*G131*'Ref-Savings Calculations'!$E$18*Applicability</f>
        <v>109.00102389430798</v>
      </c>
      <c r="Q131" s="347">
        <f>E131*G131*('Ref-Savings Calculations'!$C$99-'Ref-Savings Calculations'!$C$124)*Applicability*ControlShare</f>
        <v>102.44866200912847</v>
      </c>
      <c r="R131" s="37"/>
      <c r="S131" s="465" t="s">
        <v>69</v>
      </c>
      <c r="T131" s="465" t="s">
        <v>69</v>
      </c>
      <c r="U131" s="465" t="s">
        <v>69</v>
      </c>
      <c r="V131" s="465" t="s">
        <v>69</v>
      </c>
      <c r="W131" s="465" t="s">
        <v>76</v>
      </c>
      <c r="X131" s="37"/>
      <c r="Y131" s="37"/>
      <c r="Z131" s="344" t="s">
        <v>78</v>
      </c>
      <c r="AA131" s="344" t="s">
        <v>78</v>
      </c>
      <c r="AB131" s="37"/>
      <c r="AC131" s="347">
        <f>'Ref-ComHOU'!$G$96</f>
        <v>12.202739726027396</v>
      </c>
      <c r="AD131" s="344" t="s">
        <v>72</v>
      </c>
      <c r="AE131" s="344" t="s">
        <v>73</v>
      </c>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822"/>
      <c r="BK131" s="822"/>
      <c r="BL131" s="822"/>
      <c r="BM131" s="822"/>
      <c r="BN131" s="822"/>
      <c r="BO131" s="822"/>
      <c r="BP131" s="822"/>
      <c r="BQ131" s="822"/>
      <c r="BR131" s="822"/>
      <c r="BS131" s="822"/>
      <c r="BT131" s="822"/>
      <c r="BU131" s="822"/>
      <c r="BV131" s="822"/>
      <c r="BW131" s="822"/>
      <c r="BX131" s="822"/>
      <c r="BY131" s="822"/>
      <c r="BZ131" s="822"/>
      <c r="CA131" s="822"/>
      <c r="CB131" s="822"/>
      <c r="CC131" s="822"/>
      <c r="CD131" s="822"/>
      <c r="CE131" s="822"/>
      <c r="CF131" s="822"/>
      <c r="CG131" s="822"/>
      <c r="CH131" s="822"/>
      <c r="CI131" s="822"/>
      <c r="CJ131" s="392"/>
      <c r="CK131" s="392"/>
      <c r="CL131" s="392"/>
      <c r="CM131" s="392"/>
      <c r="CN131" s="392"/>
      <c r="CO131" s="392"/>
      <c r="CP131" s="392"/>
      <c r="CQ131" s="392"/>
      <c r="CR131" s="392"/>
      <c r="CS131" s="392"/>
      <c r="CT131" s="392"/>
      <c r="CU131" s="392"/>
      <c r="CV131" s="392"/>
      <c r="CW131" s="392"/>
      <c r="CX131" s="392"/>
      <c r="CY131" s="392"/>
      <c r="CZ131" s="392"/>
      <c r="DA131" s="392"/>
      <c r="DB131" s="392"/>
      <c r="DC131" s="392"/>
    </row>
    <row r="132" spans="1:107" s="337" customFormat="1" ht="33.75">
      <c r="A132" s="37"/>
      <c r="B132" s="464" t="s">
        <v>23</v>
      </c>
      <c r="C132" s="465" t="s">
        <v>499</v>
      </c>
      <c r="D132" s="348" t="s">
        <v>1226</v>
      </c>
      <c r="E132" s="467">
        <f>'Ref-ComSources'!$AB$10*AVERAGE('Ref-ComSources'!$D$84,'Ref-ComSources'!$D$86,'Ref-ComSources'!$D$88)</f>
        <v>3705.1477049846249</v>
      </c>
      <c r="F132" s="344" t="s">
        <v>1245</v>
      </c>
      <c r="G132" s="468">
        <f>'Ref-2013CSSsaturationsINT'!$F$124</f>
        <v>0.25391231918802248</v>
      </c>
      <c r="H132" s="465" t="s">
        <v>66</v>
      </c>
      <c r="I132" s="469">
        <f>'Ref-2013CSSsaturationsINT'!$J$124</f>
        <v>0.85075992286636826</v>
      </c>
      <c r="J132" s="352" t="s">
        <v>994</v>
      </c>
      <c r="K132" s="344" t="s">
        <v>1012</v>
      </c>
      <c r="L132" s="344" t="s">
        <v>1228</v>
      </c>
      <c r="M132" s="472" t="s">
        <v>93</v>
      </c>
      <c r="N132" s="349">
        <f>E132*G132*'Ref-Savings Calculations'!$E$17*Applicability</f>
        <v>143.98064853947932</v>
      </c>
      <c r="O132" s="473">
        <f>E132*G132*'Ref-Savings Calculations'!$C$109*Applicability*ControlShare</f>
        <v>243.31557227168014</v>
      </c>
      <c r="P132" s="349">
        <f>E132*G132*'Ref-Savings Calculations'!$E$18*Applicability</f>
        <v>109.00102389430798</v>
      </c>
      <c r="Q132" s="347">
        <f>E132*G132*('Ref-Savings Calculations'!$C$109-'Ref-Savings Calculations'!$C$124)*Applicability*ControlShare</f>
        <v>115.25474476026955</v>
      </c>
      <c r="R132" s="37"/>
      <c r="S132" s="465" t="s">
        <v>69</v>
      </c>
      <c r="T132" s="465" t="s">
        <v>69</v>
      </c>
      <c r="U132" s="344" t="s">
        <v>44</v>
      </c>
      <c r="V132" s="344" t="s">
        <v>75</v>
      </c>
      <c r="W132" s="465" t="s">
        <v>76</v>
      </c>
      <c r="X132" s="37"/>
      <c r="Y132" s="37"/>
      <c r="Z132" s="344" t="s">
        <v>78</v>
      </c>
      <c r="AA132" s="344" t="s">
        <v>78</v>
      </c>
      <c r="AB132" s="37"/>
      <c r="AC132" s="347">
        <f>'Ref-ComHOU'!$G$96</f>
        <v>12.202739726027396</v>
      </c>
      <c r="AD132" s="344" t="s">
        <v>72</v>
      </c>
      <c r="AE132" s="344" t="s">
        <v>73</v>
      </c>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822"/>
      <c r="BK132" s="822"/>
      <c r="BL132" s="822"/>
      <c r="BM132" s="822"/>
      <c r="BN132" s="822"/>
      <c r="BO132" s="822"/>
      <c r="BP132" s="822"/>
      <c r="BQ132" s="822"/>
      <c r="BR132" s="822"/>
      <c r="BS132" s="822"/>
      <c r="BT132" s="822"/>
      <c r="BU132" s="822"/>
      <c r="BV132" s="822"/>
      <c r="BW132" s="822"/>
      <c r="BX132" s="822"/>
      <c r="BY132" s="822"/>
      <c r="BZ132" s="822"/>
      <c r="CA132" s="822"/>
      <c r="CB132" s="822"/>
      <c r="CC132" s="822"/>
      <c r="CD132" s="822"/>
      <c r="CE132" s="822"/>
      <c r="CF132" s="822"/>
      <c r="CG132" s="822"/>
      <c r="CH132" s="822"/>
      <c r="CI132" s="822"/>
      <c r="CJ132" s="392"/>
      <c r="CK132" s="392"/>
      <c r="CL132" s="392"/>
      <c r="CM132" s="392"/>
      <c r="CN132" s="392"/>
      <c r="CO132" s="392"/>
      <c r="CP132" s="392"/>
      <c r="CQ132" s="392"/>
      <c r="CR132" s="392"/>
      <c r="CS132" s="392"/>
      <c r="CT132" s="392"/>
      <c r="CU132" s="392"/>
      <c r="CV132" s="392"/>
      <c r="CW132" s="392"/>
      <c r="CX132" s="392"/>
      <c r="CY132" s="392"/>
      <c r="CZ132" s="392"/>
      <c r="DA132" s="392"/>
      <c r="DB132" s="392"/>
      <c r="DC132" s="392"/>
    </row>
    <row r="133" spans="1:107" s="337" customFormat="1" ht="24">
      <c r="A133" s="37"/>
      <c r="B133" s="464" t="s">
        <v>23</v>
      </c>
      <c r="C133" s="465" t="s">
        <v>499</v>
      </c>
      <c r="D133" s="348" t="s">
        <v>1226</v>
      </c>
      <c r="E133" s="467">
        <f>'Ref-ComSources'!$AB$10*AVERAGE('Ref-ComSources'!$D$84,'Ref-ComSources'!$D$86,'Ref-ComSources'!$D$88)</f>
        <v>3705.1477049846249</v>
      </c>
      <c r="F133" s="344" t="s">
        <v>1245</v>
      </c>
      <c r="G133" s="468">
        <f>'Ref-2013CSSsaturationsINT'!$F$124</f>
        <v>0.25391231918802248</v>
      </c>
      <c r="H133" s="465" t="s">
        <v>66</v>
      </c>
      <c r="I133" s="469">
        <f>'Ref-2013CSSsaturationsINT'!$J$124</f>
        <v>0.85075992286636826</v>
      </c>
      <c r="J133" s="352" t="s">
        <v>994</v>
      </c>
      <c r="K133" s="344" t="s">
        <v>1012</v>
      </c>
      <c r="L133" s="352" t="s">
        <v>1227</v>
      </c>
      <c r="M133" s="472" t="s">
        <v>88</v>
      </c>
      <c r="N133" s="347">
        <f>E133*G133*'Ref-Savings Calculations'!$E$27*Applicability</f>
        <v>405.73015542488798</v>
      </c>
      <c r="O133" s="473">
        <f>E133*G133*'Ref-Savings Calculations'!$C$54*Applicability*ControlShare</f>
        <v>153.67299301369275</v>
      </c>
      <c r="P133" s="347">
        <f>E133*G133*'Ref-Savings Calculations'!$E$28*Applicability</f>
        <v>379.47756302854725</v>
      </c>
      <c r="Q133" s="347">
        <f>E133*G133*('Ref-Savings Calculations'!$C$54-'Ref-Savings Calculations'!$C$124)*Applicability*ControlShare</f>
        <v>25.612165502282107</v>
      </c>
      <c r="R133" s="37"/>
      <c r="S133" s="465" t="s">
        <v>44</v>
      </c>
      <c r="T133" s="344" t="s">
        <v>63</v>
      </c>
      <c r="U133" s="465" t="s">
        <v>69</v>
      </c>
      <c r="V133" s="465" t="s">
        <v>69</v>
      </c>
      <c r="W133" s="465" t="s">
        <v>76</v>
      </c>
      <c r="X133" s="37"/>
      <c r="Y133" s="37"/>
      <c r="Z133" s="465" t="s">
        <v>78</v>
      </c>
      <c r="AA133" s="465" t="s">
        <v>78</v>
      </c>
      <c r="AB133" s="37"/>
      <c r="AC133" s="474">
        <f>'Ref-ComHOU'!$G$96</f>
        <v>12.202739726027396</v>
      </c>
      <c r="AD133" s="465" t="s">
        <v>72</v>
      </c>
      <c r="AE133" s="344" t="s">
        <v>73</v>
      </c>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822"/>
      <c r="BK133" s="822"/>
      <c r="BL133" s="822"/>
      <c r="BM133" s="822"/>
      <c r="BN133" s="822"/>
      <c r="BO133" s="822"/>
      <c r="BP133" s="822"/>
      <c r="BQ133" s="822"/>
      <c r="BR133" s="822"/>
      <c r="BS133" s="822"/>
      <c r="BT133" s="822"/>
      <c r="BU133" s="822"/>
      <c r="BV133" s="822"/>
      <c r="BW133" s="822"/>
      <c r="BX133" s="822"/>
      <c r="BY133" s="822"/>
      <c r="BZ133" s="822"/>
      <c r="CA133" s="822"/>
      <c r="CB133" s="822"/>
      <c r="CC133" s="822"/>
      <c r="CD133" s="822"/>
      <c r="CE133" s="822"/>
      <c r="CF133" s="822"/>
      <c r="CG133" s="822"/>
      <c r="CH133" s="822"/>
      <c r="CI133" s="822"/>
      <c r="CJ133" s="392"/>
      <c r="CK133" s="392"/>
      <c r="CL133" s="392"/>
      <c r="CM133" s="392"/>
      <c r="CN133" s="392"/>
      <c r="CO133" s="392"/>
      <c r="CP133" s="392"/>
      <c r="CQ133" s="392"/>
      <c r="CR133" s="392"/>
      <c r="CS133" s="392"/>
      <c r="CT133" s="392"/>
      <c r="CU133" s="392"/>
      <c r="CV133" s="392"/>
      <c r="CW133" s="392"/>
      <c r="CX133" s="392"/>
      <c r="CY133" s="392"/>
      <c r="CZ133" s="392"/>
      <c r="DA133" s="392"/>
      <c r="DB133" s="392"/>
      <c r="DC133" s="392"/>
    </row>
    <row r="134" spans="1:107" s="337" customFormat="1" ht="24">
      <c r="A134" s="37"/>
      <c r="B134" s="464" t="s">
        <v>23</v>
      </c>
      <c r="C134" s="465" t="s">
        <v>499</v>
      </c>
      <c r="D134" s="348" t="s">
        <v>1226</v>
      </c>
      <c r="E134" s="467">
        <f>'Ref-ComSources'!$AB$10*AVERAGE('Ref-ComSources'!$D$84,'Ref-ComSources'!$D$86,'Ref-ComSources'!$D$88)</f>
        <v>3705.1477049846249</v>
      </c>
      <c r="F134" s="344" t="s">
        <v>1245</v>
      </c>
      <c r="G134" s="468">
        <f>'Ref-2013CSSsaturationsINT'!$F$124</f>
        <v>0.25391231918802248</v>
      </c>
      <c r="H134" s="465" t="s">
        <v>66</v>
      </c>
      <c r="I134" s="469">
        <f>'Ref-2013CSSsaturationsINT'!$J$124</f>
        <v>0.85075992286636826</v>
      </c>
      <c r="J134" s="352" t="s">
        <v>994</v>
      </c>
      <c r="K134" s="344" t="s">
        <v>1012</v>
      </c>
      <c r="L134" s="352" t="s">
        <v>1227</v>
      </c>
      <c r="M134" s="472" t="s">
        <v>90</v>
      </c>
      <c r="N134" s="347">
        <f>E134*G134*'Ref-Savings Calculations'!$E$27*Applicability</f>
        <v>405.73015542488798</v>
      </c>
      <c r="O134" s="473">
        <f>E134*G134*'Ref-Savings Calculations'!$C$82*Applicability*ControlShare</f>
        <v>185.68819989154537</v>
      </c>
      <c r="P134" s="347">
        <f>E134*G134*'Ref-Savings Calculations'!$E$28*Applicability</f>
        <v>379.47756302854725</v>
      </c>
      <c r="Q134" s="347">
        <f>E134*G134*('Ref-Savings Calculations'!$C$82-'Ref-Savings Calculations'!$C$124)*Applicability*ControlShare</f>
        <v>57.627372380134759</v>
      </c>
      <c r="R134" s="37"/>
      <c r="S134" s="465" t="s">
        <v>44</v>
      </c>
      <c r="T134" s="344" t="s">
        <v>63</v>
      </c>
      <c r="U134" s="465" t="s">
        <v>69</v>
      </c>
      <c r="V134" s="465" t="s">
        <v>69</v>
      </c>
      <c r="W134" s="465" t="s">
        <v>76</v>
      </c>
      <c r="X134" s="37"/>
      <c r="Y134" s="37"/>
      <c r="Z134" s="465" t="s">
        <v>78</v>
      </c>
      <c r="AA134" s="465" t="s">
        <v>78</v>
      </c>
      <c r="AB134" s="37"/>
      <c r="AC134" s="474">
        <f>'Ref-ComHOU'!$G$96</f>
        <v>12.202739726027396</v>
      </c>
      <c r="AD134" s="465" t="s">
        <v>72</v>
      </c>
      <c r="AE134" s="344" t="s">
        <v>73</v>
      </c>
      <c r="AF134" s="822"/>
      <c r="AG134" s="822"/>
      <c r="AH134" s="822"/>
      <c r="AI134" s="822"/>
      <c r="AJ134" s="822"/>
      <c r="AK134" s="822"/>
      <c r="AL134" s="822"/>
      <c r="AM134" s="822"/>
      <c r="AN134" s="822"/>
      <c r="AO134" s="822"/>
      <c r="AP134" s="822"/>
      <c r="AQ134" s="822"/>
      <c r="AR134" s="822"/>
      <c r="AS134" s="822"/>
      <c r="AT134" s="822"/>
      <c r="AU134" s="822"/>
      <c r="AV134" s="822"/>
      <c r="AW134" s="822"/>
      <c r="AX134" s="822"/>
      <c r="AY134" s="822"/>
      <c r="AZ134" s="822"/>
      <c r="BA134" s="822"/>
      <c r="BB134" s="822"/>
      <c r="BC134" s="822"/>
      <c r="BD134" s="822"/>
      <c r="BE134" s="822"/>
      <c r="BF134" s="822"/>
      <c r="BG134" s="822"/>
      <c r="BH134" s="822"/>
      <c r="BI134" s="822"/>
      <c r="BJ134" s="822"/>
      <c r="BK134" s="822"/>
      <c r="BL134" s="822"/>
      <c r="BM134" s="822"/>
      <c r="BN134" s="822"/>
      <c r="BO134" s="822"/>
      <c r="BP134" s="822"/>
      <c r="BQ134" s="822"/>
      <c r="BR134" s="822"/>
      <c r="BS134" s="822"/>
      <c r="BT134" s="822"/>
      <c r="BU134" s="822"/>
      <c r="BV134" s="822"/>
      <c r="BW134" s="822"/>
      <c r="BX134" s="822"/>
      <c r="BY134" s="822"/>
      <c r="BZ134" s="822"/>
      <c r="CA134" s="822"/>
      <c r="CB134" s="822"/>
      <c r="CC134" s="822"/>
      <c r="CD134" s="822"/>
      <c r="CE134" s="822"/>
      <c r="CF134" s="822"/>
      <c r="CG134" s="822"/>
      <c r="CH134" s="822"/>
      <c r="CI134" s="822"/>
      <c r="CJ134" s="392"/>
      <c r="CK134" s="392"/>
      <c r="CL134" s="392"/>
      <c r="CM134" s="392"/>
      <c r="CN134" s="392"/>
      <c r="CO134" s="392"/>
      <c r="CP134" s="392"/>
      <c r="CQ134" s="392"/>
      <c r="CR134" s="392"/>
      <c r="CS134" s="392"/>
      <c r="CT134" s="392"/>
      <c r="CU134" s="392"/>
      <c r="CV134" s="392"/>
      <c r="CW134" s="392"/>
      <c r="CX134" s="392"/>
      <c r="CY134" s="392"/>
      <c r="CZ134" s="392"/>
      <c r="DA134" s="392"/>
      <c r="DB134" s="392"/>
      <c r="DC134" s="392"/>
    </row>
    <row r="135" spans="1:107" s="337" customFormat="1" ht="24">
      <c r="A135" s="37"/>
      <c r="B135" s="464" t="s">
        <v>23</v>
      </c>
      <c r="C135" s="465" t="s">
        <v>499</v>
      </c>
      <c r="D135" s="348" t="s">
        <v>1226</v>
      </c>
      <c r="E135" s="467">
        <f>'Ref-ComSources'!$AB$10*AVERAGE('Ref-ComSources'!$D$84,'Ref-ComSources'!$D$86,'Ref-ComSources'!$D$88)</f>
        <v>3705.1477049846249</v>
      </c>
      <c r="F135" s="344" t="s">
        <v>1245</v>
      </c>
      <c r="G135" s="468">
        <f>'Ref-2013CSSsaturationsINT'!$F$124</f>
        <v>0.25391231918802248</v>
      </c>
      <c r="H135" s="465" t="s">
        <v>66</v>
      </c>
      <c r="I135" s="469">
        <f>'Ref-2013CSSsaturationsINT'!$J$124</f>
        <v>0.85075992286636826</v>
      </c>
      <c r="J135" s="352" t="s">
        <v>994</v>
      </c>
      <c r="K135" s="344" t="s">
        <v>1012</v>
      </c>
      <c r="L135" s="352" t="s">
        <v>1227</v>
      </c>
      <c r="M135" s="472" t="s">
        <v>92</v>
      </c>
      <c r="N135" s="347">
        <f>E135*G135*'Ref-Savings Calculations'!$E$27*Applicability</f>
        <v>405.73015542488798</v>
      </c>
      <c r="O135" s="473">
        <f>E135*G135*'Ref-Savings Calculations'!$C$99*Applicability*ControlShare</f>
        <v>230.50948952053909</v>
      </c>
      <c r="P135" s="347">
        <f>E135*G135*'Ref-Savings Calculations'!$E$28*Applicability</f>
        <v>379.47756302854725</v>
      </c>
      <c r="Q135" s="347">
        <f>E135*G135*('Ref-Savings Calculations'!$C$99-'Ref-Savings Calculations'!$C$124)*Applicability*ControlShare</f>
        <v>102.44866200912847</v>
      </c>
      <c r="R135" s="37"/>
      <c r="S135" s="465" t="s">
        <v>44</v>
      </c>
      <c r="T135" s="344" t="s">
        <v>63</v>
      </c>
      <c r="U135" s="465" t="s">
        <v>69</v>
      </c>
      <c r="V135" s="465" t="s">
        <v>69</v>
      </c>
      <c r="W135" s="465" t="s">
        <v>76</v>
      </c>
      <c r="X135" s="37"/>
      <c r="Y135" s="37"/>
      <c r="Z135" s="465" t="s">
        <v>78</v>
      </c>
      <c r="AA135" s="465" t="s">
        <v>78</v>
      </c>
      <c r="AB135" s="37"/>
      <c r="AC135" s="474">
        <f>'Ref-ComHOU'!$G$96</f>
        <v>12.202739726027396</v>
      </c>
      <c r="AD135" s="465" t="s">
        <v>72</v>
      </c>
      <c r="AE135" s="344" t="s">
        <v>73</v>
      </c>
      <c r="AF135" s="822"/>
      <c r="AG135" s="822"/>
      <c r="AH135" s="822"/>
      <c r="AI135" s="822"/>
      <c r="AJ135" s="822"/>
      <c r="AK135" s="822"/>
      <c r="AL135" s="822"/>
      <c r="AM135" s="822"/>
      <c r="AN135" s="822"/>
      <c r="AO135" s="822"/>
      <c r="AP135" s="822"/>
      <c r="AQ135" s="822"/>
      <c r="AR135" s="822"/>
      <c r="AS135" s="822"/>
      <c r="AT135" s="822"/>
      <c r="AU135" s="822"/>
      <c r="AV135" s="822"/>
      <c r="AW135" s="822"/>
      <c r="AX135" s="822"/>
      <c r="AY135" s="822"/>
      <c r="AZ135" s="822"/>
      <c r="BA135" s="822"/>
      <c r="BB135" s="822"/>
      <c r="BC135" s="822"/>
      <c r="BD135" s="822"/>
      <c r="BE135" s="822"/>
      <c r="BF135" s="822"/>
      <c r="BG135" s="822"/>
      <c r="BH135" s="822"/>
      <c r="BI135" s="822"/>
      <c r="BJ135" s="822"/>
      <c r="BK135" s="822"/>
      <c r="BL135" s="822"/>
      <c r="BM135" s="822"/>
      <c r="BN135" s="822"/>
      <c r="BO135" s="822"/>
      <c r="BP135" s="822"/>
      <c r="BQ135" s="822"/>
      <c r="BR135" s="822"/>
      <c r="BS135" s="822"/>
      <c r="BT135" s="822"/>
      <c r="BU135" s="822"/>
      <c r="BV135" s="822"/>
      <c r="BW135" s="822"/>
      <c r="BX135" s="822"/>
      <c r="BY135" s="822"/>
      <c r="BZ135" s="822"/>
      <c r="CA135" s="822"/>
      <c r="CB135" s="822"/>
      <c r="CC135" s="822"/>
      <c r="CD135" s="822"/>
      <c r="CE135" s="822"/>
      <c r="CF135" s="822"/>
      <c r="CG135" s="822"/>
      <c r="CH135" s="822"/>
      <c r="CI135" s="822"/>
      <c r="CJ135" s="392"/>
      <c r="CK135" s="392"/>
      <c r="CL135" s="392"/>
      <c r="CM135" s="392"/>
      <c r="CN135" s="392"/>
      <c r="CO135" s="392"/>
      <c r="CP135" s="392"/>
      <c r="CQ135" s="392"/>
      <c r="CR135" s="392"/>
      <c r="CS135" s="392"/>
      <c r="CT135" s="392"/>
      <c r="CU135" s="392"/>
      <c r="CV135" s="392"/>
      <c r="CW135" s="392"/>
      <c r="CX135" s="392"/>
      <c r="CY135" s="392"/>
      <c r="CZ135" s="392"/>
      <c r="DA135" s="392"/>
      <c r="DB135" s="392"/>
      <c r="DC135" s="392"/>
    </row>
    <row r="136" spans="1:107" s="337" customFormat="1" ht="24">
      <c r="A136" s="37"/>
      <c r="B136" s="464" t="s">
        <v>23</v>
      </c>
      <c r="C136" s="465" t="s">
        <v>499</v>
      </c>
      <c r="D136" s="348" t="s">
        <v>1226</v>
      </c>
      <c r="E136" s="467">
        <f>'Ref-ComSources'!$AB$10*AVERAGE('Ref-ComSources'!$D$84,'Ref-ComSources'!$D$86,'Ref-ComSources'!$D$88)</f>
        <v>3705.1477049846249</v>
      </c>
      <c r="F136" s="344" t="s">
        <v>1245</v>
      </c>
      <c r="G136" s="468">
        <f>'Ref-2013CSSsaturationsINT'!$F$124</f>
        <v>0.25391231918802248</v>
      </c>
      <c r="H136" s="465" t="s">
        <v>66</v>
      </c>
      <c r="I136" s="469">
        <f>'Ref-2013CSSsaturationsINT'!$J$124</f>
        <v>0.85075992286636826</v>
      </c>
      <c r="J136" s="352" t="s">
        <v>994</v>
      </c>
      <c r="K136" s="344" t="s">
        <v>1012</v>
      </c>
      <c r="L136" s="352" t="s">
        <v>1227</v>
      </c>
      <c r="M136" s="472" t="s">
        <v>93</v>
      </c>
      <c r="N136" s="347">
        <f>E136*G136*'Ref-Savings Calculations'!$E$27*Applicability</f>
        <v>405.73015542488798</v>
      </c>
      <c r="O136" s="473">
        <f>E136*G136*'Ref-Savings Calculations'!$C$109*Applicability*ControlShare</f>
        <v>243.31557227168014</v>
      </c>
      <c r="P136" s="347">
        <f>E136*G136*'Ref-Savings Calculations'!$E$28*Applicability</f>
        <v>379.47756302854725</v>
      </c>
      <c r="Q136" s="347">
        <f>E136*G136*('Ref-Savings Calculations'!$C$109-'Ref-Savings Calculations'!$C$124)*Applicability*ControlShare</f>
        <v>115.25474476026955</v>
      </c>
      <c r="R136" s="37"/>
      <c r="S136" s="465" t="s">
        <v>44</v>
      </c>
      <c r="T136" s="344" t="s">
        <v>63</v>
      </c>
      <c r="U136" s="344" t="s">
        <v>44</v>
      </c>
      <c r="V136" s="344" t="s">
        <v>75</v>
      </c>
      <c r="W136" s="465" t="s">
        <v>76</v>
      </c>
      <c r="X136" s="37"/>
      <c r="Y136" s="37"/>
      <c r="Z136" s="465" t="s">
        <v>78</v>
      </c>
      <c r="AA136" s="465" t="s">
        <v>78</v>
      </c>
      <c r="AB136" s="37"/>
      <c r="AC136" s="474">
        <f>'Ref-ComHOU'!$G$96</f>
        <v>12.202739726027396</v>
      </c>
      <c r="AD136" s="465" t="s">
        <v>72</v>
      </c>
      <c r="AE136" s="344" t="s">
        <v>73</v>
      </c>
      <c r="AF136" s="822"/>
      <c r="AG136" s="822"/>
      <c r="AH136" s="822"/>
      <c r="AI136" s="822"/>
      <c r="AJ136" s="822"/>
      <c r="AK136" s="822"/>
      <c r="AL136" s="822"/>
      <c r="AM136" s="822"/>
      <c r="AN136" s="822"/>
      <c r="AO136" s="822"/>
      <c r="AP136" s="822"/>
      <c r="AQ136" s="822"/>
      <c r="AR136" s="822"/>
      <c r="AS136" s="822"/>
      <c r="AT136" s="822"/>
      <c r="AU136" s="822"/>
      <c r="AV136" s="822"/>
      <c r="AW136" s="822"/>
      <c r="AX136" s="822"/>
      <c r="AY136" s="822"/>
      <c r="AZ136" s="822"/>
      <c r="BA136" s="822"/>
      <c r="BB136" s="822"/>
      <c r="BC136" s="822"/>
      <c r="BD136" s="822"/>
      <c r="BE136" s="822"/>
      <c r="BF136" s="822"/>
      <c r="BG136" s="822"/>
      <c r="BH136" s="822"/>
      <c r="BI136" s="822"/>
      <c r="BJ136" s="822"/>
      <c r="BK136" s="822"/>
      <c r="BL136" s="822"/>
      <c r="BM136" s="822"/>
      <c r="BN136" s="822"/>
      <c r="BO136" s="822"/>
      <c r="BP136" s="822"/>
      <c r="BQ136" s="822"/>
      <c r="BR136" s="822"/>
      <c r="BS136" s="822"/>
      <c r="BT136" s="822"/>
      <c r="BU136" s="822"/>
      <c r="BV136" s="822"/>
      <c r="BW136" s="822"/>
      <c r="BX136" s="822"/>
      <c r="BY136" s="822"/>
      <c r="BZ136" s="822"/>
      <c r="CA136" s="822"/>
      <c r="CB136" s="822"/>
      <c r="CC136" s="822"/>
      <c r="CD136" s="822"/>
      <c r="CE136" s="822"/>
      <c r="CF136" s="822"/>
      <c r="CG136" s="822"/>
      <c r="CH136" s="822"/>
      <c r="CI136" s="822"/>
      <c r="CJ136" s="392"/>
      <c r="CK136" s="392"/>
      <c r="CL136" s="392"/>
      <c r="CM136" s="392"/>
      <c r="CN136" s="392"/>
      <c r="CO136" s="392"/>
      <c r="CP136" s="392"/>
      <c r="CQ136" s="392"/>
      <c r="CR136" s="392"/>
      <c r="CS136" s="392"/>
      <c r="CT136" s="392"/>
      <c r="CU136" s="392"/>
      <c r="CV136" s="392"/>
      <c r="CW136" s="392"/>
      <c r="CX136" s="392"/>
      <c r="CY136" s="392"/>
      <c r="CZ136" s="392"/>
      <c r="DA136" s="392"/>
      <c r="DB136" s="392"/>
      <c r="DC136" s="392"/>
    </row>
    <row r="137" spans="1:107" s="337" customFormat="1" ht="56.25">
      <c r="A137" s="37"/>
      <c r="B137" s="638" t="s">
        <v>23</v>
      </c>
      <c r="C137" s="639" t="s">
        <v>499</v>
      </c>
      <c r="D137" s="640" t="s">
        <v>1224</v>
      </c>
      <c r="E137" s="641">
        <f>'Ref-ComSources'!$AB$10*AVERAGE('Ref-ComSources'!$F$84,'Ref-ComSources'!$F$86,'Ref-ComSources'!$F$88)</f>
        <v>551.08209536163713</v>
      </c>
      <c r="F137" s="639" t="s">
        <v>27</v>
      </c>
      <c r="G137" s="642">
        <f>'Ref-2013CSSsaturationsINT'!$F$128</f>
        <v>0.31182743504241944</v>
      </c>
      <c r="H137" s="639" t="s">
        <v>66</v>
      </c>
      <c r="I137" s="643">
        <f>'Ref-2013CSSsaturationsINT'!$J$128</f>
        <v>0.87494965178535133</v>
      </c>
      <c r="J137" s="644" t="s">
        <v>1097</v>
      </c>
      <c r="K137" s="644" t="s">
        <v>1052</v>
      </c>
      <c r="L137" s="645" t="s">
        <v>960</v>
      </c>
      <c r="M137" s="645" t="s">
        <v>88</v>
      </c>
      <c r="N137" s="646">
        <f>E137*G137*'Ref-Savings Calculations'!$E$35*Applicability</f>
        <v>20.232024559946961</v>
      </c>
      <c r="O137" s="647" t="s">
        <v>870</v>
      </c>
      <c r="P137" s="646">
        <f>E137*G137*'Ref-Savings Calculations'!$E$36*Applicability</f>
        <v>16.496881564264442</v>
      </c>
      <c r="Q137" s="646" t="s">
        <v>870</v>
      </c>
      <c r="R137" s="37"/>
      <c r="S137" s="639" t="s">
        <v>69</v>
      </c>
      <c r="T137" s="639" t="s">
        <v>69</v>
      </c>
      <c r="U137" s="639" t="s">
        <v>69</v>
      </c>
      <c r="V137" s="639" t="s">
        <v>69</v>
      </c>
      <c r="W137" s="639" t="s">
        <v>76</v>
      </c>
      <c r="X137" s="37"/>
      <c r="Y137" s="37"/>
      <c r="Z137" s="639" t="s">
        <v>78</v>
      </c>
      <c r="AA137" s="639" t="s">
        <v>78</v>
      </c>
      <c r="AB137" s="37"/>
      <c r="AC137" s="814">
        <f>'Ref-ComHOU'!$G$96</f>
        <v>12.202739726027396</v>
      </c>
      <c r="AD137" s="639" t="s">
        <v>72</v>
      </c>
      <c r="AE137" s="644" t="s">
        <v>73</v>
      </c>
      <c r="AF137" s="822"/>
      <c r="AG137" s="822"/>
      <c r="AH137" s="822"/>
      <c r="AI137" s="822"/>
      <c r="AJ137" s="822"/>
      <c r="AK137" s="822"/>
      <c r="AL137" s="822"/>
      <c r="AM137" s="822"/>
      <c r="AN137" s="822"/>
      <c r="AO137" s="822"/>
      <c r="AP137" s="822"/>
      <c r="AQ137" s="822"/>
      <c r="AR137" s="822"/>
      <c r="AS137" s="822"/>
      <c r="AT137" s="822"/>
      <c r="AU137" s="822"/>
      <c r="AV137" s="822"/>
      <c r="AW137" s="822"/>
      <c r="AX137" s="822"/>
      <c r="AY137" s="822"/>
      <c r="AZ137" s="822"/>
      <c r="BA137" s="822"/>
      <c r="BB137" s="822"/>
      <c r="BC137" s="822"/>
      <c r="BD137" s="822"/>
      <c r="BE137" s="822"/>
      <c r="BF137" s="822"/>
      <c r="BG137" s="822"/>
      <c r="BH137" s="822"/>
      <c r="BI137" s="822"/>
      <c r="BJ137" s="822"/>
      <c r="BK137" s="822"/>
      <c r="BL137" s="822"/>
      <c r="BM137" s="822"/>
      <c r="BN137" s="822"/>
      <c r="BO137" s="822"/>
      <c r="BP137" s="822"/>
      <c r="BQ137" s="822"/>
      <c r="BR137" s="822"/>
      <c r="BS137" s="822"/>
      <c r="BT137" s="822"/>
      <c r="BU137" s="822"/>
      <c r="BV137" s="822"/>
      <c r="BW137" s="822"/>
      <c r="BX137" s="822"/>
      <c r="BY137" s="822"/>
      <c r="BZ137" s="822"/>
      <c r="CA137" s="822"/>
      <c r="CB137" s="822"/>
      <c r="CC137" s="822"/>
      <c r="CD137" s="822"/>
      <c r="CE137" s="822"/>
      <c r="CF137" s="822"/>
      <c r="CG137" s="822"/>
      <c r="CH137" s="822"/>
      <c r="CI137" s="822"/>
      <c r="CJ137" s="392"/>
      <c r="CK137" s="392"/>
      <c r="CL137" s="392"/>
      <c r="CM137" s="392"/>
      <c r="CN137" s="392"/>
      <c r="CO137" s="392"/>
      <c r="CP137" s="392"/>
      <c r="CQ137" s="392"/>
      <c r="CR137" s="392"/>
      <c r="CS137" s="392"/>
      <c r="CT137" s="392"/>
      <c r="CU137" s="392"/>
      <c r="CV137" s="392"/>
      <c r="CW137" s="392"/>
      <c r="CX137" s="392"/>
      <c r="CY137" s="392"/>
      <c r="CZ137" s="392"/>
      <c r="DA137" s="392"/>
      <c r="DB137" s="392"/>
      <c r="DC137" s="392"/>
    </row>
    <row r="138" spans="1:107" s="337" customFormat="1" ht="56.25">
      <c r="A138" s="37"/>
      <c r="B138" s="638" t="s">
        <v>23</v>
      </c>
      <c r="C138" s="639" t="s">
        <v>499</v>
      </c>
      <c r="D138" s="640" t="s">
        <v>1224</v>
      </c>
      <c r="E138" s="641">
        <f>'Ref-ComSources'!$AB$10*AVERAGE('Ref-ComSources'!$F$84,'Ref-ComSources'!$F$86,'Ref-ComSources'!$F$88)</f>
        <v>551.08209536163713</v>
      </c>
      <c r="F138" s="639" t="s">
        <v>27</v>
      </c>
      <c r="G138" s="642">
        <f>'Ref-2013CSSsaturationsINT'!$F$128</f>
        <v>0.31182743504241944</v>
      </c>
      <c r="H138" s="639" t="s">
        <v>66</v>
      </c>
      <c r="I138" s="643">
        <f>'Ref-2013CSSsaturationsINT'!$J$128</f>
        <v>0.87494965178535133</v>
      </c>
      <c r="J138" s="644" t="s">
        <v>1097</v>
      </c>
      <c r="K138" s="644" t="s">
        <v>1052</v>
      </c>
      <c r="L138" s="645" t="s">
        <v>960</v>
      </c>
      <c r="M138" s="645" t="s">
        <v>90</v>
      </c>
      <c r="N138" s="646">
        <f>E138*G138*'Ref-Savings Calculations'!$E$35*Applicability</f>
        <v>20.232024559946961</v>
      </c>
      <c r="O138" s="647" t="s">
        <v>870</v>
      </c>
      <c r="P138" s="646">
        <f>E138*G138*'Ref-Savings Calculations'!$E$36*Applicability</f>
        <v>16.496881564264442</v>
      </c>
      <c r="Q138" s="646" t="s">
        <v>870</v>
      </c>
      <c r="R138" s="37"/>
      <c r="S138" s="639" t="s">
        <v>69</v>
      </c>
      <c r="T138" s="639" t="s">
        <v>69</v>
      </c>
      <c r="U138" s="639" t="s">
        <v>69</v>
      </c>
      <c r="V138" s="639" t="s">
        <v>69</v>
      </c>
      <c r="W138" s="639" t="s">
        <v>76</v>
      </c>
      <c r="X138" s="37"/>
      <c r="Y138" s="37"/>
      <c r="Z138" s="639" t="s">
        <v>78</v>
      </c>
      <c r="AA138" s="639" t="s">
        <v>78</v>
      </c>
      <c r="AB138" s="37"/>
      <c r="AC138" s="814">
        <f>'Ref-ComHOU'!$G$96</f>
        <v>12.202739726027396</v>
      </c>
      <c r="AD138" s="639" t="s">
        <v>72</v>
      </c>
      <c r="AE138" s="644" t="s">
        <v>73</v>
      </c>
      <c r="AF138" s="822"/>
      <c r="AG138" s="822"/>
      <c r="AH138" s="822"/>
      <c r="AI138" s="822"/>
      <c r="AJ138" s="822"/>
      <c r="AK138" s="822"/>
      <c r="AL138" s="822"/>
      <c r="AM138" s="822"/>
      <c r="AN138" s="822"/>
      <c r="AO138" s="822"/>
      <c r="AP138" s="822"/>
      <c r="AQ138" s="822"/>
      <c r="AR138" s="822"/>
      <c r="AS138" s="822"/>
      <c r="AT138" s="822"/>
      <c r="AU138" s="822"/>
      <c r="AV138" s="822"/>
      <c r="AW138" s="822"/>
      <c r="AX138" s="822"/>
      <c r="AY138" s="822"/>
      <c r="AZ138" s="822"/>
      <c r="BA138" s="822"/>
      <c r="BB138" s="822"/>
      <c r="BC138" s="822"/>
      <c r="BD138" s="822"/>
      <c r="BE138" s="822"/>
      <c r="BF138" s="822"/>
      <c r="BG138" s="822"/>
      <c r="BH138" s="822"/>
      <c r="BI138" s="822"/>
      <c r="BJ138" s="822"/>
      <c r="BK138" s="822"/>
      <c r="BL138" s="822"/>
      <c r="BM138" s="822"/>
      <c r="BN138" s="822"/>
      <c r="BO138" s="822"/>
      <c r="BP138" s="822"/>
      <c r="BQ138" s="822"/>
      <c r="BR138" s="822"/>
      <c r="BS138" s="822"/>
      <c r="BT138" s="822"/>
      <c r="BU138" s="822"/>
      <c r="BV138" s="822"/>
      <c r="BW138" s="822"/>
      <c r="BX138" s="822"/>
      <c r="BY138" s="822"/>
      <c r="BZ138" s="822"/>
      <c r="CA138" s="822"/>
      <c r="CB138" s="822"/>
      <c r="CC138" s="822"/>
      <c r="CD138" s="822"/>
      <c r="CE138" s="822"/>
      <c r="CF138" s="822"/>
      <c r="CG138" s="822"/>
      <c r="CH138" s="822"/>
      <c r="CI138" s="822"/>
      <c r="CJ138" s="392"/>
      <c r="CK138" s="392"/>
      <c r="CL138" s="392"/>
      <c r="CM138" s="392"/>
      <c r="CN138" s="392"/>
      <c r="CO138" s="392"/>
      <c r="CP138" s="392"/>
      <c r="CQ138" s="392"/>
      <c r="CR138" s="392"/>
      <c r="CS138" s="392"/>
      <c r="CT138" s="392"/>
      <c r="CU138" s="392"/>
      <c r="CV138" s="392"/>
      <c r="CW138" s="392"/>
      <c r="CX138" s="392"/>
      <c r="CY138" s="392"/>
      <c r="CZ138" s="392"/>
      <c r="DA138" s="392"/>
      <c r="DB138" s="392"/>
      <c r="DC138" s="392"/>
    </row>
    <row r="139" spans="1:107" s="337" customFormat="1" ht="56.25">
      <c r="A139" s="37"/>
      <c r="B139" s="638" t="s">
        <v>23</v>
      </c>
      <c r="C139" s="639" t="s">
        <v>499</v>
      </c>
      <c r="D139" s="640" t="s">
        <v>1224</v>
      </c>
      <c r="E139" s="641">
        <f>'Ref-ComSources'!$AB$10*AVERAGE('Ref-ComSources'!$F$84,'Ref-ComSources'!$F$86,'Ref-ComSources'!$F$88)</f>
        <v>551.08209536163713</v>
      </c>
      <c r="F139" s="639" t="s">
        <v>27</v>
      </c>
      <c r="G139" s="642">
        <f>'Ref-2013CSSsaturationsINT'!$F$128</f>
        <v>0.31182743504241944</v>
      </c>
      <c r="H139" s="639" t="s">
        <v>66</v>
      </c>
      <c r="I139" s="643">
        <f>'Ref-2013CSSsaturationsINT'!$J$128</f>
        <v>0.87494965178535133</v>
      </c>
      <c r="J139" s="644" t="s">
        <v>1097</v>
      </c>
      <c r="K139" s="644" t="s">
        <v>1052</v>
      </c>
      <c r="L139" s="645" t="s">
        <v>960</v>
      </c>
      <c r="M139" s="645" t="s">
        <v>92</v>
      </c>
      <c r="N139" s="646">
        <f>E139*G139*'Ref-Savings Calculations'!$E$35*Applicability</f>
        <v>20.232024559946961</v>
      </c>
      <c r="O139" s="647">
        <f>E139*G139*'Ref-Savings Calculations'!$C$99*Applicability*ControlShare</f>
        <v>43.301822340592075</v>
      </c>
      <c r="P139" s="646">
        <f>E139*G139*'Ref-Savings Calculations'!$E$36*Applicability</f>
        <v>16.496881564264442</v>
      </c>
      <c r="Q139" s="646">
        <f>E139*G139*('Ref-Savings Calculations'!$C$99-'Ref-Savings Calculations'!$C$76)*Applicability*ControlShare</f>
        <v>37.287680348843182</v>
      </c>
      <c r="R139" s="37"/>
      <c r="S139" s="639" t="s">
        <v>69</v>
      </c>
      <c r="T139" s="639" t="s">
        <v>69</v>
      </c>
      <c r="U139" s="639" t="s">
        <v>69</v>
      </c>
      <c r="V139" s="639" t="s">
        <v>69</v>
      </c>
      <c r="W139" s="639" t="s">
        <v>76</v>
      </c>
      <c r="X139" s="37"/>
      <c r="Y139" s="37"/>
      <c r="Z139" s="639" t="s">
        <v>78</v>
      </c>
      <c r="AA139" s="639" t="s">
        <v>78</v>
      </c>
      <c r="AB139" s="37"/>
      <c r="AC139" s="814">
        <f>'Ref-ComHOU'!$G$96</f>
        <v>12.202739726027396</v>
      </c>
      <c r="AD139" s="639" t="s">
        <v>72</v>
      </c>
      <c r="AE139" s="644" t="s">
        <v>73</v>
      </c>
      <c r="AF139" s="822"/>
      <c r="AG139" s="822"/>
      <c r="AH139" s="822"/>
      <c r="AI139" s="822"/>
      <c r="AJ139" s="822"/>
      <c r="AK139" s="822"/>
      <c r="AL139" s="822"/>
      <c r="AM139" s="822"/>
      <c r="AN139" s="822"/>
      <c r="AO139" s="822"/>
      <c r="AP139" s="822"/>
      <c r="AQ139" s="822"/>
      <c r="AR139" s="822"/>
      <c r="AS139" s="822"/>
      <c r="AT139" s="822"/>
      <c r="AU139" s="822"/>
      <c r="AV139" s="822"/>
      <c r="AW139" s="822"/>
      <c r="AX139" s="822"/>
      <c r="AY139" s="822"/>
      <c r="AZ139" s="822"/>
      <c r="BA139" s="822"/>
      <c r="BB139" s="822"/>
      <c r="BC139" s="822"/>
      <c r="BD139" s="822"/>
      <c r="BE139" s="822"/>
      <c r="BF139" s="822"/>
      <c r="BG139" s="822"/>
      <c r="BH139" s="822"/>
      <c r="BI139" s="822"/>
      <c r="BJ139" s="822"/>
      <c r="BK139" s="822"/>
      <c r="BL139" s="822"/>
      <c r="BM139" s="822"/>
      <c r="BN139" s="822"/>
      <c r="BO139" s="822"/>
      <c r="BP139" s="822"/>
      <c r="BQ139" s="822"/>
      <c r="BR139" s="822"/>
      <c r="BS139" s="822"/>
      <c r="BT139" s="822"/>
      <c r="BU139" s="822"/>
      <c r="BV139" s="822"/>
      <c r="BW139" s="822"/>
      <c r="BX139" s="822"/>
      <c r="BY139" s="822"/>
      <c r="BZ139" s="822"/>
      <c r="CA139" s="822"/>
      <c r="CB139" s="822"/>
      <c r="CC139" s="822"/>
      <c r="CD139" s="822"/>
      <c r="CE139" s="822"/>
      <c r="CF139" s="822"/>
      <c r="CG139" s="822"/>
      <c r="CH139" s="822"/>
      <c r="CI139" s="822"/>
      <c r="CJ139" s="392"/>
      <c r="CK139" s="392"/>
      <c r="CL139" s="392"/>
      <c r="CM139" s="392"/>
      <c r="CN139" s="392"/>
      <c r="CO139" s="392"/>
      <c r="CP139" s="392"/>
      <c r="CQ139" s="392"/>
      <c r="CR139" s="392"/>
      <c r="CS139" s="392"/>
      <c r="CT139" s="392"/>
      <c r="CU139" s="392"/>
      <c r="CV139" s="392"/>
      <c r="CW139" s="392"/>
      <c r="CX139" s="392"/>
      <c r="CY139" s="392"/>
      <c r="CZ139" s="392"/>
      <c r="DA139" s="392"/>
      <c r="DB139" s="392"/>
      <c r="DC139" s="392"/>
    </row>
    <row r="140" spans="1:107" s="337" customFormat="1" ht="56.25">
      <c r="A140" s="37"/>
      <c r="B140" s="638" t="s">
        <v>23</v>
      </c>
      <c r="C140" s="639" t="s">
        <v>499</v>
      </c>
      <c r="D140" s="640" t="s">
        <v>1224</v>
      </c>
      <c r="E140" s="641">
        <f>'Ref-ComSources'!$AB$10*AVERAGE('Ref-ComSources'!$F$84,'Ref-ComSources'!$F$86,'Ref-ComSources'!$F$88)</f>
        <v>551.08209536163713</v>
      </c>
      <c r="F140" s="639" t="s">
        <v>27</v>
      </c>
      <c r="G140" s="642">
        <f>'Ref-2013CSSsaturationsINT'!$F$128</f>
        <v>0.31182743504241944</v>
      </c>
      <c r="H140" s="639" t="s">
        <v>66</v>
      </c>
      <c r="I140" s="643">
        <f>'Ref-2013CSSsaturationsINT'!$J$128</f>
        <v>0.87494965178535133</v>
      </c>
      <c r="J140" s="644" t="s">
        <v>1097</v>
      </c>
      <c r="K140" s="644" t="s">
        <v>1052</v>
      </c>
      <c r="L140" s="645" t="s">
        <v>960</v>
      </c>
      <c r="M140" s="645" t="s">
        <v>93</v>
      </c>
      <c r="N140" s="646">
        <f>E140*G140*'Ref-Savings Calculations'!$E$35*Applicability</f>
        <v>20.232024559946961</v>
      </c>
      <c r="O140" s="647" t="s">
        <v>870</v>
      </c>
      <c r="P140" s="646">
        <f>E140*G140*'Ref-Savings Calculations'!$E$36*Applicability</f>
        <v>16.496881564264442</v>
      </c>
      <c r="Q140" s="646" t="s">
        <v>870</v>
      </c>
      <c r="R140" s="37"/>
      <c r="S140" s="639" t="s">
        <v>69</v>
      </c>
      <c r="T140" s="639" t="s">
        <v>69</v>
      </c>
      <c r="U140" s="644" t="s">
        <v>44</v>
      </c>
      <c r="V140" s="644" t="s">
        <v>75</v>
      </c>
      <c r="W140" s="639" t="s">
        <v>76</v>
      </c>
      <c r="X140" s="37"/>
      <c r="Y140" s="37"/>
      <c r="Z140" s="639" t="s">
        <v>78</v>
      </c>
      <c r="AA140" s="639" t="s">
        <v>78</v>
      </c>
      <c r="AB140" s="37"/>
      <c r="AC140" s="814">
        <f>'Ref-ComHOU'!$G$96</f>
        <v>12.202739726027396</v>
      </c>
      <c r="AD140" s="639" t="s">
        <v>72</v>
      </c>
      <c r="AE140" s="644" t="s">
        <v>73</v>
      </c>
      <c r="AF140" s="822"/>
      <c r="AG140" s="822"/>
      <c r="AH140" s="822"/>
      <c r="AI140" s="822"/>
      <c r="AJ140" s="822"/>
      <c r="AK140" s="822"/>
      <c r="AL140" s="822"/>
      <c r="AM140" s="822"/>
      <c r="AN140" s="822"/>
      <c r="AO140" s="822"/>
      <c r="AP140" s="822"/>
      <c r="AQ140" s="822"/>
      <c r="AR140" s="822"/>
      <c r="AS140" s="822"/>
      <c r="AT140" s="822"/>
      <c r="AU140" s="822"/>
      <c r="AV140" s="822"/>
      <c r="AW140" s="822"/>
      <c r="AX140" s="822"/>
      <c r="AY140" s="822"/>
      <c r="AZ140" s="822"/>
      <c r="BA140" s="822"/>
      <c r="BB140" s="822"/>
      <c r="BC140" s="822"/>
      <c r="BD140" s="822"/>
      <c r="BE140" s="822"/>
      <c r="BF140" s="822"/>
      <c r="BG140" s="822"/>
      <c r="BH140" s="822"/>
      <c r="BI140" s="822"/>
      <c r="BJ140" s="822"/>
      <c r="BK140" s="822"/>
      <c r="BL140" s="822"/>
      <c r="BM140" s="822"/>
      <c r="BN140" s="822"/>
      <c r="BO140" s="822"/>
      <c r="BP140" s="822"/>
      <c r="BQ140" s="822"/>
      <c r="BR140" s="822"/>
      <c r="BS140" s="822"/>
      <c r="BT140" s="822"/>
      <c r="BU140" s="822"/>
      <c r="BV140" s="822"/>
      <c r="BW140" s="822"/>
      <c r="BX140" s="822"/>
      <c r="BY140" s="822"/>
      <c r="BZ140" s="822"/>
      <c r="CA140" s="822"/>
      <c r="CB140" s="822"/>
      <c r="CC140" s="822"/>
      <c r="CD140" s="822"/>
      <c r="CE140" s="822"/>
      <c r="CF140" s="822"/>
      <c r="CG140" s="822"/>
      <c r="CH140" s="822"/>
      <c r="CI140" s="822"/>
      <c r="CJ140" s="392"/>
      <c r="CK140" s="392"/>
      <c r="CL140" s="392"/>
      <c r="CM140" s="392"/>
      <c r="CN140" s="392"/>
      <c r="CO140" s="392"/>
      <c r="CP140" s="392"/>
      <c r="CQ140" s="392"/>
      <c r="CR140" s="392"/>
      <c r="CS140" s="392"/>
      <c r="CT140" s="392"/>
      <c r="CU140" s="392"/>
      <c r="CV140" s="392"/>
      <c r="CW140" s="392"/>
      <c r="CX140" s="392"/>
      <c r="CY140" s="392"/>
      <c r="CZ140" s="392"/>
      <c r="DA140" s="392"/>
      <c r="DB140" s="392"/>
      <c r="DC140" s="392"/>
    </row>
    <row r="141" spans="1:107" s="337" customFormat="1" ht="56.25">
      <c r="A141" s="37"/>
      <c r="B141" s="638" t="s">
        <v>23</v>
      </c>
      <c r="C141" s="639" t="s">
        <v>499</v>
      </c>
      <c r="D141" s="640" t="s">
        <v>1224</v>
      </c>
      <c r="E141" s="641">
        <f>'Ref-ComSources'!$AB$10*AVERAGE('Ref-ComSources'!$F$84,'Ref-ComSources'!$F$86,'Ref-ComSources'!$F$88)</f>
        <v>551.08209536163713</v>
      </c>
      <c r="F141" s="639" t="s">
        <v>27</v>
      </c>
      <c r="G141" s="642">
        <f>'Ref-2013CSSsaturationsINT'!$F$128</f>
        <v>0.31182743504241944</v>
      </c>
      <c r="H141" s="639" t="s">
        <v>66</v>
      </c>
      <c r="I141" s="643">
        <f>'Ref-2013CSSsaturationsINT'!$J$128</f>
        <v>0.87494965178535133</v>
      </c>
      <c r="J141" s="644" t="s">
        <v>1097</v>
      </c>
      <c r="K141" s="644" t="s">
        <v>1052</v>
      </c>
      <c r="L141" s="645" t="s">
        <v>15</v>
      </c>
      <c r="M141" s="645" t="s">
        <v>88</v>
      </c>
      <c r="N141" s="646">
        <f>E141*G141*'Ref-Savings Calculations'!$E$39*Applicability</f>
        <v>35.186800955524369</v>
      </c>
      <c r="O141" s="647" t="s">
        <v>870</v>
      </c>
      <c r="P141" s="646">
        <f>E141*G141*'Ref-Savings Calculations'!$E$40*Applicability</f>
        <v>30.072440351523728</v>
      </c>
      <c r="Q141" s="646" t="s">
        <v>870</v>
      </c>
      <c r="R141" s="37"/>
      <c r="S141" s="639" t="s">
        <v>44</v>
      </c>
      <c r="T141" s="639" t="s">
        <v>63</v>
      </c>
      <c r="U141" s="639" t="s">
        <v>69</v>
      </c>
      <c r="V141" s="639" t="s">
        <v>69</v>
      </c>
      <c r="W141" s="639" t="s">
        <v>76</v>
      </c>
      <c r="X141" s="37"/>
      <c r="Y141" s="37"/>
      <c r="Z141" s="639" t="s">
        <v>78</v>
      </c>
      <c r="AA141" s="639" t="s">
        <v>78</v>
      </c>
      <c r="AB141" s="37"/>
      <c r="AC141" s="814">
        <f>'Ref-ComHOU'!$G$96</f>
        <v>12.202739726027396</v>
      </c>
      <c r="AD141" s="639" t="s">
        <v>72</v>
      </c>
      <c r="AE141" s="644" t="s">
        <v>73</v>
      </c>
      <c r="AF141" s="822"/>
      <c r="AG141" s="822"/>
      <c r="AH141" s="822"/>
      <c r="AI141" s="822"/>
      <c r="AJ141" s="822"/>
      <c r="AK141" s="822"/>
      <c r="AL141" s="822"/>
      <c r="AM141" s="822"/>
      <c r="AN141" s="822"/>
      <c r="AO141" s="822"/>
      <c r="AP141" s="822"/>
      <c r="AQ141" s="822"/>
      <c r="AR141" s="822"/>
      <c r="AS141" s="822"/>
      <c r="AT141" s="822"/>
      <c r="AU141" s="822"/>
      <c r="AV141" s="822"/>
      <c r="AW141" s="822"/>
      <c r="AX141" s="822"/>
      <c r="AY141" s="822"/>
      <c r="AZ141" s="822"/>
      <c r="BA141" s="822"/>
      <c r="BB141" s="822"/>
      <c r="BC141" s="822"/>
      <c r="BD141" s="822"/>
      <c r="BE141" s="822"/>
      <c r="BF141" s="822"/>
      <c r="BG141" s="822"/>
      <c r="BH141" s="822"/>
      <c r="BI141" s="822"/>
      <c r="BJ141" s="822"/>
      <c r="BK141" s="822"/>
      <c r="BL141" s="822"/>
      <c r="BM141" s="822"/>
      <c r="BN141" s="822"/>
      <c r="BO141" s="822"/>
      <c r="BP141" s="822"/>
      <c r="BQ141" s="822"/>
      <c r="BR141" s="822"/>
      <c r="BS141" s="822"/>
      <c r="BT141" s="822"/>
      <c r="BU141" s="822"/>
      <c r="BV141" s="822"/>
      <c r="BW141" s="822"/>
      <c r="BX141" s="822"/>
      <c r="BY141" s="822"/>
      <c r="BZ141" s="822"/>
      <c r="CA141" s="822"/>
      <c r="CB141" s="822"/>
      <c r="CC141" s="822"/>
      <c r="CD141" s="822"/>
      <c r="CE141" s="822"/>
      <c r="CF141" s="822"/>
      <c r="CG141" s="822"/>
      <c r="CH141" s="822"/>
      <c r="CI141" s="822"/>
      <c r="CJ141" s="392"/>
      <c r="CK141" s="392"/>
      <c r="CL141" s="392"/>
      <c r="CM141" s="392"/>
      <c r="CN141" s="392"/>
      <c r="CO141" s="392"/>
      <c r="CP141" s="392"/>
      <c r="CQ141" s="392"/>
      <c r="CR141" s="392"/>
      <c r="CS141" s="392"/>
      <c r="CT141" s="392"/>
      <c r="CU141" s="392"/>
      <c r="CV141" s="392"/>
      <c r="CW141" s="392"/>
      <c r="CX141" s="392"/>
      <c r="CY141" s="392"/>
      <c r="CZ141" s="392"/>
      <c r="DA141" s="392"/>
      <c r="DB141" s="392"/>
      <c r="DC141" s="392"/>
    </row>
    <row r="142" spans="1:107" s="337" customFormat="1" ht="56.25">
      <c r="A142" s="37"/>
      <c r="B142" s="638" t="s">
        <v>23</v>
      </c>
      <c r="C142" s="639" t="s">
        <v>499</v>
      </c>
      <c r="D142" s="640" t="s">
        <v>1224</v>
      </c>
      <c r="E142" s="641">
        <f>'Ref-ComSources'!$AB$10*AVERAGE('Ref-ComSources'!$F$84,'Ref-ComSources'!$F$86,'Ref-ComSources'!$F$88)</f>
        <v>551.08209536163713</v>
      </c>
      <c r="F142" s="639" t="s">
        <v>27</v>
      </c>
      <c r="G142" s="642">
        <f>'Ref-2013CSSsaturationsINT'!$F$128</f>
        <v>0.31182743504241944</v>
      </c>
      <c r="H142" s="639" t="s">
        <v>66</v>
      </c>
      <c r="I142" s="643">
        <f>'Ref-2013CSSsaturationsINT'!$J$128</f>
        <v>0.87494965178535133</v>
      </c>
      <c r="J142" s="644" t="s">
        <v>1097</v>
      </c>
      <c r="K142" s="644" t="s">
        <v>1052</v>
      </c>
      <c r="L142" s="645" t="s">
        <v>15</v>
      </c>
      <c r="M142" s="645" t="s">
        <v>90</v>
      </c>
      <c r="N142" s="646">
        <f>E142*G142*'Ref-Savings Calculations'!$E$39*Applicability</f>
        <v>35.186800955524369</v>
      </c>
      <c r="O142" s="647" t="s">
        <v>870</v>
      </c>
      <c r="P142" s="646">
        <f>E142*G142*'Ref-Savings Calculations'!$E$40*Applicability</f>
        <v>30.072440351523728</v>
      </c>
      <c r="Q142" s="646" t="s">
        <v>870</v>
      </c>
      <c r="R142" s="37"/>
      <c r="S142" s="639" t="s">
        <v>44</v>
      </c>
      <c r="T142" s="639" t="s">
        <v>63</v>
      </c>
      <c r="U142" s="639" t="s">
        <v>69</v>
      </c>
      <c r="V142" s="639" t="s">
        <v>69</v>
      </c>
      <c r="W142" s="639" t="s">
        <v>76</v>
      </c>
      <c r="X142" s="37"/>
      <c r="Y142" s="37"/>
      <c r="Z142" s="639" t="s">
        <v>78</v>
      </c>
      <c r="AA142" s="639" t="s">
        <v>78</v>
      </c>
      <c r="AB142" s="37"/>
      <c r="AC142" s="814">
        <f>'Ref-ComHOU'!$G$96</f>
        <v>12.202739726027396</v>
      </c>
      <c r="AD142" s="639" t="s">
        <v>72</v>
      </c>
      <c r="AE142" s="644" t="s">
        <v>73</v>
      </c>
      <c r="AF142" s="822"/>
      <c r="AG142" s="822"/>
      <c r="AH142" s="822"/>
      <c r="AI142" s="822"/>
      <c r="AJ142" s="822"/>
      <c r="AK142" s="822"/>
      <c r="AL142" s="822"/>
      <c r="AM142" s="822"/>
      <c r="AN142" s="822"/>
      <c r="AO142" s="822"/>
      <c r="AP142" s="822"/>
      <c r="AQ142" s="822"/>
      <c r="AR142" s="822"/>
      <c r="AS142" s="822"/>
      <c r="AT142" s="822"/>
      <c r="AU142" s="822"/>
      <c r="AV142" s="822"/>
      <c r="AW142" s="822"/>
      <c r="AX142" s="822"/>
      <c r="AY142" s="822"/>
      <c r="AZ142" s="822"/>
      <c r="BA142" s="822"/>
      <c r="BB142" s="822"/>
      <c r="BC142" s="822"/>
      <c r="BD142" s="822"/>
      <c r="BE142" s="822"/>
      <c r="BF142" s="822"/>
      <c r="BG142" s="822"/>
      <c r="BH142" s="822"/>
      <c r="BI142" s="822"/>
      <c r="BJ142" s="822"/>
      <c r="BK142" s="822"/>
      <c r="BL142" s="822"/>
      <c r="BM142" s="822"/>
      <c r="BN142" s="822"/>
      <c r="BO142" s="822"/>
      <c r="BP142" s="822"/>
      <c r="BQ142" s="822"/>
      <c r="BR142" s="822"/>
      <c r="BS142" s="822"/>
      <c r="BT142" s="822"/>
      <c r="BU142" s="822"/>
      <c r="BV142" s="822"/>
      <c r="BW142" s="822"/>
      <c r="BX142" s="822"/>
      <c r="BY142" s="822"/>
      <c r="BZ142" s="822"/>
      <c r="CA142" s="822"/>
      <c r="CB142" s="822"/>
      <c r="CC142" s="822"/>
      <c r="CD142" s="822"/>
      <c r="CE142" s="822"/>
      <c r="CF142" s="822"/>
      <c r="CG142" s="822"/>
      <c r="CH142" s="822"/>
      <c r="CI142" s="822"/>
      <c r="CJ142" s="392"/>
      <c r="CK142" s="392"/>
      <c r="CL142" s="392"/>
      <c r="CM142" s="392"/>
      <c r="CN142" s="392"/>
      <c r="CO142" s="392"/>
      <c r="CP142" s="392"/>
      <c r="CQ142" s="392"/>
      <c r="CR142" s="392"/>
      <c r="CS142" s="392"/>
      <c r="CT142" s="392"/>
      <c r="CU142" s="392"/>
      <c r="CV142" s="392"/>
      <c r="CW142" s="392"/>
      <c r="CX142" s="392"/>
      <c r="CY142" s="392"/>
      <c r="CZ142" s="392"/>
      <c r="DA142" s="392"/>
      <c r="DB142" s="392"/>
      <c r="DC142" s="392"/>
    </row>
    <row r="143" spans="1:107" s="337" customFormat="1" ht="56.25">
      <c r="A143" s="37"/>
      <c r="B143" s="638" t="s">
        <v>23</v>
      </c>
      <c r="C143" s="639" t="s">
        <v>499</v>
      </c>
      <c r="D143" s="640" t="s">
        <v>1224</v>
      </c>
      <c r="E143" s="641">
        <f>'Ref-ComSources'!$AB$10*AVERAGE('Ref-ComSources'!$F$84,'Ref-ComSources'!$F$86,'Ref-ComSources'!$F$88)</f>
        <v>551.08209536163713</v>
      </c>
      <c r="F143" s="639" t="s">
        <v>27</v>
      </c>
      <c r="G143" s="642">
        <f>'Ref-2013CSSsaturationsINT'!$F$128</f>
        <v>0.31182743504241944</v>
      </c>
      <c r="H143" s="639" t="s">
        <v>66</v>
      </c>
      <c r="I143" s="643">
        <f>'Ref-2013CSSsaturationsINT'!$J$128</f>
        <v>0.87494965178535133</v>
      </c>
      <c r="J143" s="644" t="s">
        <v>1097</v>
      </c>
      <c r="K143" s="644" t="s">
        <v>1052</v>
      </c>
      <c r="L143" s="645" t="s">
        <v>15</v>
      </c>
      <c r="M143" s="645" t="s">
        <v>92</v>
      </c>
      <c r="N143" s="646">
        <f>E143*G143*'Ref-Savings Calculations'!$E$39*Applicability</f>
        <v>35.186800955524369</v>
      </c>
      <c r="O143" s="647">
        <f>E143*G143*'Ref-Savings Calculations'!$C$99*Applicability*ControlShare</f>
        <v>43.301822340592075</v>
      </c>
      <c r="P143" s="646">
        <f>E143*G143*'Ref-Savings Calculations'!$E$40*Applicability</f>
        <v>30.072440351523728</v>
      </c>
      <c r="Q143" s="646">
        <f>E143*G143*('Ref-Savings Calculations'!$C$99-'Ref-Savings Calculations'!$C$76)*Applicability*ControlShare</f>
        <v>37.287680348843182</v>
      </c>
      <c r="R143" s="37"/>
      <c r="S143" s="639" t="s">
        <v>44</v>
      </c>
      <c r="T143" s="639" t="s">
        <v>63</v>
      </c>
      <c r="U143" s="639" t="s">
        <v>69</v>
      </c>
      <c r="V143" s="639" t="s">
        <v>69</v>
      </c>
      <c r="W143" s="639" t="s">
        <v>76</v>
      </c>
      <c r="X143" s="37"/>
      <c r="Y143" s="37"/>
      <c r="Z143" s="639" t="s">
        <v>78</v>
      </c>
      <c r="AA143" s="639" t="s">
        <v>78</v>
      </c>
      <c r="AB143" s="37"/>
      <c r="AC143" s="814">
        <f>'Ref-ComHOU'!$G$96</f>
        <v>12.202739726027396</v>
      </c>
      <c r="AD143" s="639" t="s">
        <v>72</v>
      </c>
      <c r="AE143" s="644" t="s">
        <v>73</v>
      </c>
      <c r="AF143" s="822"/>
      <c r="AG143" s="822"/>
      <c r="AH143" s="822"/>
      <c r="AI143" s="822"/>
      <c r="AJ143" s="822"/>
      <c r="AK143" s="822"/>
      <c r="AL143" s="822"/>
      <c r="AM143" s="822"/>
      <c r="AN143" s="822"/>
      <c r="AO143" s="822"/>
      <c r="AP143" s="822"/>
      <c r="AQ143" s="822"/>
      <c r="AR143" s="822"/>
      <c r="AS143" s="822"/>
      <c r="AT143" s="822"/>
      <c r="AU143" s="822"/>
      <c r="AV143" s="822"/>
      <c r="AW143" s="822"/>
      <c r="AX143" s="822"/>
      <c r="AY143" s="822"/>
      <c r="AZ143" s="822"/>
      <c r="BA143" s="822"/>
      <c r="BB143" s="822"/>
      <c r="BC143" s="822"/>
      <c r="BD143" s="822"/>
      <c r="BE143" s="822"/>
      <c r="BF143" s="822"/>
      <c r="BG143" s="822"/>
      <c r="BH143" s="822"/>
      <c r="BI143" s="822"/>
      <c r="BJ143" s="822"/>
      <c r="BK143" s="822"/>
      <c r="BL143" s="822"/>
      <c r="BM143" s="822"/>
      <c r="BN143" s="822"/>
      <c r="BO143" s="822"/>
      <c r="BP143" s="822"/>
      <c r="BQ143" s="822"/>
      <c r="BR143" s="822"/>
      <c r="BS143" s="822"/>
      <c r="BT143" s="822"/>
      <c r="BU143" s="822"/>
      <c r="BV143" s="822"/>
      <c r="BW143" s="822"/>
      <c r="BX143" s="822"/>
      <c r="BY143" s="822"/>
      <c r="BZ143" s="822"/>
      <c r="CA143" s="822"/>
      <c r="CB143" s="822"/>
      <c r="CC143" s="822"/>
      <c r="CD143" s="822"/>
      <c r="CE143" s="822"/>
      <c r="CF143" s="822"/>
      <c r="CG143" s="822"/>
      <c r="CH143" s="822"/>
      <c r="CI143" s="822"/>
      <c r="CJ143" s="392"/>
      <c r="CK143" s="392"/>
      <c r="CL143" s="392"/>
      <c r="CM143" s="392"/>
      <c r="CN143" s="392"/>
      <c r="CO143" s="392"/>
      <c r="CP143" s="392"/>
      <c r="CQ143" s="392"/>
      <c r="CR143" s="392"/>
      <c r="CS143" s="392"/>
      <c r="CT143" s="392"/>
      <c r="CU143" s="392"/>
      <c r="CV143" s="392"/>
      <c r="CW143" s="392"/>
      <c r="CX143" s="392"/>
      <c r="CY143" s="392"/>
      <c r="CZ143" s="392"/>
      <c r="DA143" s="392"/>
      <c r="DB143" s="392"/>
      <c r="DC143" s="392"/>
    </row>
    <row r="144" spans="1:107" s="337" customFormat="1" ht="56.25">
      <c r="A144" s="37"/>
      <c r="B144" s="638" t="s">
        <v>23</v>
      </c>
      <c r="C144" s="639" t="s">
        <v>499</v>
      </c>
      <c r="D144" s="640" t="s">
        <v>1224</v>
      </c>
      <c r="E144" s="641">
        <f>'Ref-ComSources'!$AB$10*AVERAGE('Ref-ComSources'!$F$84,'Ref-ComSources'!$F$86,'Ref-ComSources'!$F$88)</f>
        <v>551.08209536163713</v>
      </c>
      <c r="F144" s="639" t="s">
        <v>27</v>
      </c>
      <c r="G144" s="642">
        <f>'Ref-2013CSSsaturationsINT'!$F$128</f>
        <v>0.31182743504241944</v>
      </c>
      <c r="H144" s="639" t="s">
        <v>66</v>
      </c>
      <c r="I144" s="643">
        <f>'Ref-2013CSSsaturationsINT'!$J$128</f>
        <v>0.87494965178535133</v>
      </c>
      <c r="J144" s="644" t="s">
        <v>1097</v>
      </c>
      <c r="K144" s="644" t="s">
        <v>1052</v>
      </c>
      <c r="L144" s="645" t="s">
        <v>15</v>
      </c>
      <c r="M144" s="645" t="s">
        <v>93</v>
      </c>
      <c r="N144" s="646">
        <f>E144*G144*'Ref-Savings Calculations'!$E$39*Applicability</f>
        <v>35.186800955524369</v>
      </c>
      <c r="O144" s="647" t="s">
        <v>870</v>
      </c>
      <c r="P144" s="646">
        <f>E144*G144*'Ref-Savings Calculations'!$E$40*Applicability</f>
        <v>30.072440351523728</v>
      </c>
      <c r="Q144" s="646" t="s">
        <v>870</v>
      </c>
      <c r="R144" s="37"/>
      <c r="S144" s="639" t="s">
        <v>44</v>
      </c>
      <c r="T144" s="639" t="s">
        <v>63</v>
      </c>
      <c r="U144" s="644" t="s">
        <v>44</v>
      </c>
      <c r="V144" s="644" t="s">
        <v>75</v>
      </c>
      <c r="W144" s="639" t="s">
        <v>76</v>
      </c>
      <c r="X144" s="37"/>
      <c r="Y144" s="37"/>
      <c r="Z144" s="639" t="s">
        <v>78</v>
      </c>
      <c r="AA144" s="639" t="s">
        <v>78</v>
      </c>
      <c r="AB144" s="37"/>
      <c r="AC144" s="814">
        <f>'Ref-ComHOU'!$G$96</f>
        <v>12.202739726027396</v>
      </c>
      <c r="AD144" s="639" t="s">
        <v>72</v>
      </c>
      <c r="AE144" s="644" t="s">
        <v>73</v>
      </c>
      <c r="AF144" s="822"/>
      <c r="AG144" s="822"/>
      <c r="AH144" s="822"/>
      <c r="AI144" s="822"/>
      <c r="AJ144" s="822"/>
      <c r="AK144" s="822"/>
      <c r="AL144" s="822"/>
      <c r="AM144" s="822"/>
      <c r="AN144" s="822"/>
      <c r="AO144" s="822"/>
      <c r="AP144" s="822"/>
      <c r="AQ144" s="822"/>
      <c r="AR144" s="822"/>
      <c r="AS144" s="822"/>
      <c r="AT144" s="822"/>
      <c r="AU144" s="822"/>
      <c r="AV144" s="822"/>
      <c r="AW144" s="822"/>
      <c r="AX144" s="822"/>
      <c r="AY144" s="822"/>
      <c r="AZ144" s="822"/>
      <c r="BA144" s="822"/>
      <c r="BB144" s="822"/>
      <c r="BC144" s="822"/>
      <c r="BD144" s="822"/>
      <c r="BE144" s="822"/>
      <c r="BF144" s="822"/>
      <c r="BG144" s="822"/>
      <c r="BH144" s="822"/>
      <c r="BI144" s="822"/>
      <c r="BJ144" s="822"/>
      <c r="BK144" s="822"/>
      <c r="BL144" s="822"/>
      <c r="BM144" s="822"/>
      <c r="BN144" s="822"/>
      <c r="BO144" s="822"/>
      <c r="BP144" s="822"/>
      <c r="BQ144" s="822"/>
      <c r="BR144" s="822"/>
      <c r="BS144" s="822"/>
      <c r="BT144" s="822"/>
      <c r="BU144" s="822"/>
      <c r="BV144" s="822"/>
      <c r="BW144" s="822"/>
      <c r="BX144" s="822"/>
      <c r="BY144" s="822"/>
      <c r="BZ144" s="822"/>
      <c r="CA144" s="822"/>
      <c r="CB144" s="822"/>
      <c r="CC144" s="822"/>
      <c r="CD144" s="822"/>
      <c r="CE144" s="822"/>
      <c r="CF144" s="822"/>
      <c r="CG144" s="822"/>
      <c r="CH144" s="822"/>
      <c r="CI144" s="822"/>
      <c r="CJ144" s="392"/>
      <c r="CK144" s="392"/>
      <c r="CL144" s="392"/>
      <c r="CM144" s="392"/>
      <c r="CN144" s="392"/>
      <c r="CO144" s="392"/>
      <c r="CP144" s="392"/>
      <c r="CQ144" s="392"/>
      <c r="CR144" s="392"/>
      <c r="CS144" s="392"/>
      <c r="CT144" s="392"/>
      <c r="CU144" s="392"/>
      <c r="CV144" s="392"/>
      <c r="CW144" s="392"/>
      <c r="CX144" s="392"/>
      <c r="CY144" s="392"/>
      <c r="CZ144" s="392"/>
      <c r="DA144" s="392"/>
      <c r="DB144" s="392"/>
      <c r="DC144" s="392"/>
    </row>
    <row r="145" spans="1:107" s="337" customFormat="1" ht="24">
      <c r="A145" s="37"/>
      <c r="B145" s="638" t="s">
        <v>23</v>
      </c>
      <c r="C145" s="639" t="s">
        <v>499</v>
      </c>
      <c r="D145" s="640" t="s">
        <v>1224</v>
      </c>
      <c r="E145" s="641">
        <f>'Ref-ComSources'!$AB$10*AVERAGE('Ref-ComSources'!$F$84,'Ref-ComSources'!$F$86,'Ref-ComSources'!$F$88)</f>
        <v>551.08209536163713</v>
      </c>
      <c r="F145" s="639" t="s">
        <v>846</v>
      </c>
      <c r="G145" s="642">
        <f>'Ref-2013CSSsaturationsINT'!$F$129</f>
        <v>0.38404881355199783</v>
      </c>
      <c r="H145" s="639" t="s">
        <v>66</v>
      </c>
      <c r="I145" s="643">
        <f>'Ref-2013CSSsaturationsINT'!$J$129</f>
        <v>0.90257546234868891</v>
      </c>
      <c r="J145" s="644" t="s">
        <v>25</v>
      </c>
      <c r="K145" s="644" t="s">
        <v>1052</v>
      </c>
      <c r="L145" s="645" t="s">
        <v>95</v>
      </c>
      <c r="M145" s="645" t="s">
        <v>88</v>
      </c>
      <c r="N145" s="646">
        <f>E145*G145*'Ref-Savings Calculations'!$E$9*Applicability</f>
        <v>134.04020243247757</v>
      </c>
      <c r="O145" s="647" t="s">
        <v>870</v>
      </c>
      <c r="P145" s="646">
        <f>E145*G145*'Ref-Savings Calculations'!$E$9*Applicability</f>
        <v>134.04020243247757</v>
      </c>
      <c r="Q145" s="647" t="s">
        <v>870</v>
      </c>
      <c r="R145" s="37"/>
      <c r="S145" s="639" t="s">
        <v>44</v>
      </c>
      <c r="T145" s="644" t="s">
        <v>63</v>
      </c>
      <c r="U145" s="639" t="s">
        <v>69</v>
      </c>
      <c r="V145" s="639" t="s">
        <v>69</v>
      </c>
      <c r="W145" s="639" t="s">
        <v>76</v>
      </c>
      <c r="X145" s="37"/>
      <c r="Y145" s="37"/>
      <c r="Z145" s="639" t="s">
        <v>78</v>
      </c>
      <c r="AA145" s="639" t="s">
        <v>78</v>
      </c>
      <c r="AB145" s="37"/>
      <c r="AC145" s="814">
        <f>'Ref-ComHOU'!$G$96</f>
        <v>12.202739726027396</v>
      </c>
      <c r="AD145" s="639" t="s">
        <v>72</v>
      </c>
      <c r="AE145" s="644" t="s">
        <v>73</v>
      </c>
      <c r="AF145" s="822"/>
      <c r="AG145" s="822"/>
      <c r="AH145" s="822"/>
      <c r="AI145" s="822"/>
      <c r="AJ145" s="822"/>
      <c r="AK145" s="822"/>
      <c r="AL145" s="822"/>
      <c r="AM145" s="822"/>
      <c r="AN145" s="822"/>
      <c r="AO145" s="822"/>
      <c r="AP145" s="822"/>
      <c r="AQ145" s="822"/>
      <c r="AR145" s="822"/>
      <c r="AS145" s="822"/>
      <c r="AT145" s="822"/>
      <c r="AU145" s="822"/>
      <c r="AV145" s="822"/>
      <c r="AW145" s="822"/>
      <c r="AX145" s="822"/>
      <c r="AY145" s="822"/>
      <c r="AZ145" s="822"/>
      <c r="BA145" s="822"/>
      <c r="BB145" s="822"/>
      <c r="BC145" s="822"/>
      <c r="BD145" s="822"/>
      <c r="BE145" s="822"/>
      <c r="BF145" s="822"/>
      <c r="BG145" s="822"/>
      <c r="BH145" s="822"/>
      <c r="BI145" s="822"/>
      <c r="BJ145" s="822"/>
      <c r="BK145" s="822"/>
      <c r="BL145" s="822"/>
      <c r="BM145" s="822"/>
      <c r="BN145" s="822"/>
      <c r="BO145" s="822"/>
      <c r="BP145" s="822"/>
      <c r="BQ145" s="822"/>
      <c r="BR145" s="822"/>
      <c r="BS145" s="822"/>
      <c r="BT145" s="822"/>
      <c r="BU145" s="822"/>
      <c r="BV145" s="822"/>
      <c r="BW145" s="822"/>
      <c r="BX145" s="822"/>
      <c r="BY145" s="822"/>
      <c r="BZ145" s="822"/>
      <c r="CA145" s="822"/>
      <c r="CB145" s="822"/>
      <c r="CC145" s="822"/>
      <c r="CD145" s="822"/>
      <c r="CE145" s="822"/>
      <c r="CF145" s="822"/>
      <c r="CG145" s="822"/>
      <c r="CH145" s="822"/>
      <c r="CI145" s="822"/>
      <c r="CJ145" s="392"/>
      <c r="CK145" s="392"/>
      <c r="CL145" s="392"/>
      <c r="CM145" s="392"/>
      <c r="CN145" s="392"/>
      <c r="CO145" s="392"/>
      <c r="CP145" s="392"/>
      <c r="CQ145" s="392"/>
      <c r="CR145" s="392"/>
      <c r="CS145" s="392"/>
      <c r="CT145" s="392"/>
      <c r="CU145" s="392"/>
      <c r="CV145" s="392"/>
      <c r="CW145" s="392"/>
      <c r="CX145" s="392"/>
      <c r="CY145" s="392"/>
      <c r="CZ145" s="392"/>
      <c r="DA145" s="392"/>
      <c r="DB145" s="392"/>
      <c r="DC145" s="392"/>
    </row>
    <row r="146" spans="1:107" s="337" customFormat="1" ht="24">
      <c r="A146" s="37"/>
      <c r="B146" s="638" t="s">
        <v>23</v>
      </c>
      <c r="C146" s="639" t="s">
        <v>499</v>
      </c>
      <c r="D146" s="640" t="s">
        <v>1224</v>
      </c>
      <c r="E146" s="641">
        <f>'Ref-ComSources'!$AB$10*AVERAGE('Ref-ComSources'!$F$84,'Ref-ComSources'!$F$86,'Ref-ComSources'!$F$88)</f>
        <v>551.08209536163713</v>
      </c>
      <c r="F146" s="639" t="s">
        <v>846</v>
      </c>
      <c r="G146" s="642">
        <f>'Ref-2013CSSsaturationsINT'!$F$129</f>
        <v>0.38404881355199783</v>
      </c>
      <c r="H146" s="639" t="s">
        <v>66</v>
      </c>
      <c r="I146" s="643">
        <f>'Ref-2013CSSsaturationsINT'!$J$129</f>
        <v>0.90257546234868891</v>
      </c>
      <c r="J146" s="644" t="s">
        <v>25</v>
      </c>
      <c r="K146" s="644" t="s">
        <v>1052</v>
      </c>
      <c r="L146" s="645" t="s">
        <v>95</v>
      </c>
      <c r="M146" s="645" t="s">
        <v>90</v>
      </c>
      <c r="N146" s="646">
        <f>E146*G146*'Ref-Savings Calculations'!$E$9*Applicability</f>
        <v>134.04020243247757</v>
      </c>
      <c r="O146" s="647" t="s">
        <v>870</v>
      </c>
      <c r="P146" s="646">
        <f>E146*G146*'Ref-Savings Calculations'!$E$9*Applicability</f>
        <v>134.04020243247757</v>
      </c>
      <c r="Q146" s="647" t="s">
        <v>870</v>
      </c>
      <c r="R146" s="37"/>
      <c r="S146" s="639" t="s">
        <v>44</v>
      </c>
      <c r="T146" s="644" t="s">
        <v>63</v>
      </c>
      <c r="U146" s="639" t="s">
        <v>69</v>
      </c>
      <c r="V146" s="639" t="s">
        <v>69</v>
      </c>
      <c r="W146" s="639" t="s">
        <v>76</v>
      </c>
      <c r="X146" s="37"/>
      <c r="Y146" s="37"/>
      <c r="Z146" s="639" t="s">
        <v>78</v>
      </c>
      <c r="AA146" s="639" t="s">
        <v>78</v>
      </c>
      <c r="AB146" s="37"/>
      <c r="AC146" s="814">
        <f>'Ref-ComHOU'!$G$96</f>
        <v>12.202739726027396</v>
      </c>
      <c r="AD146" s="639" t="s">
        <v>72</v>
      </c>
      <c r="AE146" s="644" t="s">
        <v>73</v>
      </c>
      <c r="AF146" s="822"/>
      <c r="AG146" s="822"/>
      <c r="AH146" s="822"/>
      <c r="AI146" s="822"/>
      <c r="AJ146" s="822"/>
      <c r="AK146" s="822"/>
      <c r="AL146" s="822"/>
      <c r="AM146" s="822"/>
      <c r="AN146" s="822"/>
      <c r="AO146" s="822"/>
      <c r="AP146" s="822"/>
      <c r="AQ146" s="822"/>
      <c r="AR146" s="822"/>
      <c r="AS146" s="822"/>
      <c r="AT146" s="822"/>
      <c r="AU146" s="822"/>
      <c r="AV146" s="822"/>
      <c r="AW146" s="822"/>
      <c r="AX146" s="822"/>
      <c r="AY146" s="822"/>
      <c r="AZ146" s="822"/>
      <c r="BA146" s="822"/>
      <c r="BB146" s="822"/>
      <c r="BC146" s="822"/>
      <c r="BD146" s="822"/>
      <c r="BE146" s="822"/>
      <c r="BF146" s="822"/>
      <c r="BG146" s="822"/>
      <c r="BH146" s="822"/>
      <c r="BI146" s="822"/>
      <c r="BJ146" s="822"/>
      <c r="BK146" s="822"/>
      <c r="BL146" s="822"/>
      <c r="BM146" s="822"/>
      <c r="BN146" s="822"/>
      <c r="BO146" s="822"/>
      <c r="BP146" s="822"/>
      <c r="BQ146" s="822"/>
      <c r="BR146" s="822"/>
      <c r="BS146" s="822"/>
      <c r="BT146" s="822"/>
      <c r="BU146" s="822"/>
      <c r="BV146" s="822"/>
      <c r="BW146" s="822"/>
      <c r="BX146" s="822"/>
      <c r="BY146" s="822"/>
      <c r="BZ146" s="822"/>
      <c r="CA146" s="822"/>
      <c r="CB146" s="822"/>
      <c r="CC146" s="822"/>
      <c r="CD146" s="822"/>
      <c r="CE146" s="822"/>
      <c r="CF146" s="822"/>
      <c r="CG146" s="822"/>
      <c r="CH146" s="822"/>
      <c r="CI146" s="822"/>
      <c r="CJ146" s="392"/>
      <c r="CK146" s="392"/>
      <c r="CL146" s="392"/>
      <c r="CM146" s="392"/>
      <c r="CN146" s="392"/>
      <c r="CO146" s="392"/>
      <c r="CP146" s="392"/>
      <c r="CQ146" s="392"/>
      <c r="CR146" s="392"/>
      <c r="CS146" s="392"/>
      <c r="CT146" s="392"/>
      <c r="CU146" s="392"/>
      <c r="CV146" s="392"/>
      <c r="CW146" s="392"/>
      <c r="CX146" s="392"/>
      <c r="CY146" s="392"/>
      <c r="CZ146" s="392"/>
      <c r="DA146" s="392"/>
      <c r="DB146" s="392"/>
      <c r="DC146" s="392"/>
    </row>
    <row r="147" spans="1:107" s="337" customFormat="1" ht="24">
      <c r="A147" s="37"/>
      <c r="B147" s="638" t="s">
        <v>23</v>
      </c>
      <c r="C147" s="639" t="s">
        <v>499</v>
      </c>
      <c r="D147" s="640" t="s">
        <v>1224</v>
      </c>
      <c r="E147" s="641">
        <f>'Ref-ComSources'!$AB$10*AVERAGE('Ref-ComSources'!$F$84,'Ref-ComSources'!$F$86,'Ref-ComSources'!$F$88)</f>
        <v>551.08209536163713</v>
      </c>
      <c r="F147" s="639" t="s">
        <v>846</v>
      </c>
      <c r="G147" s="642">
        <f>'Ref-2013CSSsaturationsINT'!$F$129</f>
        <v>0.38404881355199783</v>
      </c>
      <c r="H147" s="639" t="s">
        <v>66</v>
      </c>
      <c r="I147" s="643">
        <f>'Ref-2013CSSsaturationsINT'!$J$129</f>
        <v>0.90257546234868891</v>
      </c>
      <c r="J147" s="644" t="s">
        <v>25</v>
      </c>
      <c r="K147" s="644" t="s">
        <v>1052</v>
      </c>
      <c r="L147" s="645" t="s">
        <v>95</v>
      </c>
      <c r="M147" s="645" t="s">
        <v>92</v>
      </c>
      <c r="N147" s="646">
        <f>E147*G147*'Ref-Savings Calculations'!$E$9*Applicability</f>
        <v>134.04020243247757</v>
      </c>
      <c r="O147" s="647">
        <f>E147*G147*'Ref-Savings Calculations'!$C$99*Applicability*ControlShare</f>
        <v>55.014698736214626</v>
      </c>
      <c r="P147" s="646">
        <f>E147*G147*'Ref-Savings Calculations'!$E$9*Applicability</f>
        <v>134.04020243247757</v>
      </c>
      <c r="Q147" s="646">
        <f>E147*G147*('Ref-Savings Calculations'!$C$99-'Ref-Savings Calculations'!$C$76)*Applicability*ControlShare</f>
        <v>47.373768356184819</v>
      </c>
      <c r="R147" s="37"/>
      <c r="S147" s="639" t="s">
        <v>44</v>
      </c>
      <c r="T147" s="644" t="s">
        <v>63</v>
      </c>
      <c r="U147" s="639" t="s">
        <v>69</v>
      </c>
      <c r="V147" s="639" t="s">
        <v>69</v>
      </c>
      <c r="W147" s="639" t="s">
        <v>76</v>
      </c>
      <c r="X147" s="37"/>
      <c r="Y147" s="37"/>
      <c r="Z147" s="639" t="s">
        <v>78</v>
      </c>
      <c r="AA147" s="639" t="s">
        <v>78</v>
      </c>
      <c r="AB147" s="37"/>
      <c r="AC147" s="814">
        <f>'Ref-ComHOU'!$G$96</f>
        <v>12.202739726027396</v>
      </c>
      <c r="AD147" s="639" t="s">
        <v>72</v>
      </c>
      <c r="AE147" s="644" t="s">
        <v>73</v>
      </c>
      <c r="AF147" s="822"/>
      <c r="AG147" s="822"/>
      <c r="AH147" s="822"/>
      <c r="AI147" s="822"/>
      <c r="AJ147" s="822"/>
      <c r="AK147" s="822"/>
      <c r="AL147" s="822"/>
      <c r="AM147" s="822"/>
      <c r="AN147" s="822"/>
      <c r="AO147" s="822"/>
      <c r="AP147" s="822"/>
      <c r="AQ147" s="822"/>
      <c r="AR147" s="822"/>
      <c r="AS147" s="822"/>
      <c r="AT147" s="822"/>
      <c r="AU147" s="822"/>
      <c r="AV147" s="822"/>
      <c r="AW147" s="822"/>
      <c r="AX147" s="822"/>
      <c r="AY147" s="822"/>
      <c r="AZ147" s="822"/>
      <c r="BA147" s="822"/>
      <c r="BB147" s="822"/>
      <c r="BC147" s="822"/>
      <c r="BD147" s="822"/>
      <c r="BE147" s="822"/>
      <c r="BF147" s="822"/>
      <c r="BG147" s="822"/>
      <c r="BH147" s="822"/>
      <c r="BI147" s="822"/>
      <c r="BJ147" s="822"/>
      <c r="BK147" s="822"/>
      <c r="BL147" s="822"/>
      <c r="BM147" s="822"/>
      <c r="BN147" s="822"/>
      <c r="BO147" s="822"/>
      <c r="BP147" s="822"/>
      <c r="BQ147" s="822"/>
      <c r="BR147" s="822"/>
      <c r="BS147" s="822"/>
      <c r="BT147" s="822"/>
      <c r="BU147" s="822"/>
      <c r="BV147" s="822"/>
      <c r="BW147" s="822"/>
      <c r="BX147" s="822"/>
      <c r="BY147" s="822"/>
      <c r="BZ147" s="822"/>
      <c r="CA147" s="822"/>
      <c r="CB147" s="822"/>
      <c r="CC147" s="822"/>
      <c r="CD147" s="822"/>
      <c r="CE147" s="822"/>
      <c r="CF147" s="822"/>
      <c r="CG147" s="822"/>
      <c r="CH147" s="822"/>
      <c r="CI147" s="822"/>
      <c r="CJ147" s="392"/>
      <c r="CK147" s="392"/>
      <c r="CL147" s="392"/>
      <c r="CM147" s="392"/>
      <c r="CN147" s="392"/>
      <c r="CO147" s="392"/>
      <c r="CP147" s="392"/>
      <c r="CQ147" s="392"/>
      <c r="CR147" s="392"/>
      <c r="CS147" s="392"/>
      <c r="CT147" s="392"/>
      <c r="CU147" s="392"/>
      <c r="CV147" s="392"/>
      <c r="CW147" s="392"/>
      <c r="CX147" s="392"/>
      <c r="CY147" s="392"/>
      <c r="CZ147" s="392"/>
      <c r="DA147" s="392"/>
      <c r="DB147" s="392"/>
      <c r="DC147" s="392"/>
    </row>
    <row r="148" spans="1:107" s="337" customFormat="1" ht="24">
      <c r="A148" s="37"/>
      <c r="B148" s="638" t="s">
        <v>23</v>
      </c>
      <c r="C148" s="639" t="s">
        <v>499</v>
      </c>
      <c r="D148" s="640" t="s">
        <v>1224</v>
      </c>
      <c r="E148" s="641">
        <f>'Ref-ComSources'!$AB$10*AVERAGE('Ref-ComSources'!$F$84,'Ref-ComSources'!$F$86,'Ref-ComSources'!$F$88)</f>
        <v>551.08209536163713</v>
      </c>
      <c r="F148" s="639" t="s">
        <v>846</v>
      </c>
      <c r="G148" s="642">
        <f>'Ref-2013CSSsaturationsINT'!$F$129</f>
        <v>0.38404881355199783</v>
      </c>
      <c r="H148" s="639" t="s">
        <v>66</v>
      </c>
      <c r="I148" s="643">
        <f>'Ref-2013CSSsaturationsINT'!$J$129</f>
        <v>0.90257546234868891</v>
      </c>
      <c r="J148" s="644" t="s">
        <v>25</v>
      </c>
      <c r="K148" s="644" t="s">
        <v>1052</v>
      </c>
      <c r="L148" s="645" t="s">
        <v>95</v>
      </c>
      <c r="M148" s="645" t="s">
        <v>93</v>
      </c>
      <c r="N148" s="646">
        <f>E148*G148*'Ref-Savings Calculations'!$E$9*Applicability</f>
        <v>134.04020243247757</v>
      </c>
      <c r="O148" s="647" t="s">
        <v>870</v>
      </c>
      <c r="P148" s="646">
        <f>E148*G148*'Ref-Savings Calculations'!$E$9*Applicability</f>
        <v>134.04020243247757</v>
      </c>
      <c r="Q148" s="647" t="s">
        <v>870</v>
      </c>
      <c r="R148" s="37"/>
      <c r="S148" s="639" t="s">
        <v>44</v>
      </c>
      <c r="T148" s="644" t="s">
        <v>63</v>
      </c>
      <c r="U148" s="644" t="s">
        <v>44</v>
      </c>
      <c r="V148" s="644" t="s">
        <v>75</v>
      </c>
      <c r="W148" s="639" t="s">
        <v>76</v>
      </c>
      <c r="X148" s="37"/>
      <c r="Y148" s="37"/>
      <c r="Z148" s="639" t="s">
        <v>78</v>
      </c>
      <c r="AA148" s="639" t="s">
        <v>78</v>
      </c>
      <c r="AB148" s="37"/>
      <c r="AC148" s="814">
        <f>'Ref-ComHOU'!$G$96</f>
        <v>12.202739726027396</v>
      </c>
      <c r="AD148" s="639" t="s">
        <v>72</v>
      </c>
      <c r="AE148" s="644" t="s">
        <v>73</v>
      </c>
      <c r="AF148" s="822"/>
      <c r="AG148" s="822"/>
      <c r="AH148" s="822"/>
      <c r="AI148" s="822"/>
      <c r="AJ148" s="822"/>
      <c r="AK148" s="822"/>
      <c r="AL148" s="822"/>
      <c r="AM148" s="822"/>
      <c r="AN148" s="822"/>
      <c r="AO148" s="822"/>
      <c r="AP148" s="822"/>
      <c r="AQ148" s="822"/>
      <c r="AR148" s="822"/>
      <c r="AS148" s="822"/>
      <c r="AT148" s="822"/>
      <c r="AU148" s="822"/>
      <c r="AV148" s="822"/>
      <c r="AW148" s="822"/>
      <c r="AX148" s="822"/>
      <c r="AY148" s="822"/>
      <c r="AZ148" s="822"/>
      <c r="BA148" s="822"/>
      <c r="BB148" s="822"/>
      <c r="BC148" s="822"/>
      <c r="BD148" s="822"/>
      <c r="BE148" s="822"/>
      <c r="BF148" s="822"/>
      <c r="BG148" s="822"/>
      <c r="BH148" s="822"/>
      <c r="BI148" s="822"/>
      <c r="BJ148" s="822"/>
      <c r="BK148" s="822"/>
      <c r="BL148" s="822"/>
      <c r="BM148" s="822"/>
      <c r="BN148" s="822"/>
      <c r="BO148" s="822"/>
      <c r="BP148" s="822"/>
      <c r="BQ148" s="822"/>
      <c r="BR148" s="822"/>
      <c r="BS148" s="822"/>
      <c r="BT148" s="822"/>
      <c r="BU148" s="822"/>
      <c r="BV148" s="822"/>
      <c r="BW148" s="822"/>
      <c r="BX148" s="822"/>
      <c r="BY148" s="822"/>
      <c r="BZ148" s="822"/>
      <c r="CA148" s="822"/>
      <c r="CB148" s="822"/>
      <c r="CC148" s="822"/>
      <c r="CD148" s="822"/>
      <c r="CE148" s="822"/>
      <c r="CF148" s="822"/>
      <c r="CG148" s="822"/>
      <c r="CH148" s="822"/>
      <c r="CI148" s="822"/>
      <c r="CJ148" s="392"/>
      <c r="CK148" s="392"/>
      <c r="CL148" s="392"/>
      <c r="CM148" s="392"/>
      <c r="CN148" s="392"/>
      <c r="CO148" s="392"/>
      <c r="CP148" s="392"/>
      <c r="CQ148" s="392"/>
      <c r="CR148" s="392"/>
      <c r="CS148" s="392"/>
      <c r="CT148" s="392"/>
      <c r="CU148" s="392"/>
      <c r="CV148" s="392"/>
      <c r="CW148" s="392"/>
      <c r="CX148" s="392"/>
      <c r="CY148" s="392"/>
      <c r="CZ148" s="392"/>
      <c r="DA148" s="392"/>
      <c r="DB148" s="392"/>
      <c r="DC148" s="392"/>
    </row>
    <row r="149" spans="1:107" s="337" customFormat="1" ht="24">
      <c r="A149" s="37"/>
      <c r="B149" s="638" t="s">
        <v>23</v>
      </c>
      <c r="C149" s="639" t="s">
        <v>499</v>
      </c>
      <c r="D149" s="640" t="s">
        <v>1224</v>
      </c>
      <c r="E149" s="641">
        <f>'Ref-ComSources'!$AB$10*AVERAGE('Ref-ComSources'!$F$84,'Ref-ComSources'!$F$86,'Ref-ComSources'!$F$88)</f>
        <v>551.08209536163713</v>
      </c>
      <c r="F149" s="639" t="s">
        <v>846</v>
      </c>
      <c r="G149" s="642">
        <f>'Ref-2013CSSsaturationsINT'!$F$129</f>
        <v>0.38404881355199783</v>
      </c>
      <c r="H149" s="639" t="s">
        <v>66</v>
      </c>
      <c r="I149" s="643">
        <f>'Ref-2013CSSsaturationsINT'!$J$129</f>
        <v>0.90257546234868891</v>
      </c>
      <c r="J149" s="644" t="s">
        <v>25</v>
      </c>
      <c r="K149" s="644" t="s">
        <v>1052</v>
      </c>
      <c r="L149" s="645" t="s">
        <v>24</v>
      </c>
      <c r="M149" s="645" t="s">
        <v>88</v>
      </c>
      <c r="N149" s="646">
        <f>E149*G149*'Ref-Savings Calculations'!$E$8*Applicability</f>
        <v>123.45808118780829</v>
      </c>
      <c r="O149" s="647" t="s">
        <v>870</v>
      </c>
      <c r="P149" s="646">
        <f>E149*G149*'Ref-Savings Calculations'!$E$8*Applicability</f>
        <v>123.45808118780829</v>
      </c>
      <c r="Q149" s="647" t="s">
        <v>870</v>
      </c>
      <c r="R149" s="37"/>
      <c r="S149" s="639" t="s">
        <v>68</v>
      </c>
      <c r="T149" s="644" t="s">
        <v>63</v>
      </c>
      <c r="U149" s="639" t="s">
        <v>69</v>
      </c>
      <c r="V149" s="639" t="s">
        <v>69</v>
      </c>
      <c r="W149" s="639" t="s">
        <v>70</v>
      </c>
      <c r="X149" s="37"/>
      <c r="Y149" s="37"/>
      <c r="Z149" s="639" t="s">
        <v>78</v>
      </c>
      <c r="AA149" s="639" t="s">
        <v>78</v>
      </c>
      <c r="AB149" s="37"/>
      <c r="AC149" s="814">
        <f>'Ref-ComHOU'!$G$96</f>
        <v>12.202739726027396</v>
      </c>
      <c r="AD149" s="639" t="s">
        <v>72</v>
      </c>
      <c r="AE149" s="644" t="s">
        <v>73</v>
      </c>
      <c r="AF149" s="822"/>
      <c r="AG149" s="822"/>
      <c r="AH149" s="822"/>
      <c r="AI149" s="822"/>
      <c r="AJ149" s="822"/>
      <c r="AK149" s="822"/>
      <c r="AL149" s="822"/>
      <c r="AM149" s="822"/>
      <c r="AN149" s="822"/>
      <c r="AO149" s="822"/>
      <c r="AP149" s="822"/>
      <c r="AQ149" s="822"/>
      <c r="AR149" s="822"/>
      <c r="AS149" s="822"/>
      <c r="AT149" s="822"/>
      <c r="AU149" s="822"/>
      <c r="AV149" s="822"/>
      <c r="AW149" s="822"/>
      <c r="AX149" s="822"/>
      <c r="AY149" s="822"/>
      <c r="AZ149" s="822"/>
      <c r="BA149" s="822"/>
      <c r="BB149" s="822"/>
      <c r="BC149" s="822"/>
      <c r="BD149" s="822"/>
      <c r="BE149" s="822"/>
      <c r="BF149" s="822"/>
      <c r="BG149" s="822"/>
      <c r="BH149" s="822"/>
      <c r="BI149" s="822"/>
      <c r="BJ149" s="822"/>
      <c r="BK149" s="822"/>
      <c r="BL149" s="822"/>
      <c r="BM149" s="822"/>
      <c r="BN149" s="822"/>
      <c r="BO149" s="822"/>
      <c r="BP149" s="822"/>
      <c r="BQ149" s="822"/>
      <c r="BR149" s="822"/>
      <c r="BS149" s="822"/>
      <c r="BT149" s="822"/>
      <c r="BU149" s="822"/>
      <c r="BV149" s="822"/>
      <c r="BW149" s="822"/>
      <c r="BX149" s="822"/>
      <c r="BY149" s="822"/>
      <c r="BZ149" s="822"/>
      <c r="CA149" s="822"/>
      <c r="CB149" s="822"/>
      <c r="CC149" s="822"/>
      <c r="CD149" s="822"/>
      <c r="CE149" s="822"/>
      <c r="CF149" s="822"/>
      <c r="CG149" s="822"/>
      <c r="CH149" s="822"/>
      <c r="CI149" s="822"/>
      <c r="CJ149" s="392"/>
      <c r="CK149" s="392"/>
      <c r="CL149" s="392"/>
      <c r="CM149" s="392"/>
      <c r="CN149" s="392"/>
      <c r="CO149" s="392"/>
      <c r="CP149" s="392"/>
      <c r="CQ149" s="392"/>
      <c r="CR149" s="392"/>
      <c r="CS149" s="392"/>
      <c r="CT149" s="392"/>
      <c r="CU149" s="392"/>
      <c r="CV149" s="392"/>
      <c r="CW149" s="392"/>
      <c r="CX149" s="392"/>
      <c r="CY149" s="392"/>
      <c r="CZ149" s="392"/>
      <c r="DA149" s="392"/>
      <c r="DB149" s="392"/>
      <c r="DC149" s="392"/>
    </row>
    <row r="150" spans="1:107" s="337" customFormat="1" ht="24">
      <c r="A150" s="37"/>
      <c r="B150" s="638" t="s">
        <v>23</v>
      </c>
      <c r="C150" s="639" t="s">
        <v>499</v>
      </c>
      <c r="D150" s="640" t="s">
        <v>1224</v>
      </c>
      <c r="E150" s="641">
        <f>'Ref-ComSources'!$AB$10*AVERAGE('Ref-ComSources'!$F$84,'Ref-ComSources'!$F$86,'Ref-ComSources'!$F$88)</f>
        <v>551.08209536163713</v>
      </c>
      <c r="F150" s="639" t="s">
        <v>846</v>
      </c>
      <c r="G150" s="642">
        <f>'Ref-2013CSSsaturationsINT'!$F$129</f>
        <v>0.38404881355199783</v>
      </c>
      <c r="H150" s="639" t="s">
        <v>66</v>
      </c>
      <c r="I150" s="643">
        <f>'Ref-2013CSSsaturationsINT'!$J$129</f>
        <v>0.90257546234868891</v>
      </c>
      <c r="J150" s="644" t="s">
        <v>25</v>
      </c>
      <c r="K150" s="644" t="s">
        <v>1052</v>
      </c>
      <c r="L150" s="645" t="s">
        <v>24</v>
      </c>
      <c r="M150" s="645" t="s">
        <v>90</v>
      </c>
      <c r="N150" s="646">
        <f>E150*G150*'Ref-Savings Calculations'!$E$8*Applicability</f>
        <v>123.45808118780829</v>
      </c>
      <c r="O150" s="647" t="s">
        <v>870</v>
      </c>
      <c r="P150" s="646">
        <f>E150*G150*'Ref-Savings Calculations'!$E$8*Applicability</f>
        <v>123.45808118780829</v>
      </c>
      <c r="Q150" s="647" t="s">
        <v>870</v>
      </c>
      <c r="R150" s="37"/>
      <c r="S150" s="639" t="s">
        <v>68</v>
      </c>
      <c r="T150" s="644" t="s">
        <v>63</v>
      </c>
      <c r="U150" s="639" t="s">
        <v>69</v>
      </c>
      <c r="V150" s="639" t="s">
        <v>69</v>
      </c>
      <c r="W150" s="639" t="s">
        <v>70</v>
      </c>
      <c r="X150" s="37"/>
      <c r="Y150" s="37"/>
      <c r="Z150" s="639" t="s">
        <v>78</v>
      </c>
      <c r="AA150" s="639" t="s">
        <v>78</v>
      </c>
      <c r="AB150" s="37"/>
      <c r="AC150" s="814">
        <f>'Ref-ComHOU'!$G$96</f>
        <v>12.202739726027396</v>
      </c>
      <c r="AD150" s="639" t="s">
        <v>72</v>
      </c>
      <c r="AE150" s="644" t="s">
        <v>73</v>
      </c>
      <c r="AF150" s="822"/>
      <c r="AG150" s="822"/>
      <c r="AH150" s="822"/>
      <c r="AI150" s="822"/>
      <c r="AJ150" s="822"/>
      <c r="AK150" s="822"/>
      <c r="AL150" s="822"/>
      <c r="AM150" s="822"/>
      <c r="AN150" s="822"/>
      <c r="AO150" s="822"/>
      <c r="AP150" s="822"/>
      <c r="AQ150" s="822"/>
      <c r="AR150" s="822"/>
      <c r="AS150" s="822"/>
      <c r="AT150" s="822"/>
      <c r="AU150" s="822"/>
      <c r="AV150" s="822"/>
      <c r="AW150" s="822"/>
      <c r="AX150" s="822"/>
      <c r="AY150" s="822"/>
      <c r="AZ150" s="822"/>
      <c r="BA150" s="822"/>
      <c r="BB150" s="822"/>
      <c r="BC150" s="822"/>
      <c r="BD150" s="822"/>
      <c r="BE150" s="822"/>
      <c r="BF150" s="822"/>
      <c r="BG150" s="822"/>
      <c r="BH150" s="822"/>
      <c r="BI150" s="822"/>
      <c r="BJ150" s="822"/>
      <c r="BK150" s="822"/>
      <c r="BL150" s="822"/>
      <c r="BM150" s="822"/>
      <c r="BN150" s="822"/>
      <c r="BO150" s="822"/>
      <c r="BP150" s="822"/>
      <c r="BQ150" s="822"/>
      <c r="BR150" s="822"/>
      <c r="BS150" s="822"/>
      <c r="BT150" s="822"/>
      <c r="BU150" s="822"/>
      <c r="BV150" s="822"/>
      <c r="BW150" s="822"/>
      <c r="BX150" s="822"/>
      <c r="BY150" s="822"/>
      <c r="BZ150" s="822"/>
      <c r="CA150" s="822"/>
      <c r="CB150" s="822"/>
      <c r="CC150" s="822"/>
      <c r="CD150" s="822"/>
      <c r="CE150" s="822"/>
      <c r="CF150" s="822"/>
      <c r="CG150" s="822"/>
      <c r="CH150" s="822"/>
      <c r="CI150" s="822"/>
      <c r="CJ150" s="392"/>
      <c r="CK150" s="392"/>
      <c r="CL150" s="392"/>
      <c r="CM150" s="392"/>
      <c r="CN150" s="392"/>
      <c r="CO150" s="392"/>
      <c r="CP150" s="392"/>
      <c r="CQ150" s="392"/>
      <c r="CR150" s="392"/>
      <c r="CS150" s="392"/>
      <c r="CT150" s="392"/>
      <c r="CU150" s="392"/>
      <c r="CV150" s="392"/>
      <c r="CW150" s="392"/>
      <c r="CX150" s="392"/>
      <c r="CY150" s="392"/>
      <c r="CZ150" s="392"/>
      <c r="DA150" s="392"/>
      <c r="DB150" s="392"/>
      <c r="DC150" s="392"/>
    </row>
    <row r="151" spans="1:107" s="337" customFormat="1" ht="24">
      <c r="A151" s="37"/>
      <c r="B151" s="638" t="s">
        <v>23</v>
      </c>
      <c r="C151" s="639" t="s">
        <v>499</v>
      </c>
      <c r="D151" s="640" t="s">
        <v>1224</v>
      </c>
      <c r="E151" s="641">
        <f>'Ref-ComSources'!$AB$10*AVERAGE('Ref-ComSources'!$F$84,'Ref-ComSources'!$F$86,'Ref-ComSources'!$F$88)</f>
        <v>551.08209536163713</v>
      </c>
      <c r="F151" s="639" t="s">
        <v>846</v>
      </c>
      <c r="G151" s="642">
        <f>'Ref-2013CSSsaturationsINT'!$F$129</f>
        <v>0.38404881355199783</v>
      </c>
      <c r="H151" s="639" t="s">
        <v>66</v>
      </c>
      <c r="I151" s="643">
        <f>'Ref-2013CSSsaturationsINT'!$J$129</f>
        <v>0.90257546234868891</v>
      </c>
      <c r="J151" s="644" t="s">
        <v>25</v>
      </c>
      <c r="K151" s="644" t="s">
        <v>1052</v>
      </c>
      <c r="L151" s="645" t="s">
        <v>24</v>
      </c>
      <c r="M151" s="645" t="s">
        <v>92</v>
      </c>
      <c r="N151" s="646">
        <f>E151*G151*'Ref-Savings Calculations'!$E$8*Applicability</f>
        <v>123.45808118780829</v>
      </c>
      <c r="O151" s="647">
        <f>E151*G151*'Ref-Savings Calculations'!$C$99*Applicability*ControlShare</f>
        <v>55.014698736214626</v>
      </c>
      <c r="P151" s="646">
        <f>E151*G151*'Ref-Savings Calculations'!$E$8*Applicability</f>
        <v>123.45808118780829</v>
      </c>
      <c r="Q151" s="646">
        <f>E151*G151*('Ref-Savings Calculations'!$C$99-'Ref-Savings Calculations'!$C$76)*Applicability*ControlShare</f>
        <v>47.373768356184819</v>
      </c>
      <c r="R151" s="37"/>
      <c r="S151" s="639" t="s">
        <v>68</v>
      </c>
      <c r="T151" s="644" t="s">
        <v>63</v>
      </c>
      <c r="U151" s="639" t="s">
        <v>69</v>
      </c>
      <c r="V151" s="639" t="s">
        <v>69</v>
      </c>
      <c r="W151" s="639" t="s">
        <v>70</v>
      </c>
      <c r="X151" s="37"/>
      <c r="Y151" s="37"/>
      <c r="Z151" s="639" t="s">
        <v>78</v>
      </c>
      <c r="AA151" s="639" t="s">
        <v>78</v>
      </c>
      <c r="AB151" s="37"/>
      <c r="AC151" s="814">
        <f>'Ref-ComHOU'!$G$96</f>
        <v>12.202739726027396</v>
      </c>
      <c r="AD151" s="639" t="s">
        <v>72</v>
      </c>
      <c r="AE151" s="644" t="s">
        <v>73</v>
      </c>
      <c r="AF151" s="822"/>
      <c r="AG151" s="822"/>
      <c r="AH151" s="822"/>
      <c r="AI151" s="822"/>
      <c r="AJ151" s="822"/>
      <c r="AK151" s="822"/>
      <c r="AL151" s="822"/>
      <c r="AM151" s="822"/>
      <c r="AN151" s="822"/>
      <c r="AO151" s="822"/>
      <c r="AP151" s="822"/>
      <c r="AQ151" s="822"/>
      <c r="AR151" s="822"/>
      <c r="AS151" s="822"/>
      <c r="AT151" s="822"/>
      <c r="AU151" s="822"/>
      <c r="AV151" s="822"/>
      <c r="AW151" s="822"/>
      <c r="AX151" s="822"/>
      <c r="AY151" s="822"/>
      <c r="AZ151" s="822"/>
      <c r="BA151" s="822"/>
      <c r="BB151" s="822"/>
      <c r="BC151" s="822"/>
      <c r="BD151" s="822"/>
      <c r="BE151" s="822"/>
      <c r="BF151" s="822"/>
      <c r="BG151" s="822"/>
      <c r="BH151" s="822"/>
      <c r="BI151" s="822"/>
      <c r="BJ151" s="822"/>
      <c r="BK151" s="822"/>
      <c r="BL151" s="822"/>
      <c r="BM151" s="822"/>
      <c r="BN151" s="822"/>
      <c r="BO151" s="822"/>
      <c r="BP151" s="822"/>
      <c r="BQ151" s="822"/>
      <c r="BR151" s="822"/>
      <c r="BS151" s="822"/>
      <c r="BT151" s="822"/>
      <c r="BU151" s="822"/>
      <c r="BV151" s="822"/>
      <c r="BW151" s="822"/>
      <c r="BX151" s="822"/>
      <c r="BY151" s="822"/>
      <c r="BZ151" s="822"/>
      <c r="CA151" s="822"/>
      <c r="CB151" s="822"/>
      <c r="CC151" s="822"/>
      <c r="CD151" s="822"/>
      <c r="CE151" s="822"/>
      <c r="CF151" s="822"/>
      <c r="CG151" s="822"/>
      <c r="CH151" s="822"/>
      <c r="CI151" s="822"/>
      <c r="CJ151" s="392"/>
      <c r="CK151" s="392"/>
      <c r="CL151" s="392"/>
      <c r="CM151" s="392"/>
      <c r="CN151" s="392"/>
      <c r="CO151" s="392"/>
      <c r="CP151" s="392"/>
      <c r="CQ151" s="392"/>
      <c r="CR151" s="392"/>
      <c r="CS151" s="392"/>
      <c r="CT151" s="392"/>
      <c r="CU151" s="392"/>
      <c r="CV151" s="392"/>
      <c r="CW151" s="392"/>
      <c r="CX151" s="392"/>
      <c r="CY151" s="392"/>
      <c r="CZ151" s="392"/>
      <c r="DA151" s="392"/>
      <c r="DB151" s="392"/>
      <c r="DC151" s="392"/>
    </row>
    <row r="152" spans="1:107" s="337" customFormat="1" ht="24">
      <c r="A152" s="37"/>
      <c r="B152" s="638" t="s">
        <v>23</v>
      </c>
      <c r="C152" s="639" t="s">
        <v>499</v>
      </c>
      <c r="D152" s="640" t="s">
        <v>1224</v>
      </c>
      <c r="E152" s="641">
        <f>'Ref-ComSources'!$AB$10*AVERAGE('Ref-ComSources'!$F$84,'Ref-ComSources'!$F$86,'Ref-ComSources'!$F$88)</f>
        <v>551.08209536163713</v>
      </c>
      <c r="F152" s="639" t="s">
        <v>846</v>
      </c>
      <c r="G152" s="642">
        <f>'Ref-2013CSSsaturationsINT'!$F$129</f>
        <v>0.38404881355199783</v>
      </c>
      <c r="H152" s="639" t="s">
        <v>66</v>
      </c>
      <c r="I152" s="643">
        <f>'Ref-2013CSSsaturationsINT'!$J$129</f>
        <v>0.90257546234868891</v>
      </c>
      <c r="J152" s="644" t="s">
        <v>25</v>
      </c>
      <c r="K152" s="644" t="s">
        <v>1052</v>
      </c>
      <c r="L152" s="645" t="s">
        <v>24</v>
      </c>
      <c r="M152" s="645" t="s">
        <v>93</v>
      </c>
      <c r="N152" s="646">
        <f>E152*G152*'Ref-Savings Calculations'!$E$8*Applicability</f>
        <v>123.45808118780829</v>
      </c>
      <c r="O152" s="647" t="s">
        <v>870</v>
      </c>
      <c r="P152" s="646">
        <f>E152*G152*'Ref-Savings Calculations'!$E$8*Applicability</f>
        <v>123.45808118780829</v>
      </c>
      <c r="Q152" s="647" t="s">
        <v>870</v>
      </c>
      <c r="R152" s="37"/>
      <c r="S152" s="639" t="s">
        <v>68</v>
      </c>
      <c r="T152" s="644" t="s">
        <v>63</v>
      </c>
      <c r="U152" s="644" t="s">
        <v>44</v>
      </c>
      <c r="V152" s="644" t="s">
        <v>75</v>
      </c>
      <c r="W152" s="639" t="s">
        <v>70</v>
      </c>
      <c r="X152" s="37"/>
      <c r="Y152" s="37"/>
      <c r="Z152" s="639" t="s">
        <v>78</v>
      </c>
      <c r="AA152" s="639" t="s">
        <v>78</v>
      </c>
      <c r="AB152" s="37"/>
      <c r="AC152" s="814">
        <f>'Ref-ComHOU'!$G$96</f>
        <v>12.202739726027396</v>
      </c>
      <c r="AD152" s="639" t="s">
        <v>72</v>
      </c>
      <c r="AE152" s="644" t="s">
        <v>73</v>
      </c>
      <c r="AF152" s="822"/>
      <c r="AG152" s="822"/>
      <c r="AH152" s="822"/>
      <c r="AI152" s="822"/>
      <c r="AJ152" s="822"/>
      <c r="AK152" s="822"/>
      <c r="AL152" s="822"/>
      <c r="AM152" s="822"/>
      <c r="AN152" s="822"/>
      <c r="AO152" s="822"/>
      <c r="AP152" s="822"/>
      <c r="AQ152" s="822"/>
      <c r="AR152" s="822"/>
      <c r="AS152" s="822"/>
      <c r="AT152" s="822"/>
      <c r="AU152" s="822"/>
      <c r="AV152" s="822"/>
      <c r="AW152" s="822"/>
      <c r="AX152" s="822"/>
      <c r="AY152" s="822"/>
      <c r="AZ152" s="822"/>
      <c r="BA152" s="822"/>
      <c r="BB152" s="822"/>
      <c r="BC152" s="822"/>
      <c r="BD152" s="822"/>
      <c r="BE152" s="822"/>
      <c r="BF152" s="822"/>
      <c r="BG152" s="822"/>
      <c r="BH152" s="822"/>
      <c r="BI152" s="822"/>
      <c r="BJ152" s="822"/>
      <c r="BK152" s="822"/>
      <c r="BL152" s="822"/>
      <c r="BM152" s="822"/>
      <c r="BN152" s="822"/>
      <c r="BO152" s="822"/>
      <c r="BP152" s="822"/>
      <c r="BQ152" s="822"/>
      <c r="BR152" s="822"/>
      <c r="BS152" s="822"/>
      <c r="BT152" s="822"/>
      <c r="BU152" s="822"/>
      <c r="BV152" s="822"/>
      <c r="BW152" s="822"/>
      <c r="BX152" s="822"/>
      <c r="BY152" s="822"/>
      <c r="BZ152" s="822"/>
      <c r="CA152" s="822"/>
      <c r="CB152" s="822"/>
      <c r="CC152" s="822"/>
      <c r="CD152" s="822"/>
      <c r="CE152" s="822"/>
      <c r="CF152" s="822"/>
      <c r="CG152" s="822"/>
      <c r="CH152" s="822"/>
      <c r="CI152" s="822"/>
      <c r="CJ152" s="392"/>
      <c r="CK152" s="392"/>
      <c r="CL152" s="392"/>
      <c r="CM152" s="392"/>
      <c r="CN152" s="392"/>
      <c r="CO152" s="392"/>
      <c r="CP152" s="392"/>
      <c r="CQ152" s="392"/>
      <c r="CR152" s="392"/>
      <c r="CS152" s="392"/>
      <c r="CT152" s="392"/>
      <c r="CU152" s="392"/>
      <c r="CV152" s="392"/>
      <c r="CW152" s="392"/>
      <c r="CX152" s="392"/>
      <c r="CY152" s="392"/>
      <c r="CZ152" s="392"/>
      <c r="DA152" s="392"/>
      <c r="DB152" s="392"/>
      <c r="DC152" s="392"/>
    </row>
    <row r="153" spans="1:107" s="337" customFormat="1" ht="24">
      <c r="A153" s="37"/>
      <c r="B153" s="638" t="s">
        <v>23</v>
      </c>
      <c r="C153" s="639" t="s">
        <v>499</v>
      </c>
      <c r="D153" s="640" t="s">
        <v>1224</v>
      </c>
      <c r="E153" s="641">
        <f>'Ref-ComSources'!$AB$10*AVERAGE('Ref-ComSources'!$F$84,'Ref-ComSources'!$F$86,'Ref-ComSources'!$F$88)</f>
        <v>551.08209536163713</v>
      </c>
      <c r="F153" s="639" t="s">
        <v>95</v>
      </c>
      <c r="G153" s="642">
        <f>'Ref-2013CSSsaturationsINT'!$F$130</f>
        <v>6.0606142377777755E-2</v>
      </c>
      <c r="H153" s="639" t="s">
        <v>66</v>
      </c>
      <c r="I153" s="643">
        <f>'Ref-2013CSSsaturationsINT'!$J$130</f>
        <v>0.99565453020434114</v>
      </c>
      <c r="J153" s="644" t="s">
        <v>25</v>
      </c>
      <c r="K153" s="644" t="s">
        <v>1052</v>
      </c>
      <c r="L153" s="645" t="s">
        <v>95</v>
      </c>
      <c r="M153" s="645" t="s">
        <v>88</v>
      </c>
      <c r="N153" s="646" t="s">
        <v>1049</v>
      </c>
      <c r="O153" s="647" t="s">
        <v>870</v>
      </c>
      <c r="P153" s="646" t="str">
        <f>rMarketSolutions[[#This Row],[Lighting Savings
(lamp and/or ballast)]]</f>
        <v>No Change</v>
      </c>
      <c r="Q153" s="647" t="s">
        <v>870</v>
      </c>
      <c r="R153" s="37"/>
      <c r="S153" s="639" t="s">
        <v>68</v>
      </c>
      <c r="T153" s="644" t="s">
        <v>63</v>
      </c>
      <c r="U153" s="639" t="s">
        <v>69</v>
      </c>
      <c r="V153" s="639" t="s">
        <v>69</v>
      </c>
      <c r="W153" s="639" t="s">
        <v>70</v>
      </c>
      <c r="X153" s="37"/>
      <c r="Y153" s="37"/>
      <c r="Z153" s="639" t="s">
        <v>78</v>
      </c>
      <c r="AA153" s="639" t="s">
        <v>78</v>
      </c>
      <c r="AB153" s="37"/>
      <c r="AC153" s="814">
        <f>'Ref-ComHOU'!$G$96</f>
        <v>12.202739726027396</v>
      </c>
      <c r="AD153" s="639" t="s">
        <v>72</v>
      </c>
      <c r="AE153" s="644" t="s">
        <v>73</v>
      </c>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G153" s="822"/>
      <c r="BH153" s="822"/>
      <c r="BI153" s="822"/>
      <c r="BJ153" s="822"/>
      <c r="BK153" s="822"/>
      <c r="BL153" s="822"/>
      <c r="BM153" s="822"/>
      <c r="BN153" s="822"/>
      <c r="BO153" s="822"/>
      <c r="BP153" s="822"/>
      <c r="BQ153" s="822"/>
      <c r="BR153" s="822"/>
      <c r="BS153" s="822"/>
      <c r="BT153" s="822"/>
      <c r="BU153" s="822"/>
      <c r="BV153" s="822"/>
      <c r="BW153" s="822"/>
      <c r="BX153" s="822"/>
      <c r="BY153" s="822"/>
      <c r="BZ153" s="822"/>
      <c r="CA153" s="822"/>
      <c r="CB153" s="822"/>
      <c r="CC153" s="822"/>
      <c r="CD153" s="822"/>
      <c r="CE153" s="822"/>
      <c r="CF153" s="822"/>
      <c r="CG153" s="822"/>
      <c r="CH153" s="822"/>
      <c r="CI153" s="822"/>
      <c r="CJ153" s="392"/>
      <c r="CK153" s="392"/>
      <c r="CL153" s="392"/>
      <c r="CM153" s="392"/>
      <c r="CN153" s="392"/>
      <c r="CO153" s="392"/>
      <c r="CP153" s="392"/>
      <c r="CQ153" s="392"/>
      <c r="CR153" s="392"/>
      <c r="CS153" s="392"/>
      <c r="CT153" s="392"/>
      <c r="CU153" s="392"/>
      <c r="CV153" s="392"/>
      <c r="CW153" s="392"/>
      <c r="CX153" s="392"/>
      <c r="CY153" s="392"/>
      <c r="CZ153" s="392"/>
      <c r="DA153" s="392"/>
      <c r="DB153" s="392"/>
      <c r="DC153" s="392"/>
    </row>
    <row r="154" spans="1:107" s="337" customFormat="1" ht="24">
      <c r="A154" s="37"/>
      <c r="B154" s="638" t="s">
        <v>23</v>
      </c>
      <c r="C154" s="639" t="s">
        <v>499</v>
      </c>
      <c r="D154" s="640" t="s">
        <v>1224</v>
      </c>
      <c r="E154" s="641">
        <f>'Ref-ComSources'!$AB$10*AVERAGE('Ref-ComSources'!$F$84,'Ref-ComSources'!$F$86,'Ref-ComSources'!$F$88)</f>
        <v>551.08209536163713</v>
      </c>
      <c r="F154" s="639" t="s">
        <v>95</v>
      </c>
      <c r="G154" s="642">
        <f>'Ref-2013CSSsaturationsINT'!$F$130</f>
        <v>6.0606142377777755E-2</v>
      </c>
      <c r="H154" s="639" t="s">
        <v>66</v>
      </c>
      <c r="I154" s="643">
        <f>'Ref-2013CSSsaturationsINT'!$J$130</f>
        <v>0.99565453020434114</v>
      </c>
      <c r="J154" s="644" t="s">
        <v>25</v>
      </c>
      <c r="K154" s="644" t="s">
        <v>1052</v>
      </c>
      <c r="L154" s="645" t="s">
        <v>95</v>
      </c>
      <c r="M154" s="645" t="s">
        <v>90</v>
      </c>
      <c r="N154" s="646" t="s">
        <v>1049</v>
      </c>
      <c r="O154" s="647" t="s">
        <v>870</v>
      </c>
      <c r="P154" s="646" t="str">
        <f>rMarketSolutions[[#This Row],[Lighting Savings
(lamp and/or ballast)]]</f>
        <v>No Change</v>
      </c>
      <c r="Q154" s="647" t="s">
        <v>870</v>
      </c>
      <c r="R154" s="37"/>
      <c r="S154" s="639" t="s">
        <v>68</v>
      </c>
      <c r="T154" s="644" t="s">
        <v>63</v>
      </c>
      <c r="U154" s="639" t="s">
        <v>69</v>
      </c>
      <c r="V154" s="639" t="s">
        <v>69</v>
      </c>
      <c r="W154" s="639" t="s">
        <v>70</v>
      </c>
      <c r="X154" s="37"/>
      <c r="Y154" s="37"/>
      <c r="Z154" s="639" t="s">
        <v>78</v>
      </c>
      <c r="AA154" s="639" t="s">
        <v>78</v>
      </c>
      <c r="AB154" s="37"/>
      <c r="AC154" s="814">
        <f>'Ref-ComHOU'!$G$96</f>
        <v>12.202739726027396</v>
      </c>
      <c r="AD154" s="639" t="s">
        <v>72</v>
      </c>
      <c r="AE154" s="644" t="s">
        <v>73</v>
      </c>
      <c r="AF154" s="822"/>
      <c r="AG154" s="822"/>
      <c r="AH154" s="822"/>
      <c r="AI154" s="822"/>
      <c r="AJ154" s="822"/>
      <c r="AK154" s="822"/>
      <c r="AL154" s="822"/>
      <c r="AM154" s="822"/>
      <c r="AN154" s="822"/>
      <c r="AO154" s="822"/>
      <c r="AP154" s="822"/>
      <c r="AQ154" s="822"/>
      <c r="AR154" s="822"/>
      <c r="AS154" s="822"/>
      <c r="AT154" s="822"/>
      <c r="AU154" s="822"/>
      <c r="AV154" s="822"/>
      <c r="AW154" s="822"/>
      <c r="AX154" s="822"/>
      <c r="AY154" s="822"/>
      <c r="AZ154" s="822"/>
      <c r="BA154" s="822"/>
      <c r="BB154" s="822"/>
      <c r="BC154" s="822"/>
      <c r="BD154" s="822"/>
      <c r="BE154" s="822"/>
      <c r="BF154" s="822"/>
      <c r="BG154" s="822"/>
      <c r="BH154" s="822"/>
      <c r="BI154" s="822"/>
      <c r="BJ154" s="822"/>
      <c r="BK154" s="822"/>
      <c r="BL154" s="822"/>
      <c r="BM154" s="822"/>
      <c r="BN154" s="822"/>
      <c r="BO154" s="822"/>
      <c r="BP154" s="822"/>
      <c r="BQ154" s="822"/>
      <c r="BR154" s="822"/>
      <c r="BS154" s="822"/>
      <c r="BT154" s="822"/>
      <c r="BU154" s="822"/>
      <c r="BV154" s="822"/>
      <c r="BW154" s="822"/>
      <c r="BX154" s="822"/>
      <c r="BY154" s="822"/>
      <c r="BZ154" s="822"/>
      <c r="CA154" s="822"/>
      <c r="CB154" s="822"/>
      <c r="CC154" s="822"/>
      <c r="CD154" s="822"/>
      <c r="CE154" s="822"/>
      <c r="CF154" s="822"/>
      <c r="CG154" s="822"/>
      <c r="CH154" s="822"/>
      <c r="CI154" s="822"/>
      <c r="CJ154" s="392"/>
      <c r="CK154" s="392"/>
      <c r="CL154" s="392"/>
      <c r="CM154" s="392"/>
      <c r="CN154" s="392"/>
      <c r="CO154" s="392"/>
      <c r="CP154" s="392"/>
      <c r="CQ154" s="392"/>
      <c r="CR154" s="392"/>
      <c r="CS154" s="392"/>
      <c r="CT154" s="392"/>
      <c r="CU154" s="392"/>
      <c r="CV154" s="392"/>
      <c r="CW154" s="392"/>
      <c r="CX154" s="392"/>
      <c r="CY154" s="392"/>
      <c r="CZ154" s="392"/>
      <c r="DA154" s="392"/>
      <c r="DB154" s="392"/>
      <c r="DC154" s="392"/>
    </row>
    <row r="155" spans="1:107" s="337" customFormat="1" ht="24">
      <c r="A155" s="37"/>
      <c r="B155" s="638" t="s">
        <v>23</v>
      </c>
      <c r="C155" s="639" t="s">
        <v>499</v>
      </c>
      <c r="D155" s="640" t="s">
        <v>1224</v>
      </c>
      <c r="E155" s="641">
        <f>'Ref-ComSources'!$AB$10*AVERAGE('Ref-ComSources'!$F$84,'Ref-ComSources'!$F$86,'Ref-ComSources'!$F$88)</f>
        <v>551.08209536163713</v>
      </c>
      <c r="F155" s="639" t="s">
        <v>95</v>
      </c>
      <c r="G155" s="642">
        <f>'Ref-2013CSSsaturationsINT'!$F$130</f>
        <v>6.0606142377777755E-2</v>
      </c>
      <c r="H155" s="639" t="s">
        <v>66</v>
      </c>
      <c r="I155" s="643">
        <f>'Ref-2013CSSsaturationsINT'!$J$130</f>
        <v>0.99565453020434114</v>
      </c>
      <c r="J155" s="644" t="s">
        <v>25</v>
      </c>
      <c r="K155" s="644" t="s">
        <v>1052</v>
      </c>
      <c r="L155" s="645" t="s">
        <v>95</v>
      </c>
      <c r="M155" s="645" t="s">
        <v>92</v>
      </c>
      <c r="N155" s="646" t="s">
        <v>1049</v>
      </c>
      <c r="O155" s="647">
        <f>E155*G155*'Ref-Savings Calculations'!$C$99*Applicability*ControlShare</f>
        <v>9.5771018193796138</v>
      </c>
      <c r="P155" s="646" t="str">
        <f>rMarketSolutions[[#This Row],[Lighting Savings
(lamp and/or ballast)]]</f>
        <v>No Change</v>
      </c>
      <c r="Q155" s="646">
        <f>E155*G155*('Ref-Savings Calculations'!$C$99-'Ref-Savings Calculations'!$C$76)*Applicability*ControlShare</f>
        <v>8.2469487889102222</v>
      </c>
      <c r="R155" s="37"/>
      <c r="S155" s="639" t="s">
        <v>68</v>
      </c>
      <c r="T155" s="644" t="s">
        <v>63</v>
      </c>
      <c r="U155" s="639" t="s">
        <v>69</v>
      </c>
      <c r="V155" s="639" t="s">
        <v>69</v>
      </c>
      <c r="W155" s="639" t="s">
        <v>70</v>
      </c>
      <c r="X155" s="37"/>
      <c r="Y155" s="37"/>
      <c r="Z155" s="639" t="s">
        <v>78</v>
      </c>
      <c r="AA155" s="639" t="s">
        <v>78</v>
      </c>
      <c r="AB155" s="37"/>
      <c r="AC155" s="814">
        <f>'Ref-ComHOU'!$G$96</f>
        <v>12.202739726027396</v>
      </c>
      <c r="AD155" s="639" t="s">
        <v>72</v>
      </c>
      <c r="AE155" s="644" t="s">
        <v>73</v>
      </c>
      <c r="AF155" s="822"/>
      <c r="AG155" s="822"/>
      <c r="AH155" s="822"/>
      <c r="AI155" s="822"/>
      <c r="AJ155" s="822"/>
      <c r="AK155" s="822"/>
      <c r="AL155" s="822"/>
      <c r="AM155" s="822"/>
      <c r="AN155" s="822"/>
      <c r="AO155" s="822"/>
      <c r="AP155" s="822"/>
      <c r="AQ155" s="822"/>
      <c r="AR155" s="822"/>
      <c r="AS155" s="822"/>
      <c r="AT155" s="822"/>
      <c r="AU155" s="822"/>
      <c r="AV155" s="822"/>
      <c r="AW155" s="822"/>
      <c r="AX155" s="822"/>
      <c r="AY155" s="822"/>
      <c r="AZ155" s="822"/>
      <c r="BA155" s="822"/>
      <c r="BB155" s="822"/>
      <c r="BC155" s="822"/>
      <c r="BD155" s="822"/>
      <c r="BE155" s="822"/>
      <c r="BF155" s="822"/>
      <c r="BG155" s="822"/>
      <c r="BH155" s="822"/>
      <c r="BI155" s="822"/>
      <c r="BJ155" s="822"/>
      <c r="BK155" s="822"/>
      <c r="BL155" s="822"/>
      <c r="BM155" s="822"/>
      <c r="BN155" s="822"/>
      <c r="BO155" s="822"/>
      <c r="BP155" s="822"/>
      <c r="BQ155" s="822"/>
      <c r="BR155" s="822"/>
      <c r="BS155" s="822"/>
      <c r="BT155" s="822"/>
      <c r="BU155" s="822"/>
      <c r="BV155" s="822"/>
      <c r="BW155" s="822"/>
      <c r="BX155" s="822"/>
      <c r="BY155" s="822"/>
      <c r="BZ155" s="822"/>
      <c r="CA155" s="822"/>
      <c r="CB155" s="822"/>
      <c r="CC155" s="822"/>
      <c r="CD155" s="822"/>
      <c r="CE155" s="822"/>
      <c r="CF155" s="822"/>
      <c r="CG155" s="822"/>
      <c r="CH155" s="822"/>
      <c r="CI155" s="822"/>
      <c r="CJ155" s="392"/>
      <c r="CK155" s="392"/>
      <c r="CL155" s="392"/>
      <c r="CM155" s="392"/>
      <c r="CN155" s="392"/>
      <c r="CO155" s="392"/>
      <c r="CP155" s="392"/>
      <c r="CQ155" s="392"/>
      <c r="CR155" s="392"/>
      <c r="CS155" s="392"/>
      <c r="CT155" s="392"/>
      <c r="CU155" s="392"/>
      <c r="CV155" s="392"/>
      <c r="CW155" s="392"/>
      <c r="CX155" s="392"/>
      <c r="CY155" s="392"/>
      <c r="CZ155" s="392"/>
      <c r="DA155" s="392"/>
      <c r="DB155" s="392"/>
      <c r="DC155" s="392"/>
    </row>
    <row r="156" spans="1:107" s="337" customFormat="1" ht="24">
      <c r="A156" s="37"/>
      <c r="B156" s="638" t="s">
        <v>23</v>
      </c>
      <c r="C156" s="639" t="s">
        <v>499</v>
      </c>
      <c r="D156" s="640" t="s">
        <v>1224</v>
      </c>
      <c r="E156" s="641">
        <f>'Ref-ComSources'!$AB$10*AVERAGE('Ref-ComSources'!$F$84,'Ref-ComSources'!$F$86,'Ref-ComSources'!$F$88)</f>
        <v>551.08209536163713</v>
      </c>
      <c r="F156" s="639" t="s">
        <v>95</v>
      </c>
      <c r="G156" s="642">
        <f>'Ref-2013CSSsaturationsINT'!$F$130</f>
        <v>6.0606142377777755E-2</v>
      </c>
      <c r="H156" s="639" t="s">
        <v>66</v>
      </c>
      <c r="I156" s="643">
        <f>'Ref-2013CSSsaturationsINT'!$J$130</f>
        <v>0.99565453020434114</v>
      </c>
      <c r="J156" s="644" t="s">
        <v>25</v>
      </c>
      <c r="K156" s="644" t="s">
        <v>1052</v>
      </c>
      <c r="L156" s="645" t="s">
        <v>95</v>
      </c>
      <c r="M156" s="645" t="s">
        <v>93</v>
      </c>
      <c r="N156" s="646" t="s">
        <v>1049</v>
      </c>
      <c r="O156" s="647" t="s">
        <v>870</v>
      </c>
      <c r="P156" s="646" t="str">
        <f>rMarketSolutions[[#This Row],[Lighting Savings
(lamp and/or ballast)]]</f>
        <v>No Change</v>
      </c>
      <c r="Q156" s="647" t="s">
        <v>870</v>
      </c>
      <c r="R156" s="37"/>
      <c r="S156" s="639" t="s">
        <v>68</v>
      </c>
      <c r="T156" s="644" t="s">
        <v>63</v>
      </c>
      <c r="U156" s="644" t="s">
        <v>44</v>
      </c>
      <c r="V156" s="644" t="s">
        <v>75</v>
      </c>
      <c r="W156" s="639" t="s">
        <v>70</v>
      </c>
      <c r="X156" s="37"/>
      <c r="Y156" s="37"/>
      <c r="Z156" s="639" t="s">
        <v>78</v>
      </c>
      <c r="AA156" s="639" t="s">
        <v>78</v>
      </c>
      <c r="AB156" s="37"/>
      <c r="AC156" s="814">
        <f>'Ref-ComHOU'!$G$96</f>
        <v>12.202739726027396</v>
      </c>
      <c r="AD156" s="639" t="s">
        <v>72</v>
      </c>
      <c r="AE156" s="644" t="s">
        <v>73</v>
      </c>
      <c r="AF156" s="822"/>
      <c r="AG156" s="822"/>
      <c r="AH156" s="822"/>
      <c r="AI156" s="822"/>
      <c r="AJ156" s="822"/>
      <c r="AK156" s="822"/>
      <c r="AL156" s="822"/>
      <c r="AM156" s="822"/>
      <c r="AN156" s="822"/>
      <c r="AO156" s="822"/>
      <c r="AP156" s="822"/>
      <c r="AQ156" s="822"/>
      <c r="AR156" s="822"/>
      <c r="AS156" s="822"/>
      <c r="AT156" s="822"/>
      <c r="AU156" s="822"/>
      <c r="AV156" s="822"/>
      <c r="AW156" s="822"/>
      <c r="AX156" s="822"/>
      <c r="AY156" s="822"/>
      <c r="AZ156" s="822"/>
      <c r="BA156" s="822"/>
      <c r="BB156" s="822"/>
      <c r="BC156" s="822"/>
      <c r="BD156" s="822"/>
      <c r="BE156" s="822"/>
      <c r="BF156" s="822"/>
      <c r="BG156" s="822"/>
      <c r="BH156" s="822"/>
      <c r="BI156" s="822"/>
      <c r="BJ156" s="822"/>
      <c r="BK156" s="822"/>
      <c r="BL156" s="822"/>
      <c r="BM156" s="822"/>
      <c r="BN156" s="822"/>
      <c r="BO156" s="822"/>
      <c r="BP156" s="822"/>
      <c r="BQ156" s="822"/>
      <c r="BR156" s="822"/>
      <c r="BS156" s="822"/>
      <c r="BT156" s="822"/>
      <c r="BU156" s="822"/>
      <c r="BV156" s="822"/>
      <c r="BW156" s="822"/>
      <c r="BX156" s="822"/>
      <c r="BY156" s="822"/>
      <c r="BZ156" s="822"/>
      <c r="CA156" s="822"/>
      <c r="CB156" s="822"/>
      <c r="CC156" s="822"/>
      <c r="CD156" s="822"/>
      <c r="CE156" s="822"/>
      <c r="CF156" s="822"/>
      <c r="CG156" s="822"/>
      <c r="CH156" s="822"/>
      <c r="CI156" s="822"/>
      <c r="CJ156" s="392"/>
      <c r="CK156" s="392"/>
      <c r="CL156" s="392"/>
      <c r="CM156" s="392"/>
      <c r="CN156" s="392"/>
      <c r="CO156" s="392"/>
      <c r="CP156" s="392"/>
      <c r="CQ156" s="392"/>
      <c r="CR156" s="392"/>
      <c r="CS156" s="392"/>
      <c r="CT156" s="392"/>
      <c r="CU156" s="392"/>
      <c r="CV156" s="392"/>
      <c r="CW156" s="392"/>
      <c r="CX156" s="392"/>
      <c r="CY156" s="392"/>
      <c r="CZ156" s="392"/>
      <c r="DA156" s="392"/>
      <c r="DB156" s="392"/>
      <c r="DC156" s="392"/>
    </row>
    <row r="157" spans="1:107" s="337" customFormat="1" ht="24">
      <c r="A157" s="37"/>
      <c r="B157" s="638" t="s">
        <v>23</v>
      </c>
      <c r="C157" s="639" t="s">
        <v>499</v>
      </c>
      <c r="D157" s="640" t="s">
        <v>1224</v>
      </c>
      <c r="E157" s="641">
        <f>'Ref-ComSources'!$AB$10*AVERAGE('Ref-ComSources'!$F$84,'Ref-ComSources'!$F$86,'Ref-ComSources'!$F$88)</f>
        <v>551.08209536163713</v>
      </c>
      <c r="F157" s="639" t="s">
        <v>24</v>
      </c>
      <c r="G157" s="642">
        <f>'Ref-2013CSSsaturationsINT'!$F$131</f>
        <v>5.3111068793247444E-2</v>
      </c>
      <c r="H157" s="639" t="s">
        <v>66</v>
      </c>
      <c r="I157" s="643">
        <f>'Ref-2013CSSsaturationsINT'!$J$131</f>
        <v>0.99323947599043749</v>
      </c>
      <c r="J157" s="644" t="s">
        <v>25</v>
      </c>
      <c r="K157" s="644" t="s">
        <v>1052</v>
      </c>
      <c r="L157" s="645" t="s">
        <v>95</v>
      </c>
      <c r="M157" s="645" t="s">
        <v>88</v>
      </c>
      <c r="N157" s="646">
        <f>E157*G157*'Ref-Savings Calculations'!$E$7*Applicability</f>
        <v>5.4034262912268671</v>
      </c>
      <c r="O157" s="647" t="s">
        <v>870</v>
      </c>
      <c r="P157" s="646">
        <f>rMarketSolutions[[#This Row],[Lighting Savings
(lamp and/or ballast)]]</f>
        <v>5.4034262912268671</v>
      </c>
      <c r="Q157" s="647" t="s">
        <v>870</v>
      </c>
      <c r="R157" s="37"/>
      <c r="S157" s="639" t="s">
        <v>68</v>
      </c>
      <c r="T157" s="644" t="s">
        <v>63</v>
      </c>
      <c r="U157" s="639" t="s">
        <v>69</v>
      </c>
      <c r="V157" s="639" t="s">
        <v>69</v>
      </c>
      <c r="W157" s="639" t="s">
        <v>70</v>
      </c>
      <c r="X157" s="37"/>
      <c r="Y157" s="37"/>
      <c r="Z157" s="639" t="s">
        <v>78</v>
      </c>
      <c r="AA157" s="639" t="s">
        <v>78</v>
      </c>
      <c r="AB157" s="37"/>
      <c r="AC157" s="814">
        <f>'Ref-ComHOU'!$G$96</f>
        <v>12.202739726027396</v>
      </c>
      <c r="AD157" s="639" t="s">
        <v>72</v>
      </c>
      <c r="AE157" s="644" t="s">
        <v>73</v>
      </c>
      <c r="AF157" s="822"/>
      <c r="AG157" s="822"/>
      <c r="AH157" s="822"/>
      <c r="AI157" s="822"/>
      <c r="AJ157" s="822"/>
      <c r="AK157" s="822"/>
      <c r="AL157" s="822"/>
      <c r="AM157" s="822"/>
      <c r="AN157" s="822"/>
      <c r="AO157" s="822"/>
      <c r="AP157" s="822"/>
      <c r="AQ157" s="822"/>
      <c r="AR157" s="822"/>
      <c r="AS157" s="822"/>
      <c r="AT157" s="822"/>
      <c r="AU157" s="822"/>
      <c r="AV157" s="822"/>
      <c r="AW157" s="822"/>
      <c r="AX157" s="822"/>
      <c r="AY157" s="822"/>
      <c r="AZ157" s="822"/>
      <c r="BA157" s="822"/>
      <c r="BB157" s="822"/>
      <c r="BC157" s="822"/>
      <c r="BD157" s="822"/>
      <c r="BE157" s="822"/>
      <c r="BF157" s="822"/>
      <c r="BG157" s="822"/>
      <c r="BH157" s="822"/>
      <c r="BI157" s="822"/>
      <c r="BJ157" s="822"/>
      <c r="BK157" s="822"/>
      <c r="BL157" s="822"/>
      <c r="BM157" s="822"/>
      <c r="BN157" s="822"/>
      <c r="BO157" s="822"/>
      <c r="BP157" s="822"/>
      <c r="BQ157" s="822"/>
      <c r="BR157" s="822"/>
      <c r="BS157" s="822"/>
      <c r="BT157" s="822"/>
      <c r="BU157" s="822"/>
      <c r="BV157" s="822"/>
      <c r="BW157" s="822"/>
      <c r="BX157" s="822"/>
      <c r="BY157" s="822"/>
      <c r="BZ157" s="822"/>
      <c r="CA157" s="822"/>
      <c r="CB157" s="822"/>
      <c r="CC157" s="822"/>
      <c r="CD157" s="822"/>
      <c r="CE157" s="822"/>
      <c r="CF157" s="822"/>
      <c r="CG157" s="822"/>
      <c r="CH157" s="822"/>
      <c r="CI157" s="822"/>
      <c r="CJ157" s="392"/>
      <c r="CK157" s="392"/>
      <c r="CL157" s="392"/>
      <c r="CM157" s="392"/>
      <c r="CN157" s="392"/>
      <c r="CO157" s="392"/>
      <c r="CP157" s="392"/>
      <c r="CQ157" s="392"/>
      <c r="CR157" s="392"/>
      <c r="CS157" s="392"/>
      <c r="CT157" s="392"/>
      <c r="CU157" s="392"/>
      <c r="CV157" s="392"/>
      <c r="CW157" s="392"/>
      <c r="CX157" s="392"/>
      <c r="CY157" s="392"/>
      <c r="CZ157" s="392"/>
      <c r="DA157" s="392"/>
      <c r="DB157" s="392"/>
      <c r="DC157" s="392"/>
    </row>
    <row r="158" spans="1:107" s="337" customFormat="1" ht="24">
      <c r="A158" s="37"/>
      <c r="B158" s="638" t="s">
        <v>23</v>
      </c>
      <c r="C158" s="639" t="s">
        <v>499</v>
      </c>
      <c r="D158" s="640" t="s">
        <v>1224</v>
      </c>
      <c r="E158" s="641">
        <f>'Ref-ComSources'!$AB$10*AVERAGE('Ref-ComSources'!$F$84,'Ref-ComSources'!$F$86,'Ref-ComSources'!$F$88)</f>
        <v>551.08209536163713</v>
      </c>
      <c r="F158" s="639" t="s">
        <v>24</v>
      </c>
      <c r="G158" s="642">
        <f>'Ref-2013CSSsaturationsINT'!$F$131</f>
        <v>5.3111068793247444E-2</v>
      </c>
      <c r="H158" s="639" t="s">
        <v>66</v>
      </c>
      <c r="I158" s="643">
        <f>'Ref-2013CSSsaturationsINT'!$J$131</f>
        <v>0.99323947599043749</v>
      </c>
      <c r="J158" s="644" t="s">
        <v>25</v>
      </c>
      <c r="K158" s="644" t="s">
        <v>1052</v>
      </c>
      <c r="L158" s="645" t="s">
        <v>95</v>
      </c>
      <c r="M158" s="645" t="s">
        <v>90</v>
      </c>
      <c r="N158" s="646">
        <f>E158*G158*'Ref-Savings Calculations'!$E$7*Applicability</f>
        <v>5.4034262912268671</v>
      </c>
      <c r="O158" s="647" t="s">
        <v>870</v>
      </c>
      <c r="P158" s="646">
        <f>rMarketSolutions[[#This Row],[Lighting Savings
(lamp and/or ballast)]]</f>
        <v>5.4034262912268671</v>
      </c>
      <c r="Q158" s="647" t="s">
        <v>870</v>
      </c>
      <c r="R158" s="37"/>
      <c r="S158" s="639" t="s">
        <v>68</v>
      </c>
      <c r="T158" s="644" t="s">
        <v>63</v>
      </c>
      <c r="U158" s="639" t="s">
        <v>69</v>
      </c>
      <c r="V158" s="639" t="s">
        <v>69</v>
      </c>
      <c r="W158" s="639" t="s">
        <v>70</v>
      </c>
      <c r="X158" s="37"/>
      <c r="Y158" s="37"/>
      <c r="Z158" s="639" t="s">
        <v>78</v>
      </c>
      <c r="AA158" s="639" t="s">
        <v>78</v>
      </c>
      <c r="AB158" s="37"/>
      <c r="AC158" s="814">
        <f>'Ref-ComHOU'!$G$96</f>
        <v>12.202739726027396</v>
      </c>
      <c r="AD158" s="639" t="s">
        <v>72</v>
      </c>
      <c r="AE158" s="644" t="s">
        <v>73</v>
      </c>
      <c r="AF158" s="822"/>
      <c r="AG158" s="822"/>
      <c r="AH158" s="822"/>
      <c r="AI158" s="822"/>
      <c r="AJ158" s="822"/>
      <c r="AK158" s="822"/>
      <c r="AL158" s="822"/>
      <c r="AM158" s="822"/>
      <c r="AN158" s="822"/>
      <c r="AO158" s="822"/>
      <c r="AP158" s="822"/>
      <c r="AQ158" s="822"/>
      <c r="AR158" s="822"/>
      <c r="AS158" s="822"/>
      <c r="AT158" s="822"/>
      <c r="AU158" s="822"/>
      <c r="AV158" s="822"/>
      <c r="AW158" s="822"/>
      <c r="AX158" s="822"/>
      <c r="AY158" s="822"/>
      <c r="AZ158" s="822"/>
      <c r="BA158" s="822"/>
      <c r="BB158" s="822"/>
      <c r="BC158" s="822"/>
      <c r="BD158" s="822"/>
      <c r="BE158" s="822"/>
      <c r="BF158" s="822"/>
      <c r="BG158" s="822"/>
      <c r="BH158" s="822"/>
      <c r="BI158" s="822"/>
      <c r="BJ158" s="822"/>
      <c r="BK158" s="822"/>
      <c r="BL158" s="822"/>
      <c r="BM158" s="822"/>
      <c r="BN158" s="822"/>
      <c r="BO158" s="822"/>
      <c r="BP158" s="822"/>
      <c r="BQ158" s="822"/>
      <c r="BR158" s="822"/>
      <c r="BS158" s="822"/>
      <c r="BT158" s="822"/>
      <c r="BU158" s="822"/>
      <c r="BV158" s="822"/>
      <c r="BW158" s="822"/>
      <c r="BX158" s="822"/>
      <c r="BY158" s="822"/>
      <c r="BZ158" s="822"/>
      <c r="CA158" s="822"/>
      <c r="CB158" s="822"/>
      <c r="CC158" s="822"/>
      <c r="CD158" s="822"/>
      <c r="CE158" s="822"/>
      <c r="CF158" s="822"/>
      <c r="CG158" s="822"/>
      <c r="CH158" s="822"/>
      <c r="CI158" s="822"/>
      <c r="CJ158" s="392"/>
      <c r="CK158" s="392"/>
      <c r="CL158" s="392"/>
      <c r="CM158" s="392"/>
      <c r="CN158" s="392"/>
      <c r="CO158" s="392"/>
      <c r="CP158" s="392"/>
      <c r="CQ158" s="392"/>
      <c r="CR158" s="392"/>
      <c r="CS158" s="392"/>
      <c r="CT158" s="392"/>
      <c r="CU158" s="392"/>
      <c r="CV158" s="392"/>
      <c r="CW158" s="392"/>
      <c r="CX158" s="392"/>
      <c r="CY158" s="392"/>
      <c r="CZ158" s="392"/>
      <c r="DA158" s="392"/>
      <c r="DB158" s="392"/>
      <c r="DC158" s="392"/>
    </row>
    <row r="159" spans="1:107" s="337" customFormat="1" ht="24">
      <c r="A159" s="37"/>
      <c r="B159" s="638" t="s">
        <v>23</v>
      </c>
      <c r="C159" s="639" t="s">
        <v>499</v>
      </c>
      <c r="D159" s="640" t="s">
        <v>1224</v>
      </c>
      <c r="E159" s="641">
        <f>'Ref-ComSources'!$AB$10*AVERAGE('Ref-ComSources'!$F$84,'Ref-ComSources'!$F$86,'Ref-ComSources'!$F$88)</f>
        <v>551.08209536163713</v>
      </c>
      <c r="F159" s="639" t="s">
        <v>24</v>
      </c>
      <c r="G159" s="642">
        <f>'Ref-2013CSSsaturationsINT'!$F$131</f>
        <v>5.3111068793247444E-2</v>
      </c>
      <c r="H159" s="639" t="s">
        <v>66</v>
      </c>
      <c r="I159" s="643">
        <f>'Ref-2013CSSsaturationsINT'!$J$131</f>
        <v>0.99323947599043749</v>
      </c>
      <c r="J159" s="644" t="s">
        <v>25</v>
      </c>
      <c r="K159" s="644" t="s">
        <v>1052</v>
      </c>
      <c r="L159" s="645" t="s">
        <v>95</v>
      </c>
      <c r="M159" s="645" t="s">
        <v>92</v>
      </c>
      <c r="N159" s="646">
        <f>E159*G159*'Ref-Savings Calculations'!$E$7*Applicability</f>
        <v>5.4034262912268671</v>
      </c>
      <c r="O159" s="647">
        <f>E159*G159*'Ref-Savings Calculations'!$C$99*Applicability*ControlShare</f>
        <v>8.3723582249597559</v>
      </c>
      <c r="P159" s="646">
        <f>rMarketSolutions[[#This Row],[Lighting Savings
(lamp and/or ballast)]]</f>
        <v>5.4034262912268671</v>
      </c>
      <c r="Q159" s="646">
        <f>E159*G159*('Ref-Savings Calculations'!$C$99-'Ref-Savings Calculations'!$C$76)*Applicability*ControlShare</f>
        <v>7.2095306937153456</v>
      </c>
      <c r="R159" s="37"/>
      <c r="S159" s="639" t="s">
        <v>68</v>
      </c>
      <c r="T159" s="644" t="s">
        <v>63</v>
      </c>
      <c r="U159" s="639" t="s">
        <v>69</v>
      </c>
      <c r="V159" s="639" t="s">
        <v>69</v>
      </c>
      <c r="W159" s="639" t="s">
        <v>70</v>
      </c>
      <c r="X159" s="37"/>
      <c r="Y159" s="37"/>
      <c r="Z159" s="639" t="s">
        <v>78</v>
      </c>
      <c r="AA159" s="639" t="s">
        <v>78</v>
      </c>
      <c r="AB159" s="37"/>
      <c r="AC159" s="814">
        <f>'Ref-ComHOU'!$G$96</f>
        <v>12.202739726027396</v>
      </c>
      <c r="AD159" s="639" t="s">
        <v>72</v>
      </c>
      <c r="AE159" s="644" t="s">
        <v>73</v>
      </c>
      <c r="AF159" s="822"/>
      <c r="AG159" s="822"/>
      <c r="AH159" s="822"/>
      <c r="AI159" s="822"/>
      <c r="AJ159" s="822"/>
      <c r="AK159" s="822"/>
      <c r="AL159" s="822"/>
      <c r="AM159" s="822"/>
      <c r="AN159" s="822"/>
      <c r="AO159" s="822"/>
      <c r="AP159" s="822"/>
      <c r="AQ159" s="822"/>
      <c r="AR159" s="822"/>
      <c r="AS159" s="822"/>
      <c r="AT159" s="822"/>
      <c r="AU159" s="822"/>
      <c r="AV159" s="822"/>
      <c r="AW159" s="822"/>
      <c r="AX159" s="822"/>
      <c r="AY159" s="822"/>
      <c r="AZ159" s="822"/>
      <c r="BA159" s="822"/>
      <c r="BB159" s="822"/>
      <c r="BC159" s="822"/>
      <c r="BD159" s="822"/>
      <c r="BE159" s="822"/>
      <c r="BF159" s="822"/>
      <c r="BG159" s="822"/>
      <c r="BH159" s="822"/>
      <c r="BI159" s="822"/>
      <c r="BJ159" s="822"/>
      <c r="BK159" s="822"/>
      <c r="BL159" s="822"/>
      <c r="BM159" s="822"/>
      <c r="BN159" s="822"/>
      <c r="BO159" s="822"/>
      <c r="BP159" s="822"/>
      <c r="BQ159" s="822"/>
      <c r="BR159" s="822"/>
      <c r="BS159" s="822"/>
      <c r="BT159" s="822"/>
      <c r="BU159" s="822"/>
      <c r="BV159" s="822"/>
      <c r="BW159" s="822"/>
      <c r="BX159" s="822"/>
      <c r="BY159" s="822"/>
      <c r="BZ159" s="822"/>
      <c r="CA159" s="822"/>
      <c r="CB159" s="822"/>
      <c r="CC159" s="822"/>
      <c r="CD159" s="822"/>
      <c r="CE159" s="822"/>
      <c r="CF159" s="822"/>
      <c r="CG159" s="822"/>
      <c r="CH159" s="822"/>
      <c r="CI159" s="822"/>
      <c r="CJ159" s="392"/>
      <c r="CK159" s="392"/>
      <c r="CL159" s="392"/>
      <c r="CM159" s="392"/>
      <c r="CN159" s="392"/>
      <c r="CO159" s="392"/>
      <c r="CP159" s="392"/>
      <c r="CQ159" s="392"/>
      <c r="CR159" s="392"/>
      <c r="CS159" s="392"/>
      <c r="CT159" s="392"/>
      <c r="CU159" s="392"/>
      <c r="CV159" s="392"/>
      <c r="CW159" s="392"/>
      <c r="CX159" s="392"/>
      <c r="CY159" s="392"/>
      <c r="CZ159" s="392"/>
      <c r="DA159" s="392"/>
      <c r="DB159" s="392"/>
      <c r="DC159" s="392"/>
    </row>
    <row r="160" spans="1:107" s="337" customFormat="1" ht="24">
      <c r="A160" s="37"/>
      <c r="B160" s="638" t="s">
        <v>23</v>
      </c>
      <c r="C160" s="639" t="s">
        <v>499</v>
      </c>
      <c r="D160" s="640" t="s">
        <v>1224</v>
      </c>
      <c r="E160" s="641">
        <f>'Ref-ComSources'!$AB$10*AVERAGE('Ref-ComSources'!$F$84,'Ref-ComSources'!$F$86,'Ref-ComSources'!$F$88)</f>
        <v>551.08209536163713</v>
      </c>
      <c r="F160" s="639" t="s">
        <v>24</v>
      </c>
      <c r="G160" s="642">
        <f>'Ref-2013CSSsaturationsINT'!$F$131</f>
        <v>5.3111068793247444E-2</v>
      </c>
      <c r="H160" s="639" t="s">
        <v>66</v>
      </c>
      <c r="I160" s="643">
        <f>'Ref-2013CSSsaturationsINT'!$J$131</f>
        <v>0.99323947599043749</v>
      </c>
      <c r="J160" s="644" t="s">
        <v>25</v>
      </c>
      <c r="K160" s="644" t="s">
        <v>1052</v>
      </c>
      <c r="L160" s="645" t="s">
        <v>95</v>
      </c>
      <c r="M160" s="645" t="s">
        <v>93</v>
      </c>
      <c r="N160" s="646">
        <f>E160*G160*'Ref-Savings Calculations'!$E$7*Applicability</f>
        <v>5.4034262912268671</v>
      </c>
      <c r="O160" s="647" t="s">
        <v>870</v>
      </c>
      <c r="P160" s="646">
        <f>rMarketSolutions[[#This Row],[Lighting Savings
(lamp and/or ballast)]]</f>
        <v>5.4034262912268671</v>
      </c>
      <c r="Q160" s="647" t="s">
        <v>870</v>
      </c>
      <c r="R160" s="37"/>
      <c r="S160" s="639" t="s">
        <v>68</v>
      </c>
      <c r="T160" s="644" t="s">
        <v>63</v>
      </c>
      <c r="U160" s="644" t="s">
        <v>44</v>
      </c>
      <c r="V160" s="644" t="s">
        <v>75</v>
      </c>
      <c r="W160" s="639" t="s">
        <v>70</v>
      </c>
      <c r="X160" s="37"/>
      <c r="Y160" s="37"/>
      <c r="Z160" s="639" t="s">
        <v>78</v>
      </c>
      <c r="AA160" s="639" t="s">
        <v>78</v>
      </c>
      <c r="AB160" s="37"/>
      <c r="AC160" s="814">
        <f>'Ref-ComHOU'!$G$96</f>
        <v>12.202739726027396</v>
      </c>
      <c r="AD160" s="639" t="s">
        <v>72</v>
      </c>
      <c r="AE160" s="644" t="s">
        <v>73</v>
      </c>
      <c r="AF160" s="822"/>
      <c r="AG160" s="822"/>
      <c r="AH160" s="822"/>
      <c r="AI160" s="822"/>
      <c r="AJ160" s="822"/>
      <c r="AK160" s="822"/>
      <c r="AL160" s="822"/>
      <c r="AM160" s="822"/>
      <c r="AN160" s="822"/>
      <c r="AO160" s="822"/>
      <c r="AP160" s="822"/>
      <c r="AQ160" s="822"/>
      <c r="AR160" s="822"/>
      <c r="AS160" s="822"/>
      <c r="AT160" s="822"/>
      <c r="AU160" s="822"/>
      <c r="AV160" s="822"/>
      <c r="AW160" s="822"/>
      <c r="AX160" s="822"/>
      <c r="AY160" s="822"/>
      <c r="AZ160" s="822"/>
      <c r="BA160" s="822"/>
      <c r="BB160" s="822"/>
      <c r="BC160" s="822"/>
      <c r="BD160" s="822"/>
      <c r="BE160" s="822"/>
      <c r="BF160" s="822"/>
      <c r="BG160" s="822"/>
      <c r="BH160" s="822"/>
      <c r="BI160" s="822"/>
      <c r="BJ160" s="822"/>
      <c r="BK160" s="822"/>
      <c r="BL160" s="822"/>
      <c r="BM160" s="822"/>
      <c r="BN160" s="822"/>
      <c r="BO160" s="822"/>
      <c r="BP160" s="822"/>
      <c r="BQ160" s="822"/>
      <c r="BR160" s="822"/>
      <c r="BS160" s="822"/>
      <c r="BT160" s="822"/>
      <c r="BU160" s="822"/>
      <c r="BV160" s="822"/>
      <c r="BW160" s="822"/>
      <c r="BX160" s="822"/>
      <c r="BY160" s="822"/>
      <c r="BZ160" s="822"/>
      <c r="CA160" s="822"/>
      <c r="CB160" s="822"/>
      <c r="CC160" s="822"/>
      <c r="CD160" s="822"/>
      <c r="CE160" s="822"/>
      <c r="CF160" s="822"/>
      <c r="CG160" s="822"/>
      <c r="CH160" s="822"/>
      <c r="CI160" s="822"/>
      <c r="CJ160" s="392"/>
      <c r="CK160" s="392"/>
      <c r="CL160" s="392"/>
      <c r="CM160" s="392"/>
      <c r="CN160" s="392"/>
      <c r="CO160" s="392"/>
      <c r="CP160" s="392"/>
      <c r="CQ160" s="392"/>
      <c r="CR160" s="392"/>
      <c r="CS160" s="392"/>
      <c r="CT160" s="392"/>
      <c r="CU160" s="392"/>
      <c r="CV160" s="392"/>
      <c r="CW160" s="392"/>
      <c r="CX160" s="392"/>
      <c r="CY160" s="392"/>
      <c r="CZ160" s="392"/>
      <c r="DA160" s="392"/>
      <c r="DB160" s="392"/>
      <c r="DC160" s="392"/>
    </row>
    <row r="161" spans="1:107" s="337" customFormat="1" ht="24">
      <c r="A161" s="37"/>
      <c r="B161" s="638" t="s">
        <v>23</v>
      </c>
      <c r="C161" s="639" t="s">
        <v>499</v>
      </c>
      <c r="D161" s="640" t="s">
        <v>1224</v>
      </c>
      <c r="E161" s="641">
        <f>'Ref-ComSources'!$AB$10*AVERAGE('Ref-ComSources'!$F$84,'Ref-ComSources'!$F$86,'Ref-ComSources'!$F$88)</f>
        <v>551.08209536163713</v>
      </c>
      <c r="F161" s="639" t="s">
        <v>26</v>
      </c>
      <c r="G161" s="642">
        <f>'Ref-2013CSSsaturationsINT'!$F$132</f>
        <v>0.17356226180788212</v>
      </c>
      <c r="H161" s="639" t="s">
        <v>66</v>
      </c>
      <c r="I161" s="643">
        <f>'Ref-2013CSSsaturationsINT'!$J$132</f>
        <v>0.98263252310834825</v>
      </c>
      <c r="J161" s="644" t="s">
        <v>25</v>
      </c>
      <c r="K161" s="644" t="s">
        <v>1052</v>
      </c>
      <c r="L161" s="645" t="s">
        <v>95</v>
      </c>
      <c r="M161" s="645" t="s">
        <v>88</v>
      </c>
      <c r="N161" s="646">
        <f>E161*G161*'Ref-Savings Calculations'!$E$11*Applicability</f>
        <v>63.76470327519516</v>
      </c>
      <c r="O161" s="647" t="s">
        <v>870</v>
      </c>
      <c r="P161" s="646">
        <f>E161*G161*'Ref-Savings Calculations'!$E$9*Applicability</f>
        <v>60.576468111435396</v>
      </c>
      <c r="Q161" s="646" t="s">
        <v>870</v>
      </c>
      <c r="R161" s="37"/>
      <c r="S161" s="639" t="s">
        <v>68</v>
      </c>
      <c r="T161" s="644" t="s">
        <v>63</v>
      </c>
      <c r="U161" s="639" t="s">
        <v>69</v>
      </c>
      <c r="V161" s="639" t="s">
        <v>69</v>
      </c>
      <c r="W161" s="639" t="s">
        <v>70</v>
      </c>
      <c r="X161" s="37"/>
      <c r="Y161" s="37"/>
      <c r="Z161" s="639" t="s">
        <v>78</v>
      </c>
      <c r="AA161" s="639" t="s">
        <v>78</v>
      </c>
      <c r="AB161" s="37"/>
      <c r="AC161" s="814">
        <f>'Ref-ComHOU'!$G$96</f>
        <v>12.202739726027396</v>
      </c>
      <c r="AD161" s="639" t="s">
        <v>72</v>
      </c>
      <c r="AE161" s="644" t="s">
        <v>73</v>
      </c>
      <c r="AF161" s="822"/>
      <c r="AG161" s="822"/>
      <c r="AH161" s="822"/>
      <c r="AI161" s="822"/>
      <c r="AJ161" s="822"/>
      <c r="AK161" s="822"/>
      <c r="AL161" s="822"/>
      <c r="AM161" s="822"/>
      <c r="AN161" s="822"/>
      <c r="AO161" s="822"/>
      <c r="AP161" s="822"/>
      <c r="AQ161" s="822"/>
      <c r="AR161" s="822"/>
      <c r="AS161" s="822"/>
      <c r="AT161" s="822"/>
      <c r="AU161" s="822"/>
      <c r="AV161" s="822"/>
      <c r="AW161" s="822"/>
      <c r="AX161" s="822"/>
      <c r="AY161" s="822"/>
      <c r="AZ161" s="822"/>
      <c r="BA161" s="822"/>
      <c r="BB161" s="822"/>
      <c r="BC161" s="822"/>
      <c r="BD161" s="822"/>
      <c r="BE161" s="822"/>
      <c r="BF161" s="822"/>
      <c r="BG161" s="822"/>
      <c r="BH161" s="822"/>
      <c r="BI161" s="822"/>
      <c r="BJ161" s="822"/>
      <c r="BK161" s="822"/>
      <c r="BL161" s="822"/>
      <c r="BM161" s="822"/>
      <c r="BN161" s="822"/>
      <c r="BO161" s="822"/>
      <c r="BP161" s="822"/>
      <c r="BQ161" s="822"/>
      <c r="BR161" s="822"/>
      <c r="BS161" s="822"/>
      <c r="BT161" s="822"/>
      <c r="BU161" s="822"/>
      <c r="BV161" s="822"/>
      <c r="BW161" s="822"/>
      <c r="BX161" s="822"/>
      <c r="BY161" s="822"/>
      <c r="BZ161" s="822"/>
      <c r="CA161" s="822"/>
      <c r="CB161" s="822"/>
      <c r="CC161" s="822"/>
      <c r="CD161" s="822"/>
      <c r="CE161" s="822"/>
      <c r="CF161" s="822"/>
      <c r="CG161" s="822"/>
      <c r="CH161" s="822"/>
      <c r="CI161" s="822"/>
      <c r="CJ161" s="392"/>
      <c r="CK161" s="392"/>
      <c r="CL161" s="392"/>
      <c r="CM161" s="392"/>
      <c r="CN161" s="392"/>
      <c r="CO161" s="392"/>
      <c r="CP161" s="392"/>
      <c r="CQ161" s="392"/>
      <c r="CR161" s="392"/>
      <c r="CS161" s="392"/>
      <c r="CT161" s="392"/>
      <c r="CU161" s="392"/>
      <c r="CV161" s="392"/>
      <c r="CW161" s="392"/>
      <c r="CX161" s="392"/>
      <c r="CY161" s="392"/>
      <c r="CZ161" s="392"/>
      <c r="DA161" s="392"/>
      <c r="DB161" s="392"/>
      <c r="DC161" s="392"/>
    </row>
    <row r="162" spans="1:107" s="337" customFormat="1" ht="24">
      <c r="A162" s="37"/>
      <c r="B162" s="638" t="s">
        <v>23</v>
      </c>
      <c r="C162" s="639" t="s">
        <v>499</v>
      </c>
      <c r="D162" s="640" t="s">
        <v>1224</v>
      </c>
      <c r="E162" s="641">
        <f>'Ref-ComSources'!$AB$10*AVERAGE('Ref-ComSources'!$F$84,'Ref-ComSources'!$F$86,'Ref-ComSources'!$F$88)</f>
        <v>551.08209536163713</v>
      </c>
      <c r="F162" s="639" t="s">
        <v>26</v>
      </c>
      <c r="G162" s="642">
        <f>'Ref-2013CSSsaturationsINT'!$F$132</f>
        <v>0.17356226180788212</v>
      </c>
      <c r="H162" s="639" t="s">
        <v>66</v>
      </c>
      <c r="I162" s="643">
        <f>'Ref-2013CSSsaturationsINT'!$J$132</f>
        <v>0.98263252310834825</v>
      </c>
      <c r="J162" s="644" t="s">
        <v>25</v>
      </c>
      <c r="K162" s="644" t="s">
        <v>1052</v>
      </c>
      <c r="L162" s="645" t="s">
        <v>95</v>
      </c>
      <c r="M162" s="645" t="s">
        <v>90</v>
      </c>
      <c r="N162" s="646">
        <f>E162*G162*'Ref-Savings Calculations'!$E$11*Applicability</f>
        <v>63.76470327519516</v>
      </c>
      <c r="O162" s="647" t="s">
        <v>870</v>
      </c>
      <c r="P162" s="646">
        <f>E162*G162*'Ref-Savings Calculations'!$E$9*Applicability</f>
        <v>60.576468111435396</v>
      </c>
      <c r="Q162" s="647" t="s">
        <v>870</v>
      </c>
      <c r="R162" s="37"/>
      <c r="S162" s="639" t="s">
        <v>68</v>
      </c>
      <c r="T162" s="644" t="s">
        <v>63</v>
      </c>
      <c r="U162" s="639" t="s">
        <v>69</v>
      </c>
      <c r="V162" s="639" t="s">
        <v>69</v>
      </c>
      <c r="W162" s="639" t="s">
        <v>70</v>
      </c>
      <c r="X162" s="37"/>
      <c r="Y162" s="37"/>
      <c r="Z162" s="639" t="s">
        <v>78</v>
      </c>
      <c r="AA162" s="639" t="s">
        <v>78</v>
      </c>
      <c r="AB162" s="37"/>
      <c r="AC162" s="814">
        <f>'Ref-ComHOU'!$G$96</f>
        <v>12.202739726027396</v>
      </c>
      <c r="AD162" s="639" t="s">
        <v>72</v>
      </c>
      <c r="AE162" s="644" t="s">
        <v>73</v>
      </c>
      <c r="AF162" s="822"/>
      <c r="AG162" s="822"/>
      <c r="AH162" s="822"/>
      <c r="AI162" s="822"/>
      <c r="AJ162" s="822"/>
      <c r="AK162" s="822"/>
      <c r="AL162" s="822"/>
      <c r="AM162" s="822"/>
      <c r="AN162" s="822"/>
      <c r="AO162" s="822"/>
      <c r="AP162" s="822"/>
      <c r="AQ162" s="822"/>
      <c r="AR162" s="822"/>
      <c r="AS162" s="822"/>
      <c r="AT162" s="822"/>
      <c r="AU162" s="822"/>
      <c r="AV162" s="822"/>
      <c r="AW162" s="822"/>
      <c r="AX162" s="822"/>
      <c r="AY162" s="822"/>
      <c r="AZ162" s="822"/>
      <c r="BA162" s="822"/>
      <c r="BB162" s="822"/>
      <c r="BC162" s="822"/>
      <c r="BD162" s="822"/>
      <c r="BE162" s="822"/>
      <c r="BF162" s="822"/>
      <c r="BG162" s="822"/>
      <c r="BH162" s="822"/>
      <c r="BI162" s="822"/>
      <c r="BJ162" s="822"/>
      <c r="BK162" s="822"/>
      <c r="BL162" s="822"/>
      <c r="BM162" s="822"/>
      <c r="BN162" s="822"/>
      <c r="BO162" s="822"/>
      <c r="BP162" s="822"/>
      <c r="BQ162" s="822"/>
      <c r="BR162" s="822"/>
      <c r="BS162" s="822"/>
      <c r="BT162" s="822"/>
      <c r="BU162" s="822"/>
      <c r="BV162" s="822"/>
      <c r="BW162" s="822"/>
      <c r="BX162" s="822"/>
      <c r="BY162" s="822"/>
      <c r="BZ162" s="822"/>
      <c r="CA162" s="822"/>
      <c r="CB162" s="822"/>
      <c r="CC162" s="822"/>
      <c r="CD162" s="822"/>
      <c r="CE162" s="822"/>
      <c r="CF162" s="822"/>
      <c r="CG162" s="822"/>
      <c r="CH162" s="822"/>
      <c r="CI162" s="822"/>
      <c r="CJ162" s="392"/>
      <c r="CK162" s="392"/>
      <c r="CL162" s="392"/>
      <c r="CM162" s="392"/>
      <c r="CN162" s="392"/>
      <c r="CO162" s="392"/>
      <c r="CP162" s="392"/>
      <c r="CQ162" s="392"/>
      <c r="CR162" s="392"/>
      <c r="CS162" s="392"/>
      <c r="CT162" s="392"/>
      <c r="CU162" s="392"/>
      <c r="CV162" s="392"/>
      <c r="CW162" s="392"/>
      <c r="CX162" s="392"/>
      <c r="CY162" s="392"/>
      <c r="CZ162" s="392"/>
      <c r="DA162" s="392"/>
      <c r="DB162" s="392"/>
      <c r="DC162" s="392"/>
    </row>
    <row r="163" spans="1:107" s="337" customFormat="1" ht="24">
      <c r="A163" s="37"/>
      <c r="B163" s="638" t="s">
        <v>23</v>
      </c>
      <c r="C163" s="639" t="s">
        <v>499</v>
      </c>
      <c r="D163" s="640" t="s">
        <v>1224</v>
      </c>
      <c r="E163" s="641">
        <f>'Ref-ComSources'!$AB$10*AVERAGE('Ref-ComSources'!$F$84,'Ref-ComSources'!$F$86,'Ref-ComSources'!$F$88)</f>
        <v>551.08209536163713</v>
      </c>
      <c r="F163" s="639" t="s">
        <v>26</v>
      </c>
      <c r="G163" s="642">
        <f>'Ref-2013CSSsaturationsINT'!$F$132</f>
        <v>0.17356226180788212</v>
      </c>
      <c r="H163" s="639" t="s">
        <v>66</v>
      </c>
      <c r="I163" s="643">
        <f>'Ref-2013CSSsaturationsINT'!$J$132</f>
        <v>0.98263252310834825</v>
      </c>
      <c r="J163" s="644" t="s">
        <v>25</v>
      </c>
      <c r="K163" s="644" t="s">
        <v>1052</v>
      </c>
      <c r="L163" s="645" t="s">
        <v>95</v>
      </c>
      <c r="M163" s="645" t="s">
        <v>92</v>
      </c>
      <c r="N163" s="646">
        <f>E163*G163*'Ref-Savings Calculations'!$E$11*Applicability</f>
        <v>63.76470327519516</v>
      </c>
      <c r="O163" s="647">
        <f>E163*G163*'Ref-Savings Calculations'!$C$99*Applicability*ControlShare</f>
        <v>27.067941186289993</v>
      </c>
      <c r="P163" s="646">
        <f>E163*G163*'Ref-Savings Calculations'!$E$9*Applicability</f>
        <v>60.576468111435396</v>
      </c>
      <c r="Q163" s="647">
        <f>E163*G163*('Ref-Savings Calculations'!$C$99-'Ref-Savings Calculations'!$C$76)*Applicability*ControlShare</f>
        <v>23.308504910416385</v>
      </c>
      <c r="R163" s="37"/>
      <c r="S163" s="639" t="s">
        <v>68</v>
      </c>
      <c r="T163" s="644" t="s">
        <v>63</v>
      </c>
      <c r="U163" s="639" t="s">
        <v>69</v>
      </c>
      <c r="V163" s="639" t="s">
        <v>69</v>
      </c>
      <c r="W163" s="639" t="s">
        <v>70</v>
      </c>
      <c r="X163" s="37"/>
      <c r="Y163" s="37"/>
      <c r="Z163" s="639" t="s">
        <v>78</v>
      </c>
      <c r="AA163" s="639" t="s">
        <v>78</v>
      </c>
      <c r="AB163" s="37"/>
      <c r="AC163" s="814">
        <f>'Ref-ComHOU'!$G$96</f>
        <v>12.202739726027396</v>
      </c>
      <c r="AD163" s="639" t="s">
        <v>72</v>
      </c>
      <c r="AE163" s="644" t="s">
        <v>73</v>
      </c>
      <c r="AF163" s="822"/>
      <c r="AG163" s="822"/>
      <c r="AH163" s="822"/>
      <c r="AI163" s="822"/>
      <c r="AJ163" s="822"/>
      <c r="AK163" s="822"/>
      <c r="AL163" s="822"/>
      <c r="AM163" s="822"/>
      <c r="AN163" s="822"/>
      <c r="AO163" s="822"/>
      <c r="AP163" s="822"/>
      <c r="AQ163" s="822"/>
      <c r="AR163" s="822"/>
      <c r="AS163" s="822"/>
      <c r="AT163" s="822"/>
      <c r="AU163" s="822"/>
      <c r="AV163" s="822"/>
      <c r="AW163" s="822"/>
      <c r="AX163" s="822"/>
      <c r="AY163" s="822"/>
      <c r="AZ163" s="822"/>
      <c r="BA163" s="822"/>
      <c r="BB163" s="822"/>
      <c r="BC163" s="822"/>
      <c r="BD163" s="822"/>
      <c r="BE163" s="822"/>
      <c r="BF163" s="822"/>
      <c r="BG163" s="822"/>
      <c r="BH163" s="822"/>
      <c r="BI163" s="822"/>
      <c r="BJ163" s="822"/>
      <c r="BK163" s="822"/>
      <c r="BL163" s="822"/>
      <c r="BM163" s="822"/>
      <c r="BN163" s="822"/>
      <c r="BO163" s="822"/>
      <c r="BP163" s="822"/>
      <c r="BQ163" s="822"/>
      <c r="BR163" s="822"/>
      <c r="BS163" s="822"/>
      <c r="BT163" s="822"/>
      <c r="BU163" s="822"/>
      <c r="BV163" s="822"/>
      <c r="BW163" s="822"/>
      <c r="BX163" s="822"/>
      <c r="BY163" s="822"/>
      <c r="BZ163" s="822"/>
      <c r="CA163" s="822"/>
      <c r="CB163" s="822"/>
      <c r="CC163" s="822"/>
      <c r="CD163" s="822"/>
      <c r="CE163" s="822"/>
      <c r="CF163" s="822"/>
      <c r="CG163" s="822"/>
      <c r="CH163" s="822"/>
      <c r="CI163" s="822"/>
      <c r="CJ163" s="392"/>
      <c r="CK163" s="392"/>
      <c r="CL163" s="392"/>
      <c r="CM163" s="392"/>
      <c r="CN163" s="392"/>
      <c r="CO163" s="392"/>
      <c r="CP163" s="392"/>
      <c r="CQ163" s="392"/>
      <c r="CR163" s="392"/>
      <c r="CS163" s="392"/>
      <c r="CT163" s="392"/>
      <c r="CU163" s="392"/>
      <c r="CV163" s="392"/>
      <c r="CW163" s="392"/>
      <c r="CX163" s="392"/>
      <c r="CY163" s="392"/>
      <c r="CZ163" s="392"/>
      <c r="DA163" s="392"/>
      <c r="DB163" s="392"/>
      <c r="DC163" s="392"/>
    </row>
    <row r="164" spans="1:107" s="337" customFormat="1" ht="24">
      <c r="A164" s="37"/>
      <c r="B164" s="638" t="s">
        <v>23</v>
      </c>
      <c r="C164" s="639" t="s">
        <v>499</v>
      </c>
      <c r="D164" s="640" t="s">
        <v>1224</v>
      </c>
      <c r="E164" s="641">
        <f>'Ref-ComSources'!$AB$10*AVERAGE('Ref-ComSources'!$F$84,'Ref-ComSources'!$F$86,'Ref-ComSources'!$F$88)</f>
        <v>551.08209536163713</v>
      </c>
      <c r="F164" s="639" t="s">
        <v>26</v>
      </c>
      <c r="G164" s="642">
        <f>'Ref-2013CSSsaturationsINT'!$F$132</f>
        <v>0.17356226180788212</v>
      </c>
      <c r="H164" s="639" t="s">
        <v>66</v>
      </c>
      <c r="I164" s="643">
        <f>'Ref-2013CSSsaturationsINT'!$J$132</f>
        <v>0.98263252310834825</v>
      </c>
      <c r="J164" s="644" t="s">
        <v>25</v>
      </c>
      <c r="K164" s="644" t="s">
        <v>1052</v>
      </c>
      <c r="L164" s="645" t="s">
        <v>95</v>
      </c>
      <c r="M164" s="645" t="s">
        <v>93</v>
      </c>
      <c r="N164" s="646">
        <f>E164*G164*'Ref-Savings Calculations'!$E$11*Applicability</f>
        <v>63.76470327519516</v>
      </c>
      <c r="O164" s="647" t="s">
        <v>870</v>
      </c>
      <c r="P164" s="646">
        <f>E164*G164*'Ref-Savings Calculations'!$E$9*Applicability</f>
        <v>60.576468111435396</v>
      </c>
      <c r="Q164" s="647" t="s">
        <v>870</v>
      </c>
      <c r="R164" s="37"/>
      <c r="S164" s="639" t="s">
        <v>68</v>
      </c>
      <c r="T164" s="644" t="s">
        <v>63</v>
      </c>
      <c r="U164" s="644" t="s">
        <v>44</v>
      </c>
      <c r="V164" s="644" t="s">
        <v>75</v>
      </c>
      <c r="W164" s="639" t="s">
        <v>70</v>
      </c>
      <c r="X164" s="37"/>
      <c r="Y164" s="37"/>
      <c r="Z164" s="639" t="s">
        <v>78</v>
      </c>
      <c r="AA164" s="639" t="s">
        <v>78</v>
      </c>
      <c r="AB164" s="37"/>
      <c r="AC164" s="814">
        <f>'Ref-ComHOU'!$G$96</f>
        <v>12.202739726027396</v>
      </c>
      <c r="AD164" s="639" t="s">
        <v>72</v>
      </c>
      <c r="AE164" s="644" t="s">
        <v>73</v>
      </c>
      <c r="AF164" s="822"/>
      <c r="AG164" s="822"/>
      <c r="AH164" s="822"/>
      <c r="AI164" s="822"/>
      <c r="AJ164" s="822"/>
      <c r="AK164" s="822"/>
      <c r="AL164" s="822"/>
      <c r="AM164" s="822"/>
      <c r="AN164" s="822"/>
      <c r="AO164" s="822"/>
      <c r="AP164" s="822"/>
      <c r="AQ164" s="822"/>
      <c r="AR164" s="822"/>
      <c r="AS164" s="822"/>
      <c r="AT164" s="822"/>
      <c r="AU164" s="822"/>
      <c r="AV164" s="822"/>
      <c r="AW164" s="822"/>
      <c r="AX164" s="822"/>
      <c r="AY164" s="822"/>
      <c r="AZ164" s="822"/>
      <c r="BA164" s="822"/>
      <c r="BB164" s="822"/>
      <c r="BC164" s="822"/>
      <c r="BD164" s="822"/>
      <c r="BE164" s="822"/>
      <c r="BF164" s="822"/>
      <c r="BG164" s="822"/>
      <c r="BH164" s="822"/>
      <c r="BI164" s="822"/>
      <c r="BJ164" s="822"/>
      <c r="BK164" s="822"/>
      <c r="BL164" s="822"/>
      <c r="BM164" s="822"/>
      <c r="BN164" s="822"/>
      <c r="BO164" s="822"/>
      <c r="BP164" s="822"/>
      <c r="BQ164" s="822"/>
      <c r="BR164" s="822"/>
      <c r="BS164" s="822"/>
      <c r="BT164" s="822"/>
      <c r="BU164" s="822"/>
      <c r="BV164" s="822"/>
      <c r="BW164" s="822"/>
      <c r="BX164" s="822"/>
      <c r="BY164" s="822"/>
      <c r="BZ164" s="822"/>
      <c r="CA164" s="822"/>
      <c r="CB164" s="822"/>
      <c r="CC164" s="822"/>
      <c r="CD164" s="822"/>
      <c r="CE164" s="822"/>
      <c r="CF164" s="822"/>
      <c r="CG164" s="822"/>
      <c r="CH164" s="822"/>
      <c r="CI164" s="822"/>
      <c r="CJ164" s="392"/>
      <c r="CK164" s="392"/>
      <c r="CL164" s="392"/>
      <c r="CM164" s="392"/>
      <c r="CN164" s="392"/>
      <c r="CO164" s="392"/>
      <c r="CP164" s="392"/>
      <c r="CQ164" s="392"/>
      <c r="CR164" s="392"/>
      <c r="CS164" s="392"/>
      <c r="CT164" s="392"/>
      <c r="CU164" s="392"/>
      <c r="CV164" s="392"/>
      <c r="CW164" s="392"/>
      <c r="CX164" s="392"/>
      <c r="CY164" s="392"/>
      <c r="CZ164" s="392"/>
      <c r="DA164" s="392"/>
      <c r="DB164" s="392"/>
      <c r="DC164" s="392"/>
    </row>
    <row r="165" spans="1:107" s="337" customFormat="1" ht="24">
      <c r="A165" s="37"/>
      <c r="B165" s="638" t="s">
        <v>23</v>
      </c>
      <c r="C165" s="639" t="s">
        <v>499</v>
      </c>
      <c r="D165" s="640" t="s">
        <v>1224</v>
      </c>
      <c r="E165" s="641">
        <f>'Ref-ComSources'!$AB$10*AVERAGE('Ref-ComSources'!$F$84,'Ref-ComSources'!$F$86,'Ref-ComSources'!$F$88)</f>
        <v>551.08209536163713</v>
      </c>
      <c r="F165" s="639" t="s">
        <v>26</v>
      </c>
      <c r="G165" s="642">
        <f>'Ref-2013CSSsaturationsINT'!$F$132</f>
        <v>0.17356226180788212</v>
      </c>
      <c r="H165" s="639" t="s">
        <v>66</v>
      </c>
      <c r="I165" s="643">
        <f>'Ref-2013CSSsaturationsINT'!$J$132</f>
        <v>0.98263252310834825</v>
      </c>
      <c r="J165" s="644" t="s">
        <v>25</v>
      </c>
      <c r="K165" s="644" t="s">
        <v>1052</v>
      </c>
      <c r="L165" s="645" t="s">
        <v>24</v>
      </c>
      <c r="M165" s="645" t="s">
        <v>88</v>
      </c>
      <c r="N165" s="646">
        <f>E165*G165*'Ref-Savings Calculations'!$E$10*Applicability</f>
        <v>59.938821078683446</v>
      </c>
      <c r="O165" s="647" t="s">
        <v>870</v>
      </c>
      <c r="P165" s="646">
        <f>E165*G165*'Ref-Savings Calculations'!$E$8*Applicability</f>
        <v>55.794115365795761</v>
      </c>
      <c r="Q165" s="646" t="s">
        <v>870</v>
      </c>
      <c r="R165" s="37"/>
      <c r="S165" s="639" t="s">
        <v>68</v>
      </c>
      <c r="T165" s="644" t="s">
        <v>63</v>
      </c>
      <c r="U165" s="639" t="s">
        <v>69</v>
      </c>
      <c r="V165" s="639" t="s">
        <v>69</v>
      </c>
      <c r="W165" s="639" t="s">
        <v>70</v>
      </c>
      <c r="X165" s="37"/>
      <c r="Y165" s="37"/>
      <c r="Z165" s="639" t="s">
        <v>78</v>
      </c>
      <c r="AA165" s="639" t="s">
        <v>78</v>
      </c>
      <c r="AB165" s="37"/>
      <c r="AC165" s="814">
        <f>'Ref-ComHOU'!$G$96</f>
        <v>12.202739726027396</v>
      </c>
      <c r="AD165" s="639" t="s">
        <v>72</v>
      </c>
      <c r="AE165" s="644" t="s">
        <v>73</v>
      </c>
      <c r="AF165" s="822"/>
      <c r="AG165" s="822"/>
      <c r="AH165" s="822"/>
      <c r="AI165" s="822"/>
      <c r="AJ165" s="822"/>
      <c r="AK165" s="822"/>
      <c r="AL165" s="822"/>
      <c r="AM165" s="822"/>
      <c r="AN165" s="822"/>
      <c r="AO165" s="822"/>
      <c r="AP165" s="822"/>
      <c r="AQ165" s="822"/>
      <c r="AR165" s="822"/>
      <c r="AS165" s="822"/>
      <c r="AT165" s="822"/>
      <c r="AU165" s="822"/>
      <c r="AV165" s="822"/>
      <c r="AW165" s="822"/>
      <c r="AX165" s="822"/>
      <c r="AY165" s="822"/>
      <c r="AZ165" s="822"/>
      <c r="BA165" s="822"/>
      <c r="BB165" s="822"/>
      <c r="BC165" s="822"/>
      <c r="BD165" s="822"/>
      <c r="BE165" s="822"/>
      <c r="BF165" s="822"/>
      <c r="BG165" s="822"/>
      <c r="BH165" s="822"/>
      <c r="BI165" s="822"/>
      <c r="BJ165" s="822"/>
      <c r="BK165" s="822"/>
      <c r="BL165" s="822"/>
      <c r="BM165" s="822"/>
      <c r="BN165" s="822"/>
      <c r="BO165" s="822"/>
      <c r="BP165" s="822"/>
      <c r="BQ165" s="822"/>
      <c r="BR165" s="822"/>
      <c r="BS165" s="822"/>
      <c r="BT165" s="822"/>
      <c r="BU165" s="822"/>
      <c r="BV165" s="822"/>
      <c r="BW165" s="822"/>
      <c r="BX165" s="822"/>
      <c r="BY165" s="822"/>
      <c r="BZ165" s="822"/>
      <c r="CA165" s="822"/>
      <c r="CB165" s="822"/>
      <c r="CC165" s="822"/>
      <c r="CD165" s="822"/>
      <c r="CE165" s="822"/>
      <c r="CF165" s="822"/>
      <c r="CG165" s="822"/>
      <c r="CH165" s="822"/>
      <c r="CI165" s="822"/>
      <c r="CJ165" s="392"/>
      <c r="CK165" s="392"/>
      <c r="CL165" s="392"/>
      <c r="CM165" s="392"/>
      <c r="CN165" s="392"/>
      <c r="CO165" s="392"/>
      <c r="CP165" s="392"/>
      <c r="CQ165" s="392"/>
      <c r="CR165" s="392"/>
      <c r="CS165" s="392"/>
      <c r="CT165" s="392"/>
      <c r="CU165" s="392"/>
      <c r="CV165" s="392"/>
      <c r="CW165" s="392"/>
      <c r="CX165" s="392"/>
      <c r="CY165" s="392"/>
      <c r="CZ165" s="392"/>
      <c r="DA165" s="392"/>
      <c r="DB165" s="392"/>
      <c r="DC165" s="392"/>
    </row>
    <row r="166" spans="1:107" s="337" customFormat="1" ht="24">
      <c r="A166" s="37"/>
      <c r="B166" s="638" t="s">
        <v>23</v>
      </c>
      <c r="C166" s="639" t="s">
        <v>499</v>
      </c>
      <c r="D166" s="640" t="s">
        <v>1224</v>
      </c>
      <c r="E166" s="641">
        <f>'Ref-ComSources'!$AB$10*AVERAGE('Ref-ComSources'!$F$84,'Ref-ComSources'!$F$86,'Ref-ComSources'!$F$88)</f>
        <v>551.08209536163713</v>
      </c>
      <c r="F166" s="639" t="s">
        <v>26</v>
      </c>
      <c r="G166" s="642">
        <f>'Ref-2013CSSsaturationsINT'!$F$132</f>
        <v>0.17356226180788212</v>
      </c>
      <c r="H166" s="639" t="s">
        <v>66</v>
      </c>
      <c r="I166" s="643">
        <f>'Ref-2013CSSsaturationsINT'!$J$132</f>
        <v>0.98263252310834825</v>
      </c>
      <c r="J166" s="644" t="s">
        <v>25</v>
      </c>
      <c r="K166" s="644" t="s">
        <v>1052</v>
      </c>
      <c r="L166" s="645" t="s">
        <v>24</v>
      </c>
      <c r="M166" s="645" t="s">
        <v>90</v>
      </c>
      <c r="N166" s="646">
        <f>E166*G166*'Ref-Savings Calculations'!$E$10*Applicability</f>
        <v>59.938821078683446</v>
      </c>
      <c r="O166" s="647" t="s">
        <v>870</v>
      </c>
      <c r="P166" s="646">
        <f>E166*G166*'Ref-Savings Calculations'!$E$8*Applicability</f>
        <v>55.794115365795761</v>
      </c>
      <c r="Q166" s="647" t="s">
        <v>870</v>
      </c>
      <c r="R166" s="37"/>
      <c r="S166" s="639" t="s">
        <v>68</v>
      </c>
      <c r="T166" s="644" t="s">
        <v>63</v>
      </c>
      <c r="U166" s="639" t="s">
        <v>69</v>
      </c>
      <c r="V166" s="639" t="s">
        <v>69</v>
      </c>
      <c r="W166" s="639" t="s">
        <v>70</v>
      </c>
      <c r="X166" s="37"/>
      <c r="Y166" s="37"/>
      <c r="Z166" s="639" t="s">
        <v>78</v>
      </c>
      <c r="AA166" s="639" t="s">
        <v>78</v>
      </c>
      <c r="AB166" s="37"/>
      <c r="AC166" s="814">
        <f>'Ref-ComHOU'!$G$96</f>
        <v>12.202739726027396</v>
      </c>
      <c r="AD166" s="639" t="s">
        <v>72</v>
      </c>
      <c r="AE166" s="644" t="s">
        <v>73</v>
      </c>
      <c r="AF166" s="822"/>
      <c r="AG166" s="822"/>
      <c r="AH166" s="822"/>
      <c r="AI166" s="822"/>
      <c r="AJ166" s="822"/>
      <c r="AK166" s="822"/>
      <c r="AL166" s="822"/>
      <c r="AM166" s="822"/>
      <c r="AN166" s="822"/>
      <c r="AO166" s="822"/>
      <c r="AP166" s="822"/>
      <c r="AQ166" s="822"/>
      <c r="AR166" s="822"/>
      <c r="AS166" s="822"/>
      <c r="AT166" s="822"/>
      <c r="AU166" s="822"/>
      <c r="AV166" s="822"/>
      <c r="AW166" s="822"/>
      <c r="AX166" s="822"/>
      <c r="AY166" s="822"/>
      <c r="AZ166" s="822"/>
      <c r="BA166" s="822"/>
      <c r="BB166" s="822"/>
      <c r="BC166" s="822"/>
      <c r="BD166" s="822"/>
      <c r="BE166" s="822"/>
      <c r="BF166" s="822"/>
      <c r="BG166" s="822"/>
      <c r="BH166" s="822"/>
      <c r="BI166" s="822"/>
      <c r="BJ166" s="822"/>
      <c r="BK166" s="822"/>
      <c r="BL166" s="822"/>
      <c r="BM166" s="822"/>
      <c r="BN166" s="822"/>
      <c r="BO166" s="822"/>
      <c r="BP166" s="822"/>
      <c r="BQ166" s="822"/>
      <c r="BR166" s="822"/>
      <c r="BS166" s="822"/>
      <c r="BT166" s="822"/>
      <c r="BU166" s="822"/>
      <c r="BV166" s="822"/>
      <c r="BW166" s="822"/>
      <c r="BX166" s="822"/>
      <c r="BY166" s="822"/>
      <c r="BZ166" s="822"/>
      <c r="CA166" s="822"/>
      <c r="CB166" s="822"/>
      <c r="CC166" s="822"/>
      <c r="CD166" s="822"/>
      <c r="CE166" s="822"/>
      <c r="CF166" s="822"/>
      <c r="CG166" s="822"/>
      <c r="CH166" s="822"/>
      <c r="CI166" s="822"/>
      <c r="CJ166" s="392"/>
      <c r="CK166" s="392"/>
      <c r="CL166" s="392"/>
      <c r="CM166" s="392"/>
      <c r="CN166" s="392"/>
      <c r="CO166" s="392"/>
      <c r="CP166" s="392"/>
      <c r="CQ166" s="392"/>
      <c r="CR166" s="392"/>
      <c r="CS166" s="392"/>
      <c r="CT166" s="392"/>
      <c r="CU166" s="392"/>
      <c r="CV166" s="392"/>
      <c r="CW166" s="392"/>
      <c r="CX166" s="392"/>
      <c r="CY166" s="392"/>
      <c r="CZ166" s="392"/>
      <c r="DA166" s="392"/>
      <c r="DB166" s="392"/>
      <c r="DC166" s="392"/>
    </row>
    <row r="167" spans="1:107" s="337" customFormat="1" ht="24">
      <c r="A167" s="37"/>
      <c r="B167" s="638" t="s">
        <v>23</v>
      </c>
      <c r="C167" s="639" t="s">
        <v>499</v>
      </c>
      <c r="D167" s="640" t="s">
        <v>1224</v>
      </c>
      <c r="E167" s="641">
        <f>'Ref-ComSources'!$AB$10*AVERAGE('Ref-ComSources'!$F$84,'Ref-ComSources'!$F$86,'Ref-ComSources'!$F$88)</f>
        <v>551.08209536163713</v>
      </c>
      <c r="F167" s="639" t="s">
        <v>26</v>
      </c>
      <c r="G167" s="642">
        <f>'Ref-2013CSSsaturationsINT'!$F$132</f>
        <v>0.17356226180788212</v>
      </c>
      <c r="H167" s="639" t="s">
        <v>66</v>
      </c>
      <c r="I167" s="643">
        <f>'Ref-2013CSSsaturationsINT'!$J$132</f>
        <v>0.98263252310834825</v>
      </c>
      <c r="J167" s="644" t="s">
        <v>25</v>
      </c>
      <c r="K167" s="644" t="s">
        <v>1052</v>
      </c>
      <c r="L167" s="645" t="s">
        <v>24</v>
      </c>
      <c r="M167" s="645" t="s">
        <v>92</v>
      </c>
      <c r="N167" s="646">
        <f>E167*G167*'Ref-Savings Calculations'!$E$10*Applicability</f>
        <v>59.938821078683446</v>
      </c>
      <c r="O167" s="647">
        <f>E167*G167*'Ref-Savings Calculations'!$C$99*Applicability*ControlShare</f>
        <v>27.067941186289993</v>
      </c>
      <c r="P167" s="646">
        <f>E167*G167*'Ref-Savings Calculations'!$E$8*Applicability</f>
        <v>55.794115365795761</v>
      </c>
      <c r="Q167" s="646">
        <f>E167*G167*('Ref-Savings Calculations'!$C$99-'Ref-Savings Calculations'!$C$76)*Applicability*ControlShare</f>
        <v>23.308504910416385</v>
      </c>
      <c r="R167" s="37"/>
      <c r="S167" s="639" t="s">
        <v>68</v>
      </c>
      <c r="T167" s="644" t="s">
        <v>63</v>
      </c>
      <c r="U167" s="639" t="s">
        <v>69</v>
      </c>
      <c r="V167" s="639" t="s">
        <v>69</v>
      </c>
      <c r="W167" s="639" t="s">
        <v>70</v>
      </c>
      <c r="X167" s="37"/>
      <c r="Y167" s="37"/>
      <c r="Z167" s="639" t="s">
        <v>78</v>
      </c>
      <c r="AA167" s="639" t="s">
        <v>78</v>
      </c>
      <c r="AB167" s="37"/>
      <c r="AC167" s="814">
        <f>'Ref-ComHOU'!$G$96</f>
        <v>12.202739726027396</v>
      </c>
      <c r="AD167" s="639" t="s">
        <v>72</v>
      </c>
      <c r="AE167" s="644" t="s">
        <v>73</v>
      </c>
      <c r="AF167" s="822"/>
      <c r="AG167" s="822"/>
      <c r="AH167" s="822"/>
      <c r="AI167" s="822"/>
      <c r="AJ167" s="822"/>
      <c r="AK167" s="822"/>
      <c r="AL167" s="822"/>
      <c r="AM167" s="822"/>
      <c r="AN167" s="822"/>
      <c r="AO167" s="822"/>
      <c r="AP167" s="822"/>
      <c r="AQ167" s="822"/>
      <c r="AR167" s="822"/>
      <c r="AS167" s="822"/>
      <c r="AT167" s="822"/>
      <c r="AU167" s="822"/>
      <c r="AV167" s="822"/>
      <c r="AW167" s="822"/>
      <c r="AX167" s="822"/>
      <c r="AY167" s="822"/>
      <c r="AZ167" s="822"/>
      <c r="BA167" s="822"/>
      <c r="BB167" s="822"/>
      <c r="BC167" s="822"/>
      <c r="BD167" s="822"/>
      <c r="BE167" s="822"/>
      <c r="BF167" s="822"/>
      <c r="BG167" s="822"/>
      <c r="BH167" s="822"/>
      <c r="BI167" s="822"/>
      <c r="BJ167" s="822"/>
      <c r="BK167" s="822"/>
      <c r="BL167" s="822"/>
      <c r="BM167" s="822"/>
      <c r="BN167" s="822"/>
      <c r="BO167" s="822"/>
      <c r="BP167" s="822"/>
      <c r="BQ167" s="822"/>
      <c r="BR167" s="822"/>
      <c r="BS167" s="822"/>
      <c r="BT167" s="822"/>
      <c r="BU167" s="822"/>
      <c r="BV167" s="822"/>
      <c r="BW167" s="822"/>
      <c r="BX167" s="822"/>
      <c r="BY167" s="822"/>
      <c r="BZ167" s="822"/>
      <c r="CA167" s="822"/>
      <c r="CB167" s="822"/>
      <c r="CC167" s="822"/>
      <c r="CD167" s="822"/>
      <c r="CE167" s="822"/>
      <c r="CF167" s="822"/>
      <c r="CG167" s="822"/>
      <c r="CH167" s="822"/>
      <c r="CI167" s="822"/>
      <c r="CJ167" s="392"/>
      <c r="CK167" s="392"/>
      <c r="CL167" s="392"/>
      <c r="CM167" s="392"/>
      <c r="CN167" s="392"/>
      <c r="CO167" s="392"/>
      <c r="CP167" s="392"/>
      <c r="CQ167" s="392"/>
      <c r="CR167" s="392"/>
      <c r="CS167" s="392"/>
      <c r="CT167" s="392"/>
      <c r="CU167" s="392"/>
      <c r="CV167" s="392"/>
      <c r="CW167" s="392"/>
      <c r="CX167" s="392"/>
      <c r="CY167" s="392"/>
      <c r="CZ167" s="392"/>
      <c r="DA167" s="392"/>
      <c r="DB167" s="392"/>
      <c r="DC167" s="392"/>
    </row>
    <row r="168" spans="1:107" s="337" customFormat="1" ht="24">
      <c r="A168" s="37"/>
      <c r="B168" s="638" t="s">
        <v>23</v>
      </c>
      <c r="C168" s="639" t="s">
        <v>499</v>
      </c>
      <c r="D168" s="640" t="s">
        <v>1224</v>
      </c>
      <c r="E168" s="641">
        <f>'Ref-ComSources'!$AB$10*AVERAGE('Ref-ComSources'!$F$84,'Ref-ComSources'!$F$86,'Ref-ComSources'!$F$88)</f>
        <v>551.08209536163713</v>
      </c>
      <c r="F168" s="639" t="s">
        <v>26</v>
      </c>
      <c r="G168" s="642">
        <f>'Ref-2013CSSsaturationsINT'!$F$132</f>
        <v>0.17356226180788212</v>
      </c>
      <c r="H168" s="639" t="s">
        <v>66</v>
      </c>
      <c r="I168" s="643">
        <f>'Ref-2013CSSsaturationsINT'!$J$132</f>
        <v>0.98263252310834825</v>
      </c>
      <c r="J168" s="644" t="s">
        <v>25</v>
      </c>
      <c r="K168" s="644" t="s">
        <v>1052</v>
      </c>
      <c r="L168" s="645" t="s">
        <v>24</v>
      </c>
      <c r="M168" s="645" t="s">
        <v>93</v>
      </c>
      <c r="N168" s="646">
        <f>E168*G168*'Ref-Savings Calculations'!$E$10*Applicability</f>
        <v>59.938821078683446</v>
      </c>
      <c r="O168" s="647" t="s">
        <v>870</v>
      </c>
      <c r="P168" s="646">
        <f>E168*G168*'Ref-Savings Calculations'!$E$8*Applicability</f>
        <v>55.794115365795761</v>
      </c>
      <c r="Q168" s="647" t="s">
        <v>870</v>
      </c>
      <c r="R168" s="37"/>
      <c r="S168" s="639" t="s">
        <v>68</v>
      </c>
      <c r="T168" s="644" t="s">
        <v>63</v>
      </c>
      <c r="U168" s="644" t="s">
        <v>44</v>
      </c>
      <c r="V168" s="644" t="s">
        <v>75</v>
      </c>
      <c r="W168" s="639" t="s">
        <v>70</v>
      </c>
      <c r="X168" s="37"/>
      <c r="Y168" s="37"/>
      <c r="Z168" s="639" t="s">
        <v>78</v>
      </c>
      <c r="AA168" s="639" t="s">
        <v>78</v>
      </c>
      <c r="AB168" s="37"/>
      <c r="AC168" s="814">
        <f>'Ref-ComHOU'!$G$96</f>
        <v>12.202739726027396</v>
      </c>
      <c r="AD168" s="639" t="s">
        <v>72</v>
      </c>
      <c r="AE168" s="644" t="s">
        <v>73</v>
      </c>
      <c r="AF168" s="822"/>
      <c r="AG168" s="822"/>
      <c r="AH168" s="822"/>
      <c r="AI168" s="822"/>
      <c r="AJ168" s="822"/>
      <c r="AK168" s="822"/>
      <c r="AL168" s="822"/>
      <c r="AM168" s="822"/>
      <c r="AN168" s="822"/>
      <c r="AO168" s="822"/>
      <c r="AP168" s="822"/>
      <c r="AQ168" s="822"/>
      <c r="AR168" s="822"/>
      <c r="AS168" s="822"/>
      <c r="AT168" s="822"/>
      <c r="AU168" s="822"/>
      <c r="AV168" s="822"/>
      <c r="AW168" s="822"/>
      <c r="AX168" s="822"/>
      <c r="AY168" s="822"/>
      <c r="AZ168" s="822"/>
      <c r="BA168" s="822"/>
      <c r="BB168" s="822"/>
      <c r="BC168" s="822"/>
      <c r="BD168" s="822"/>
      <c r="BE168" s="822"/>
      <c r="BF168" s="822"/>
      <c r="BG168" s="822"/>
      <c r="BH168" s="822"/>
      <c r="BI168" s="822"/>
      <c r="BJ168" s="822"/>
      <c r="BK168" s="822"/>
      <c r="BL168" s="822"/>
      <c r="BM168" s="822"/>
      <c r="BN168" s="822"/>
      <c r="BO168" s="822"/>
      <c r="BP168" s="822"/>
      <c r="BQ168" s="822"/>
      <c r="BR168" s="822"/>
      <c r="BS168" s="822"/>
      <c r="BT168" s="822"/>
      <c r="BU168" s="822"/>
      <c r="BV168" s="822"/>
      <c r="BW168" s="822"/>
      <c r="BX168" s="822"/>
      <c r="BY168" s="822"/>
      <c r="BZ168" s="822"/>
      <c r="CA168" s="822"/>
      <c r="CB168" s="822"/>
      <c r="CC168" s="822"/>
      <c r="CD168" s="822"/>
      <c r="CE168" s="822"/>
      <c r="CF168" s="822"/>
      <c r="CG168" s="822"/>
      <c r="CH168" s="822"/>
      <c r="CI168" s="822"/>
      <c r="CJ168" s="392"/>
      <c r="CK168" s="392"/>
      <c r="CL168" s="392"/>
      <c r="CM168" s="392"/>
      <c r="CN168" s="392"/>
      <c r="CO168" s="392"/>
      <c r="CP168" s="392"/>
      <c r="CQ168" s="392"/>
      <c r="CR168" s="392"/>
      <c r="CS168" s="392"/>
      <c r="CT168" s="392"/>
      <c r="CU168" s="392"/>
      <c r="CV168" s="392"/>
      <c r="CW168" s="392"/>
      <c r="CX168" s="392"/>
      <c r="CY168" s="392"/>
      <c r="CZ168" s="392"/>
      <c r="DA168" s="392"/>
      <c r="DB168" s="392"/>
      <c r="DC168" s="392"/>
    </row>
    <row r="169" spans="1:107" s="350" customFormat="1" ht="60">
      <c r="A169" s="37"/>
      <c r="B169" s="648" t="s">
        <v>23</v>
      </c>
      <c r="C169" s="649" t="s">
        <v>1149</v>
      </c>
      <c r="D169" s="650" t="s">
        <v>1220</v>
      </c>
      <c r="E169" s="651">
        <f>'Ref-ComSources'!$AB$12*AVERAGE('Ref-ComSources'!$E$89:$E$90)</f>
        <v>358.49365031662199</v>
      </c>
      <c r="F169" s="649" t="s">
        <v>27</v>
      </c>
      <c r="G169" s="652">
        <f>'Ref-2013CSSsaturationsINT'!$F$30</f>
        <v>0.87983429857487527</v>
      </c>
      <c r="H169" s="649" t="s">
        <v>867</v>
      </c>
      <c r="I169" s="653">
        <f>'Ref-2013CSSsaturationsINT'!$J$30</f>
        <v>0.87705985592721025</v>
      </c>
      <c r="J169" s="648" t="s">
        <v>1097</v>
      </c>
      <c r="K169" s="648" t="s">
        <v>1020</v>
      </c>
      <c r="L169" s="648" t="s">
        <v>960</v>
      </c>
      <c r="M169" s="648" t="s">
        <v>88</v>
      </c>
      <c r="N169" s="654">
        <f>E169*G169*'Ref-Savings Calculations'!$E$35*Applicability</f>
        <v>37.135653933358483</v>
      </c>
      <c r="O169" s="654">
        <f>E169*G169*'Ref-Savings Calculations'!$C$56*Applicability*ControlShare</f>
        <v>68.606184983454412</v>
      </c>
      <c r="P169" s="654">
        <f>E169*G169*'Ref-Savings Calculations'!$E$36*Applicability</f>
        <v>30.279840899507679</v>
      </c>
      <c r="Q169" s="654" t="s">
        <v>1109</v>
      </c>
      <c r="R169" s="37"/>
      <c r="S169" s="649" t="s">
        <v>69</v>
      </c>
      <c r="T169" s="649" t="s">
        <v>69</v>
      </c>
      <c r="U169" s="649" t="s">
        <v>69</v>
      </c>
      <c r="V169" s="649" t="s">
        <v>69</v>
      </c>
      <c r="W169" s="649" t="s">
        <v>70</v>
      </c>
      <c r="X169" s="37"/>
      <c r="Y169" s="37"/>
      <c r="Z169" s="649" t="s">
        <v>78</v>
      </c>
      <c r="AA169" s="649" t="s">
        <v>78</v>
      </c>
      <c r="AB169" s="37"/>
      <c r="AC169" s="656">
        <f>'Ref-ComHOU'!$G$101</f>
        <v>9.4273972602739722</v>
      </c>
      <c r="AD169" s="657" t="s">
        <v>72</v>
      </c>
      <c r="AE169" s="655" t="s">
        <v>73</v>
      </c>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c r="CA169" s="393"/>
      <c r="CB169" s="393"/>
      <c r="CC169" s="393"/>
      <c r="CD169" s="393"/>
      <c r="CE169" s="393"/>
      <c r="CF169" s="393"/>
      <c r="CG169" s="393"/>
      <c r="CH169" s="393"/>
      <c r="CI169" s="393"/>
      <c r="CJ169" s="393"/>
      <c r="CK169" s="393"/>
      <c r="CL169" s="393"/>
      <c r="CM169" s="393"/>
      <c r="CN169" s="393"/>
      <c r="CO169" s="393"/>
      <c r="CP169" s="393"/>
      <c r="CQ169" s="393"/>
      <c r="CR169" s="393"/>
      <c r="CS169" s="393"/>
      <c r="CT169" s="393"/>
      <c r="CU169" s="393"/>
      <c r="CV169" s="393"/>
      <c r="CW169" s="393"/>
      <c r="CX169" s="393"/>
      <c r="CY169" s="393"/>
      <c r="CZ169" s="393"/>
      <c r="DA169" s="393"/>
      <c r="DB169" s="393"/>
      <c r="DC169" s="393"/>
    </row>
    <row r="170" spans="1:107" s="350" customFormat="1" ht="60">
      <c r="A170" s="37"/>
      <c r="B170" s="648" t="s">
        <v>23</v>
      </c>
      <c r="C170" s="649" t="s">
        <v>1149</v>
      </c>
      <c r="D170" s="650" t="s">
        <v>1220</v>
      </c>
      <c r="E170" s="651">
        <f>'Ref-ComSources'!$AB$12*AVERAGE('Ref-ComSources'!$E$89:$E$90)</f>
        <v>358.49365031662199</v>
      </c>
      <c r="F170" s="649" t="s">
        <v>27</v>
      </c>
      <c r="G170" s="652">
        <f>'Ref-2013CSSsaturationsINT'!$F$30</f>
        <v>0.87983429857487527</v>
      </c>
      <c r="H170" s="649" t="s">
        <v>867</v>
      </c>
      <c r="I170" s="653">
        <f>'Ref-2013CSSsaturationsINT'!$J$30</f>
        <v>0.87705985592721025</v>
      </c>
      <c r="J170" s="648" t="s">
        <v>1097</v>
      </c>
      <c r="K170" s="648" t="s">
        <v>1020</v>
      </c>
      <c r="L170" s="648" t="s">
        <v>960</v>
      </c>
      <c r="M170" s="648" t="s">
        <v>90</v>
      </c>
      <c r="N170" s="654">
        <f>E170*G170*'Ref-Savings Calculations'!$E$35*Applicability</f>
        <v>37.135653933358483</v>
      </c>
      <c r="O170" s="654">
        <f>E170*G170*'Ref-Savings Calculations'!$C$79*Applicability*ControlShare</f>
        <v>61.966876759249132</v>
      </c>
      <c r="P170" s="654">
        <f>E170*G170*'Ref-Savings Calculations'!$E$36*Applicability</f>
        <v>30.279840899507679</v>
      </c>
      <c r="Q170" s="654" t="s">
        <v>871</v>
      </c>
      <c r="R170" s="37"/>
      <c r="S170" s="649" t="s">
        <v>69</v>
      </c>
      <c r="T170" s="649" t="s">
        <v>69</v>
      </c>
      <c r="U170" s="649" t="s">
        <v>69</v>
      </c>
      <c r="V170" s="649" t="s">
        <v>69</v>
      </c>
      <c r="W170" s="649" t="s">
        <v>70</v>
      </c>
      <c r="X170" s="37"/>
      <c r="Y170" s="37"/>
      <c r="Z170" s="649" t="s">
        <v>78</v>
      </c>
      <c r="AA170" s="649" t="s">
        <v>78</v>
      </c>
      <c r="AB170" s="37"/>
      <c r="AC170" s="656">
        <f>'Ref-ComHOU'!$G$101</f>
        <v>9.4273972602739722</v>
      </c>
      <c r="AD170" s="657" t="s">
        <v>72</v>
      </c>
      <c r="AE170" s="655" t="s">
        <v>73</v>
      </c>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c r="CA170" s="393"/>
      <c r="CB170" s="393"/>
      <c r="CC170" s="393"/>
      <c r="CD170" s="393"/>
      <c r="CE170" s="393"/>
      <c r="CF170" s="393"/>
      <c r="CG170" s="393"/>
      <c r="CH170" s="393"/>
      <c r="CI170" s="393"/>
      <c r="CJ170" s="393"/>
      <c r="CK170" s="393"/>
      <c r="CL170" s="393"/>
      <c r="CM170" s="393"/>
      <c r="CN170" s="393"/>
      <c r="CO170" s="393"/>
      <c r="CP170" s="393"/>
      <c r="CQ170" s="393"/>
      <c r="CR170" s="393"/>
      <c r="CS170" s="393"/>
      <c r="CT170" s="393"/>
      <c r="CU170" s="393"/>
      <c r="CV170" s="393"/>
      <c r="CW170" s="393"/>
      <c r="CX170" s="393"/>
      <c r="CY170" s="393"/>
      <c r="CZ170" s="393"/>
      <c r="DA170" s="393"/>
      <c r="DB170" s="393"/>
      <c r="DC170" s="393"/>
    </row>
    <row r="171" spans="1:107" s="350" customFormat="1" ht="60">
      <c r="A171" s="37"/>
      <c r="B171" s="648" t="s">
        <v>23</v>
      </c>
      <c r="C171" s="649" t="s">
        <v>1149</v>
      </c>
      <c r="D171" s="650" t="s">
        <v>1220</v>
      </c>
      <c r="E171" s="651">
        <f>'Ref-ComSources'!$AB$12*AVERAGE('Ref-ComSources'!$E$89:$E$90)</f>
        <v>358.49365031662199</v>
      </c>
      <c r="F171" s="649" t="s">
        <v>27</v>
      </c>
      <c r="G171" s="652">
        <f>'Ref-2013CSSsaturationsINT'!$F$30</f>
        <v>0.87983429857487527</v>
      </c>
      <c r="H171" s="649" t="s">
        <v>867</v>
      </c>
      <c r="I171" s="653">
        <f>'Ref-2013CSSsaturationsINT'!$J$30</f>
        <v>0.87705985592721025</v>
      </c>
      <c r="J171" s="648" t="s">
        <v>1097</v>
      </c>
      <c r="K171" s="648" t="s">
        <v>1020</v>
      </c>
      <c r="L171" s="648" t="s">
        <v>960</v>
      </c>
      <c r="M171" s="648" t="s">
        <v>91</v>
      </c>
      <c r="N171" s="654">
        <f>E171*G171*'Ref-Savings Calculations'!$E$35*Applicability</f>
        <v>37.135653933358483</v>
      </c>
      <c r="O171" s="654" t="s">
        <v>870</v>
      </c>
      <c r="P171" s="654">
        <f>E171*G171*'Ref-Savings Calculations'!$E$36*Applicability</f>
        <v>30.279840899507679</v>
      </c>
      <c r="Q171" s="654" t="s">
        <v>870</v>
      </c>
      <c r="R171" s="37"/>
      <c r="S171" s="655" t="s">
        <v>69</v>
      </c>
      <c r="T171" s="649" t="s">
        <v>69</v>
      </c>
      <c r="U171" s="655" t="s">
        <v>870</v>
      </c>
      <c r="V171" s="655" t="s">
        <v>870</v>
      </c>
      <c r="W171" s="649" t="s">
        <v>70</v>
      </c>
      <c r="X171" s="37"/>
      <c r="Y171" s="37"/>
      <c r="Z171" s="649" t="s">
        <v>78</v>
      </c>
      <c r="AA171" s="649" t="s">
        <v>78</v>
      </c>
      <c r="AB171" s="37"/>
      <c r="AC171" s="656">
        <f>'Ref-ComHOU'!$G$101</f>
        <v>9.4273972602739722</v>
      </c>
      <c r="AD171" s="657" t="s">
        <v>72</v>
      </c>
      <c r="AE171" s="655" t="s">
        <v>73</v>
      </c>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c r="CA171" s="393"/>
      <c r="CB171" s="393"/>
      <c r="CC171" s="393"/>
      <c r="CD171" s="393"/>
      <c r="CE171" s="393"/>
      <c r="CF171" s="393"/>
      <c r="CG171" s="393"/>
      <c r="CH171" s="393"/>
      <c r="CI171" s="393"/>
      <c r="CJ171" s="393"/>
      <c r="CK171" s="393"/>
      <c r="CL171" s="393"/>
      <c r="CM171" s="393"/>
      <c r="CN171" s="393"/>
      <c r="CO171" s="393"/>
      <c r="CP171" s="393"/>
      <c r="CQ171" s="393"/>
      <c r="CR171" s="393"/>
      <c r="CS171" s="393"/>
      <c r="CT171" s="393"/>
      <c r="CU171" s="393"/>
      <c r="CV171" s="393"/>
      <c r="CW171" s="393"/>
      <c r="CX171" s="393"/>
      <c r="CY171" s="393"/>
      <c r="CZ171" s="393"/>
      <c r="DA171" s="393"/>
      <c r="DB171" s="393"/>
      <c r="DC171" s="393"/>
    </row>
    <row r="172" spans="1:107" s="350" customFormat="1" ht="60">
      <c r="A172" s="37"/>
      <c r="B172" s="648" t="s">
        <v>23</v>
      </c>
      <c r="C172" s="649" t="s">
        <v>1149</v>
      </c>
      <c r="D172" s="650" t="s">
        <v>1220</v>
      </c>
      <c r="E172" s="651">
        <f>'Ref-ComSources'!$AB$12*AVERAGE('Ref-ComSources'!$E$89:$E$90)</f>
        <v>358.49365031662199</v>
      </c>
      <c r="F172" s="649" t="s">
        <v>27</v>
      </c>
      <c r="G172" s="652">
        <f>'Ref-2013CSSsaturationsINT'!$F$30</f>
        <v>0.87983429857487527</v>
      </c>
      <c r="H172" s="649" t="s">
        <v>867</v>
      </c>
      <c r="I172" s="653">
        <f>'Ref-2013CSSsaturationsINT'!$J$30</f>
        <v>0.87705985592721025</v>
      </c>
      <c r="J172" s="648" t="s">
        <v>1097</v>
      </c>
      <c r="K172" s="648" t="s">
        <v>1020</v>
      </c>
      <c r="L172" s="648" t="s">
        <v>960</v>
      </c>
      <c r="M172" s="648" t="s">
        <v>92</v>
      </c>
      <c r="N172" s="654">
        <f>E172*G172*'Ref-Savings Calculations'!$E$35*Applicability</f>
        <v>37.135653933358483</v>
      </c>
      <c r="O172" s="654">
        <f>E172*G172*'Ref-Savings Calculations'!$C$99*Applicability*ControlShare</f>
        <v>79.671698690463174</v>
      </c>
      <c r="P172" s="654">
        <f>E172*G172*'Ref-Savings Calculations'!$E$36*Applicability</f>
        <v>30.279840899507679</v>
      </c>
      <c r="Q172" s="654">
        <f>E172*G172*('Ref-Savings Calculations'!$C$99-'Ref-Savings Calculations'!$C$79)*Applicability*ControlShare</f>
        <v>17.704821931214031</v>
      </c>
      <c r="R172" s="37"/>
      <c r="S172" s="655" t="s">
        <v>69</v>
      </c>
      <c r="T172" s="649" t="s">
        <v>69</v>
      </c>
      <c r="U172" s="649" t="s">
        <v>69</v>
      </c>
      <c r="V172" s="649" t="s">
        <v>69</v>
      </c>
      <c r="W172" s="649" t="s">
        <v>70</v>
      </c>
      <c r="X172" s="37"/>
      <c r="Y172" s="37"/>
      <c r="Z172" s="649" t="s">
        <v>78</v>
      </c>
      <c r="AA172" s="649" t="s">
        <v>78</v>
      </c>
      <c r="AB172" s="37"/>
      <c r="AC172" s="656">
        <f>'Ref-ComHOU'!$G$101</f>
        <v>9.4273972602739722</v>
      </c>
      <c r="AD172" s="657" t="s">
        <v>72</v>
      </c>
      <c r="AE172" s="655" t="s">
        <v>73</v>
      </c>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c r="CA172" s="393"/>
      <c r="CB172" s="393"/>
      <c r="CC172" s="393"/>
      <c r="CD172" s="393"/>
      <c r="CE172" s="393"/>
      <c r="CF172" s="393"/>
      <c r="CG172" s="393"/>
      <c r="CH172" s="393"/>
      <c r="CI172" s="393"/>
      <c r="CJ172" s="393"/>
      <c r="CK172" s="393"/>
      <c r="CL172" s="393"/>
      <c r="CM172" s="393"/>
      <c r="CN172" s="393"/>
      <c r="CO172" s="393"/>
      <c r="CP172" s="393"/>
      <c r="CQ172" s="393"/>
      <c r="CR172" s="393"/>
      <c r="CS172" s="393"/>
      <c r="CT172" s="393"/>
      <c r="CU172" s="393"/>
      <c r="CV172" s="393"/>
      <c r="CW172" s="393"/>
      <c r="CX172" s="393"/>
      <c r="CY172" s="393"/>
      <c r="CZ172" s="393"/>
      <c r="DA172" s="393"/>
      <c r="DB172" s="393"/>
      <c r="DC172" s="393"/>
    </row>
    <row r="173" spans="1:107" s="350" customFormat="1" ht="60">
      <c r="A173" s="37"/>
      <c r="B173" s="648" t="s">
        <v>23</v>
      </c>
      <c r="C173" s="649" t="s">
        <v>1149</v>
      </c>
      <c r="D173" s="650" t="s">
        <v>1220</v>
      </c>
      <c r="E173" s="651">
        <f>'Ref-ComSources'!$AB$12*AVERAGE('Ref-ComSources'!$E$89:$E$90)</f>
        <v>358.49365031662199</v>
      </c>
      <c r="F173" s="649" t="s">
        <v>27</v>
      </c>
      <c r="G173" s="652">
        <f>'Ref-2013CSSsaturationsINT'!$F$30</f>
        <v>0.87983429857487527</v>
      </c>
      <c r="H173" s="649" t="s">
        <v>867</v>
      </c>
      <c r="I173" s="653">
        <f>'Ref-2013CSSsaturationsINT'!$J$30</f>
        <v>0.87705985592721025</v>
      </c>
      <c r="J173" s="648" t="s">
        <v>1097</v>
      </c>
      <c r="K173" s="648" t="s">
        <v>1020</v>
      </c>
      <c r="L173" s="648" t="s">
        <v>960</v>
      </c>
      <c r="M173" s="648" t="s">
        <v>93</v>
      </c>
      <c r="N173" s="654">
        <f>E173*G173*'Ref-Savings Calculations'!$E$35*Applicability</f>
        <v>37.135653933358483</v>
      </c>
      <c r="O173" s="654">
        <f>E173*G173*'Ref-Savings Calculations'!$C$109*Applicability*ControlShare</f>
        <v>84.097904173266699</v>
      </c>
      <c r="P173" s="654">
        <f>E173*G173*'Ref-Savings Calculations'!$E$36*Applicability</f>
        <v>30.279840899507679</v>
      </c>
      <c r="Q173" s="654">
        <f>E173*G173*('Ref-Savings Calculations'!$C$109-'Ref-Savings Calculations'!$C$79)*Applicability*ControlShare</f>
        <v>22.131027414017542</v>
      </c>
      <c r="R173" s="37"/>
      <c r="S173" s="649" t="s">
        <v>69</v>
      </c>
      <c r="T173" s="649" t="s">
        <v>69</v>
      </c>
      <c r="U173" s="655" t="s">
        <v>44</v>
      </c>
      <c r="V173" s="655" t="s">
        <v>75</v>
      </c>
      <c r="W173" s="649" t="s">
        <v>70</v>
      </c>
      <c r="X173" s="37"/>
      <c r="Y173" s="37"/>
      <c r="Z173" s="649" t="s">
        <v>78</v>
      </c>
      <c r="AA173" s="649" t="s">
        <v>78</v>
      </c>
      <c r="AB173" s="37"/>
      <c r="AC173" s="656">
        <f>'Ref-ComHOU'!$G$101</f>
        <v>9.4273972602739722</v>
      </c>
      <c r="AD173" s="657" t="s">
        <v>72</v>
      </c>
      <c r="AE173" s="655" t="s">
        <v>73</v>
      </c>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c r="CA173" s="393"/>
      <c r="CB173" s="393"/>
      <c r="CC173" s="393"/>
      <c r="CD173" s="393"/>
      <c r="CE173" s="393"/>
      <c r="CF173" s="393"/>
      <c r="CG173" s="393"/>
      <c r="CH173" s="393"/>
      <c r="CI173" s="393"/>
      <c r="CJ173" s="393"/>
      <c r="CK173" s="393"/>
      <c r="CL173" s="393"/>
      <c r="CM173" s="393"/>
      <c r="CN173" s="393"/>
      <c r="CO173" s="393"/>
      <c r="CP173" s="393"/>
      <c r="CQ173" s="393"/>
      <c r="CR173" s="393"/>
      <c r="CS173" s="393"/>
      <c r="CT173" s="393"/>
      <c r="CU173" s="393"/>
      <c r="CV173" s="393"/>
      <c r="CW173" s="393"/>
      <c r="CX173" s="393"/>
      <c r="CY173" s="393"/>
      <c r="CZ173" s="393"/>
      <c r="DA173" s="393"/>
      <c r="DB173" s="393"/>
      <c r="DC173" s="393"/>
    </row>
    <row r="174" spans="1:107" s="350" customFormat="1" ht="60">
      <c r="A174" s="37"/>
      <c r="B174" s="648" t="s">
        <v>23</v>
      </c>
      <c r="C174" s="649" t="s">
        <v>1149</v>
      </c>
      <c r="D174" s="650" t="s">
        <v>1220</v>
      </c>
      <c r="E174" s="651">
        <f>'Ref-ComSources'!$AB$12*AVERAGE('Ref-ComSources'!$E$89:$E$90)</f>
        <v>358.49365031662199</v>
      </c>
      <c r="F174" s="649" t="s">
        <v>27</v>
      </c>
      <c r="G174" s="652">
        <f>'Ref-2013CSSsaturationsINT'!$F$30</f>
        <v>0.87983429857487527</v>
      </c>
      <c r="H174" s="649" t="s">
        <v>867</v>
      </c>
      <c r="I174" s="653">
        <f>'Ref-2013CSSsaturationsINT'!$J$30</f>
        <v>0.87705985592721025</v>
      </c>
      <c r="J174" s="648" t="s">
        <v>1097</v>
      </c>
      <c r="K174" s="648" t="s">
        <v>1020</v>
      </c>
      <c r="L174" s="648" t="s">
        <v>15</v>
      </c>
      <c r="M174" s="648" t="s">
        <v>88</v>
      </c>
      <c r="N174" s="654">
        <f>E174*G174*'Ref-Savings Calculations'!$E$39*Applicability</f>
        <v>64.584978109068985</v>
      </c>
      <c r="O174" s="654">
        <f>E174*G174*'Ref-Savings Calculations'!$C$56*Applicability*ControlShare</f>
        <v>68.606184983454412</v>
      </c>
      <c r="P174" s="654">
        <f>E174*G174*'Ref-Savings Calculations'!$E$40*Applicability</f>
        <v>55.197626639727552</v>
      </c>
      <c r="Q174" s="654" t="s">
        <v>1109</v>
      </c>
      <c r="R174" s="37"/>
      <c r="S174" s="649" t="s">
        <v>44</v>
      </c>
      <c r="T174" s="655" t="s">
        <v>63</v>
      </c>
      <c r="U174" s="649" t="s">
        <v>69</v>
      </c>
      <c r="V174" s="649" t="s">
        <v>69</v>
      </c>
      <c r="W174" s="649" t="s">
        <v>70</v>
      </c>
      <c r="X174" s="37"/>
      <c r="Y174" s="37"/>
      <c r="Z174" s="649" t="s">
        <v>78</v>
      </c>
      <c r="AA174" s="649" t="s">
        <v>78</v>
      </c>
      <c r="AB174" s="37"/>
      <c r="AC174" s="656">
        <f>'Ref-ComHOU'!$G$101</f>
        <v>9.4273972602739722</v>
      </c>
      <c r="AD174" s="657" t="s">
        <v>72</v>
      </c>
      <c r="AE174" s="655" t="s">
        <v>73</v>
      </c>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c r="CA174" s="393"/>
      <c r="CB174" s="393"/>
      <c r="CC174" s="393"/>
      <c r="CD174" s="393"/>
      <c r="CE174" s="393"/>
      <c r="CF174" s="393"/>
      <c r="CG174" s="393"/>
      <c r="CH174" s="393"/>
      <c r="CI174" s="393"/>
      <c r="CJ174" s="393"/>
      <c r="CK174" s="393"/>
      <c r="CL174" s="393"/>
      <c r="CM174" s="393"/>
      <c r="CN174" s="393"/>
      <c r="CO174" s="393"/>
      <c r="CP174" s="393"/>
      <c r="CQ174" s="393"/>
      <c r="CR174" s="393"/>
      <c r="CS174" s="393"/>
      <c r="CT174" s="393"/>
      <c r="CU174" s="393"/>
      <c r="CV174" s="393"/>
      <c r="CW174" s="393"/>
      <c r="CX174" s="393"/>
      <c r="CY174" s="393"/>
      <c r="CZ174" s="393"/>
      <c r="DA174" s="393"/>
      <c r="DB174" s="393"/>
      <c r="DC174" s="393"/>
    </row>
    <row r="175" spans="1:107" s="350" customFormat="1" ht="60">
      <c r="A175" s="37"/>
      <c r="B175" s="648" t="s">
        <v>23</v>
      </c>
      <c r="C175" s="649" t="s">
        <v>1149</v>
      </c>
      <c r="D175" s="650" t="s">
        <v>1220</v>
      </c>
      <c r="E175" s="651">
        <f>'Ref-ComSources'!$AB$12*AVERAGE('Ref-ComSources'!$E$89:$E$90)</f>
        <v>358.49365031662199</v>
      </c>
      <c r="F175" s="649" t="s">
        <v>27</v>
      </c>
      <c r="G175" s="652">
        <f>'Ref-2013CSSsaturationsINT'!$F$30</f>
        <v>0.87983429857487527</v>
      </c>
      <c r="H175" s="649" t="s">
        <v>867</v>
      </c>
      <c r="I175" s="653">
        <f>'Ref-2013CSSsaturationsINT'!$J$30</f>
        <v>0.87705985592721025</v>
      </c>
      <c r="J175" s="648" t="s">
        <v>1097</v>
      </c>
      <c r="K175" s="648" t="s">
        <v>1020</v>
      </c>
      <c r="L175" s="648" t="s">
        <v>15</v>
      </c>
      <c r="M175" s="648" t="s">
        <v>90</v>
      </c>
      <c r="N175" s="654">
        <f>E175*G175*'Ref-Savings Calculations'!$E$39*Applicability</f>
        <v>64.584978109068985</v>
      </c>
      <c r="O175" s="654">
        <f>E175*G175*'Ref-Savings Calculations'!$C$79*Applicability*ControlShare</f>
        <v>61.966876759249132</v>
      </c>
      <c r="P175" s="654">
        <f>E175*G175*'Ref-Savings Calculations'!$E$40*Applicability</f>
        <v>55.197626639727552</v>
      </c>
      <c r="Q175" s="654" t="s">
        <v>871</v>
      </c>
      <c r="R175" s="37"/>
      <c r="S175" s="649" t="s">
        <v>44</v>
      </c>
      <c r="T175" s="655" t="s">
        <v>63</v>
      </c>
      <c r="U175" s="649" t="s">
        <v>69</v>
      </c>
      <c r="V175" s="649" t="s">
        <v>69</v>
      </c>
      <c r="W175" s="649" t="s">
        <v>70</v>
      </c>
      <c r="X175" s="37"/>
      <c r="Y175" s="37"/>
      <c r="Z175" s="649" t="s">
        <v>78</v>
      </c>
      <c r="AA175" s="649" t="s">
        <v>78</v>
      </c>
      <c r="AB175" s="37"/>
      <c r="AC175" s="656">
        <f>'Ref-ComHOU'!$G$101</f>
        <v>9.4273972602739722</v>
      </c>
      <c r="AD175" s="657" t="s">
        <v>72</v>
      </c>
      <c r="AE175" s="655" t="s">
        <v>73</v>
      </c>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c r="CA175" s="393"/>
      <c r="CB175" s="393"/>
      <c r="CC175" s="393"/>
      <c r="CD175" s="393"/>
      <c r="CE175" s="393"/>
      <c r="CF175" s="393"/>
      <c r="CG175" s="393"/>
      <c r="CH175" s="393"/>
      <c r="CI175" s="393"/>
      <c r="CJ175" s="393"/>
      <c r="CK175" s="393"/>
      <c r="CL175" s="393"/>
      <c r="CM175" s="393"/>
      <c r="CN175" s="393"/>
      <c r="CO175" s="393"/>
      <c r="CP175" s="393"/>
      <c r="CQ175" s="393"/>
      <c r="CR175" s="393"/>
      <c r="CS175" s="393"/>
      <c r="CT175" s="393"/>
      <c r="CU175" s="393"/>
      <c r="CV175" s="393"/>
      <c r="CW175" s="393"/>
      <c r="CX175" s="393"/>
      <c r="CY175" s="393"/>
      <c r="CZ175" s="393"/>
      <c r="DA175" s="393"/>
      <c r="DB175" s="393"/>
      <c r="DC175" s="393"/>
    </row>
    <row r="176" spans="1:107" s="350" customFormat="1" ht="60">
      <c r="A176" s="37"/>
      <c r="B176" s="648" t="s">
        <v>23</v>
      </c>
      <c r="C176" s="649" t="s">
        <v>1149</v>
      </c>
      <c r="D176" s="650" t="s">
        <v>1220</v>
      </c>
      <c r="E176" s="651">
        <f>'Ref-ComSources'!$AB$12*AVERAGE('Ref-ComSources'!$E$89:$E$90)</f>
        <v>358.49365031662199</v>
      </c>
      <c r="F176" s="649" t="s">
        <v>27</v>
      </c>
      <c r="G176" s="652">
        <f>'Ref-2013CSSsaturationsINT'!$F$30</f>
        <v>0.87983429857487527</v>
      </c>
      <c r="H176" s="649" t="s">
        <v>867</v>
      </c>
      <c r="I176" s="653">
        <f>'Ref-2013CSSsaturationsINT'!$J$30</f>
        <v>0.87705985592721025</v>
      </c>
      <c r="J176" s="648" t="s">
        <v>1097</v>
      </c>
      <c r="K176" s="648" t="s">
        <v>1020</v>
      </c>
      <c r="L176" s="648" t="s">
        <v>15</v>
      </c>
      <c r="M176" s="648" t="s">
        <v>91</v>
      </c>
      <c r="N176" s="654">
        <f>E176*G176*'Ref-Savings Calculations'!$E$39*Applicability</f>
        <v>64.584978109068985</v>
      </c>
      <c r="O176" s="654" t="s">
        <v>870</v>
      </c>
      <c r="P176" s="654">
        <f>E176*G176*'Ref-Savings Calculations'!$E$40*Applicability</f>
        <v>55.197626639727552</v>
      </c>
      <c r="Q176" s="654" t="s">
        <v>870</v>
      </c>
      <c r="R176" s="37"/>
      <c r="S176" s="649" t="s">
        <v>44</v>
      </c>
      <c r="T176" s="655" t="s">
        <v>63</v>
      </c>
      <c r="U176" s="655" t="s">
        <v>870</v>
      </c>
      <c r="V176" s="655" t="s">
        <v>870</v>
      </c>
      <c r="W176" s="649" t="s">
        <v>70</v>
      </c>
      <c r="X176" s="37"/>
      <c r="Y176" s="37"/>
      <c r="Z176" s="649" t="s">
        <v>78</v>
      </c>
      <c r="AA176" s="649" t="s">
        <v>78</v>
      </c>
      <c r="AB176" s="37"/>
      <c r="AC176" s="656">
        <f>'Ref-ComHOU'!$G$101</f>
        <v>9.4273972602739722</v>
      </c>
      <c r="AD176" s="657" t="s">
        <v>72</v>
      </c>
      <c r="AE176" s="655" t="s">
        <v>73</v>
      </c>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c r="CA176" s="393"/>
      <c r="CB176" s="393"/>
      <c r="CC176" s="393"/>
      <c r="CD176" s="393"/>
      <c r="CE176" s="393"/>
      <c r="CF176" s="393"/>
      <c r="CG176" s="393"/>
      <c r="CH176" s="393"/>
      <c r="CI176" s="393"/>
      <c r="CJ176" s="393"/>
      <c r="CK176" s="393"/>
      <c r="CL176" s="393"/>
      <c r="CM176" s="393"/>
      <c r="CN176" s="393"/>
      <c r="CO176" s="393"/>
      <c r="CP176" s="393"/>
      <c r="CQ176" s="393"/>
      <c r="CR176" s="393"/>
      <c r="CS176" s="393"/>
      <c r="CT176" s="393"/>
      <c r="CU176" s="393"/>
      <c r="CV176" s="393"/>
      <c r="CW176" s="393"/>
      <c r="CX176" s="393"/>
      <c r="CY176" s="393"/>
      <c r="CZ176" s="393"/>
      <c r="DA176" s="393"/>
      <c r="DB176" s="393"/>
      <c r="DC176" s="393"/>
    </row>
    <row r="177" spans="1:107" s="350" customFormat="1" ht="60">
      <c r="A177" s="37"/>
      <c r="B177" s="648" t="s">
        <v>23</v>
      </c>
      <c r="C177" s="649" t="s">
        <v>1149</v>
      </c>
      <c r="D177" s="650" t="s">
        <v>1220</v>
      </c>
      <c r="E177" s="651">
        <f>'Ref-ComSources'!$AB$12*AVERAGE('Ref-ComSources'!$E$89:$E$90)</f>
        <v>358.49365031662199</v>
      </c>
      <c r="F177" s="649" t="s">
        <v>27</v>
      </c>
      <c r="G177" s="652">
        <f>'Ref-2013CSSsaturationsINT'!$F$30</f>
        <v>0.87983429857487527</v>
      </c>
      <c r="H177" s="649" t="s">
        <v>867</v>
      </c>
      <c r="I177" s="653">
        <f>'Ref-2013CSSsaturationsINT'!$J$30</f>
        <v>0.87705985592721025</v>
      </c>
      <c r="J177" s="648" t="s">
        <v>1097</v>
      </c>
      <c r="K177" s="648" t="s">
        <v>1020</v>
      </c>
      <c r="L177" s="648" t="s">
        <v>15</v>
      </c>
      <c r="M177" s="648" t="s">
        <v>92</v>
      </c>
      <c r="N177" s="654">
        <f>E177*G177*'Ref-Savings Calculations'!$E$39*Applicability</f>
        <v>64.584978109068985</v>
      </c>
      <c r="O177" s="654">
        <f>E177*G177*'Ref-Savings Calculations'!$C$99*Applicability*ControlShare</f>
        <v>79.671698690463174</v>
      </c>
      <c r="P177" s="654">
        <f>E177*G177*'Ref-Savings Calculations'!$E$40*Applicability</f>
        <v>55.197626639727552</v>
      </c>
      <c r="Q177" s="654">
        <f>E177*G177*('Ref-Savings Calculations'!$C$99-'Ref-Savings Calculations'!$C$79)*Applicability*ControlShare</f>
        <v>17.704821931214031</v>
      </c>
      <c r="R177" s="37"/>
      <c r="S177" s="649" t="s">
        <v>44</v>
      </c>
      <c r="T177" s="655" t="s">
        <v>63</v>
      </c>
      <c r="U177" s="649" t="s">
        <v>69</v>
      </c>
      <c r="V177" s="649" t="s">
        <v>69</v>
      </c>
      <c r="W177" s="649" t="s">
        <v>70</v>
      </c>
      <c r="X177" s="37"/>
      <c r="Y177" s="37"/>
      <c r="Z177" s="649" t="s">
        <v>78</v>
      </c>
      <c r="AA177" s="649" t="s">
        <v>78</v>
      </c>
      <c r="AB177" s="37"/>
      <c r="AC177" s="656">
        <f>'Ref-ComHOU'!$G$101</f>
        <v>9.4273972602739722</v>
      </c>
      <c r="AD177" s="657" t="s">
        <v>72</v>
      </c>
      <c r="AE177" s="655" t="s">
        <v>73</v>
      </c>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c r="CA177" s="393"/>
      <c r="CB177" s="393"/>
      <c r="CC177" s="393"/>
      <c r="CD177" s="393"/>
      <c r="CE177" s="393"/>
      <c r="CF177" s="393"/>
      <c r="CG177" s="393"/>
      <c r="CH177" s="393"/>
      <c r="CI177" s="393"/>
      <c r="CJ177" s="393"/>
      <c r="CK177" s="393"/>
      <c r="CL177" s="393"/>
      <c r="CM177" s="393"/>
      <c r="CN177" s="393"/>
      <c r="CO177" s="393"/>
      <c r="CP177" s="393"/>
      <c r="CQ177" s="393"/>
      <c r="CR177" s="393"/>
      <c r="CS177" s="393"/>
      <c r="CT177" s="393"/>
      <c r="CU177" s="393"/>
      <c r="CV177" s="393"/>
      <c r="CW177" s="393"/>
      <c r="CX177" s="393"/>
      <c r="CY177" s="393"/>
      <c r="CZ177" s="393"/>
      <c r="DA177" s="393"/>
      <c r="DB177" s="393"/>
      <c r="DC177" s="393"/>
    </row>
    <row r="178" spans="1:107" s="350" customFormat="1" ht="60">
      <c r="A178" s="37"/>
      <c r="B178" s="648" t="s">
        <v>23</v>
      </c>
      <c r="C178" s="649" t="s">
        <v>1149</v>
      </c>
      <c r="D178" s="650" t="s">
        <v>1220</v>
      </c>
      <c r="E178" s="651">
        <f>'Ref-ComSources'!$AB$12*AVERAGE('Ref-ComSources'!$E$89:$E$90)</f>
        <v>358.49365031662199</v>
      </c>
      <c r="F178" s="649" t="s">
        <v>27</v>
      </c>
      <c r="G178" s="652">
        <f>'Ref-2013CSSsaturationsINT'!$F$30</f>
        <v>0.87983429857487527</v>
      </c>
      <c r="H178" s="649" t="s">
        <v>867</v>
      </c>
      <c r="I178" s="653">
        <f>'Ref-2013CSSsaturationsINT'!$J$30</f>
        <v>0.87705985592721025</v>
      </c>
      <c r="J178" s="648" t="s">
        <v>1097</v>
      </c>
      <c r="K178" s="648" t="s">
        <v>1020</v>
      </c>
      <c r="L178" s="648" t="s">
        <v>15</v>
      </c>
      <c r="M178" s="648" t="s">
        <v>93</v>
      </c>
      <c r="N178" s="654">
        <f>E178*G178*'Ref-Savings Calculations'!$E$39*Applicability</f>
        <v>64.584978109068985</v>
      </c>
      <c r="O178" s="654">
        <f>E178*G178*'Ref-Savings Calculations'!$C$109*Applicability*ControlShare</f>
        <v>84.097904173266699</v>
      </c>
      <c r="P178" s="654">
        <f>E178*G178*'Ref-Savings Calculations'!$E$40*Applicability</f>
        <v>55.197626639727552</v>
      </c>
      <c r="Q178" s="654">
        <f>E178*G178*('Ref-Savings Calculations'!$C$109-'Ref-Savings Calculations'!$C$79)*Applicability*ControlShare</f>
        <v>22.131027414017542</v>
      </c>
      <c r="R178" s="37"/>
      <c r="S178" s="649" t="s">
        <v>44</v>
      </c>
      <c r="T178" s="655" t="s">
        <v>63</v>
      </c>
      <c r="U178" s="655" t="s">
        <v>44</v>
      </c>
      <c r="V178" s="655" t="s">
        <v>75</v>
      </c>
      <c r="W178" s="649" t="s">
        <v>70</v>
      </c>
      <c r="X178" s="37"/>
      <c r="Y178" s="37"/>
      <c r="Z178" s="649" t="s">
        <v>78</v>
      </c>
      <c r="AA178" s="649" t="s">
        <v>78</v>
      </c>
      <c r="AB178" s="37"/>
      <c r="AC178" s="656">
        <f>'Ref-ComHOU'!$G$101</f>
        <v>9.4273972602739722</v>
      </c>
      <c r="AD178" s="657" t="s">
        <v>72</v>
      </c>
      <c r="AE178" s="655" t="s">
        <v>73</v>
      </c>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c r="CA178" s="393"/>
      <c r="CB178" s="393"/>
      <c r="CC178" s="393"/>
      <c r="CD178" s="393"/>
      <c r="CE178" s="393"/>
      <c r="CF178" s="393"/>
      <c r="CG178" s="393"/>
      <c r="CH178" s="393"/>
      <c r="CI178" s="393"/>
      <c r="CJ178" s="393"/>
      <c r="CK178" s="393"/>
      <c r="CL178" s="393"/>
      <c r="CM178" s="393"/>
      <c r="CN178" s="393"/>
      <c r="CO178" s="393"/>
      <c r="CP178" s="393"/>
      <c r="CQ178" s="393"/>
      <c r="CR178" s="393"/>
      <c r="CS178" s="393"/>
      <c r="CT178" s="393"/>
      <c r="CU178" s="393"/>
      <c r="CV178" s="393"/>
      <c r="CW178" s="393"/>
      <c r="CX178" s="393"/>
      <c r="CY178" s="393"/>
      <c r="CZ178" s="393"/>
      <c r="DA178" s="393"/>
      <c r="DB178" s="393"/>
      <c r="DC178" s="393"/>
    </row>
    <row r="179" spans="1:107" s="350" customFormat="1" ht="48">
      <c r="A179" s="37"/>
      <c r="B179" s="648" t="s">
        <v>23</v>
      </c>
      <c r="C179" s="649" t="s">
        <v>1149</v>
      </c>
      <c r="D179" s="650" t="s">
        <v>1220</v>
      </c>
      <c r="E179" s="651">
        <f>'Ref-ComSources'!$AB$12*AVERAGE('Ref-ComSources'!$E$89:$E$90)</f>
        <v>358.49365031662199</v>
      </c>
      <c r="F179" s="649" t="s">
        <v>24</v>
      </c>
      <c r="G179" s="652">
        <f>'Ref-2013CSSsaturationsINT'!$F$33</f>
        <v>0.10528875835634517</v>
      </c>
      <c r="H179" s="649" t="s">
        <v>867</v>
      </c>
      <c r="I179" s="653">
        <f>'Ref-2013CSSsaturationsINT'!$J$33</f>
        <v>0.99874040896385019</v>
      </c>
      <c r="J179" s="648" t="s">
        <v>25</v>
      </c>
      <c r="K179" s="648" t="s">
        <v>1020</v>
      </c>
      <c r="L179" s="648" t="s">
        <v>95</v>
      </c>
      <c r="M179" s="648" t="s">
        <v>88</v>
      </c>
      <c r="N179" s="654">
        <f>E179*G179*'Ref-Savings Calculations'!$E$7*Applicability</f>
        <v>6.9683725514715551</v>
      </c>
      <c r="O179" s="654">
        <f>E179*G179*'Ref-Savings Calculations'!$C$56*Applicability*ControlShare</f>
        <v>9.349056288344249</v>
      </c>
      <c r="P179" s="654">
        <f>rMarketSolutions[[#This Row],[Lighting Savings
(lamp and/or ballast)]]</f>
        <v>6.9683725514715551</v>
      </c>
      <c r="Q179" s="654" t="s">
        <v>1109</v>
      </c>
      <c r="R179" s="37"/>
      <c r="S179" s="649" t="s">
        <v>44</v>
      </c>
      <c r="T179" s="655" t="s">
        <v>63</v>
      </c>
      <c r="U179" s="649" t="s">
        <v>69</v>
      </c>
      <c r="V179" s="649" t="s">
        <v>69</v>
      </c>
      <c r="W179" s="649" t="s">
        <v>70</v>
      </c>
      <c r="X179" s="37"/>
      <c r="Y179" s="37"/>
      <c r="Z179" s="649" t="s">
        <v>78</v>
      </c>
      <c r="AA179" s="649" t="s">
        <v>78</v>
      </c>
      <c r="AB179" s="37"/>
      <c r="AC179" s="656">
        <f>'Ref-ComHOU'!$G$101</f>
        <v>9.4273972602739722</v>
      </c>
      <c r="AD179" s="657" t="s">
        <v>72</v>
      </c>
      <c r="AE179" s="655" t="s">
        <v>73</v>
      </c>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c r="CA179" s="393"/>
      <c r="CB179" s="393"/>
      <c r="CC179" s="393"/>
      <c r="CD179" s="393"/>
      <c r="CE179" s="393"/>
      <c r="CF179" s="393"/>
      <c r="CG179" s="393"/>
      <c r="CH179" s="393"/>
      <c r="CI179" s="393"/>
      <c r="CJ179" s="393"/>
      <c r="CK179" s="393"/>
      <c r="CL179" s="393"/>
      <c r="CM179" s="393"/>
      <c r="CN179" s="393"/>
      <c r="CO179" s="393"/>
      <c r="CP179" s="393"/>
      <c r="CQ179" s="393"/>
      <c r="CR179" s="393"/>
      <c r="CS179" s="393"/>
      <c r="CT179" s="393"/>
      <c r="CU179" s="393"/>
      <c r="CV179" s="393"/>
      <c r="CW179" s="393"/>
      <c r="CX179" s="393"/>
      <c r="CY179" s="393"/>
      <c r="CZ179" s="393"/>
      <c r="DA179" s="393"/>
      <c r="DB179" s="393"/>
      <c r="DC179" s="393"/>
    </row>
    <row r="180" spans="1:107" s="350" customFormat="1" ht="48">
      <c r="A180" s="37"/>
      <c r="B180" s="648" t="s">
        <v>23</v>
      </c>
      <c r="C180" s="649" t="s">
        <v>1149</v>
      </c>
      <c r="D180" s="650" t="s">
        <v>1220</v>
      </c>
      <c r="E180" s="651">
        <f>'Ref-ComSources'!$AB$12*AVERAGE('Ref-ComSources'!$E$89:$E$90)</f>
        <v>358.49365031662199</v>
      </c>
      <c r="F180" s="649" t="s">
        <v>24</v>
      </c>
      <c r="G180" s="652">
        <f>'Ref-2013CSSsaturationsINT'!$F$33</f>
        <v>0.10528875835634517</v>
      </c>
      <c r="H180" s="649" t="s">
        <v>867</v>
      </c>
      <c r="I180" s="653">
        <f>'Ref-2013CSSsaturationsINT'!$J$33</f>
        <v>0.99874040896385019</v>
      </c>
      <c r="J180" s="648" t="s">
        <v>25</v>
      </c>
      <c r="K180" s="648" t="s">
        <v>1020</v>
      </c>
      <c r="L180" s="648" t="s">
        <v>95</v>
      </c>
      <c r="M180" s="648" t="s">
        <v>90</v>
      </c>
      <c r="N180" s="654">
        <f>E180*G180*'Ref-Savings Calculations'!$E$7*Applicability</f>
        <v>6.9683725514715551</v>
      </c>
      <c r="O180" s="654">
        <f>E180*G180*'Ref-Savings Calculations'!$C$79*Applicability*ControlShare</f>
        <v>8.4443089056012575</v>
      </c>
      <c r="P180" s="654">
        <f>rMarketSolutions[[#This Row],[Lighting Savings
(lamp and/or ballast)]]</f>
        <v>6.9683725514715551</v>
      </c>
      <c r="Q180" s="654" t="s">
        <v>871</v>
      </c>
      <c r="R180" s="37"/>
      <c r="S180" s="649" t="s">
        <v>44</v>
      </c>
      <c r="T180" s="655" t="s">
        <v>63</v>
      </c>
      <c r="U180" s="649" t="s">
        <v>69</v>
      </c>
      <c r="V180" s="649" t="s">
        <v>69</v>
      </c>
      <c r="W180" s="649" t="s">
        <v>70</v>
      </c>
      <c r="X180" s="37"/>
      <c r="Y180" s="37"/>
      <c r="Z180" s="649" t="s">
        <v>78</v>
      </c>
      <c r="AA180" s="649" t="s">
        <v>78</v>
      </c>
      <c r="AB180" s="37"/>
      <c r="AC180" s="656">
        <f>'Ref-ComHOU'!$G$101</f>
        <v>9.4273972602739722</v>
      </c>
      <c r="AD180" s="657" t="s">
        <v>72</v>
      </c>
      <c r="AE180" s="655" t="s">
        <v>73</v>
      </c>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c r="CA180" s="393"/>
      <c r="CB180" s="393"/>
      <c r="CC180" s="393"/>
      <c r="CD180" s="393"/>
      <c r="CE180" s="393"/>
      <c r="CF180" s="393"/>
      <c r="CG180" s="393"/>
      <c r="CH180" s="393"/>
      <c r="CI180" s="393"/>
      <c r="CJ180" s="393"/>
      <c r="CK180" s="393"/>
      <c r="CL180" s="393"/>
      <c r="CM180" s="393"/>
      <c r="CN180" s="393"/>
      <c r="CO180" s="393"/>
      <c r="CP180" s="393"/>
      <c r="CQ180" s="393"/>
      <c r="CR180" s="393"/>
      <c r="CS180" s="393"/>
      <c r="CT180" s="393"/>
      <c r="CU180" s="393"/>
      <c r="CV180" s="393"/>
      <c r="CW180" s="393"/>
      <c r="CX180" s="393"/>
      <c r="CY180" s="393"/>
      <c r="CZ180" s="393"/>
      <c r="DA180" s="393"/>
      <c r="DB180" s="393"/>
      <c r="DC180" s="393"/>
    </row>
    <row r="181" spans="1:107" s="350" customFormat="1" ht="48">
      <c r="A181" s="37"/>
      <c r="B181" s="648" t="s">
        <v>23</v>
      </c>
      <c r="C181" s="649" t="s">
        <v>1149</v>
      </c>
      <c r="D181" s="650" t="s">
        <v>1220</v>
      </c>
      <c r="E181" s="651">
        <f>'Ref-ComSources'!$AB$12*AVERAGE('Ref-ComSources'!$E$89:$E$90)</f>
        <v>358.49365031662199</v>
      </c>
      <c r="F181" s="649" t="s">
        <v>24</v>
      </c>
      <c r="G181" s="652">
        <f>'Ref-2013CSSsaturationsINT'!$F$33</f>
        <v>0.10528875835634517</v>
      </c>
      <c r="H181" s="649" t="s">
        <v>867</v>
      </c>
      <c r="I181" s="653">
        <f>'Ref-2013CSSsaturationsINT'!$J$33</f>
        <v>0.99874040896385019</v>
      </c>
      <c r="J181" s="648" t="s">
        <v>25</v>
      </c>
      <c r="K181" s="648" t="s">
        <v>1020</v>
      </c>
      <c r="L181" s="648" t="s">
        <v>95</v>
      </c>
      <c r="M181" s="648" t="s">
        <v>91</v>
      </c>
      <c r="N181" s="654">
        <f>E181*G181*'Ref-Savings Calculations'!$E$7*Applicability</f>
        <v>6.9683725514715551</v>
      </c>
      <c r="O181" s="654" t="s">
        <v>870</v>
      </c>
      <c r="P181" s="654">
        <f>rMarketSolutions[[#This Row],[Lighting Savings
(lamp and/or ballast)]]</f>
        <v>6.9683725514715551</v>
      </c>
      <c r="Q181" s="654" t="s">
        <v>870</v>
      </c>
      <c r="R181" s="37"/>
      <c r="S181" s="649" t="s">
        <v>44</v>
      </c>
      <c r="T181" s="655" t="s">
        <v>63</v>
      </c>
      <c r="U181" s="655" t="s">
        <v>870</v>
      </c>
      <c r="V181" s="655" t="s">
        <v>870</v>
      </c>
      <c r="W181" s="649" t="s">
        <v>70</v>
      </c>
      <c r="X181" s="37"/>
      <c r="Y181" s="37"/>
      <c r="Z181" s="649" t="s">
        <v>78</v>
      </c>
      <c r="AA181" s="649" t="s">
        <v>78</v>
      </c>
      <c r="AB181" s="37"/>
      <c r="AC181" s="656">
        <f>'Ref-ComHOU'!$G$101</f>
        <v>9.4273972602739722</v>
      </c>
      <c r="AD181" s="657" t="s">
        <v>72</v>
      </c>
      <c r="AE181" s="655" t="s">
        <v>73</v>
      </c>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c r="CA181" s="393"/>
      <c r="CB181" s="393"/>
      <c r="CC181" s="393"/>
      <c r="CD181" s="393"/>
      <c r="CE181" s="393"/>
      <c r="CF181" s="393"/>
      <c r="CG181" s="393"/>
      <c r="CH181" s="393"/>
      <c r="CI181" s="393"/>
      <c r="CJ181" s="393"/>
      <c r="CK181" s="393"/>
      <c r="CL181" s="393"/>
      <c r="CM181" s="393"/>
      <c r="CN181" s="393"/>
      <c r="CO181" s="393"/>
      <c r="CP181" s="393"/>
      <c r="CQ181" s="393"/>
      <c r="CR181" s="393"/>
      <c r="CS181" s="393"/>
      <c r="CT181" s="393"/>
      <c r="CU181" s="393"/>
      <c r="CV181" s="393"/>
      <c r="CW181" s="393"/>
      <c r="CX181" s="393"/>
      <c r="CY181" s="393"/>
      <c r="CZ181" s="393"/>
      <c r="DA181" s="393"/>
      <c r="DB181" s="393"/>
      <c r="DC181" s="393"/>
    </row>
    <row r="182" spans="1:107" s="350" customFormat="1" ht="48">
      <c r="A182" s="37"/>
      <c r="B182" s="648" t="s">
        <v>23</v>
      </c>
      <c r="C182" s="649" t="s">
        <v>1149</v>
      </c>
      <c r="D182" s="650" t="s">
        <v>1220</v>
      </c>
      <c r="E182" s="651">
        <f>'Ref-ComSources'!$AB$12*AVERAGE('Ref-ComSources'!$E$89:$E$90)</f>
        <v>358.49365031662199</v>
      </c>
      <c r="F182" s="649" t="s">
        <v>24</v>
      </c>
      <c r="G182" s="652">
        <f>'Ref-2013CSSsaturationsINT'!$F$33</f>
        <v>0.10528875835634517</v>
      </c>
      <c r="H182" s="649" t="s">
        <v>867</v>
      </c>
      <c r="I182" s="653">
        <f>'Ref-2013CSSsaturationsINT'!$J$33</f>
        <v>0.99874040896385019</v>
      </c>
      <c r="J182" s="648" t="s">
        <v>25</v>
      </c>
      <c r="K182" s="648" t="s">
        <v>1020</v>
      </c>
      <c r="L182" s="648" t="s">
        <v>95</v>
      </c>
      <c r="M182" s="648" t="s">
        <v>92</v>
      </c>
      <c r="N182" s="654">
        <f>E182*G182*'Ref-Savings Calculations'!$E$7*Applicability</f>
        <v>6.9683725514715551</v>
      </c>
      <c r="O182" s="654">
        <f>E182*G182*'Ref-Savings Calculations'!$C$99*Applicability*ControlShare</f>
        <v>10.856968592915901</v>
      </c>
      <c r="P182" s="654">
        <f>rMarketSolutions[[#This Row],[Lighting Savings
(lamp and/or ballast)]]</f>
        <v>6.9683725514715551</v>
      </c>
      <c r="Q182" s="654">
        <f>E182*G182*('Ref-Savings Calculations'!$C$99-'Ref-Savings Calculations'!$C$79)*Applicability*ControlShare</f>
        <v>2.412659687314644</v>
      </c>
      <c r="R182" s="37"/>
      <c r="S182" s="649" t="s">
        <v>44</v>
      </c>
      <c r="T182" s="655" t="s">
        <v>63</v>
      </c>
      <c r="U182" s="649" t="s">
        <v>69</v>
      </c>
      <c r="V182" s="649" t="s">
        <v>69</v>
      </c>
      <c r="W182" s="649" t="s">
        <v>70</v>
      </c>
      <c r="X182" s="37"/>
      <c r="Y182" s="37"/>
      <c r="Z182" s="649" t="s">
        <v>78</v>
      </c>
      <c r="AA182" s="649" t="s">
        <v>78</v>
      </c>
      <c r="AB182" s="37"/>
      <c r="AC182" s="656">
        <f>'Ref-ComHOU'!$G$101</f>
        <v>9.4273972602739722</v>
      </c>
      <c r="AD182" s="657" t="s">
        <v>72</v>
      </c>
      <c r="AE182" s="655" t="s">
        <v>73</v>
      </c>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c r="CA182" s="393"/>
      <c r="CB182" s="393"/>
      <c r="CC182" s="393"/>
      <c r="CD182" s="393"/>
      <c r="CE182" s="393"/>
      <c r="CF182" s="393"/>
      <c r="CG182" s="393"/>
      <c r="CH182" s="393"/>
      <c r="CI182" s="393"/>
      <c r="CJ182" s="393"/>
      <c r="CK182" s="393"/>
      <c r="CL182" s="393"/>
      <c r="CM182" s="393"/>
      <c r="CN182" s="393"/>
      <c r="CO182" s="393"/>
      <c r="CP182" s="393"/>
      <c r="CQ182" s="393"/>
      <c r="CR182" s="393"/>
      <c r="CS182" s="393"/>
      <c r="CT182" s="393"/>
      <c r="CU182" s="393"/>
      <c r="CV182" s="393"/>
      <c r="CW182" s="393"/>
      <c r="CX182" s="393"/>
      <c r="CY182" s="393"/>
      <c r="CZ182" s="393"/>
      <c r="DA182" s="393"/>
      <c r="DB182" s="393"/>
      <c r="DC182" s="393"/>
    </row>
    <row r="183" spans="1:107" s="350" customFormat="1" ht="48">
      <c r="A183" s="37"/>
      <c r="B183" s="648" t="s">
        <v>23</v>
      </c>
      <c r="C183" s="649" t="s">
        <v>1149</v>
      </c>
      <c r="D183" s="650" t="s">
        <v>1220</v>
      </c>
      <c r="E183" s="651">
        <f>'Ref-ComSources'!$AB$12*AVERAGE('Ref-ComSources'!$E$89:$E$90)</f>
        <v>358.49365031662199</v>
      </c>
      <c r="F183" s="649" t="s">
        <v>24</v>
      </c>
      <c r="G183" s="652">
        <f>'Ref-2013CSSsaturationsINT'!$F$33</f>
        <v>0.10528875835634517</v>
      </c>
      <c r="H183" s="649" t="s">
        <v>867</v>
      </c>
      <c r="I183" s="653">
        <f>'Ref-2013CSSsaturationsINT'!$J$33</f>
        <v>0.99874040896385019</v>
      </c>
      <c r="J183" s="648" t="s">
        <v>25</v>
      </c>
      <c r="K183" s="648" t="s">
        <v>1020</v>
      </c>
      <c r="L183" s="648" t="s">
        <v>95</v>
      </c>
      <c r="M183" s="648" t="s">
        <v>93</v>
      </c>
      <c r="N183" s="654">
        <f>E183*G183*'Ref-Savings Calculations'!$E$7*Applicability</f>
        <v>6.9683725514715551</v>
      </c>
      <c r="O183" s="654">
        <f>E183*G183*'Ref-Savings Calculations'!$C$109*Applicability*ControlShare</f>
        <v>11.460133514744564</v>
      </c>
      <c r="P183" s="654">
        <f>rMarketSolutions[[#This Row],[Lighting Savings
(lamp and/or ballast)]]</f>
        <v>6.9683725514715551</v>
      </c>
      <c r="Q183" s="654">
        <f>E183*G183*('Ref-Savings Calculations'!$C$109-'Ref-Savings Calculations'!$C$79)*Applicability*ControlShare</f>
        <v>3.0158246091433054</v>
      </c>
      <c r="R183" s="37"/>
      <c r="S183" s="649" t="s">
        <v>44</v>
      </c>
      <c r="T183" s="655" t="s">
        <v>63</v>
      </c>
      <c r="U183" s="655" t="s">
        <v>44</v>
      </c>
      <c r="V183" s="655" t="s">
        <v>75</v>
      </c>
      <c r="W183" s="649" t="s">
        <v>70</v>
      </c>
      <c r="X183" s="37"/>
      <c r="Y183" s="37"/>
      <c r="Z183" s="649" t="s">
        <v>78</v>
      </c>
      <c r="AA183" s="649" t="s">
        <v>78</v>
      </c>
      <c r="AB183" s="37"/>
      <c r="AC183" s="656">
        <f>'Ref-ComHOU'!$G$101</f>
        <v>9.4273972602739722</v>
      </c>
      <c r="AD183" s="657" t="s">
        <v>72</v>
      </c>
      <c r="AE183" s="655" t="s">
        <v>73</v>
      </c>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c r="CA183" s="393"/>
      <c r="CB183" s="393"/>
      <c r="CC183" s="393"/>
      <c r="CD183" s="393"/>
      <c r="CE183" s="393"/>
      <c r="CF183" s="393"/>
      <c r="CG183" s="393"/>
      <c r="CH183" s="393"/>
      <c r="CI183" s="393"/>
      <c r="CJ183" s="393"/>
      <c r="CK183" s="393"/>
      <c r="CL183" s="393"/>
      <c r="CM183" s="393"/>
      <c r="CN183" s="393"/>
      <c r="CO183" s="393"/>
      <c r="CP183" s="393"/>
      <c r="CQ183" s="393"/>
      <c r="CR183" s="393"/>
      <c r="CS183" s="393"/>
      <c r="CT183" s="393"/>
      <c r="CU183" s="393"/>
      <c r="CV183" s="393"/>
      <c r="CW183" s="393"/>
      <c r="CX183" s="393"/>
      <c r="CY183" s="393"/>
      <c r="CZ183" s="393"/>
      <c r="DA183" s="393"/>
      <c r="DB183" s="393"/>
      <c r="DC183" s="393"/>
    </row>
    <row r="184" spans="1:107" s="350" customFormat="1" ht="60">
      <c r="A184" s="37"/>
      <c r="B184" s="464" t="s">
        <v>23</v>
      </c>
      <c r="C184" s="465" t="s">
        <v>1149</v>
      </c>
      <c r="D184" s="348" t="s">
        <v>1226</v>
      </c>
      <c r="E184" s="467">
        <f>'Ref-ComSources'!$AB$12*AVERAGE('Ref-ComSources'!$D$89:$D$90)</f>
        <v>1384.7695904387162</v>
      </c>
      <c r="F184" s="465" t="s">
        <v>27</v>
      </c>
      <c r="G184" s="468">
        <f>'Ref-2013CSSsaturationsINT'!$F$38</f>
        <v>0.75850596809677506</v>
      </c>
      <c r="H184" s="465" t="s">
        <v>867</v>
      </c>
      <c r="I184" s="469">
        <f>'Ref-2013CSSsaturationsINT'!$J$38</f>
        <v>0.67178807228513249</v>
      </c>
      <c r="J184" s="464" t="s">
        <v>1097</v>
      </c>
      <c r="K184" s="464" t="s">
        <v>1020</v>
      </c>
      <c r="L184" s="344" t="s">
        <v>1228</v>
      </c>
      <c r="M184" s="464" t="s">
        <v>88</v>
      </c>
      <c r="N184" s="475">
        <f>E184*G184*'Ref-Savings Calculations'!$E$35*Applicability</f>
        <v>123.66455532884841</v>
      </c>
      <c r="O184" s="475">
        <f>E184*G184*'Ref-Savings Calculations'!$C$56*Applicability*ControlShare</f>
        <v>174.99292464623329</v>
      </c>
      <c r="P184" s="475">
        <f>E184*G184*'Ref-Savings Calculations'!$E$36*Applicability</f>
        <v>100.83417588352252</v>
      </c>
      <c r="Q184" s="475" t="s">
        <v>1109</v>
      </c>
      <c r="R184" s="37"/>
      <c r="S184" s="465" t="s">
        <v>69</v>
      </c>
      <c r="T184" s="465" t="s">
        <v>69</v>
      </c>
      <c r="U184" s="465" t="s">
        <v>69</v>
      </c>
      <c r="V184" s="465" t="s">
        <v>69</v>
      </c>
      <c r="W184" s="465" t="s">
        <v>70</v>
      </c>
      <c r="X184" s="37"/>
      <c r="Y184" s="37"/>
      <c r="Z184" s="465" t="s">
        <v>78</v>
      </c>
      <c r="AA184" s="465" t="s">
        <v>78</v>
      </c>
      <c r="AB184" s="37"/>
      <c r="AC184" s="474">
        <f>'Ref-ComHOU'!$G$101</f>
        <v>9.4273972602739722</v>
      </c>
      <c r="AD184" s="470" t="s">
        <v>72</v>
      </c>
      <c r="AE184" s="344" t="s">
        <v>73</v>
      </c>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c r="CA184" s="393"/>
      <c r="CB184" s="393"/>
      <c r="CC184" s="393"/>
      <c r="CD184" s="393"/>
      <c r="CE184" s="393"/>
      <c r="CF184" s="393"/>
      <c r="CG184" s="393"/>
      <c r="CH184" s="393"/>
      <c r="CI184" s="393"/>
      <c r="CJ184" s="393"/>
      <c r="CK184" s="393"/>
      <c r="CL184" s="393"/>
      <c r="CM184" s="393"/>
      <c r="CN184" s="393"/>
      <c r="CO184" s="393"/>
      <c r="CP184" s="393"/>
      <c r="CQ184" s="393"/>
      <c r="CR184" s="393"/>
      <c r="CS184" s="393"/>
      <c r="CT184" s="393"/>
      <c r="CU184" s="393"/>
      <c r="CV184" s="393"/>
      <c r="CW184" s="393"/>
      <c r="CX184" s="393"/>
      <c r="CY184" s="393"/>
      <c r="CZ184" s="393"/>
      <c r="DA184" s="393"/>
      <c r="DB184" s="393"/>
      <c r="DC184" s="393"/>
    </row>
    <row r="185" spans="1:107" s="350" customFormat="1" ht="60">
      <c r="A185" s="37"/>
      <c r="B185" s="464" t="s">
        <v>23</v>
      </c>
      <c r="C185" s="465" t="s">
        <v>1149</v>
      </c>
      <c r="D185" s="348" t="s">
        <v>1226</v>
      </c>
      <c r="E185" s="467">
        <f>'Ref-ComSources'!$AB$12*AVERAGE('Ref-ComSources'!$D$89:$D$90)</f>
        <v>1384.7695904387162</v>
      </c>
      <c r="F185" s="465" t="s">
        <v>27</v>
      </c>
      <c r="G185" s="468">
        <f>'Ref-2013CSSsaturationsINT'!$F$38</f>
        <v>0.75850596809677506</v>
      </c>
      <c r="H185" s="465" t="s">
        <v>867</v>
      </c>
      <c r="I185" s="469">
        <f>'Ref-2013CSSsaturationsINT'!$J$38</f>
        <v>0.67178807228513249</v>
      </c>
      <c r="J185" s="464" t="s">
        <v>1097</v>
      </c>
      <c r="K185" s="464" t="s">
        <v>1020</v>
      </c>
      <c r="L185" s="344" t="s">
        <v>1228</v>
      </c>
      <c r="M185" s="464" t="s">
        <v>90</v>
      </c>
      <c r="N185" s="475">
        <f>E185*G185*'Ref-Savings Calculations'!$E$35*Applicability</f>
        <v>123.66455532884841</v>
      </c>
      <c r="O185" s="475">
        <f>E185*G185*'Ref-Savings Calculations'!$C$79*Applicability*ControlShare</f>
        <v>158.0581254869204</v>
      </c>
      <c r="P185" s="475">
        <f>E185*G185*'Ref-Savings Calculations'!$E$36*Applicability</f>
        <v>100.83417588352252</v>
      </c>
      <c r="Q185" s="475" t="s">
        <v>871</v>
      </c>
      <c r="R185" s="37"/>
      <c r="S185" s="465" t="s">
        <v>69</v>
      </c>
      <c r="T185" s="465" t="s">
        <v>69</v>
      </c>
      <c r="U185" s="465" t="s">
        <v>69</v>
      </c>
      <c r="V185" s="465" t="s">
        <v>69</v>
      </c>
      <c r="W185" s="465" t="s">
        <v>70</v>
      </c>
      <c r="X185" s="37"/>
      <c r="Y185" s="37"/>
      <c r="Z185" s="465" t="s">
        <v>78</v>
      </c>
      <c r="AA185" s="465" t="s">
        <v>78</v>
      </c>
      <c r="AB185" s="37"/>
      <c r="AC185" s="474">
        <f>'Ref-ComHOU'!$G$101</f>
        <v>9.4273972602739722</v>
      </c>
      <c r="AD185" s="470" t="s">
        <v>72</v>
      </c>
      <c r="AE185" s="344" t="s">
        <v>73</v>
      </c>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c r="CA185" s="393"/>
      <c r="CB185" s="393"/>
      <c r="CC185" s="393"/>
      <c r="CD185" s="393"/>
      <c r="CE185" s="393"/>
      <c r="CF185" s="393"/>
      <c r="CG185" s="393"/>
      <c r="CH185" s="393"/>
      <c r="CI185" s="393"/>
      <c r="CJ185" s="393"/>
      <c r="CK185" s="393"/>
      <c r="CL185" s="393"/>
      <c r="CM185" s="393"/>
      <c r="CN185" s="393"/>
      <c r="CO185" s="393"/>
      <c r="CP185" s="393"/>
      <c r="CQ185" s="393"/>
      <c r="CR185" s="393"/>
      <c r="CS185" s="393"/>
      <c r="CT185" s="393"/>
      <c r="CU185" s="393"/>
      <c r="CV185" s="393"/>
      <c r="CW185" s="393"/>
      <c r="CX185" s="393"/>
      <c r="CY185" s="393"/>
      <c r="CZ185" s="393"/>
      <c r="DA185" s="393"/>
      <c r="DB185" s="393"/>
      <c r="DC185" s="393"/>
    </row>
    <row r="186" spans="1:107" s="350" customFormat="1" ht="60">
      <c r="A186" s="37"/>
      <c r="B186" s="464" t="s">
        <v>23</v>
      </c>
      <c r="C186" s="465" t="s">
        <v>1149</v>
      </c>
      <c r="D186" s="348" t="s">
        <v>1226</v>
      </c>
      <c r="E186" s="467">
        <f>'Ref-ComSources'!$AB$12*AVERAGE('Ref-ComSources'!$D$89:$D$90)</f>
        <v>1384.7695904387162</v>
      </c>
      <c r="F186" s="465" t="s">
        <v>27</v>
      </c>
      <c r="G186" s="468">
        <f>'Ref-2013CSSsaturationsINT'!$F$38</f>
        <v>0.75850596809677506</v>
      </c>
      <c r="H186" s="465" t="s">
        <v>867</v>
      </c>
      <c r="I186" s="469">
        <f>'Ref-2013CSSsaturationsINT'!$J$38</f>
        <v>0.67178807228513249</v>
      </c>
      <c r="J186" s="464" t="s">
        <v>1097</v>
      </c>
      <c r="K186" s="464" t="s">
        <v>1020</v>
      </c>
      <c r="L186" s="344" t="s">
        <v>1228</v>
      </c>
      <c r="M186" s="464" t="s">
        <v>91</v>
      </c>
      <c r="N186" s="475">
        <f>E186*G186*'Ref-Savings Calculations'!$E$35*Applicability</f>
        <v>123.66455532884841</v>
      </c>
      <c r="O186" s="475" t="s">
        <v>870</v>
      </c>
      <c r="P186" s="475">
        <f>E186*G186*'Ref-Savings Calculations'!$E$36*Applicability</f>
        <v>100.83417588352252</v>
      </c>
      <c r="Q186" s="475" t="s">
        <v>870</v>
      </c>
      <c r="R186" s="37"/>
      <c r="S186" s="465" t="s">
        <v>69</v>
      </c>
      <c r="T186" s="465" t="s">
        <v>69</v>
      </c>
      <c r="U186" s="344" t="s">
        <v>870</v>
      </c>
      <c r="V186" s="344" t="s">
        <v>870</v>
      </c>
      <c r="W186" s="465" t="s">
        <v>70</v>
      </c>
      <c r="X186" s="37"/>
      <c r="Y186" s="37"/>
      <c r="Z186" s="465" t="s">
        <v>78</v>
      </c>
      <c r="AA186" s="465" t="s">
        <v>78</v>
      </c>
      <c r="AB186" s="37"/>
      <c r="AC186" s="474">
        <f>'Ref-ComHOU'!$G$101</f>
        <v>9.4273972602739722</v>
      </c>
      <c r="AD186" s="470" t="s">
        <v>72</v>
      </c>
      <c r="AE186" s="344" t="s">
        <v>73</v>
      </c>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c r="CA186" s="393"/>
      <c r="CB186" s="393"/>
      <c r="CC186" s="393"/>
      <c r="CD186" s="393"/>
      <c r="CE186" s="393"/>
      <c r="CF186" s="393"/>
      <c r="CG186" s="393"/>
      <c r="CH186" s="393"/>
      <c r="CI186" s="393"/>
      <c r="CJ186" s="393"/>
      <c r="CK186" s="393"/>
      <c r="CL186" s="393"/>
      <c r="CM186" s="393"/>
      <c r="CN186" s="393"/>
      <c r="CO186" s="393"/>
      <c r="CP186" s="393"/>
      <c r="CQ186" s="393"/>
      <c r="CR186" s="393"/>
      <c r="CS186" s="393"/>
      <c r="CT186" s="393"/>
      <c r="CU186" s="393"/>
      <c r="CV186" s="393"/>
      <c r="CW186" s="393"/>
      <c r="CX186" s="393"/>
      <c r="CY186" s="393"/>
      <c r="CZ186" s="393"/>
      <c r="DA186" s="393"/>
      <c r="DB186" s="393"/>
      <c r="DC186" s="393"/>
    </row>
    <row r="187" spans="1:107" s="350" customFormat="1" ht="60">
      <c r="A187" s="37"/>
      <c r="B187" s="464" t="s">
        <v>23</v>
      </c>
      <c r="C187" s="465" t="s">
        <v>1149</v>
      </c>
      <c r="D187" s="348" t="s">
        <v>1226</v>
      </c>
      <c r="E187" s="467">
        <f>'Ref-ComSources'!$AB$12*AVERAGE('Ref-ComSources'!$D$89:$D$90)</f>
        <v>1384.7695904387162</v>
      </c>
      <c r="F187" s="465" t="s">
        <v>27</v>
      </c>
      <c r="G187" s="468">
        <f>'Ref-2013CSSsaturationsINT'!$F$38</f>
        <v>0.75850596809677506</v>
      </c>
      <c r="H187" s="465" t="s">
        <v>867</v>
      </c>
      <c r="I187" s="469">
        <f>'Ref-2013CSSsaturationsINT'!$J$38</f>
        <v>0.67178807228513249</v>
      </c>
      <c r="J187" s="464" t="s">
        <v>1097</v>
      </c>
      <c r="K187" s="464" t="s">
        <v>1020</v>
      </c>
      <c r="L187" s="344" t="s">
        <v>1228</v>
      </c>
      <c r="M187" s="464" t="s">
        <v>92</v>
      </c>
      <c r="N187" s="475">
        <f>E187*G187*'Ref-Savings Calculations'!$E$35*Applicability</f>
        <v>123.66455532884841</v>
      </c>
      <c r="O187" s="475">
        <f>E187*G187*'Ref-Savings Calculations'!$C$99*Applicability*ControlShare</f>
        <v>203.21758991175483</v>
      </c>
      <c r="P187" s="475">
        <f>E187*G187*'Ref-Savings Calculations'!$E$36*Applicability</f>
        <v>100.83417588352252</v>
      </c>
      <c r="Q187" s="475">
        <f>E187*G187*('Ref-Savings Calculations'!$C$99-'Ref-Savings Calculations'!$C$79)*Applicability*ControlShare</f>
        <v>45.159464424834383</v>
      </c>
      <c r="R187" s="37"/>
      <c r="S187" s="465" t="s">
        <v>69</v>
      </c>
      <c r="T187" s="465" t="s">
        <v>69</v>
      </c>
      <c r="U187" s="465" t="s">
        <v>69</v>
      </c>
      <c r="V187" s="465" t="s">
        <v>69</v>
      </c>
      <c r="W187" s="465" t="s">
        <v>70</v>
      </c>
      <c r="X187" s="37"/>
      <c r="Y187" s="37"/>
      <c r="Z187" s="465" t="s">
        <v>78</v>
      </c>
      <c r="AA187" s="465" t="s">
        <v>78</v>
      </c>
      <c r="AB187" s="37"/>
      <c r="AC187" s="474">
        <f>'Ref-ComHOU'!$G$101</f>
        <v>9.4273972602739722</v>
      </c>
      <c r="AD187" s="470" t="s">
        <v>72</v>
      </c>
      <c r="AE187" s="344" t="s">
        <v>73</v>
      </c>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c r="CA187" s="393"/>
      <c r="CB187" s="393"/>
      <c r="CC187" s="393"/>
      <c r="CD187" s="393"/>
      <c r="CE187" s="393"/>
      <c r="CF187" s="393"/>
      <c r="CG187" s="393"/>
      <c r="CH187" s="393"/>
      <c r="CI187" s="393"/>
      <c r="CJ187" s="393"/>
      <c r="CK187" s="393"/>
      <c r="CL187" s="393"/>
      <c r="CM187" s="393"/>
      <c r="CN187" s="393"/>
      <c r="CO187" s="393"/>
      <c r="CP187" s="393"/>
      <c r="CQ187" s="393"/>
      <c r="CR187" s="393"/>
      <c r="CS187" s="393"/>
      <c r="CT187" s="393"/>
      <c r="CU187" s="393"/>
      <c r="CV187" s="393"/>
      <c r="CW187" s="393"/>
      <c r="CX187" s="393"/>
      <c r="CY187" s="393"/>
      <c r="CZ187" s="393"/>
      <c r="DA187" s="393"/>
      <c r="DB187" s="393"/>
      <c r="DC187" s="393"/>
    </row>
    <row r="188" spans="1:107" s="350" customFormat="1" ht="60">
      <c r="A188" s="37"/>
      <c r="B188" s="464" t="s">
        <v>23</v>
      </c>
      <c r="C188" s="465" t="s">
        <v>1149</v>
      </c>
      <c r="D188" s="348" t="s">
        <v>1226</v>
      </c>
      <c r="E188" s="467">
        <f>'Ref-ComSources'!$AB$12*AVERAGE('Ref-ComSources'!$D$89:$D$90)</f>
        <v>1384.7695904387162</v>
      </c>
      <c r="F188" s="465" t="s">
        <v>27</v>
      </c>
      <c r="G188" s="468">
        <f>'Ref-2013CSSsaturationsINT'!$F$38</f>
        <v>0.75850596809677506</v>
      </c>
      <c r="H188" s="465" t="s">
        <v>867</v>
      </c>
      <c r="I188" s="469">
        <f>'Ref-2013CSSsaturationsINT'!$J$38</f>
        <v>0.67178807228513249</v>
      </c>
      <c r="J188" s="464" t="s">
        <v>1097</v>
      </c>
      <c r="K188" s="464" t="s">
        <v>1020</v>
      </c>
      <c r="L188" s="344" t="s">
        <v>1228</v>
      </c>
      <c r="M188" s="464" t="s">
        <v>93</v>
      </c>
      <c r="N188" s="475">
        <f>E188*G188*'Ref-Savings Calculations'!$E$35*Applicability</f>
        <v>123.66455532884841</v>
      </c>
      <c r="O188" s="475">
        <f>E188*G188*'Ref-Savings Calculations'!$C$109*Applicability*ControlShare</f>
        <v>214.50745601796345</v>
      </c>
      <c r="P188" s="475">
        <f>E188*G188*'Ref-Savings Calculations'!$E$36*Applicability</f>
        <v>100.83417588352252</v>
      </c>
      <c r="Q188" s="475">
        <f>E188*G188*('Ref-Savings Calculations'!$C$109-'Ref-Savings Calculations'!$C$79)*Applicability*ControlShare</f>
        <v>56.449330531042989</v>
      </c>
      <c r="R188" s="37"/>
      <c r="S188" s="465" t="s">
        <v>69</v>
      </c>
      <c r="T188" s="465" t="s">
        <v>69</v>
      </c>
      <c r="U188" s="344" t="s">
        <v>44</v>
      </c>
      <c r="V188" s="344" t="s">
        <v>75</v>
      </c>
      <c r="W188" s="465" t="s">
        <v>70</v>
      </c>
      <c r="X188" s="37"/>
      <c r="Y188" s="37"/>
      <c r="Z188" s="465" t="s">
        <v>78</v>
      </c>
      <c r="AA188" s="465" t="s">
        <v>78</v>
      </c>
      <c r="AB188" s="37"/>
      <c r="AC188" s="474">
        <f>'Ref-ComHOU'!$G$101</f>
        <v>9.4273972602739722</v>
      </c>
      <c r="AD188" s="470" t="s">
        <v>72</v>
      </c>
      <c r="AE188" s="344" t="s">
        <v>73</v>
      </c>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c r="CA188" s="393"/>
      <c r="CB188" s="393"/>
      <c r="CC188" s="393"/>
      <c r="CD188" s="393"/>
      <c r="CE188" s="393"/>
      <c r="CF188" s="393"/>
      <c r="CG188" s="393"/>
      <c r="CH188" s="393"/>
      <c r="CI188" s="393"/>
      <c r="CJ188" s="393"/>
      <c r="CK188" s="393"/>
      <c r="CL188" s="393"/>
      <c r="CM188" s="393"/>
      <c r="CN188" s="393"/>
      <c r="CO188" s="393"/>
      <c r="CP188" s="393"/>
      <c r="CQ188" s="393"/>
      <c r="CR188" s="393"/>
      <c r="CS188" s="393"/>
      <c r="CT188" s="393"/>
      <c r="CU188" s="393"/>
      <c r="CV188" s="393"/>
      <c r="CW188" s="393"/>
      <c r="CX188" s="393"/>
      <c r="CY188" s="393"/>
      <c r="CZ188" s="393"/>
      <c r="DA188" s="393"/>
      <c r="DB188" s="393"/>
      <c r="DC188" s="393"/>
    </row>
    <row r="189" spans="1:107" s="350" customFormat="1" ht="60">
      <c r="A189" s="37"/>
      <c r="B189" s="464" t="s">
        <v>23</v>
      </c>
      <c r="C189" s="465" t="s">
        <v>1149</v>
      </c>
      <c r="D189" s="348" t="s">
        <v>1226</v>
      </c>
      <c r="E189" s="467">
        <f>'Ref-ComSources'!$AB$12*AVERAGE('Ref-ComSources'!$D$89:$D$90)</f>
        <v>1384.7695904387162</v>
      </c>
      <c r="F189" s="465" t="s">
        <v>27</v>
      </c>
      <c r="G189" s="468">
        <f>'Ref-2013CSSsaturationsINT'!$F$38</f>
        <v>0.75850596809677506</v>
      </c>
      <c r="H189" s="465" t="s">
        <v>867</v>
      </c>
      <c r="I189" s="469">
        <f>'Ref-2013CSSsaturationsINT'!$J$38</f>
        <v>0.67178807228513249</v>
      </c>
      <c r="J189" s="464" t="s">
        <v>1097</v>
      </c>
      <c r="K189" s="464" t="s">
        <v>1020</v>
      </c>
      <c r="L189" s="465" t="s">
        <v>1227</v>
      </c>
      <c r="M189" s="464" t="s">
        <v>88</v>
      </c>
      <c r="N189" s="475">
        <f>E189*G189*'Ref-Savings Calculations'!$E$39*Applicability</f>
        <v>215.07289498965625</v>
      </c>
      <c r="O189" s="475">
        <f>E189*G189*'Ref-Savings Calculations'!$C$56*Applicability*ControlShare</f>
        <v>174.99292464623329</v>
      </c>
      <c r="P189" s="475">
        <f>E189*G189*'Ref-Savings Calculations'!$E$40*Applicability</f>
        <v>183.81229978767132</v>
      </c>
      <c r="Q189" s="475" t="s">
        <v>1109</v>
      </c>
      <c r="R189" s="37"/>
      <c r="S189" s="465" t="s">
        <v>44</v>
      </c>
      <c r="T189" s="465" t="s">
        <v>63</v>
      </c>
      <c r="U189" s="465" t="s">
        <v>69</v>
      </c>
      <c r="V189" s="465" t="s">
        <v>69</v>
      </c>
      <c r="W189" s="465" t="s">
        <v>70</v>
      </c>
      <c r="X189" s="37"/>
      <c r="Y189" s="37"/>
      <c r="Z189" s="465" t="s">
        <v>78</v>
      </c>
      <c r="AA189" s="465" t="s">
        <v>78</v>
      </c>
      <c r="AB189" s="37"/>
      <c r="AC189" s="474">
        <f>'Ref-ComHOU'!$G$101</f>
        <v>9.4273972602739722</v>
      </c>
      <c r="AD189" s="470" t="s">
        <v>72</v>
      </c>
      <c r="AE189" s="344" t="s">
        <v>73</v>
      </c>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c r="CA189" s="393"/>
      <c r="CB189" s="393"/>
      <c r="CC189" s="393"/>
      <c r="CD189" s="393"/>
      <c r="CE189" s="393"/>
      <c r="CF189" s="393"/>
      <c r="CG189" s="393"/>
      <c r="CH189" s="393"/>
      <c r="CI189" s="393"/>
      <c r="CJ189" s="393"/>
      <c r="CK189" s="393"/>
      <c r="CL189" s="393"/>
      <c r="CM189" s="393"/>
      <c r="CN189" s="393"/>
      <c r="CO189" s="393"/>
      <c r="CP189" s="393"/>
      <c r="CQ189" s="393"/>
      <c r="CR189" s="393"/>
      <c r="CS189" s="393"/>
      <c r="CT189" s="393"/>
      <c r="CU189" s="393"/>
      <c r="CV189" s="393"/>
      <c r="CW189" s="393"/>
      <c r="CX189" s="393"/>
      <c r="CY189" s="393"/>
      <c r="CZ189" s="393"/>
      <c r="DA189" s="393"/>
      <c r="DB189" s="393"/>
      <c r="DC189" s="393"/>
    </row>
    <row r="190" spans="1:107" s="350" customFormat="1" ht="60">
      <c r="A190" s="37"/>
      <c r="B190" s="464" t="s">
        <v>23</v>
      </c>
      <c r="C190" s="465" t="s">
        <v>1149</v>
      </c>
      <c r="D190" s="348" t="s">
        <v>1226</v>
      </c>
      <c r="E190" s="467">
        <f>'Ref-ComSources'!$AB$12*AVERAGE('Ref-ComSources'!$D$89:$D$90)</f>
        <v>1384.7695904387162</v>
      </c>
      <c r="F190" s="465" t="s">
        <v>27</v>
      </c>
      <c r="G190" s="468">
        <f>'Ref-2013CSSsaturationsINT'!$F$38</f>
        <v>0.75850596809677506</v>
      </c>
      <c r="H190" s="465" t="s">
        <v>867</v>
      </c>
      <c r="I190" s="469">
        <f>'Ref-2013CSSsaturationsINT'!$J$38</f>
        <v>0.67178807228513249</v>
      </c>
      <c r="J190" s="464" t="s">
        <v>1097</v>
      </c>
      <c r="K190" s="464" t="s">
        <v>1020</v>
      </c>
      <c r="L190" s="465" t="s">
        <v>1227</v>
      </c>
      <c r="M190" s="464" t="s">
        <v>90</v>
      </c>
      <c r="N190" s="475">
        <f>E190*G190*'Ref-Savings Calculations'!$E$39*Applicability</f>
        <v>215.07289498965625</v>
      </c>
      <c r="O190" s="475">
        <f>E190*G190*'Ref-Savings Calculations'!$C$79*Applicability*ControlShare</f>
        <v>158.0581254869204</v>
      </c>
      <c r="P190" s="475">
        <f>E190*G190*'Ref-Savings Calculations'!$E$40*Applicability</f>
        <v>183.81229978767132</v>
      </c>
      <c r="Q190" s="475" t="s">
        <v>871</v>
      </c>
      <c r="R190" s="37"/>
      <c r="S190" s="465" t="s">
        <v>44</v>
      </c>
      <c r="T190" s="465" t="s">
        <v>63</v>
      </c>
      <c r="U190" s="465" t="s">
        <v>69</v>
      </c>
      <c r="V190" s="465" t="s">
        <v>69</v>
      </c>
      <c r="W190" s="465" t="s">
        <v>70</v>
      </c>
      <c r="X190" s="37"/>
      <c r="Y190" s="37"/>
      <c r="Z190" s="465" t="s">
        <v>78</v>
      </c>
      <c r="AA190" s="465" t="s">
        <v>78</v>
      </c>
      <c r="AB190" s="37"/>
      <c r="AC190" s="474">
        <f>'Ref-ComHOU'!$G$101</f>
        <v>9.4273972602739722</v>
      </c>
      <c r="AD190" s="470" t="s">
        <v>72</v>
      </c>
      <c r="AE190" s="344" t="s">
        <v>73</v>
      </c>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c r="CA190" s="393"/>
      <c r="CB190" s="393"/>
      <c r="CC190" s="393"/>
      <c r="CD190" s="393"/>
      <c r="CE190" s="393"/>
      <c r="CF190" s="393"/>
      <c r="CG190" s="393"/>
      <c r="CH190" s="393"/>
      <c r="CI190" s="393"/>
      <c r="CJ190" s="393"/>
      <c r="CK190" s="393"/>
      <c r="CL190" s="393"/>
      <c r="CM190" s="393"/>
      <c r="CN190" s="393"/>
      <c r="CO190" s="393"/>
      <c r="CP190" s="393"/>
      <c r="CQ190" s="393"/>
      <c r="CR190" s="393"/>
      <c r="CS190" s="393"/>
      <c r="CT190" s="393"/>
      <c r="CU190" s="393"/>
      <c r="CV190" s="393"/>
      <c r="CW190" s="393"/>
      <c r="CX190" s="393"/>
      <c r="CY190" s="393"/>
      <c r="CZ190" s="393"/>
      <c r="DA190" s="393"/>
      <c r="DB190" s="393"/>
      <c r="DC190" s="393"/>
    </row>
    <row r="191" spans="1:107" s="350" customFormat="1" ht="60">
      <c r="A191" s="37"/>
      <c r="B191" s="464" t="s">
        <v>23</v>
      </c>
      <c r="C191" s="465" t="s">
        <v>1149</v>
      </c>
      <c r="D191" s="348" t="s">
        <v>1226</v>
      </c>
      <c r="E191" s="467">
        <f>'Ref-ComSources'!$AB$12*AVERAGE('Ref-ComSources'!$D$89:$D$90)</f>
        <v>1384.7695904387162</v>
      </c>
      <c r="F191" s="465" t="s">
        <v>27</v>
      </c>
      <c r="G191" s="468">
        <f>'Ref-2013CSSsaturationsINT'!$F$38</f>
        <v>0.75850596809677506</v>
      </c>
      <c r="H191" s="465" t="s">
        <v>867</v>
      </c>
      <c r="I191" s="469">
        <f>'Ref-2013CSSsaturationsINT'!$J$38</f>
        <v>0.67178807228513249</v>
      </c>
      <c r="J191" s="464" t="s">
        <v>1097</v>
      </c>
      <c r="K191" s="464" t="s">
        <v>1020</v>
      </c>
      <c r="L191" s="465" t="s">
        <v>1227</v>
      </c>
      <c r="M191" s="464" t="s">
        <v>91</v>
      </c>
      <c r="N191" s="475">
        <f>E191*G191*'Ref-Savings Calculations'!$E$39*Applicability</f>
        <v>215.07289498965625</v>
      </c>
      <c r="O191" s="475" t="s">
        <v>870</v>
      </c>
      <c r="P191" s="475">
        <f>E191*G191*'Ref-Savings Calculations'!$E$40*Applicability</f>
        <v>183.81229978767132</v>
      </c>
      <c r="Q191" s="475" t="s">
        <v>870</v>
      </c>
      <c r="R191" s="37"/>
      <c r="S191" s="465" t="s">
        <v>44</v>
      </c>
      <c r="T191" s="465" t="s">
        <v>63</v>
      </c>
      <c r="U191" s="465" t="s">
        <v>870</v>
      </c>
      <c r="V191" s="465" t="s">
        <v>870</v>
      </c>
      <c r="W191" s="465" t="s">
        <v>70</v>
      </c>
      <c r="X191" s="37"/>
      <c r="Y191" s="37"/>
      <c r="Z191" s="465" t="s">
        <v>78</v>
      </c>
      <c r="AA191" s="465" t="s">
        <v>78</v>
      </c>
      <c r="AB191" s="37"/>
      <c r="AC191" s="474">
        <f>'Ref-ComHOU'!$G$101</f>
        <v>9.4273972602739722</v>
      </c>
      <c r="AD191" s="470" t="s">
        <v>72</v>
      </c>
      <c r="AE191" s="344" t="s">
        <v>73</v>
      </c>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c r="CA191" s="393"/>
      <c r="CB191" s="393"/>
      <c r="CC191" s="393"/>
      <c r="CD191" s="393"/>
      <c r="CE191" s="393"/>
      <c r="CF191" s="393"/>
      <c r="CG191" s="393"/>
      <c r="CH191" s="393"/>
      <c r="CI191" s="393"/>
      <c r="CJ191" s="393"/>
      <c r="CK191" s="393"/>
      <c r="CL191" s="393"/>
      <c r="CM191" s="393"/>
      <c r="CN191" s="393"/>
      <c r="CO191" s="393"/>
      <c r="CP191" s="393"/>
      <c r="CQ191" s="393"/>
      <c r="CR191" s="393"/>
      <c r="CS191" s="393"/>
      <c r="CT191" s="393"/>
      <c r="CU191" s="393"/>
      <c r="CV191" s="393"/>
      <c r="CW191" s="393"/>
      <c r="CX191" s="393"/>
      <c r="CY191" s="393"/>
      <c r="CZ191" s="393"/>
      <c r="DA191" s="393"/>
      <c r="DB191" s="393"/>
      <c r="DC191" s="393"/>
    </row>
    <row r="192" spans="1:107" s="350" customFormat="1" ht="60">
      <c r="A192" s="37"/>
      <c r="B192" s="464" t="s">
        <v>23</v>
      </c>
      <c r="C192" s="465" t="s">
        <v>1149</v>
      </c>
      <c r="D192" s="348" t="s">
        <v>1226</v>
      </c>
      <c r="E192" s="467">
        <f>'Ref-ComSources'!$AB$12*AVERAGE('Ref-ComSources'!$D$89:$D$90)</f>
        <v>1384.7695904387162</v>
      </c>
      <c r="F192" s="465" t="s">
        <v>27</v>
      </c>
      <c r="G192" s="468">
        <f>'Ref-2013CSSsaturationsINT'!$F$38</f>
        <v>0.75850596809677506</v>
      </c>
      <c r="H192" s="465" t="s">
        <v>867</v>
      </c>
      <c r="I192" s="469">
        <f>'Ref-2013CSSsaturationsINT'!$J$38</f>
        <v>0.67178807228513249</v>
      </c>
      <c r="J192" s="464" t="s">
        <v>1097</v>
      </c>
      <c r="K192" s="464" t="s">
        <v>1020</v>
      </c>
      <c r="L192" s="465" t="s">
        <v>1227</v>
      </c>
      <c r="M192" s="464" t="s">
        <v>92</v>
      </c>
      <c r="N192" s="475">
        <f>E192*G192*'Ref-Savings Calculations'!$E$39*Applicability</f>
        <v>215.07289498965625</v>
      </c>
      <c r="O192" s="475">
        <f>E192*G192*'Ref-Savings Calculations'!$C$99*Applicability*ControlShare</f>
        <v>203.21758991175483</v>
      </c>
      <c r="P192" s="475">
        <f>E192*G192*'Ref-Savings Calculations'!$E$40*Applicability</f>
        <v>183.81229978767132</v>
      </c>
      <c r="Q192" s="475">
        <f>E192*G192*('Ref-Savings Calculations'!$C$99-'Ref-Savings Calculations'!$C$79)*Applicability*ControlShare</f>
        <v>45.159464424834383</v>
      </c>
      <c r="R192" s="37"/>
      <c r="S192" s="465" t="s">
        <v>44</v>
      </c>
      <c r="T192" s="465" t="s">
        <v>63</v>
      </c>
      <c r="U192" s="465" t="s">
        <v>69</v>
      </c>
      <c r="V192" s="465" t="s">
        <v>69</v>
      </c>
      <c r="W192" s="465" t="s">
        <v>70</v>
      </c>
      <c r="X192" s="37"/>
      <c r="Y192" s="37"/>
      <c r="Z192" s="465" t="s">
        <v>78</v>
      </c>
      <c r="AA192" s="465" t="s">
        <v>78</v>
      </c>
      <c r="AB192" s="37"/>
      <c r="AC192" s="474">
        <f>'Ref-ComHOU'!$G$101</f>
        <v>9.4273972602739722</v>
      </c>
      <c r="AD192" s="470" t="s">
        <v>72</v>
      </c>
      <c r="AE192" s="344" t="s">
        <v>73</v>
      </c>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c r="CA192" s="393"/>
      <c r="CB192" s="393"/>
      <c r="CC192" s="393"/>
      <c r="CD192" s="393"/>
      <c r="CE192" s="393"/>
      <c r="CF192" s="393"/>
      <c r="CG192" s="393"/>
      <c r="CH192" s="393"/>
      <c r="CI192" s="393"/>
      <c r="CJ192" s="393"/>
      <c r="CK192" s="393"/>
      <c r="CL192" s="393"/>
      <c r="CM192" s="393"/>
      <c r="CN192" s="393"/>
      <c r="CO192" s="393"/>
      <c r="CP192" s="393"/>
      <c r="CQ192" s="393"/>
      <c r="CR192" s="393"/>
      <c r="CS192" s="393"/>
      <c r="CT192" s="393"/>
      <c r="CU192" s="393"/>
      <c r="CV192" s="393"/>
      <c r="CW192" s="393"/>
      <c r="CX192" s="393"/>
      <c r="CY192" s="393"/>
      <c r="CZ192" s="393"/>
      <c r="DA192" s="393"/>
      <c r="DB192" s="393"/>
      <c r="DC192" s="393"/>
    </row>
    <row r="193" spans="1:107" s="350" customFormat="1" ht="60">
      <c r="A193" s="37"/>
      <c r="B193" s="464" t="s">
        <v>23</v>
      </c>
      <c r="C193" s="465" t="s">
        <v>1149</v>
      </c>
      <c r="D193" s="348" t="s">
        <v>1226</v>
      </c>
      <c r="E193" s="467">
        <f>'Ref-ComSources'!$AB$12*AVERAGE('Ref-ComSources'!$D$89:$D$90)</f>
        <v>1384.7695904387162</v>
      </c>
      <c r="F193" s="465" t="s">
        <v>27</v>
      </c>
      <c r="G193" s="468">
        <f>'Ref-2013CSSsaturationsINT'!$F$38</f>
        <v>0.75850596809677506</v>
      </c>
      <c r="H193" s="465" t="s">
        <v>867</v>
      </c>
      <c r="I193" s="469">
        <f>'Ref-2013CSSsaturationsINT'!$J$38</f>
        <v>0.67178807228513249</v>
      </c>
      <c r="J193" s="464" t="s">
        <v>1097</v>
      </c>
      <c r="K193" s="464" t="s">
        <v>1020</v>
      </c>
      <c r="L193" s="465" t="s">
        <v>1227</v>
      </c>
      <c r="M193" s="464" t="s">
        <v>93</v>
      </c>
      <c r="N193" s="475">
        <f>E193*G193*'Ref-Savings Calculations'!$E$39*Applicability</f>
        <v>215.07289498965625</v>
      </c>
      <c r="O193" s="475">
        <f>E193*G193*'Ref-Savings Calculations'!$C$109*Applicability*ControlShare</f>
        <v>214.50745601796345</v>
      </c>
      <c r="P193" s="475">
        <f>E193*G193*'Ref-Savings Calculations'!$E$40*Applicability</f>
        <v>183.81229978767132</v>
      </c>
      <c r="Q193" s="475">
        <f>E193*G193*('Ref-Savings Calculations'!$C$109-'Ref-Savings Calculations'!$C$79)*Applicability*ControlShare</f>
        <v>56.449330531042989</v>
      </c>
      <c r="R193" s="37"/>
      <c r="S193" s="465" t="s">
        <v>44</v>
      </c>
      <c r="T193" s="465" t="s">
        <v>63</v>
      </c>
      <c r="U193" s="465" t="s">
        <v>44</v>
      </c>
      <c r="V193" s="465" t="s">
        <v>75</v>
      </c>
      <c r="W193" s="465" t="s">
        <v>70</v>
      </c>
      <c r="X193" s="37"/>
      <c r="Y193" s="37"/>
      <c r="Z193" s="465" t="s">
        <v>78</v>
      </c>
      <c r="AA193" s="465" t="s">
        <v>78</v>
      </c>
      <c r="AB193" s="37"/>
      <c r="AC193" s="474">
        <f>'Ref-ComHOU'!$G$101</f>
        <v>9.4273972602739722</v>
      </c>
      <c r="AD193" s="470" t="s">
        <v>72</v>
      </c>
      <c r="AE193" s="344" t="s">
        <v>73</v>
      </c>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c r="CA193" s="393"/>
      <c r="CB193" s="393"/>
      <c r="CC193" s="393"/>
      <c r="CD193" s="393"/>
      <c r="CE193" s="393"/>
      <c r="CF193" s="393"/>
      <c r="CG193" s="393"/>
      <c r="CH193" s="393"/>
      <c r="CI193" s="393"/>
      <c r="CJ193" s="393"/>
      <c r="CK193" s="393"/>
      <c r="CL193" s="393"/>
      <c r="CM193" s="393"/>
      <c r="CN193" s="393"/>
      <c r="CO193" s="393"/>
      <c r="CP193" s="393"/>
      <c r="CQ193" s="393"/>
      <c r="CR193" s="393"/>
      <c r="CS193" s="393"/>
      <c r="CT193" s="393"/>
      <c r="CU193" s="393"/>
      <c r="CV193" s="393"/>
      <c r="CW193" s="393"/>
      <c r="CX193" s="393"/>
      <c r="CY193" s="393"/>
      <c r="CZ193" s="393"/>
      <c r="DA193" s="393"/>
      <c r="DB193" s="393"/>
      <c r="DC193" s="393"/>
    </row>
    <row r="194" spans="1:107" s="350" customFormat="1" ht="48">
      <c r="A194" s="37"/>
      <c r="B194" s="464" t="s">
        <v>23</v>
      </c>
      <c r="C194" s="465" t="s">
        <v>1149</v>
      </c>
      <c r="D194" s="348" t="s">
        <v>1226</v>
      </c>
      <c r="E194" s="467">
        <f>'Ref-ComSources'!$AB$12*AVERAGE('Ref-ComSources'!$D$89:$D$90)</f>
        <v>1384.7695904387162</v>
      </c>
      <c r="F194" s="344" t="s">
        <v>1245</v>
      </c>
      <c r="G194" s="468">
        <f>'Ref-2013CSSsaturationsINT'!$F$42</f>
        <v>0.19954829052517753</v>
      </c>
      <c r="H194" s="465" t="s">
        <v>867</v>
      </c>
      <c r="I194" s="469">
        <f>'Ref-2013CSSsaturationsINT'!$J$42</f>
        <v>0.85020861427716821</v>
      </c>
      <c r="J194" s="352" t="s">
        <v>994</v>
      </c>
      <c r="K194" s="464" t="s">
        <v>1020</v>
      </c>
      <c r="L194" s="352" t="s">
        <v>995</v>
      </c>
      <c r="M194" s="464" t="s">
        <v>88</v>
      </c>
      <c r="N194" s="475">
        <f>E194*G194*'Ref-Savings Calculations'!$E$19*Applicability</f>
        <v>53.443735384197936</v>
      </c>
      <c r="O194" s="475">
        <f>E194*G194*'Ref-Savings Calculations'!$C$56*Applicability*ControlShare</f>
        <v>58.264323898219779</v>
      </c>
      <c r="P194" s="475">
        <f>E194*G194*'Ref-Savings Calculations'!$E$20*Applicability</f>
        <v>43.698445369637525</v>
      </c>
      <c r="Q194" s="475" t="s">
        <v>1109</v>
      </c>
      <c r="R194" s="37"/>
      <c r="S194" s="465" t="s">
        <v>69</v>
      </c>
      <c r="T194" s="465" t="s">
        <v>69</v>
      </c>
      <c r="U194" s="465" t="s">
        <v>69</v>
      </c>
      <c r="V194" s="465" t="s">
        <v>69</v>
      </c>
      <c r="W194" s="465" t="s">
        <v>70</v>
      </c>
      <c r="X194" s="37"/>
      <c r="Y194" s="37"/>
      <c r="Z194" s="465" t="s">
        <v>78</v>
      </c>
      <c r="AA194" s="465" t="s">
        <v>78</v>
      </c>
      <c r="AB194" s="37"/>
      <c r="AC194" s="474">
        <f>'Ref-ComHOU'!$G$101</f>
        <v>9.4273972602739722</v>
      </c>
      <c r="AD194" s="470" t="s">
        <v>72</v>
      </c>
      <c r="AE194" s="344" t="s">
        <v>73</v>
      </c>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c r="CA194" s="393"/>
      <c r="CB194" s="393"/>
      <c r="CC194" s="393"/>
      <c r="CD194" s="393"/>
      <c r="CE194" s="393"/>
      <c r="CF194" s="393"/>
      <c r="CG194" s="393"/>
      <c r="CH194" s="393"/>
      <c r="CI194" s="393"/>
      <c r="CJ194" s="393"/>
      <c r="CK194" s="393"/>
      <c r="CL194" s="393"/>
      <c r="CM194" s="393"/>
      <c r="CN194" s="393"/>
      <c r="CO194" s="393"/>
      <c r="CP194" s="393"/>
      <c r="CQ194" s="393"/>
      <c r="CR194" s="393"/>
      <c r="CS194" s="393"/>
      <c r="CT194" s="393"/>
      <c r="CU194" s="393"/>
      <c r="CV194" s="393"/>
      <c r="CW194" s="393"/>
      <c r="CX194" s="393"/>
      <c r="CY194" s="393"/>
      <c r="CZ194" s="393"/>
      <c r="DA194" s="393"/>
      <c r="DB194" s="393"/>
      <c r="DC194" s="393"/>
    </row>
    <row r="195" spans="1:107" s="350" customFormat="1" ht="48">
      <c r="A195" s="37"/>
      <c r="B195" s="464" t="s">
        <v>23</v>
      </c>
      <c r="C195" s="465" t="s">
        <v>1149</v>
      </c>
      <c r="D195" s="348" t="s">
        <v>1226</v>
      </c>
      <c r="E195" s="467">
        <f>'Ref-ComSources'!$AB$12*AVERAGE('Ref-ComSources'!$D$89:$D$90)</f>
        <v>1384.7695904387162</v>
      </c>
      <c r="F195" s="344" t="s">
        <v>1245</v>
      </c>
      <c r="G195" s="468">
        <f>'Ref-2013CSSsaturationsINT'!$F$42</f>
        <v>0.19954829052517753</v>
      </c>
      <c r="H195" s="465" t="s">
        <v>867</v>
      </c>
      <c r="I195" s="469">
        <f>'Ref-2013CSSsaturationsINT'!$J$42</f>
        <v>0.85020861427716821</v>
      </c>
      <c r="J195" s="352" t="s">
        <v>994</v>
      </c>
      <c r="K195" s="464" t="s">
        <v>1020</v>
      </c>
      <c r="L195" s="352" t="s">
        <v>995</v>
      </c>
      <c r="M195" s="464" t="s">
        <v>90</v>
      </c>
      <c r="N195" s="475">
        <f>E195*G195*'Ref-Savings Calculations'!$E$19*Applicability</f>
        <v>53.443735384197936</v>
      </c>
      <c r="O195" s="475">
        <f>E195*G195*'Ref-Savings Calculations'!$C$79*Applicability*ControlShare</f>
        <v>52.625840940327542</v>
      </c>
      <c r="P195" s="475">
        <f>E195*G195*'Ref-Savings Calculations'!$E$20*Applicability</f>
        <v>43.698445369637525</v>
      </c>
      <c r="Q195" s="475" t="s">
        <v>871</v>
      </c>
      <c r="R195" s="37"/>
      <c r="S195" s="465" t="s">
        <v>44</v>
      </c>
      <c r="T195" s="465" t="s">
        <v>69</v>
      </c>
      <c r="U195" s="465" t="s">
        <v>69</v>
      </c>
      <c r="V195" s="465" t="s">
        <v>69</v>
      </c>
      <c r="W195" s="465" t="s">
        <v>70</v>
      </c>
      <c r="X195" s="37"/>
      <c r="Y195" s="37"/>
      <c r="Z195" s="465" t="s">
        <v>78</v>
      </c>
      <c r="AA195" s="465" t="s">
        <v>78</v>
      </c>
      <c r="AB195" s="37"/>
      <c r="AC195" s="474">
        <f>'Ref-ComHOU'!$G$101</f>
        <v>9.4273972602739722</v>
      </c>
      <c r="AD195" s="470" t="s">
        <v>72</v>
      </c>
      <c r="AE195" s="344" t="s">
        <v>73</v>
      </c>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c r="CA195" s="393"/>
      <c r="CB195" s="393"/>
      <c r="CC195" s="393"/>
      <c r="CD195" s="393"/>
      <c r="CE195" s="393"/>
      <c r="CF195" s="393"/>
      <c r="CG195" s="393"/>
      <c r="CH195" s="393"/>
      <c r="CI195" s="393"/>
      <c r="CJ195" s="393"/>
      <c r="CK195" s="393"/>
      <c r="CL195" s="393"/>
      <c r="CM195" s="393"/>
      <c r="CN195" s="393"/>
      <c r="CO195" s="393"/>
      <c r="CP195" s="393"/>
      <c r="CQ195" s="393"/>
      <c r="CR195" s="393"/>
      <c r="CS195" s="393"/>
      <c r="CT195" s="393"/>
      <c r="CU195" s="393"/>
      <c r="CV195" s="393"/>
      <c r="CW195" s="393"/>
      <c r="CX195" s="393"/>
      <c r="CY195" s="393"/>
      <c r="CZ195" s="393"/>
      <c r="DA195" s="393"/>
      <c r="DB195" s="393"/>
      <c r="DC195" s="393"/>
    </row>
    <row r="196" spans="1:107" s="350" customFormat="1" ht="48">
      <c r="A196" s="37"/>
      <c r="B196" s="464" t="s">
        <v>23</v>
      </c>
      <c r="C196" s="465" t="s">
        <v>1149</v>
      </c>
      <c r="D196" s="348" t="s">
        <v>1226</v>
      </c>
      <c r="E196" s="467">
        <f>'Ref-ComSources'!$AB$12*AVERAGE('Ref-ComSources'!$D$89:$D$90)</f>
        <v>1384.7695904387162</v>
      </c>
      <c r="F196" s="344" t="s">
        <v>1245</v>
      </c>
      <c r="G196" s="468">
        <f>'Ref-2013CSSsaturationsINT'!$F$42</f>
        <v>0.19954829052517753</v>
      </c>
      <c r="H196" s="465" t="s">
        <v>867</v>
      </c>
      <c r="I196" s="469">
        <f>'Ref-2013CSSsaturationsINT'!$J$42</f>
        <v>0.85020861427716821</v>
      </c>
      <c r="J196" s="352" t="s">
        <v>994</v>
      </c>
      <c r="K196" s="464" t="s">
        <v>1020</v>
      </c>
      <c r="L196" s="352" t="s">
        <v>995</v>
      </c>
      <c r="M196" s="464" t="s">
        <v>91</v>
      </c>
      <c r="N196" s="475">
        <f>E196*G196*'Ref-Savings Calculations'!$E$19*Applicability</f>
        <v>53.443735384197936</v>
      </c>
      <c r="O196" s="475" t="s">
        <v>870</v>
      </c>
      <c r="P196" s="475">
        <f>E196*G196*'Ref-Savings Calculations'!$E$20*Applicability</f>
        <v>43.698445369637525</v>
      </c>
      <c r="Q196" s="475" t="s">
        <v>870</v>
      </c>
      <c r="R196" s="37"/>
      <c r="S196" s="465" t="s">
        <v>44</v>
      </c>
      <c r="T196" s="465" t="s">
        <v>69</v>
      </c>
      <c r="U196" s="344" t="s">
        <v>870</v>
      </c>
      <c r="V196" s="344" t="s">
        <v>870</v>
      </c>
      <c r="W196" s="465" t="s">
        <v>70</v>
      </c>
      <c r="X196" s="37"/>
      <c r="Y196" s="37"/>
      <c r="Z196" s="465" t="s">
        <v>78</v>
      </c>
      <c r="AA196" s="465" t="s">
        <v>78</v>
      </c>
      <c r="AB196" s="37"/>
      <c r="AC196" s="474">
        <f>'Ref-ComHOU'!$G$101</f>
        <v>9.4273972602739722</v>
      </c>
      <c r="AD196" s="470" t="s">
        <v>72</v>
      </c>
      <c r="AE196" s="344" t="s">
        <v>73</v>
      </c>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c r="CA196" s="393"/>
      <c r="CB196" s="393"/>
      <c r="CC196" s="393"/>
      <c r="CD196" s="393"/>
      <c r="CE196" s="393"/>
      <c r="CF196" s="393"/>
      <c r="CG196" s="393"/>
      <c r="CH196" s="393"/>
      <c r="CI196" s="393"/>
      <c r="CJ196" s="393"/>
      <c r="CK196" s="393"/>
      <c r="CL196" s="393"/>
      <c r="CM196" s="393"/>
      <c r="CN196" s="393"/>
      <c r="CO196" s="393"/>
      <c r="CP196" s="393"/>
      <c r="CQ196" s="393"/>
      <c r="CR196" s="393"/>
      <c r="CS196" s="393"/>
      <c r="CT196" s="393"/>
      <c r="CU196" s="393"/>
      <c r="CV196" s="393"/>
      <c r="CW196" s="393"/>
      <c r="CX196" s="393"/>
      <c r="CY196" s="393"/>
      <c r="CZ196" s="393"/>
      <c r="DA196" s="393"/>
      <c r="DB196" s="393"/>
      <c r="DC196" s="393"/>
    </row>
    <row r="197" spans="1:107" s="350" customFormat="1" ht="48">
      <c r="A197" s="37"/>
      <c r="B197" s="464" t="s">
        <v>23</v>
      </c>
      <c r="C197" s="465" t="s">
        <v>1149</v>
      </c>
      <c r="D197" s="348" t="s">
        <v>1226</v>
      </c>
      <c r="E197" s="467">
        <f>'Ref-ComSources'!$AB$12*AVERAGE('Ref-ComSources'!$D$89:$D$90)</f>
        <v>1384.7695904387162</v>
      </c>
      <c r="F197" s="344" t="s">
        <v>1245</v>
      </c>
      <c r="G197" s="468">
        <f>'Ref-2013CSSsaturationsINT'!$F$42</f>
        <v>0.19954829052517753</v>
      </c>
      <c r="H197" s="465" t="s">
        <v>867</v>
      </c>
      <c r="I197" s="469">
        <f>'Ref-2013CSSsaturationsINT'!$J$42</f>
        <v>0.85020861427716821</v>
      </c>
      <c r="J197" s="352" t="s">
        <v>994</v>
      </c>
      <c r="K197" s="464" t="s">
        <v>1020</v>
      </c>
      <c r="L197" s="352" t="s">
        <v>995</v>
      </c>
      <c r="M197" s="464" t="s">
        <v>92</v>
      </c>
      <c r="N197" s="475">
        <f>E197*G197*'Ref-Savings Calculations'!$E$19*Applicability</f>
        <v>53.443735384197936</v>
      </c>
      <c r="O197" s="475">
        <f>E197*G197*'Ref-Savings Calculations'!$C$99*Applicability*ControlShare</f>
        <v>67.661795494706837</v>
      </c>
      <c r="P197" s="475">
        <f>E197*G197*'Ref-Savings Calculations'!$E$20*Applicability</f>
        <v>43.698445369637525</v>
      </c>
      <c r="Q197" s="475">
        <f>E197*G197*('Ref-Savings Calculations'!$C$99-'Ref-Savings Calculations'!$C$79)*Applicability*ControlShare</f>
        <v>15.035954554379289</v>
      </c>
      <c r="R197" s="37"/>
      <c r="S197" s="465" t="s">
        <v>44</v>
      </c>
      <c r="T197" s="465" t="s">
        <v>69</v>
      </c>
      <c r="U197" s="465" t="s">
        <v>69</v>
      </c>
      <c r="V197" s="465" t="s">
        <v>69</v>
      </c>
      <c r="W197" s="465" t="s">
        <v>70</v>
      </c>
      <c r="X197" s="37"/>
      <c r="Y197" s="37"/>
      <c r="Z197" s="465" t="s">
        <v>78</v>
      </c>
      <c r="AA197" s="465" t="s">
        <v>78</v>
      </c>
      <c r="AB197" s="37"/>
      <c r="AC197" s="474">
        <f>'Ref-ComHOU'!$G$101</f>
        <v>9.4273972602739722</v>
      </c>
      <c r="AD197" s="470" t="s">
        <v>72</v>
      </c>
      <c r="AE197" s="344" t="s">
        <v>73</v>
      </c>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c r="CA197" s="393"/>
      <c r="CB197" s="393"/>
      <c r="CC197" s="393"/>
      <c r="CD197" s="393"/>
      <c r="CE197" s="393"/>
      <c r="CF197" s="393"/>
      <c r="CG197" s="393"/>
      <c r="CH197" s="393"/>
      <c r="CI197" s="393"/>
      <c r="CJ197" s="393"/>
      <c r="CK197" s="393"/>
      <c r="CL197" s="393"/>
      <c r="CM197" s="393"/>
      <c r="CN197" s="393"/>
      <c r="CO197" s="393"/>
      <c r="CP197" s="393"/>
      <c r="CQ197" s="393"/>
      <c r="CR197" s="393"/>
      <c r="CS197" s="393"/>
      <c r="CT197" s="393"/>
      <c r="CU197" s="393"/>
      <c r="CV197" s="393"/>
      <c r="CW197" s="393"/>
      <c r="CX197" s="393"/>
      <c r="CY197" s="393"/>
      <c r="CZ197" s="393"/>
      <c r="DA197" s="393"/>
      <c r="DB197" s="393"/>
      <c r="DC197" s="393"/>
    </row>
    <row r="198" spans="1:107" s="350" customFormat="1" ht="48">
      <c r="A198" s="37"/>
      <c r="B198" s="464" t="s">
        <v>23</v>
      </c>
      <c r="C198" s="465" t="s">
        <v>1149</v>
      </c>
      <c r="D198" s="348" t="s">
        <v>1226</v>
      </c>
      <c r="E198" s="467">
        <f>'Ref-ComSources'!$AB$12*AVERAGE('Ref-ComSources'!$D$89:$D$90)</f>
        <v>1384.7695904387162</v>
      </c>
      <c r="F198" s="344" t="s">
        <v>1245</v>
      </c>
      <c r="G198" s="468">
        <f>'Ref-2013CSSsaturationsINT'!$F$42</f>
        <v>0.19954829052517753</v>
      </c>
      <c r="H198" s="465" t="s">
        <v>867</v>
      </c>
      <c r="I198" s="469">
        <f>'Ref-2013CSSsaturationsINT'!$J$42</f>
        <v>0.85020861427716821</v>
      </c>
      <c r="J198" s="352" t="s">
        <v>994</v>
      </c>
      <c r="K198" s="464" t="s">
        <v>1020</v>
      </c>
      <c r="L198" s="352" t="s">
        <v>995</v>
      </c>
      <c r="M198" s="464" t="s">
        <v>93</v>
      </c>
      <c r="N198" s="475">
        <f>E198*G198*'Ref-Savings Calculations'!$E$19*Applicability</f>
        <v>53.443735384197936</v>
      </c>
      <c r="O198" s="475">
        <f>E198*G198*'Ref-Savings Calculations'!$C$109*Applicability*ControlShare</f>
        <v>71.420784133301666</v>
      </c>
      <c r="P198" s="475">
        <f>E198*G198*'Ref-Savings Calculations'!$E$20*Applicability</f>
        <v>43.698445369637525</v>
      </c>
      <c r="Q198" s="475">
        <f>E198*G198*('Ref-Savings Calculations'!$C$109-'Ref-Savings Calculations'!$C$79)*Applicability*ControlShare</f>
        <v>18.794943192974117</v>
      </c>
      <c r="R198" s="37"/>
      <c r="S198" s="465" t="s">
        <v>44</v>
      </c>
      <c r="T198" s="465" t="s">
        <v>69</v>
      </c>
      <c r="U198" s="344" t="s">
        <v>44</v>
      </c>
      <c r="V198" s="344" t="s">
        <v>75</v>
      </c>
      <c r="W198" s="465" t="s">
        <v>70</v>
      </c>
      <c r="X198" s="37"/>
      <c r="Y198" s="37"/>
      <c r="Z198" s="465" t="s">
        <v>78</v>
      </c>
      <c r="AA198" s="465" t="s">
        <v>78</v>
      </c>
      <c r="AB198" s="37"/>
      <c r="AC198" s="474">
        <f>'Ref-ComHOU'!$G$101</f>
        <v>9.4273972602739722</v>
      </c>
      <c r="AD198" s="470" t="s">
        <v>72</v>
      </c>
      <c r="AE198" s="344" t="s">
        <v>73</v>
      </c>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c r="CA198" s="393"/>
      <c r="CB198" s="393"/>
      <c r="CC198" s="393"/>
      <c r="CD198" s="393"/>
      <c r="CE198" s="393"/>
      <c r="CF198" s="393"/>
      <c r="CG198" s="393"/>
      <c r="CH198" s="393"/>
      <c r="CI198" s="393"/>
      <c r="CJ198" s="393"/>
      <c r="CK198" s="393"/>
      <c r="CL198" s="393"/>
      <c r="CM198" s="393"/>
      <c r="CN198" s="393"/>
      <c r="CO198" s="393"/>
      <c r="CP198" s="393"/>
      <c r="CQ198" s="393"/>
      <c r="CR198" s="393"/>
      <c r="CS198" s="393"/>
      <c r="CT198" s="393"/>
      <c r="CU198" s="393"/>
      <c r="CV198" s="393"/>
      <c r="CW198" s="393"/>
      <c r="CX198" s="393"/>
      <c r="CY198" s="393"/>
      <c r="CZ198" s="393"/>
      <c r="DA198" s="393"/>
      <c r="DB198" s="393"/>
      <c r="DC198" s="393"/>
    </row>
    <row r="199" spans="1:107" s="350" customFormat="1" ht="48">
      <c r="A199" s="37"/>
      <c r="B199" s="464" t="s">
        <v>23</v>
      </c>
      <c r="C199" s="465" t="s">
        <v>1149</v>
      </c>
      <c r="D199" s="348" t="s">
        <v>1226</v>
      </c>
      <c r="E199" s="467">
        <f>'Ref-ComSources'!$AB$12*AVERAGE('Ref-ComSources'!$D$89:$D$90)</f>
        <v>1384.7695904387162</v>
      </c>
      <c r="F199" s="344" t="s">
        <v>1245</v>
      </c>
      <c r="G199" s="468">
        <f>'Ref-2013CSSsaturationsINT'!$F$42</f>
        <v>0.19954829052517753</v>
      </c>
      <c r="H199" s="465" t="s">
        <v>867</v>
      </c>
      <c r="I199" s="469">
        <f>'Ref-2013CSSsaturationsINT'!$J$42</f>
        <v>0.85020861427716821</v>
      </c>
      <c r="J199" s="352" t="s">
        <v>994</v>
      </c>
      <c r="K199" s="464" t="s">
        <v>1020</v>
      </c>
      <c r="L199" s="352" t="s">
        <v>1227</v>
      </c>
      <c r="M199" s="464" t="s">
        <v>88</v>
      </c>
      <c r="N199" s="475">
        <f>E199*G199*'Ref-Savings Calculations'!$E$27*Applicability</f>
        <v>119.17180542829573</v>
      </c>
      <c r="O199" s="475">
        <f>E199*G199*'Ref-Savings Calculations'!$C$56*Applicability*ControlShare</f>
        <v>58.264323898219779</v>
      </c>
      <c r="P199" s="475">
        <f>E199*G199*'Ref-Savings Calculations'!$E$28*Applicability</f>
        <v>111.4608458380016</v>
      </c>
      <c r="Q199" s="475" t="s">
        <v>1109</v>
      </c>
      <c r="R199" s="37"/>
      <c r="S199" s="465" t="s">
        <v>44</v>
      </c>
      <c r="T199" s="344" t="s">
        <v>63</v>
      </c>
      <c r="U199" s="465" t="s">
        <v>69</v>
      </c>
      <c r="V199" s="465" t="s">
        <v>69</v>
      </c>
      <c r="W199" s="465" t="s">
        <v>70</v>
      </c>
      <c r="X199" s="37"/>
      <c r="Y199" s="37"/>
      <c r="Z199" s="465" t="s">
        <v>78</v>
      </c>
      <c r="AA199" s="465" t="s">
        <v>78</v>
      </c>
      <c r="AB199" s="37"/>
      <c r="AC199" s="474">
        <f>'Ref-ComHOU'!$G$101</f>
        <v>9.4273972602739722</v>
      </c>
      <c r="AD199" s="470" t="s">
        <v>72</v>
      </c>
      <c r="AE199" s="344" t="s">
        <v>73</v>
      </c>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c r="CA199" s="393"/>
      <c r="CB199" s="393"/>
      <c r="CC199" s="393"/>
      <c r="CD199" s="393"/>
      <c r="CE199" s="393"/>
      <c r="CF199" s="393"/>
      <c r="CG199" s="393"/>
      <c r="CH199" s="393"/>
      <c r="CI199" s="393"/>
      <c r="CJ199" s="393"/>
      <c r="CK199" s="393"/>
      <c r="CL199" s="393"/>
      <c r="CM199" s="393"/>
      <c r="CN199" s="393"/>
      <c r="CO199" s="393"/>
      <c r="CP199" s="393"/>
      <c r="CQ199" s="393"/>
      <c r="CR199" s="393"/>
      <c r="CS199" s="393"/>
      <c r="CT199" s="393"/>
      <c r="CU199" s="393"/>
      <c r="CV199" s="393"/>
      <c r="CW199" s="393"/>
      <c r="CX199" s="393"/>
      <c r="CY199" s="393"/>
      <c r="CZ199" s="393"/>
      <c r="DA199" s="393"/>
      <c r="DB199" s="393"/>
      <c r="DC199" s="393"/>
    </row>
    <row r="200" spans="1:107" s="350" customFormat="1" ht="48">
      <c r="A200" s="37"/>
      <c r="B200" s="464" t="s">
        <v>23</v>
      </c>
      <c r="C200" s="465" t="s">
        <v>1149</v>
      </c>
      <c r="D200" s="348" t="s">
        <v>1226</v>
      </c>
      <c r="E200" s="467">
        <f>'Ref-ComSources'!$AB$12*AVERAGE('Ref-ComSources'!$D$89:$D$90)</f>
        <v>1384.7695904387162</v>
      </c>
      <c r="F200" s="344" t="s">
        <v>1245</v>
      </c>
      <c r="G200" s="468">
        <f>'Ref-2013CSSsaturationsINT'!$F$42</f>
        <v>0.19954829052517753</v>
      </c>
      <c r="H200" s="465" t="s">
        <v>867</v>
      </c>
      <c r="I200" s="469">
        <f>'Ref-2013CSSsaturationsINT'!$J$42</f>
        <v>0.85020861427716821</v>
      </c>
      <c r="J200" s="352" t="s">
        <v>994</v>
      </c>
      <c r="K200" s="464" t="s">
        <v>1020</v>
      </c>
      <c r="L200" s="352" t="s">
        <v>1227</v>
      </c>
      <c r="M200" s="464" t="s">
        <v>90</v>
      </c>
      <c r="N200" s="475">
        <f>E200*G200*'Ref-Savings Calculations'!$E$27*Applicability</f>
        <v>119.17180542829573</v>
      </c>
      <c r="O200" s="475">
        <f>E200*G200*'Ref-Savings Calculations'!$C$79*Applicability*ControlShare</f>
        <v>52.625840940327542</v>
      </c>
      <c r="P200" s="475">
        <f>E200*G200*'Ref-Savings Calculations'!$E$28*Applicability</f>
        <v>111.4608458380016</v>
      </c>
      <c r="Q200" s="475" t="s">
        <v>871</v>
      </c>
      <c r="R200" s="37"/>
      <c r="S200" s="465" t="s">
        <v>44</v>
      </c>
      <c r="T200" s="344" t="s">
        <v>63</v>
      </c>
      <c r="U200" s="465" t="s">
        <v>69</v>
      </c>
      <c r="V200" s="465" t="s">
        <v>69</v>
      </c>
      <c r="W200" s="465" t="s">
        <v>70</v>
      </c>
      <c r="X200" s="37"/>
      <c r="Y200" s="37"/>
      <c r="Z200" s="465" t="s">
        <v>78</v>
      </c>
      <c r="AA200" s="465" t="s">
        <v>78</v>
      </c>
      <c r="AB200" s="37"/>
      <c r="AC200" s="474">
        <f>'Ref-ComHOU'!$G$101</f>
        <v>9.4273972602739722</v>
      </c>
      <c r="AD200" s="470" t="s">
        <v>72</v>
      </c>
      <c r="AE200" s="344" t="s">
        <v>73</v>
      </c>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c r="CA200" s="393"/>
      <c r="CB200" s="393"/>
      <c r="CC200" s="393"/>
      <c r="CD200" s="393"/>
      <c r="CE200" s="393"/>
      <c r="CF200" s="393"/>
      <c r="CG200" s="393"/>
      <c r="CH200" s="393"/>
      <c r="CI200" s="393"/>
      <c r="CJ200" s="393"/>
      <c r="CK200" s="393"/>
      <c r="CL200" s="393"/>
      <c r="CM200" s="393"/>
      <c r="CN200" s="393"/>
      <c r="CO200" s="393"/>
      <c r="CP200" s="393"/>
      <c r="CQ200" s="393"/>
      <c r="CR200" s="393"/>
      <c r="CS200" s="393"/>
      <c r="CT200" s="393"/>
      <c r="CU200" s="393"/>
      <c r="CV200" s="393"/>
      <c r="CW200" s="393"/>
      <c r="CX200" s="393"/>
      <c r="CY200" s="393"/>
      <c r="CZ200" s="393"/>
      <c r="DA200" s="393"/>
      <c r="DB200" s="393"/>
      <c r="DC200" s="393"/>
    </row>
    <row r="201" spans="1:107" s="350" customFormat="1" ht="48">
      <c r="A201" s="37"/>
      <c r="B201" s="464" t="s">
        <v>23</v>
      </c>
      <c r="C201" s="465" t="s">
        <v>1149</v>
      </c>
      <c r="D201" s="348" t="s">
        <v>1226</v>
      </c>
      <c r="E201" s="467">
        <f>'Ref-ComSources'!$AB$12*AVERAGE('Ref-ComSources'!$D$89:$D$90)</f>
        <v>1384.7695904387162</v>
      </c>
      <c r="F201" s="344" t="s">
        <v>1245</v>
      </c>
      <c r="G201" s="468">
        <f>'Ref-2013CSSsaturationsINT'!$F$42</f>
        <v>0.19954829052517753</v>
      </c>
      <c r="H201" s="465" t="s">
        <v>867</v>
      </c>
      <c r="I201" s="469">
        <f>'Ref-2013CSSsaturationsINT'!$J$42</f>
        <v>0.85020861427716821</v>
      </c>
      <c r="J201" s="352" t="s">
        <v>994</v>
      </c>
      <c r="K201" s="464" t="s">
        <v>1020</v>
      </c>
      <c r="L201" s="352" t="s">
        <v>1227</v>
      </c>
      <c r="M201" s="464" t="s">
        <v>91</v>
      </c>
      <c r="N201" s="475">
        <f>E201*G201*'Ref-Savings Calculations'!$E$27*Applicability</f>
        <v>119.17180542829573</v>
      </c>
      <c r="O201" s="475" t="s">
        <v>870</v>
      </c>
      <c r="P201" s="475">
        <f>E201*G201*'Ref-Savings Calculations'!$E$28*Applicability</f>
        <v>111.4608458380016</v>
      </c>
      <c r="Q201" s="475" t="s">
        <v>870</v>
      </c>
      <c r="R201" s="37"/>
      <c r="S201" s="465" t="s">
        <v>44</v>
      </c>
      <c r="T201" s="344" t="s">
        <v>63</v>
      </c>
      <c r="U201" s="344" t="s">
        <v>870</v>
      </c>
      <c r="V201" s="344" t="s">
        <v>870</v>
      </c>
      <c r="W201" s="465" t="s">
        <v>70</v>
      </c>
      <c r="X201" s="37"/>
      <c r="Y201" s="37"/>
      <c r="Z201" s="465" t="s">
        <v>78</v>
      </c>
      <c r="AA201" s="465" t="s">
        <v>78</v>
      </c>
      <c r="AB201" s="37"/>
      <c r="AC201" s="474">
        <f>'Ref-ComHOU'!$G$101</f>
        <v>9.4273972602739722</v>
      </c>
      <c r="AD201" s="470" t="s">
        <v>72</v>
      </c>
      <c r="AE201" s="344" t="s">
        <v>73</v>
      </c>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c r="CA201" s="393"/>
      <c r="CB201" s="393"/>
      <c r="CC201" s="393"/>
      <c r="CD201" s="393"/>
      <c r="CE201" s="393"/>
      <c r="CF201" s="393"/>
      <c r="CG201" s="393"/>
      <c r="CH201" s="393"/>
      <c r="CI201" s="393"/>
      <c r="CJ201" s="393"/>
      <c r="CK201" s="393"/>
      <c r="CL201" s="393"/>
      <c r="CM201" s="393"/>
      <c r="CN201" s="393"/>
      <c r="CO201" s="393"/>
      <c r="CP201" s="393"/>
      <c r="CQ201" s="393"/>
      <c r="CR201" s="393"/>
      <c r="CS201" s="393"/>
      <c r="CT201" s="393"/>
      <c r="CU201" s="393"/>
      <c r="CV201" s="393"/>
      <c r="CW201" s="393"/>
      <c r="CX201" s="393"/>
      <c r="CY201" s="393"/>
      <c r="CZ201" s="393"/>
      <c r="DA201" s="393"/>
      <c r="DB201" s="393"/>
      <c r="DC201" s="393"/>
    </row>
    <row r="202" spans="1:107" s="350" customFormat="1" ht="48">
      <c r="A202" s="37"/>
      <c r="B202" s="464" t="s">
        <v>23</v>
      </c>
      <c r="C202" s="465" t="s">
        <v>1149</v>
      </c>
      <c r="D202" s="348" t="s">
        <v>1226</v>
      </c>
      <c r="E202" s="467">
        <f>'Ref-ComSources'!$AB$12*AVERAGE('Ref-ComSources'!$D$89:$D$90)</f>
        <v>1384.7695904387162</v>
      </c>
      <c r="F202" s="344" t="s">
        <v>1245</v>
      </c>
      <c r="G202" s="468">
        <f>'Ref-2013CSSsaturationsINT'!$F$42</f>
        <v>0.19954829052517753</v>
      </c>
      <c r="H202" s="465" t="s">
        <v>867</v>
      </c>
      <c r="I202" s="469">
        <f>'Ref-2013CSSsaturationsINT'!$J$42</f>
        <v>0.85020861427716821</v>
      </c>
      <c r="J202" s="352" t="s">
        <v>994</v>
      </c>
      <c r="K202" s="464" t="s">
        <v>1020</v>
      </c>
      <c r="L202" s="352" t="s">
        <v>1227</v>
      </c>
      <c r="M202" s="464" t="s">
        <v>92</v>
      </c>
      <c r="N202" s="475">
        <f>E202*G202*'Ref-Savings Calculations'!$E$27*Applicability</f>
        <v>119.17180542829573</v>
      </c>
      <c r="O202" s="475">
        <f>E202*G202*'Ref-Savings Calculations'!$C$99*Applicability*ControlShare</f>
        <v>67.661795494706837</v>
      </c>
      <c r="P202" s="475">
        <f>E202*G202*'Ref-Savings Calculations'!$E$28*Applicability</f>
        <v>111.4608458380016</v>
      </c>
      <c r="Q202" s="475">
        <f>E202*G202*('Ref-Savings Calculations'!$C$99-'Ref-Savings Calculations'!$C$79)*Applicability*ControlShare</f>
        <v>15.035954554379289</v>
      </c>
      <c r="R202" s="37"/>
      <c r="S202" s="465" t="s">
        <v>44</v>
      </c>
      <c r="T202" s="344" t="s">
        <v>63</v>
      </c>
      <c r="U202" s="465" t="s">
        <v>69</v>
      </c>
      <c r="V202" s="465" t="s">
        <v>69</v>
      </c>
      <c r="W202" s="465" t="s">
        <v>70</v>
      </c>
      <c r="X202" s="37"/>
      <c r="Y202" s="37"/>
      <c r="Z202" s="465" t="s">
        <v>78</v>
      </c>
      <c r="AA202" s="465" t="s">
        <v>78</v>
      </c>
      <c r="AB202" s="37"/>
      <c r="AC202" s="474">
        <f>'Ref-ComHOU'!$G$101</f>
        <v>9.4273972602739722</v>
      </c>
      <c r="AD202" s="470" t="s">
        <v>72</v>
      </c>
      <c r="AE202" s="344" t="s">
        <v>73</v>
      </c>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c r="CA202" s="393"/>
      <c r="CB202" s="393"/>
      <c r="CC202" s="393"/>
      <c r="CD202" s="393"/>
      <c r="CE202" s="393"/>
      <c r="CF202" s="393"/>
      <c r="CG202" s="393"/>
      <c r="CH202" s="393"/>
      <c r="CI202" s="393"/>
      <c r="CJ202" s="393"/>
      <c r="CK202" s="393"/>
      <c r="CL202" s="393"/>
      <c r="CM202" s="393"/>
      <c r="CN202" s="393"/>
      <c r="CO202" s="393"/>
      <c r="CP202" s="393"/>
      <c r="CQ202" s="393"/>
      <c r="CR202" s="393"/>
      <c r="CS202" s="393"/>
      <c r="CT202" s="393"/>
      <c r="CU202" s="393"/>
      <c r="CV202" s="393"/>
      <c r="CW202" s="393"/>
      <c r="CX202" s="393"/>
      <c r="CY202" s="393"/>
      <c r="CZ202" s="393"/>
      <c r="DA202" s="393"/>
      <c r="DB202" s="393"/>
      <c r="DC202" s="393"/>
    </row>
    <row r="203" spans="1:107" s="350" customFormat="1" ht="48">
      <c r="A203" s="37"/>
      <c r="B203" s="464" t="s">
        <v>23</v>
      </c>
      <c r="C203" s="465" t="s">
        <v>1149</v>
      </c>
      <c r="D203" s="348" t="s">
        <v>1226</v>
      </c>
      <c r="E203" s="467">
        <f>'Ref-ComSources'!$AB$12*AVERAGE('Ref-ComSources'!$D$89:$D$90)</f>
        <v>1384.7695904387162</v>
      </c>
      <c r="F203" s="344" t="s">
        <v>1245</v>
      </c>
      <c r="G203" s="468">
        <f>'Ref-2013CSSsaturationsINT'!$F$42</f>
        <v>0.19954829052517753</v>
      </c>
      <c r="H203" s="465" t="s">
        <v>867</v>
      </c>
      <c r="I203" s="469">
        <f>'Ref-2013CSSsaturationsINT'!$J$42</f>
        <v>0.85020861427716821</v>
      </c>
      <c r="J203" s="352" t="s">
        <v>994</v>
      </c>
      <c r="K203" s="464" t="s">
        <v>1020</v>
      </c>
      <c r="L203" s="352" t="s">
        <v>1227</v>
      </c>
      <c r="M203" s="464" t="s">
        <v>93</v>
      </c>
      <c r="N203" s="475">
        <f>E203*G203*'Ref-Savings Calculations'!$E$27*Applicability</f>
        <v>119.17180542829573</v>
      </c>
      <c r="O203" s="475">
        <f>E203*G203*'Ref-Savings Calculations'!$C$109*Applicability*ControlShare</f>
        <v>71.420784133301666</v>
      </c>
      <c r="P203" s="475">
        <f>E203*G203*'Ref-Savings Calculations'!$E$28*Applicability</f>
        <v>111.4608458380016</v>
      </c>
      <c r="Q203" s="475">
        <f>E203*G203*('Ref-Savings Calculations'!$C$109-'Ref-Savings Calculations'!$C$79)*Applicability*ControlShare</f>
        <v>18.794943192974117</v>
      </c>
      <c r="R203" s="37"/>
      <c r="S203" s="465" t="s">
        <v>44</v>
      </c>
      <c r="T203" s="344" t="s">
        <v>63</v>
      </c>
      <c r="U203" s="344" t="s">
        <v>44</v>
      </c>
      <c r="V203" s="344" t="s">
        <v>75</v>
      </c>
      <c r="W203" s="465" t="s">
        <v>70</v>
      </c>
      <c r="X203" s="37"/>
      <c r="Y203" s="37"/>
      <c r="Z203" s="465" t="s">
        <v>78</v>
      </c>
      <c r="AA203" s="465" t="s">
        <v>78</v>
      </c>
      <c r="AB203" s="37"/>
      <c r="AC203" s="474">
        <f>'Ref-ComHOU'!$G$101</f>
        <v>9.4273972602739722</v>
      </c>
      <c r="AD203" s="470" t="s">
        <v>72</v>
      </c>
      <c r="AE203" s="344" t="s">
        <v>73</v>
      </c>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c r="CA203" s="393"/>
      <c r="CB203" s="393"/>
      <c r="CC203" s="393"/>
      <c r="CD203" s="393"/>
      <c r="CE203" s="393"/>
      <c r="CF203" s="393"/>
      <c r="CG203" s="393"/>
      <c r="CH203" s="393"/>
      <c r="CI203" s="393"/>
      <c r="CJ203" s="393"/>
      <c r="CK203" s="393"/>
      <c r="CL203" s="393"/>
      <c r="CM203" s="393"/>
      <c r="CN203" s="393"/>
      <c r="CO203" s="393"/>
      <c r="CP203" s="393"/>
      <c r="CQ203" s="393"/>
      <c r="CR203" s="393"/>
      <c r="CS203" s="393"/>
      <c r="CT203" s="393"/>
      <c r="CU203" s="393"/>
      <c r="CV203" s="393"/>
      <c r="CW203" s="393"/>
      <c r="CX203" s="393"/>
      <c r="CY203" s="393"/>
      <c r="CZ203" s="393"/>
      <c r="DA203" s="393"/>
      <c r="DB203" s="393"/>
      <c r="DC203" s="393"/>
    </row>
    <row r="204" spans="1:107" s="350" customFormat="1" ht="48">
      <c r="A204" s="37"/>
      <c r="B204" s="464" t="s">
        <v>23</v>
      </c>
      <c r="C204" s="465" t="s">
        <v>1149</v>
      </c>
      <c r="D204" s="348" t="s">
        <v>1226</v>
      </c>
      <c r="E204" s="467">
        <f>'Ref-ComSources'!$AB$12*AVERAGE('Ref-ComSources'!$D$89:$D$90)</f>
        <v>1384.7695904387162</v>
      </c>
      <c r="F204" s="344" t="s">
        <v>1245</v>
      </c>
      <c r="G204" s="468">
        <f>'Ref-2013CSSsaturationsINT'!$F$42</f>
        <v>0.19954829052517753</v>
      </c>
      <c r="H204" s="465" t="s">
        <v>867</v>
      </c>
      <c r="I204" s="469">
        <f>'Ref-2013CSSsaturationsINT'!$J$42</f>
        <v>0.85020861427716821</v>
      </c>
      <c r="J204" s="352" t="s">
        <v>994</v>
      </c>
      <c r="K204" s="464" t="s">
        <v>1020</v>
      </c>
      <c r="L204" s="464" t="s">
        <v>101</v>
      </c>
      <c r="M204" s="464" t="s">
        <v>88</v>
      </c>
      <c r="N204" s="475">
        <f>E204*G204*'Ref-Savings Calculations'!$E$14*Applicability</f>
        <v>30.269593789578746</v>
      </c>
      <c r="O204" s="475">
        <f>E204*G204*'Ref-Savings Calculations'!$C$56*Applicability*ControlShare</f>
        <v>58.264323898219779</v>
      </c>
      <c r="P204" s="475">
        <f>E204*G204*'Ref-Savings Calculations'!$E$15*Applicability</f>
        <v>30.269593789578746</v>
      </c>
      <c r="Q204" s="475" t="s">
        <v>1109</v>
      </c>
      <c r="R204" s="37"/>
      <c r="S204" s="344" t="s">
        <v>68</v>
      </c>
      <c r="T204" s="344" t="s">
        <v>63</v>
      </c>
      <c r="U204" s="465" t="s">
        <v>69</v>
      </c>
      <c r="V204" s="465" t="s">
        <v>69</v>
      </c>
      <c r="W204" s="465" t="s">
        <v>70</v>
      </c>
      <c r="X204" s="37"/>
      <c r="Y204" s="37"/>
      <c r="Z204" s="465" t="s">
        <v>78</v>
      </c>
      <c r="AA204" s="465" t="s">
        <v>78</v>
      </c>
      <c r="AB204" s="37"/>
      <c r="AC204" s="474">
        <f>'Ref-ComHOU'!$G$101</f>
        <v>9.4273972602739722</v>
      </c>
      <c r="AD204" s="470" t="s">
        <v>72</v>
      </c>
      <c r="AE204" s="344" t="s">
        <v>73</v>
      </c>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c r="CA204" s="393"/>
      <c r="CB204" s="393"/>
      <c r="CC204" s="393"/>
      <c r="CD204" s="393"/>
      <c r="CE204" s="393"/>
      <c r="CF204" s="393"/>
      <c r="CG204" s="393"/>
      <c r="CH204" s="393"/>
      <c r="CI204" s="393"/>
      <c r="CJ204" s="393"/>
      <c r="CK204" s="393"/>
      <c r="CL204" s="393"/>
      <c r="CM204" s="393"/>
      <c r="CN204" s="393"/>
      <c r="CO204" s="393"/>
      <c r="CP204" s="393"/>
      <c r="CQ204" s="393"/>
      <c r="CR204" s="393"/>
      <c r="CS204" s="393"/>
      <c r="CT204" s="393"/>
      <c r="CU204" s="393"/>
      <c r="CV204" s="393"/>
      <c r="CW204" s="393"/>
      <c r="CX204" s="393"/>
      <c r="CY204" s="393"/>
      <c r="CZ204" s="393"/>
      <c r="DA204" s="393"/>
      <c r="DB204" s="393"/>
      <c r="DC204" s="393"/>
    </row>
    <row r="205" spans="1:107" s="350" customFormat="1" ht="48">
      <c r="A205" s="37"/>
      <c r="B205" s="352" t="s">
        <v>23</v>
      </c>
      <c r="C205" s="465" t="s">
        <v>1149</v>
      </c>
      <c r="D205" s="348" t="s">
        <v>1226</v>
      </c>
      <c r="E205" s="467">
        <f>'Ref-ComSources'!$AB$12*AVERAGE('Ref-ComSources'!$D$89:$D$90)</f>
        <v>1384.7695904387162</v>
      </c>
      <c r="F205" s="344" t="s">
        <v>1245</v>
      </c>
      <c r="G205" s="468">
        <f>'Ref-2013CSSsaturationsINT'!$F$42</f>
        <v>0.19954829052517753</v>
      </c>
      <c r="H205" s="465" t="s">
        <v>867</v>
      </c>
      <c r="I205" s="469">
        <f>'Ref-2013CSSsaturationsINT'!$J$42</f>
        <v>0.85020861427716821</v>
      </c>
      <c r="J205" s="352" t="s">
        <v>994</v>
      </c>
      <c r="K205" s="464" t="s">
        <v>1020</v>
      </c>
      <c r="L205" s="464" t="s">
        <v>101</v>
      </c>
      <c r="M205" s="464" t="s">
        <v>90</v>
      </c>
      <c r="N205" s="475">
        <f>E205*G205*'Ref-Savings Calculations'!$E$14*Applicability</f>
        <v>30.269593789578746</v>
      </c>
      <c r="O205" s="475">
        <f>E205*G205*'Ref-Savings Calculations'!$C$79*Applicability*ControlShare</f>
        <v>52.625840940327542</v>
      </c>
      <c r="P205" s="475">
        <f>E205*G205*'Ref-Savings Calculations'!$E$15*Applicability</f>
        <v>30.269593789578746</v>
      </c>
      <c r="Q205" s="475" t="s">
        <v>871</v>
      </c>
      <c r="R205" s="37"/>
      <c r="S205" s="344" t="s">
        <v>68</v>
      </c>
      <c r="T205" s="344" t="s">
        <v>63</v>
      </c>
      <c r="U205" s="465" t="s">
        <v>69</v>
      </c>
      <c r="V205" s="465" t="s">
        <v>69</v>
      </c>
      <c r="W205" s="465" t="s">
        <v>70</v>
      </c>
      <c r="X205" s="37"/>
      <c r="Y205" s="37"/>
      <c r="Z205" s="465" t="s">
        <v>78</v>
      </c>
      <c r="AA205" s="465" t="s">
        <v>78</v>
      </c>
      <c r="AB205" s="37"/>
      <c r="AC205" s="474">
        <f>'Ref-ComHOU'!$G$101</f>
        <v>9.4273972602739722</v>
      </c>
      <c r="AD205" s="470" t="s">
        <v>72</v>
      </c>
      <c r="AE205" s="344" t="s">
        <v>73</v>
      </c>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c r="CA205" s="393"/>
      <c r="CB205" s="393"/>
      <c r="CC205" s="393"/>
      <c r="CD205" s="393"/>
      <c r="CE205" s="393"/>
      <c r="CF205" s="393"/>
      <c r="CG205" s="393"/>
      <c r="CH205" s="393"/>
      <c r="CI205" s="393"/>
      <c r="CJ205" s="393"/>
      <c r="CK205" s="393"/>
      <c r="CL205" s="393"/>
      <c r="CM205" s="393"/>
      <c r="CN205" s="393"/>
      <c r="CO205" s="393"/>
      <c r="CP205" s="393"/>
      <c r="CQ205" s="393"/>
      <c r="CR205" s="393"/>
      <c r="CS205" s="393"/>
      <c r="CT205" s="393"/>
      <c r="CU205" s="393"/>
      <c r="CV205" s="393"/>
      <c r="CW205" s="393"/>
      <c r="CX205" s="393"/>
      <c r="CY205" s="393"/>
      <c r="CZ205" s="393"/>
      <c r="DA205" s="393"/>
      <c r="DB205" s="393"/>
      <c r="DC205" s="393"/>
    </row>
    <row r="206" spans="1:107" s="350" customFormat="1" ht="48">
      <c r="A206" s="37"/>
      <c r="B206" s="464" t="s">
        <v>23</v>
      </c>
      <c r="C206" s="465" t="s">
        <v>1149</v>
      </c>
      <c r="D206" s="348" t="s">
        <v>1226</v>
      </c>
      <c r="E206" s="467">
        <f>'Ref-ComSources'!$AB$12*AVERAGE('Ref-ComSources'!$D$89:$D$90)</f>
        <v>1384.7695904387162</v>
      </c>
      <c r="F206" s="344" t="s">
        <v>1245</v>
      </c>
      <c r="G206" s="468">
        <f>'Ref-2013CSSsaturationsINT'!$F$42</f>
        <v>0.19954829052517753</v>
      </c>
      <c r="H206" s="465" t="s">
        <v>867</v>
      </c>
      <c r="I206" s="469">
        <f>'Ref-2013CSSsaturationsINT'!$J$42</f>
        <v>0.85020861427716821</v>
      </c>
      <c r="J206" s="352" t="s">
        <v>994</v>
      </c>
      <c r="K206" s="464" t="s">
        <v>1020</v>
      </c>
      <c r="L206" s="464" t="s">
        <v>101</v>
      </c>
      <c r="M206" s="464" t="s">
        <v>91</v>
      </c>
      <c r="N206" s="475">
        <f>E206*G206*'Ref-Savings Calculations'!$E$14*Applicability</f>
        <v>30.269593789578746</v>
      </c>
      <c r="O206" s="475" t="s">
        <v>870</v>
      </c>
      <c r="P206" s="475">
        <f>E206*G206*'Ref-Savings Calculations'!$E$15*Applicability</f>
        <v>30.269593789578746</v>
      </c>
      <c r="Q206" s="475" t="s">
        <v>870</v>
      </c>
      <c r="R206" s="37"/>
      <c r="S206" s="344" t="s">
        <v>68</v>
      </c>
      <c r="T206" s="344" t="s">
        <v>63</v>
      </c>
      <c r="U206" s="344" t="s">
        <v>870</v>
      </c>
      <c r="V206" s="344" t="s">
        <v>870</v>
      </c>
      <c r="W206" s="465" t="s">
        <v>70</v>
      </c>
      <c r="X206" s="37"/>
      <c r="Y206" s="37"/>
      <c r="Z206" s="465" t="s">
        <v>78</v>
      </c>
      <c r="AA206" s="465" t="s">
        <v>78</v>
      </c>
      <c r="AB206" s="37"/>
      <c r="AC206" s="474">
        <f>'Ref-ComHOU'!$G$101</f>
        <v>9.4273972602739722</v>
      </c>
      <c r="AD206" s="470" t="s">
        <v>72</v>
      </c>
      <c r="AE206" s="344" t="s">
        <v>73</v>
      </c>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c r="CA206" s="393"/>
      <c r="CB206" s="393"/>
      <c r="CC206" s="393"/>
      <c r="CD206" s="393"/>
      <c r="CE206" s="393"/>
      <c r="CF206" s="393"/>
      <c r="CG206" s="393"/>
      <c r="CH206" s="393"/>
      <c r="CI206" s="393"/>
      <c r="CJ206" s="393"/>
      <c r="CK206" s="393"/>
      <c r="CL206" s="393"/>
      <c r="CM206" s="393"/>
      <c r="CN206" s="393"/>
      <c r="CO206" s="393"/>
      <c r="CP206" s="393"/>
      <c r="CQ206" s="393"/>
      <c r="CR206" s="393"/>
      <c r="CS206" s="393"/>
      <c r="CT206" s="393"/>
      <c r="CU206" s="393"/>
      <c r="CV206" s="393"/>
      <c r="CW206" s="393"/>
      <c r="CX206" s="393"/>
      <c r="CY206" s="393"/>
      <c r="CZ206" s="393"/>
      <c r="DA206" s="393"/>
      <c r="DB206" s="393"/>
      <c r="DC206" s="393"/>
    </row>
    <row r="207" spans="1:107" s="350" customFormat="1" ht="48">
      <c r="A207" s="37"/>
      <c r="B207" s="464" t="s">
        <v>23</v>
      </c>
      <c r="C207" s="465" t="s">
        <v>1149</v>
      </c>
      <c r="D207" s="348" t="s">
        <v>1226</v>
      </c>
      <c r="E207" s="467">
        <f>'Ref-ComSources'!$AB$12*AVERAGE('Ref-ComSources'!$D$89:$D$90)</f>
        <v>1384.7695904387162</v>
      </c>
      <c r="F207" s="344" t="s">
        <v>1245</v>
      </c>
      <c r="G207" s="468">
        <f>'Ref-2013CSSsaturationsINT'!$F$42</f>
        <v>0.19954829052517753</v>
      </c>
      <c r="H207" s="465" t="s">
        <v>867</v>
      </c>
      <c r="I207" s="469">
        <f>'Ref-2013CSSsaturationsINT'!$J$42</f>
        <v>0.85020861427716821</v>
      </c>
      <c r="J207" s="352" t="s">
        <v>994</v>
      </c>
      <c r="K207" s="464" t="s">
        <v>1020</v>
      </c>
      <c r="L207" s="464" t="s">
        <v>101</v>
      </c>
      <c r="M207" s="464" t="s">
        <v>92</v>
      </c>
      <c r="N207" s="475">
        <f>E207*G207*'Ref-Savings Calculations'!$E$14*Applicability</f>
        <v>30.269593789578746</v>
      </c>
      <c r="O207" s="475">
        <f>E207*G207*'Ref-Savings Calculations'!$C$99*Applicability*ControlShare</f>
        <v>67.661795494706837</v>
      </c>
      <c r="P207" s="475">
        <f>E207*G207*'Ref-Savings Calculations'!$E$15*Applicability</f>
        <v>30.269593789578746</v>
      </c>
      <c r="Q207" s="475">
        <f>E207*G207*('Ref-Savings Calculations'!$C$99-'Ref-Savings Calculations'!$C$79)*Applicability*ControlShare</f>
        <v>15.035954554379289</v>
      </c>
      <c r="R207" s="37"/>
      <c r="S207" s="344" t="s">
        <v>68</v>
      </c>
      <c r="T207" s="344" t="s">
        <v>63</v>
      </c>
      <c r="U207" s="465" t="s">
        <v>69</v>
      </c>
      <c r="V207" s="465" t="s">
        <v>69</v>
      </c>
      <c r="W207" s="465" t="s">
        <v>70</v>
      </c>
      <c r="X207" s="37"/>
      <c r="Y207" s="37"/>
      <c r="Z207" s="465" t="s">
        <v>78</v>
      </c>
      <c r="AA207" s="465" t="s">
        <v>78</v>
      </c>
      <c r="AB207" s="37"/>
      <c r="AC207" s="474">
        <f>'Ref-ComHOU'!$G$101</f>
        <v>9.4273972602739722</v>
      </c>
      <c r="AD207" s="470" t="s">
        <v>72</v>
      </c>
      <c r="AE207" s="344" t="s">
        <v>73</v>
      </c>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c r="CA207" s="393"/>
      <c r="CB207" s="393"/>
      <c r="CC207" s="393"/>
      <c r="CD207" s="393"/>
      <c r="CE207" s="393"/>
      <c r="CF207" s="393"/>
      <c r="CG207" s="393"/>
      <c r="CH207" s="393"/>
      <c r="CI207" s="393"/>
      <c r="CJ207" s="393"/>
      <c r="CK207" s="393"/>
      <c r="CL207" s="393"/>
      <c r="CM207" s="393"/>
      <c r="CN207" s="393"/>
      <c r="CO207" s="393"/>
      <c r="CP207" s="393"/>
      <c r="CQ207" s="393"/>
      <c r="CR207" s="393"/>
      <c r="CS207" s="393"/>
      <c r="CT207" s="393"/>
      <c r="CU207" s="393"/>
      <c r="CV207" s="393"/>
      <c r="CW207" s="393"/>
      <c r="CX207" s="393"/>
      <c r="CY207" s="393"/>
      <c r="CZ207" s="393"/>
      <c r="DA207" s="393"/>
      <c r="DB207" s="393"/>
      <c r="DC207" s="393"/>
    </row>
    <row r="208" spans="1:107" s="350" customFormat="1" ht="48">
      <c r="A208" s="37"/>
      <c r="B208" s="464" t="s">
        <v>23</v>
      </c>
      <c r="C208" s="465" t="s">
        <v>1149</v>
      </c>
      <c r="D208" s="348" t="s">
        <v>1226</v>
      </c>
      <c r="E208" s="467">
        <f>'Ref-ComSources'!$AB$12*AVERAGE('Ref-ComSources'!$D$89:$D$90)</f>
        <v>1384.7695904387162</v>
      </c>
      <c r="F208" s="344" t="s">
        <v>1245</v>
      </c>
      <c r="G208" s="468">
        <f>'Ref-2013CSSsaturationsINT'!$F$42</f>
        <v>0.19954829052517753</v>
      </c>
      <c r="H208" s="465" t="s">
        <v>867</v>
      </c>
      <c r="I208" s="469">
        <f>'Ref-2013CSSsaturationsINT'!$J$42</f>
        <v>0.85020861427716821</v>
      </c>
      <c r="J208" s="352" t="s">
        <v>994</v>
      </c>
      <c r="K208" s="464" t="s">
        <v>1020</v>
      </c>
      <c r="L208" s="464" t="s">
        <v>101</v>
      </c>
      <c r="M208" s="464" t="s">
        <v>93</v>
      </c>
      <c r="N208" s="475">
        <f>E208*G208*'Ref-Savings Calculations'!$E$14*Applicability</f>
        <v>30.269593789578746</v>
      </c>
      <c r="O208" s="475">
        <f>E208*G208*'Ref-Savings Calculations'!$C$109*Applicability*ControlShare</f>
        <v>71.420784133301666</v>
      </c>
      <c r="P208" s="475">
        <f>E208*G208*'Ref-Savings Calculations'!$E$15*Applicability</f>
        <v>30.269593789578746</v>
      </c>
      <c r="Q208" s="475">
        <f>E208*G208*('Ref-Savings Calculations'!$C$109-'Ref-Savings Calculations'!$C$79)*Applicability*ControlShare</f>
        <v>18.794943192974117</v>
      </c>
      <c r="R208" s="37"/>
      <c r="S208" s="344" t="s">
        <v>68</v>
      </c>
      <c r="T208" s="344" t="s">
        <v>63</v>
      </c>
      <c r="U208" s="344" t="s">
        <v>44</v>
      </c>
      <c r="V208" s="344" t="s">
        <v>75</v>
      </c>
      <c r="W208" s="465" t="s">
        <v>70</v>
      </c>
      <c r="X208" s="37"/>
      <c r="Y208" s="37"/>
      <c r="Z208" s="465" t="s">
        <v>78</v>
      </c>
      <c r="AA208" s="465" t="s">
        <v>78</v>
      </c>
      <c r="AB208" s="37"/>
      <c r="AC208" s="474">
        <f>'Ref-ComHOU'!$G$101</f>
        <v>9.4273972602739722</v>
      </c>
      <c r="AD208" s="470" t="s">
        <v>72</v>
      </c>
      <c r="AE208" s="344" t="s">
        <v>73</v>
      </c>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c r="CA208" s="393"/>
      <c r="CB208" s="393"/>
      <c r="CC208" s="393"/>
      <c r="CD208" s="393"/>
      <c r="CE208" s="393"/>
      <c r="CF208" s="393"/>
      <c r="CG208" s="393"/>
      <c r="CH208" s="393"/>
      <c r="CI208" s="393"/>
      <c r="CJ208" s="393"/>
      <c r="CK208" s="393"/>
      <c r="CL208" s="393"/>
      <c r="CM208" s="393"/>
      <c r="CN208" s="393"/>
      <c r="CO208" s="393"/>
      <c r="CP208" s="393"/>
      <c r="CQ208" s="393"/>
      <c r="CR208" s="393"/>
      <c r="CS208" s="393"/>
      <c r="CT208" s="393"/>
      <c r="CU208" s="393"/>
      <c r="CV208" s="393"/>
      <c r="CW208" s="393"/>
      <c r="CX208" s="393"/>
      <c r="CY208" s="393"/>
      <c r="CZ208" s="393"/>
      <c r="DA208" s="393"/>
      <c r="DB208" s="393"/>
      <c r="DC208" s="393"/>
    </row>
    <row r="209" spans="1:107" s="350" customFormat="1" ht="48">
      <c r="A209" s="37"/>
      <c r="B209" s="464" t="s">
        <v>23</v>
      </c>
      <c r="C209" s="465" t="s">
        <v>1149</v>
      </c>
      <c r="D209" s="348" t="s">
        <v>1226</v>
      </c>
      <c r="E209" s="467">
        <f>'Ref-ComSources'!$AB$12*AVERAGE('Ref-ComSources'!$D$89:$D$90)</f>
        <v>1384.7695904387162</v>
      </c>
      <c r="F209" s="344" t="s">
        <v>1245</v>
      </c>
      <c r="G209" s="468">
        <f>'Ref-2013CSSsaturationsINT'!$F$42</f>
        <v>0.19954829052517753</v>
      </c>
      <c r="H209" s="465" t="s">
        <v>867</v>
      </c>
      <c r="I209" s="469">
        <f>'Ref-2013CSSsaturationsINT'!$J$42</f>
        <v>0.85020861427716821</v>
      </c>
      <c r="J209" s="352" t="s">
        <v>994</v>
      </c>
      <c r="K209" s="464" t="s">
        <v>1020</v>
      </c>
      <c r="L209" s="352" t="s">
        <v>1228</v>
      </c>
      <c r="M209" s="464" t="s">
        <v>88</v>
      </c>
      <c r="N209" s="475">
        <f>E209*G209*'Ref-Savings Calculations'!$E$17*Applicability</f>
        <v>42.290260173582709</v>
      </c>
      <c r="O209" s="475">
        <f>E209*G209*'Ref-Savings Calculations'!$C$56*Applicability*ControlShare</f>
        <v>58.264323898219779</v>
      </c>
      <c r="P209" s="475">
        <f>E209*G209*'Ref-Savings Calculations'!$E$18*Applicability</f>
        <v>32.015980664326712</v>
      </c>
      <c r="Q209" s="475" t="s">
        <v>1109</v>
      </c>
      <c r="R209" s="37"/>
      <c r="S209" s="465" t="s">
        <v>69</v>
      </c>
      <c r="T209" s="465" t="s">
        <v>69</v>
      </c>
      <c r="U209" s="465" t="s">
        <v>69</v>
      </c>
      <c r="V209" s="465" t="s">
        <v>69</v>
      </c>
      <c r="W209" s="465" t="s">
        <v>70</v>
      </c>
      <c r="X209" s="37"/>
      <c r="Y209" s="37"/>
      <c r="Z209" s="465" t="s">
        <v>78</v>
      </c>
      <c r="AA209" s="465" t="s">
        <v>78</v>
      </c>
      <c r="AB209" s="37"/>
      <c r="AC209" s="474">
        <f>'Ref-ComHOU'!$G$101</f>
        <v>9.4273972602739722</v>
      </c>
      <c r="AD209" s="470" t="s">
        <v>72</v>
      </c>
      <c r="AE209" s="344" t="s">
        <v>73</v>
      </c>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c r="CA209" s="393"/>
      <c r="CB209" s="393"/>
      <c r="CC209" s="393"/>
      <c r="CD209" s="393"/>
      <c r="CE209" s="393"/>
      <c r="CF209" s="393"/>
      <c r="CG209" s="393"/>
      <c r="CH209" s="393"/>
      <c r="CI209" s="393"/>
      <c r="CJ209" s="393"/>
      <c r="CK209" s="393"/>
      <c r="CL209" s="393"/>
      <c r="CM209" s="393"/>
      <c r="CN209" s="393"/>
      <c r="CO209" s="393"/>
      <c r="CP209" s="393"/>
      <c r="CQ209" s="393"/>
      <c r="CR209" s="393"/>
      <c r="CS209" s="393"/>
      <c r="CT209" s="393"/>
      <c r="CU209" s="393"/>
      <c r="CV209" s="393"/>
      <c r="CW209" s="393"/>
      <c r="CX209" s="393"/>
      <c r="CY209" s="393"/>
      <c r="CZ209" s="393"/>
      <c r="DA209" s="393"/>
      <c r="DB209" s="393"/>
      <c r="DC209" s="393"/>
    </row>
    <row r="210" spans="1:107" s="350" customFormat="1" ht="48">
      <c r="A210" s="37"/>
      <c r="B210" s="464" t="s">
        <v>23</v>
      </c>
      <c r="C210" s="465" t="s">
        <v>1149</v>
      </c>
      <c r="D210" s="348" t="s">
        <v>1226</v>
      </c>
      <c r="E210" s="467">
        <f>'Ref-ComSources'!$AB$12*AVERAGE('Ref-ComSources'!$D$89:$D$90)</f>
        <v>1384.7695904387162</v>
      </c>
      <c r="F210" s="344" t="s">
        <v>1245</v>
      </c>
      <c r="G210" s="468">
        <f>'Ref-2013CSSsaturationsINT'!$F$42</f>
        <v>0.19954829052517753</v>
      </c>
      <c r="H210" s="465" t="s">
        <v>867</v>
      </c>
      <c r="I210" s="469">
        <f>'Ref-2013CSSsaturationsINT'!$J$42</f>
        <v>0.85020861427716821</v>
      </c>
      <c r="J210" s="352" t="s">
        <v>994</v>
      </c>
      <c r="K210" s="464" t="s">
        <v>1020</v>
      </c>
      <c r="L210" s="352" t="s">
        <v>1228</v>
      </c>
      <c r="M210" s="464" t="s">
        <v>90</v>
      </c>
      <c r="N210" s="475">
        <f>E210*G210*'Ref-Savings Calculations'!$E$17*Applicability</f>
        <v>42.290260173582709</v>
      </c>
      <c r="O210" s="475">
        <f>E210*G210*'Ref-Savings Calculations'!$C$79*Applicability*ControlShare</f>
        <v>52.625840940327542</v>
      </c>
      <c r="P210" s="475">
        <f>E210*G210*'Ref-Savings Calculations'!$E$18*Applicability</f>
        <v>32.015980664326712</v>
      </c>
      <c r="Q210" s="475" t="s">
        <v>871</v>
      </c>
      <c r="R210" s="37"/>
      <c r="S210" s="465" t="s">
        <v>69</v>
      </c>
      <c r="T210" s="465" t="s">
        <v>69</v>
      </c>
      <c r="U210" s="465" t="s">
        <v>69</v>
      </c>
      <c r="V210" s="465" t="s">
        <v>69</v>
      </c>
      <c r="W210" s="465" t="s">
        <v>70</v>
      </c>
      <c r="X210" s="37"/>
      <c r="Y210" s="37"/>
      <c r="Z210" s="465" t="s">
        <v>78</v>
      </c>
      <c r="AA210" s="465" t="s">
        <v>78</v>
      </c>
      <c r="AB210" s="37"/>
      <c r="AC210" s="474">
        <f>'Ref-ComHOU'!$G$101</f>
        <v>9.4273972602739722</v>
      </c>
      <c r="AD210" s="470" t="s">
        <v>72</v>
      </c>
      <c r="AE210" s="344" t="s">
        <v>73</v>
      </c>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c r="CA210" s="393"/>
      <c r="CB210" s="393"/>
      <c r="CC210" s="393"/>
      <c r="CD210" s="393"/>
      <c r="CE210" s="393"/>
      <c r="CF210" s="393"/>
      <c r="CG210" s="393"/>
      <c r="CH210" s="393"/>
      <c r="CI210" s="393"/>
      <c r="CJ210" s="393"/>
      <c r="CK210" s="393"/>
      <c r="CL210" s="393"/>
      <c r="CM210" s="393"/>
      <c r="CN210" s="393"/>
      <c r="CO210" s="393"/>
      <c r="CP210" s="393"/>
      <c r="CQ210" s="393"/>
      <c r="CR210" s="393"/>
      <c r="CS210" s="393"/>
      <c r="CT210" s="393"/>
      <c r="CU210" s="393"/>
      <c r="CV210" s="393"/>
      <c r="CW210" s="393"/>
      <c r="CX210" s="393"/>
      <c r="CY210" s="393"/>
      <c r="CZ210" s="393"/>
      <c r="DA210" s="393"/>
      <c r="DB210" s="393"/>
      <c r="DC210" s="393"/>
    </row>
    <row r="211" spans="1:107" s="350" customFormat="1" ht="48">
      <c r="A211" s="37"/>
      <c r="B211" s="464" t="s">
        <v>23</v>
      </c>
      <c r="C211" s="465" t="s">
        <v>1149</v>
      </c>
      <c r="D211" s="348" t="s">
        <v>1226</v>
      </c>
      <c r="E211" s="467">
        <f>'Ref-ComSources'!$AB$12*AVERAGE('Ref-ComSources'!$D$89:$D$90)</f>
        <v>1384.7695904387162</v>
      </c>
      <c r="F211" s="344" t="s">
        <v>1245</v>
      </c>
      <c r="G211" s="468">
        <f>'Ref-2013CSSsaturationsINT'!$F$42</f>
        <v>0.19954829052517753</v>
      </c>
      <c r="H211" s="465" t="s">
        <v>867</v>
      </c>
      <c r="I211" s="469">
        <f>'Ref-2013CSSsaturationsINT'!$J$42</f>
        <v>0.85020861427716821</v>
      </c>
      <c r="J211" s="352" t="s">
        <v>994</v>
      </c>
      <c r="K211" s="464" t="s">
        <v>1020</v>
      </c>
      <c r="L211" s="352" t="s">
        <v>1228</v>
      </c>
      <c r="M211" s="464" t="s">
        <v>91</v>
      </c>
      <c r="N211" s="475">
        <f>E211*G211*'Ref-Savings Calculations'!$E$17*Applicability</f>
        <v>42.290260173582709</v>
      </c>
      <c r="O211" s="475" t="s">
        <v>870</v>
      </c>
      <c r="P211" s="475">
        <f>E211*G211*'Ref-Savings Calculations'!$E$18*Applicability</f>
        <v>32.015980664326712</v>
      </c>
      <c r="Q211" s="475" t="s">
        <v>870</v>
      </c>
      <c r="R211" s="37"/>
      <c r="S211" s="465" t="s">
        <v>69</v>
      </c>
      <c r="T211" s="465" t="s">
        <v>69</v>
      </c>
      <c r="U211" s="344" t="s">
        <v>870</v>
      </c>
      <c r="V211" s="344" t="s">
        <v>870</v>
      </c>
      <c r="W211" s="465" t="s">
        <v>70</v>
      </c>
      <c r="X211" s="37"/>
      <c r="Y211" s="37"/>
      <c r="Z211" s="465" t="s">
        <v>78</v>
      </c>
      <c r="AA211" s="465" t="s">
        <v>78</v>
      </c>
      <c r="AB211" s="37"/>
      <c r="AC211" s="474">
        <f>'Ref-ComHOU'!$G$101</f>
        <v>9.4273972602739722</v>
      </c>
      <c r="AD211" s="470" t="s">
        <v>72</v>
      </c>
      <c r="AE211" s="344" t="s">
        <v>73</v>
      </c>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c r="CA211" s="393"/>
      <c r="CB211" s="393"/>
      <c r="CC211" s="393"/>
      <c r="CD211" s="393"/>
      <c r="CE211" s="393"/>
      <c r="CF211" s="393"/>
      <c r="CG211" s="393"/>
      <c r="CH211" s="393"/>
      <c r="CI211" s="393"/>
      <c r="CJ211" s="393"/>
      <c r="CK211" s="393"/>
      <c r="CL211" s="393"/>
      <c r="CM211" s="393"/>
      <c r="CN211" s="393"/>
      <c r="CO211" s="393"/>
      <c r="CP211" s="393"/>
      <c r="CQ211" s="393"/>
      <c r="CR211" s="393"/>
      <c r="CS211" s="393"/>
      <c r="CT211" s="393"/>
      <c r="CU211" s="393"/>
      <c r="CV211" s="393"/>
      <c r="CW211" s="393"/>
      <c r="CX211" s="393"/>
      <c r="CY211" s="393"/>
      <c r="CZ211" s="393"/>
      <c r="DA211" s="393"/>
      <c r="DB211" s="393"/>
      <c r="DC211" s="393"/>
    </row>
    <row r="212" spans="1:107" s="350" customFormat="1" ht="48">
      <c r="A212" s="37"/>
      <c r="B212" s="464" t="s">
        <v>23</v>
      </c>
      <c r="C212" s="465" t="s">
        <v>1149</v>
      </c>
      <c r="D212" s="348" t="s">
        <v>1226</v>
      </c>
      <c r="E212" s="467">
        <f>'Ref-ComSources'!$AB$12*AVERAGE('Ref-ComSources'!$D$89:$D$90)</f>
        <v>1384.7695904387162</v>
      </c>
      <c r="F212" s="344" t="s">
        <v>1245</v>
      </c>
      <c r="G212" s="468">
        <f>'Ref-2013CSSsaturationsINT'!$F$42</f>
        <v>0.19954829052517753</v>
      </c>
      <c r="H212" s="465" t="s">
        <v>867</v>
      </c>
      <c r="I212" s="469">
        <f>'Ref-2013CSSsaturationsINT'!$J$42</f>
        <v>0.85020861427716821</v>
      </c>
      <c r="J212" s="352" t="s">
        <v>994</v>
      </c>
      <c r="K212" s="464" t="s">
        <v>1020</v>
      </c>
      <c r="L212" s="352" t="s">
        <v>1228</v>
      </c>
      <c r="M212" s="464" t="s">
        <v>92</v>
      </c>
      <c r="N212" s="475">
        <f>E212*G212*'Ref-Savings Calculations'!$E$17*Applicability</f>
        <v>42.290260173582709</v>
      </c>
      <c r="O212" s="475">
        <f>E212*G212*'Ref-Savings Calculations'!$C$99*Applicability*ControlShare</f>
        <v>67.661795494706837</v>
      </c>
      <c r="P212" s="475">
        <f>E212*G212*'Ref-Savings Calculations'!$E$18*Applicability</f>
        <v>32.015980664326712</v>
      </c>
      <c r="Q212" s="475">
        <f>E212*G212*('Ref-Savings Calculations'!$C$99-'Ref-Savings Calculations'!$C$79)*Applicability*ControlShare</f>
        <v>15.035954554379289</v>
      </c>
      <c r="R212" s="37"/>
      <c r="S212" s="465" t="s">
        <v>69</v>
      </c>
      <c r="T212" s="465" t="s">
        <v>69</v>
      </c>
      <c r="U212" s="465" t="s">
        <v>69</v>
      </c>
      <c r="V212" s="465" t="s">
        <v>69</v>
      </c>
      <c r="W212" s="465" t="s">
        <v>70</v>
      </c>
      <c r="X212" s="37"/>
      <c r="Y212" s="37"/>
      <c r="Z212" s="465" t="s">
        <v>78</v>
      </c>
      <c r="AA212" s="465" t="s">
        <v>78</v>
      </c>
      <c r="AB212" s="37"/>
      <c r="AC212" s="474">
        <f>'Ref-ComHOU'!$G$101</f>
        <v>9.4273972602739722</v>
      </c>
      <c r="AD212" s="470" t="s">
        <v>72</v>
      </c>
      <c r="AE212" s="344" t="s">
        <v>73</v>
      </c>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c r="CA212" s="393"/>
      <c r="CB212" s="393"/>
      <c r="CC212" s="393"/>
      <c r="CD212" s="393"/>
      <c r="CE212" s="393"/>
      <c r="CF212" s="393"/>
      <c r="CG212" s="393"/>
      <c r="CH212" s="393"/>
      <c r="CI212" s="393"/>
      <c r="CJ212" s="393"/>
      <c r="CK212" s="393"/>
      <c r="CL212" s="393"/>
      <c r="CM212" s="393"/>
      <c r="CN212" s="393"/>
      <c r="CO212" s="393"/>
      <c r="CP212" s="393"/>
      <c r="CQ212" s="393"/>
      <c r="CR212" s="393"/>
      <c r="CS212" s="393"/>
      <c r="CT212" s="393"/>
      <c r="CU212" s="393"/>
      <c r="CV212" s="393"/>
      <c r="CW212" s="393"/>
      <c r="CX212" s="393"/>
      <c r="CY212" s="393"/>
      <c r="CZ212" s="393"/>
      <c r="DA212" s="393"/>
      <c r="DB212" s="393"/>
      <c r="DC212" s="393"/>
    </row>
    <row r="213" spans="1:107" s="350" customFormat="1" ht="48">
      <c r="A213" s="37"/>
      <c r="B213" s="464" t="s">
        <v>23</v>
      </c>
      <c r="C213" s="465" t="s">
        <v>1149</v>
      </c>
      <c r="D213" s="348" t="s">
        <v>1226</v>
      </c>
      <c r="E213" s="467">
        <f>'Ref-ComSources'!$AB$12*AVERAGE('Ref-ComSources'!$D$89:$D$90)</f>
        <v>1384.7695904387162</v>
      </c>
      <c r="F213" s="344" t="s">
        <v>1245</v>
      </c>
      <c r="G213" s="468">
        <f>'Ref-2013CSSsaturationsINT'!$F$42</f>
        <v>0.19954829052517753</v>
      </c>
      <c r="H213" s="465" t="s">
        <v>867</v>
      </c>
      <c r="I213" s="469">
        <f>'Ref-2013CSSsaturationsINT'!$J$42</f>
        <v>0.85020861427716821</v>
      </c>
      <c r="J213" s="352" t="s">
        <v>994</v>
      </c>
      <c r="K213" s="464" t="s">
        <v>1020</v>
      </c>
      <c r="L213" s="352" t="s">
        <v>1228</v>
      </c>
      <c r="M213" s="464" t="s">
        <v>93</v>
      </c>
      <c r="N213" s="475">
        <f>E213*G213*'Ref-Savings Calculations'!$E$17*Applicability</f>
        <v>42.290260173582709</v>
      </c>
      <c r="O213" s="475">
        <f>E213*G213*'Ref-Savings Calculations'!$C$109*Applicability*ControlShare</f>
        <v>71.420784133301666</v>
      </c>
      <c r="P213" s="475">
        <f>E213*G213*'Ref-Savings Calculations'!$E$18*Applicability</f>
        <v>32.015980664326712</v>
      </c>
      <c r="Q213" s="475">
        <f>E213*G213*('Ref-Savings Calculations'!$C$109-'Ref-Savings Calculations'!$C$79)*Applicability*ControlShare</f>
        <v>18.794943192974117</v>
      </c>
      <c r="R213" s="37"/>
      <c r="S213" s="465" t="s">
        <v>69</v>
      </c>
      <c r="T213" s="465" t="s">
        <v>69</v>
      </c>
      <c r="U213" s="344" t="s">
        <v>44</v>
      </c>
      <c r="V213" s="344" t="s">
        <v>75</v>
      </c>
      <c r="W213" s="465" t="s">
        <v>70</v>
      </c>
      <c r="X213" s="37"/>
      <c r="Y213" s="37"/>
      <c r="Z213" s="465" t="s">
        <v>78</v>
      </c>
      <c r="AA213" s="465" t="s">
        <v>78</v>
      </c>
      <c r="AB213" s="37"/>
      <c r="AC213" s="474">
        <f>'Ref-ComHOU'!$G$101</f>
        <v>9.4273972602739722</v>
      </c>
      <c r="AD213" s="470" t="s">
        <v>72</v>
      </c>
      <c r="AE213" s="344" t="s">
        <v>73</v>
      </c>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c r="CA213" s="393"/>
      <c r="CB213" s="393"/>
      <c r="CC213" s="393"/>
      <c r="CD213" s="393"/>
      <c r="CE213" s="393"/>
      <c r="CF213" s="393"/>
      <c r="CG213" s="393"/>
      <c r="CH213" s="393"/>
      <c r="CI213" s="393"/>
      <c r="CJ213" s="393"/>
      <c r="CK213" s="393"/>
      <c r="CL213" s="393"/>
      <c r="CM213" s="393"/>
      <c r="CN213" s="393"/>
      <c r="CO213" s="393"/>
      <c r="CP213" s="393"/>
      <c r="CQ213" s="393"/>
      <c r="CR213" s="393"/>
      <c r="CS213" s="393"/>
      <c r="CT213" s="393"/>
      <c r="CU213" s="393"/>
      <c r="CV213" s="393"/>
      <c r="CW213" s="393"/>
      <c r="CX213" s="393"/>
      <c r="CY213" s="393"/>
      <c r="CZ213" s="393"/>
      <c r="DA213" s="393"/>
      <c r="DB213" s="393"/>
      <c r="DC213" s="393"/>
    </row>
    <row r="214" spans="1:107" s="303" customFormat="1" ht="33.75">
      <c r="A214" s="37"/>
      <c r="B214" s="325" t="s">
        <v>23</v>
      </c>
      <c r="C214" s="320" t="s">
        <v>100</v>
      </c>
      <c r="D214" s="320" t="s">
        <v>1226</v>
      </c>
      <c r="E214" s="324">
        <f>'Ref-AgricultureSources'!$L$7</f>
        <v>536.81628000000001</v>
      </c>
      <c r="F214" s="320" t="s">
        <v>1245</v>
      </c>
      <c r="G214" s="319" t="s">
        <v>935</v>
      </c>
      <c r="H214" s="320" t="s">
        <v>66</v>
      </c>
      <c r="I214" s="319" t="s">
        <v>935</v>
      </c>
      <c r="J214" s="320" t="s">
        <v>994</v>
      </c>
      <c r="K214" s="320" t="s">
        <v>1020</v>
      </c>
      <c r="L214" s="320" t="s">
        <v>995</v>
      </c>
      <c r="M214" s="320" t="s">
        <v>88</v>
      </c>
      <c r="N214" s="321" t="str">
        <f>IFERROR(E214*G214*'Ref-Savings Calculations'!$E$19*Applicability,"N/A")</f>
        <v>N/A</v>
      </c>
      <c r="O214" s="321" t="str">
        <f>IFERROR(E214*G214*'Ref-Savings Calculations'!$C$63*Applicability*ControlShare,"N/A")</f>
        <v>N/A</v>
      </c>
      <c r="P214" s="321" t="str">
        <f>IFERROR(E214*G214*'Ref-Savings Calculations'!$E$20*Applicability,"N/A")</f>
        <v>N/A</v>
      </c>
      <c r="Q214" s="321" t="s">
        <v>1109</v>
      </c>
      <c r="R214" s="37"/>
      <c r="S214" s="322" t="s">
        <v>44</v>
      </c>
      <c r="T214" s="322" t="s">
        <v>69</v>
      </c>
      <c r="U214" s="322" t="s">
        <v>69</v>
      </c>
      <c r="V214" s="322" t="s">
        <v>69</v>
      </c>
      <c r="W214" s="322" t="s">
        <v>70</v>
      </c>
      <c r="X214" s="37"/>
      <c r="Y214" s="37"/>
      <c r="Z214" s="322" t="s">
        <v>78</v>
      </c>
      <c r="AA214" s="322" t="s">
        <v>78</v>
      </c>
      <c r="AB214" s="37"/>
      <c r="AC214" s="324">
        <f>'Ref-AgricultureSources'!$G$6</f>
        <v>17</v>
      </c>
      <c r="AD214" s="324" t="s">
        <v>72</v>
      </c>
      <c r="AE214" s="322" t="s">
        <v>73</v>
      </c>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c r="CA214" s="393"/>
      <c r="CB214" s="393"/>
      <c r="CC214" s="393"/>
      <c r="CD214" s="393"/>
      <c r="CE214" s="393"/>
      <c r="CF214" s="393"/>
      <c r="CG214" s="393"/>
      <c r="CH214" s="393"/>
      <c r="CI214" s="393"/>
      <c r="CJ214" s="390"/>
      <c r="CK214" s="390"/>
      <c r="CL214" s="390"/>
      <c r="CM214" s="390"/>
      <c r="CN214" s="390"/>
      <c r="CO214" s="390"/>
      <c r="CP214" s="390"/>
      <c r="CQ214" s="390"/>
      <c r="CR214" s="390"/>
      <c r="CS214" s="390"/>
      <c r="CT214" s="390"/>
      <c r="CU214" s="390"/>
      <c r="CV214" s="390"/>
      <c r="CW214" s="390"/>
      <c r="CX214" s="390"/>
      <c r="CY214" s="390"/>
      <c r="CZ214" s="390"/>
      <c r="DA214" s="390"/>
      <c r="DB214" s="390"/>
      <c r="DC214" s="390"/>
    </row>
    <row r="215" spans="1:107" s="303" customFormat="1" ht="33.75">
      <c r="A215" s="37"/>
      <c r="B215" s="325" t="s">
        <v>23</v>
      </c>
      <c r="C215" s="320" t="s">
        <v>100</v>
      </c>
      <c r="D215" s="320" t="s">
        <v>1226</v>
      </c>
      <c r="E215" s="324">
        <f>'Ref-AgricultureSources'!$L$7</f>
        <v>536.81628000000001</v>
      </c>
      <c r="F215" s="320" t="s">
        <v>1245</v>
      </c>
      <c r="G215" s="319" t="s">
        <v>935</v>
      </c>
      <c r="H215" s="320" t="s">
        <v>66</v>
      </c>
      <c r="I215" s="319" t="s">
        <v>935</v>
      </c>
      <c r="J215" s="320" t="s">
        <v>994</v>
      </c>
      <c r="K215" s="320" t="s">
        <v>1020</v>
      </c>
      <c r="L215" s="320" t="s">
        <v>995</v>
      </c>
      <c r="M215" s="320" t="s">
        <v>90</v>
      </c>
      <c r="N215" s="321" t="str">
        <f>IFERROR(E215*G215*'Ref-Savings Calculations'!$E$19*Applicability,"N/A")</f>
        <v>N/A</v>
      </c>
      <c r="O215" s="321" t="str">
        <f>IFERROR(E215*G215*'Ref-Savings Calculations'!$C$63*Applicability*ControlShare,"N/A")</f>
        <v>N/A</v>
      </c>
      <c r="P215" s="321" t="str">
        <f>IFERROR(E215*G215*'Ref-Savings Calculations'!$E$20*Applicability,"N/A")</f>
        <v>N/A</v>
      </c>
      <c r="Q215" s="321" t="s">
        <v>871</v>
      </c>
      <c r="R215" s="37"/>
      <c r="S215" s="322" t="s">
        <v>44</v>
      </c>
      <c r="T215" s="322" t="s">
        <v>69</v>
      </c>
      <c r="U215" s="322" t="s">
        <v>69</v>
      </c>
      <c r="V215" s="322" t="s">
        <v>69</v>
      </c>
      <c r="W215" s="322" t="s">
        <v>70</v>
      </c>
      <c r="X215" s="37"/>
      <c r="Y215" s="37"/>
      <c r="Z215" s="322" t="s">
        <v>78</v>
      </c>
      <c r="AA215" s="322" t="s">
        <v>78</v>
      </c>
      <c r="AB215" s="37"/>
      <c r="AC215" s="324">
        <f>'Ref-AgricultureSources'!$G$6</f>
        <v>17</v>
      </c>
      <c r="AD215" s="324" t="s">
        <v>72</v>
      </c>
      <c r="AE215" s="322" t="s">
        <v>73</v>
      </c>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c r="CA215" s="393"/>
      <c r="CB215" s="393"/>
      <c r="CC215" s="393"/>
      <c r="CD215" s="393"/>
      <c r="CE215" s="393"/>
      <c r="CF215" s="393"/>
      <c r="CG215" s="393"/>
      <c r="CH215" s="393"/>
      <c r="CI215" s="393"/>
      <c r="CJ215" s="390"/>
      <c r="CK215" s="390"/>
      <c r="CL215" s="390"/>
      <c r="CM215" s="390"/>
      <c r="CN215" s="390"/>
      <c r="CO215" s="390"/>
      <c r="CP215" s="390"/>
      <c r="CQ215" s="390"/>
      <c r="CR215" s="390"/>
      <c r="CS215" s="390"/>
      <c r="CT215" s="390"/>
      <c r="CU215" s="390"/>
      <c r="CV215" s="390"/>
      <c r="CW215" s="390"/>
      <c r="CX215" s="390"/>
      <c r="CY215" s="390"/>
      <c r="CZ215" s="390"/>
      <c r="DA215" s="390"/>
      <c r="DB215" s="390"/>
      <c r="DC215" s="390"/>
    </row>
    <row r="216" spans="1:107" s="303" customFormat="1" ht="33.75">
      <c r="A216" s="37"/>
      <c r="B216" s="325" t="s">
        <v>23</v>
      </c>
      <c r="C216" s="320" t="s">
        <v>100</v>
      </c>
      <c r="D216" s="320" t="s">
        <v>1226</v>
      </c>
      <c r="E216" s="324">
        <f>'Ref-AgricultureSources'!$L$7</f>
        <v>536.81628000000001</v>
      </c>
      <c r="F216" s="320" t="s">
        <v>1245</v>
      </c>
      <c r="G216" s="319" t="s">
        <v>935</v>
      </c>
      <c r="H216" s="320" t="s">
        <v>66</v>
      </c>
      <c r="I216" s="319" t="s">
        <v>935</v>
      </c>
      <c r="J216" s="320" t="s">
        <v>994</v>
      </c>
      <c r="K216" s="320" t="s">
        <v>1020</v>
      </c>
      <c r="L216" s="320" t="s">
        <v>995</v>
      </c>
      <c r="M216" s="320" t="s">
        <v>91</v>
      </c>
      <c r="N216" s="321" t="str">
        <f>IFERROR(E216*G216*'Ref-Savings Calculations'!$E$19*Applicability,"N/A")</f>
        <v>N/A</v>
      </c>
      <c r="O216" s="321" t="s">
        <v>870</v>
      </c>
      <c r="P216" s="321" t="str">
        <f>IFERROR(E216*G216*'Ref-Savings Calculations'!$E$20*Applicability,"N/A")</f>
        <v>N/A</v>
      </c>
      <c r="Q216" s="321" t="s">
        <v>870</v>
      </c>
      <c r="R216" s="37"/>
      <c r="S216" s="322" t="s">
        <v>44</v>
      </c>
      <c r="T216" s="322" t="s">
        <v>69</v>
      </c>
      <c r="U216" s="322" t="s">
        <v>69</v>
      </c>
      <c r="V216" s="322" t="s">
        <v>69</v>
      </c>
      <c r="W216" s="322" t="s">
        <v>70</v>
      </c>
      <c r="X216" s="37"/>
      <c r="Y216" s="37"/>
      <c r="Z216" s="322" t="s">
        <v>78</v>
      </c>
      <c r="AA216" s="322" t="s">
        <v>78</v>
      </c>
      <c r="AB216" s="37"/>
      <c r="AC216" s="324">
        <f>'Ref-AgricultureSources'!$G$6</f>
        <v>17</v>
      </c>
      <c r="AD216" s="324" t="s">
        <v>72</v>
      </c>
      <c r="AE216" s="322" t="s">
        <v>73</v>
      </c>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c r="CA216" s="393"/>
      <c r="CB216" s="393"/>
      <c r="CC216" s="393"/>
      <c r="CD216" s="393"/>
      <c r="CE216" s="393"/>
      <c r="CF216" s="393"/>
      <c r="CG216" s="393"/>
      <c r="CH216" s="393"/>
      <c r="CI216" s="393"/>
      <c r="CJ216" s="390"/>
      <c r="CK216" s="390"/>
      <c r="CL216" s="390"/>
      <c r="CM216" s="390"/>
      <c r="CN216" s="390"/>
      <c r="CO216" s="390"/>
      <c r="CP216" s="390"/>
      <c r="CQ216" s="390"/>
      <c r="CR216" s="390"/>
      <c r="CS216" s="390"/>
      <c r="CT216" s="390"/>
      <c r="CU216" s="390"/>
      <c r="CV216" s="390"/>
      <c r="CW216" s="390"/>
      <c r="CX216" s="390"/>
      <c r="CY216" s="390"/>
      <c r="CZ216" s="390"/>
      <c r="DA216" s="390"/>
      <c r="DB216" s="390"/>
      <c r="DC216" s="390"/>
    </row>
    <row r="217" spans="1:107" s="303" customFormat="1" ht="33.75">
      <c r="A217" s="37"/>
      <c r="B217" s="325" t="s">
        <v>23</v>
      </c>
      <c r="C217" s="320" t="s">
        <v>100</v>
      </c>
      <c r="D217" s="320" t="s">
        <v>1226</v>
      </c>
      <c r="E217" s="324">
        <f>'Ref-AgricultureSources'!$L$7</f>
        <v>536.81628000000001</v>
      </c>
      <c r="F217" s="320" t="s">
        <v>1245</v>
      </c>
      <c r="G217" s="319" t="s">
        <v>935</v>
      </c>
      <c r="H217" s="320" t="s">
        <v>66</v>
      </c>
      <c r="I217" s="319" t="s">
        <v>935</v>
      </c>
      <c r="J217" s="320" t="s">
        <v>994</v>
      </c>
      <c r="K217" s="320" t="s">
        <v>1020</v>
      </c>
      <c r="L217" s="320" t="s">
        <v>995</v>
      </c>
      <c r="M217" s="320" t="s">
        <v>92</v>
      </c>
      <c r="N217" s="321" t="str">
        <f>IFERROR(E217*G217*'Ref-Savings Calculations'!$E$19*Applicability,"N/A")</f>
        <v>N/A</v>
      </c>
      <c r="O217" s="321" t="s">
        <v>935</v>
      </c>
      <c r="P217" s="321" t="str">
        <f>IFERROR(E217*G217*'Ref-Savings Calculations'!$E$20*Applicability,"N/A")</f>
        <v>N/A</v>
      </c>
      <c r="Q217" s="321" t="s">
        <v>1055</v>
      </c>
      <c r="R217" s="37"/>
      <c r="S217" s="322" t="s">
        <v>44</v>
      </c>
      <c r="T217" s="322" t="s">
        <v>69</v>
      </c>
      <c r="U217" s="322" t="s">
        <v>69</v>
      </c>
      <c r="V217" s="322" t="s">
        <v>69</v>
      </c>
      <c r="W217" s="322" t="s">
        <v>70</v>
      </c>
      <c r="X217" s="37"/>
      <c r="Y217" s="37"/>
      <c r="Z217" s="322" t="s">
        <v>78</v>
      </c>
      <c r="AA217" s="322" t="s">
        <v>78</v>
      </c>
      <c r="AB217" s="37"/>
      <c r="AC217" s="324">
        <f>'Ref-AgricultureSources'!$G$6</f>
        <v>17</v>
      </c>
      <c r="AD217" s="324" t="s">
        <v>72</v>
      </c>
      <c r="AE217" s="322" t="s">
        <v>73</v>
      </c>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c r="CA217" s="393"/>
      <c r="CB217" s="393"/>
      <c r="CC217" s="393"/>
      <c r="CD217" s="393"/>
      <c r="CE217" s="393"/>
      <c r="CF217" s="393"/>
      <c r="CG217" s="393"/>
      <c r="CH217" s="393"/>
      <c r="CI217" s="393"/>
      <c r="CJ217" s="390"/>
      <c r="CK217" s="390"/>
      <c r="CL217" s="390"/>
      <c r="CM217" s="390"/>
      <c r="CN217" s="390"/>
      <c r="CO217" s="390"/>
      <c r="CP217" s="390"/>
      <c r="CQ217" s="390"/>
      <c r="CR217" s="390"/>
      <c r="CS217" s="390"/>
      <c r="CT217" s="390"/>
      <c r="CU217" s="390"/>
      <c r="CV217" s="390"/>
      <c r="CW217" s="390"/>
      <c r="CX217" s="390"/>
      <c r="CY217" s="390"/>
      <c r="CZ217" s="390"/>
      <c r="DA217" s="390"/>
      <c r="DB217" s="390"/>
      <c r="DC217" s="390"/>
    </row>
    <row r="218" spans="1:107" s="303" customFormat="1" ht="33.75">
      <c r="A218" s="37"/>
      <c r="B218" s="325" t="s">
        <v>23</v>
      </c>
      <c r="C218" s="320" t="s">
        <v>100</v>
      </c>
      <c r="D218" s="320" t="s">
        <v>1226</v>
      </c>
      <c r="E218" s="324">
        <f>'Ref-AgricultureSources'!$L$7</f>
        <v>536.81628000000001</v>
      </c>
      <c r="F218" s="320" t="s">
        <v>1245</v>
      </c>
      <c r="G218" s="319" t="s">
        <v>935</v>
      </c>
      <c r="H218" s="320" t="s">
        <v>66</v>
      </c>
      <c r="I218" s="319" t="s">
        <v>935</v>
      </c>
      <c r="J218" s="320" t="s">
        <v>994</v>
      </c>
      <c r="K218" s="320" t="s">
        <v>1020</v>
      </c>
      <c r="L218" s="320" t="s">
        <v>995</v>
      </c>
      <c r="M218" s="320" t="s">
        <v>93</v>
      </c>
      <c r="N218" s="321" t="str">
        <f>IFERROR(E218*G218*'Ref-Savings Calculations'!$E$19*Applicability,"N/A")</f>
        <v>N/A</v>
      </c>
      <c r="O218" s="321" t="s">
        <v>935</v>
      </c>
      <c r="P218" s="321" t="str">
        <f>IFERROR(E218*G218*'Ref-Savings Calculations'!$E$20*Applicability,"N/A")</f>
        <v>N/A</v>
      </c>
      <c r="Q218" s="321" t="s">
        <v>1055</v>
      </c>
      <c r="R218" s="37"/>
      <c r="S218" s="322" t="s">
        <v>44</v>
      </c>
      <c r="T218" s="322" t="s">
        <v>69</v>
      </c>
      <c r="U218" s="322" t="s">
        <v>44</v>
      </c>
      <c r="V218" s="322" t="s">
        <v>75</v>
      </c>
      <c r="W218" s="322" t="s">
        <v>70</v>
      </c>
      <c r="X218" s="37"/>
      <c r="Y218" s="37"/>
      <c r="Z218" s="322" t="s">
        <v>78</v>
      </c>
      <c r="AA218" s="322" t="s">
        <v>78</v>
      </c>
      <c r="AB218" s="37"/>
      <c r="AC218" s="324">
        <f>'Ref-AgricultureSources'!$G$6</f>
        <v>17</v>
      </c>
      <c r="AD218" s="324" t="s">
        <v>72</v>
      </c>
      <c r="AE218" s="322" t="s">
        <v>73</v>
      </c>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c r="CA218" s="393"/>
      <c r="CB218" s="393"/>
      <c r="CC218" s="393"/>
      <c r="CD218" s="393"/>
      <c r="CE218" s="393"/>
      <c r="CF218" s="393"/>
      <c r="CG218" s="393"/>
      <c r="CH218" s="393"/>
      <c r="CI218" s="393"/>
      <c r="CJ218" s="390"/>
      <c r="CK218" s="390"/>
      <c r="CL218" s="390"/>
      <c r="CM218" s="390"/>
      <c r="CN218" s="390"/>
      <c r="CO218" s="390"/>
      <c r="CP218" s="390"/>
      <c r="CQ218" s="390"/>
      <c r="CR218" s="390"/>
      <c r="CS218" s="390"/>
      <c r="CT218" s="390"/>
      <c r="CU218" s="390"/>
      <c r="CV218" s="390"/>
      <c r="CW218" s="390"/>
      <c r="CX218" s="390"/>
      <c r="CY218" s="390"/>
      <c r="CZ218" s="390"/>
      <c r="DA218" s="390"/>
      <c r="DB218" s="390"/>
      <c r="DC218" s="390"/>
    </row>
    <row r="219" spans="1:107" s="303" customFormat="1" ht="33.75">
      <c r="A219" s="37"/>
      <c r="B219" s="325" t="s">
        <v>23</v>
      </c>
      <c r="C219" s="320" t="s">
        <v>100</v>
      </c>
      <c r="D219" s="320" t="s">
        <v>1226</v>
      </c>
      <c r="E219" s="324">
        <f>'Ref-AgricultureSources'!$L$7</f>
        <v>536.81628000000001</v>
      </c>
      <c r="F219" s="320" t="s">
        <v>1245</v>
      </c>
      <c r="G219" s="319" t="s">
        <v>935</v>
      </c>
      <c r="H219" s="320" t="s">
        <v>66</v>
      </c>
      <c r="I219" s="319" t="s">
        <v>935</v>
      </c>
      <c r="J219" s="320" t="s">
        <v>994</v>
      </c>
      <c r="K219" s="320" t="s">
        <v>1020</v>
      </c>
      <c r="L219" s="320" t="s">
        <v>1227</v>
      </c>
      <c r="M219" s="320" t="s">
        <v>88</v>
      </c>
      <c r="N219" s="321" t="str">
        <f>IFERROR(E219*G219*'Ref-Savings Calculations'!$E$27*Applicability,"N/A")</f>
        <v>N/A</v>
      </c>
      <c r="O219" s="321" t="str">
        <f>IFERROR(E219*G219*'Ref-Savings Calculations'!$C$63*Applicability*ControlShare,"N/A")</f>
        <v>N/A</v>
      </c>
      <c r="P219" s="321" t="str">
        <f>IFERROR(E219*G219*'Ref-Savings Calculations'!$E$28*Applicability,"N/A")</f>
        <v>N/A</v>
      </c>
      <c r="Q219" s="321" t="s">
        <v>1109</v>
      </c>
      <c r="R219" s="37"/>
      <c r="S219" s="322" t="s">
        <v>44</v>
      </c>
      <c r="T219" s="322" t="s">
        <v>75</v>
      </c>
      <c r="U219" s="322" t="s">
        <v>69</v>
      </c>
      <c r="V219" s="322" t="s">
        <v>69</v>
      </c>
      <c r="W219" s="322" t="s">
        <v>70</v>
      </c>
      <c r="X219" s="37"/>
      <c r="Y219" s="37"/>
      <c r="Z219" s="322" t="s">
        <v>78</v>
      </c>
      <c r="AA219" s="322" t="s">
        <v>78</v>
      </c>
      <c r="AB219" s="37"/>
      <c r="AC219" s="324">
        <f>'Ref-AgricultureSources'!$G$6</f>
        <v>17</v>
      </c>
      <c r="AD219" s="324" t="s">
        <v>72</v>
      </c>
      <c r="AE219" s="322" t="s">
        <v>73</v>
      </c>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c r="CA219" s="393"/>
      <c r="CB219" s="393"/>
      <c r="CC219" s="393"/>
      <c r="CD219" s="393"/>
      <c r="CE219" s="393"/>
      <c r="CF219" s="393"/>
      <c r="CG219" s="393"/>
      <c r="CH219" s="393"/>
      <c r="CI219" s="393"/>
      <c r="CJ219" s="390"/>
      <c r="CK219" s="390"/>
      <c r="CL219" s="390"/>
      <c r="CM219" s="390"/>
      <c r="CN219" s="390"/>
      <c r="CO219" s="390"/>
      <c r="CP219" s="390"/>
      <c r="CQ219" s="390"/>
      <c r="CR219" s="390"/>
      <c r="CS219" s="390"/>
      <c r="CT219" s="390"/>
      <c r="CU219" s="390"/>
      <c r="CV219" s="390"/>
      <c r="CW219" s="390"/>
      <c r="CX219" s="390"/>
      <c r="CY219" s="390"/>
      <c r="CZ219" s="390"/>
      <c r="DA219" s="390"/>
      <c r="DB219" s="390"/>
      <c r="DC219" s="390"/>
    </row>
    <row r="220" spans="1:107" s="303" customFormat="1" ht="33.75">
      <c r="A220" s="37"/>
      <c r="B220" s="325" t="s">
        <v>23</v>
      </c>
      <c r="C220" s="320" t="s">
        <v>100</v>
      </c>
      <c r="D220" s="320" t="s">
        <v>1226</v>
      </c>
      <c r="E220" s="324">
        <f>'Ref-AgricultureSources'!$L$7</f>
        <v>536.81628000000001</v>
      </c>
      <c r="F220" s="320" t="s">
        <v>1245</v>
      </c>
      <c r="G220" s="319" t="s">
        <v>935</v>
      </c>
      <c r="H220" s="320" t="s">
        <v>66</v>
      </c>
      <c r="I220" s="319" t="s">
        <v>935</v>
      </c>
      <c r="J220" s="320" t="s">
        <v>994</v>
      </c>
      <c r="K220" s="320" t="s">
        <v>1020</v>
      </c>
      <c r="L220" s="320" t="s">
        <v>1227</v>
      </c>
      <c r="M220" s="320" t="s">
        <v>90</v>
      </c>
      <c r="N220" s="321" t="str">
        <f>IFERROR(E220*G220*'Ref-Savings Calculations'!$E$27*Applicability,"N/A")</f>
        <v>N/A</v>
      </c>
      <c r="O220" s="321" t="str">
        <f>IFERROR(E220*G220*'Ref-Savings Calculations'!$C$63*Applicability*ControlShare,"N/A")</f>
        <v>N/A</v>
      </c>
      <c r="P220" s="321" t="str">
        <f>IFERROR(E220*G220*'Ref-Savings Calculations'!$E$28*Applicability,"N/A")</f>
        <v>N/A</v>
      </c>
      <c r="Q220" s="321" t="s">
        <v>871</v>
      </c>
      <c r="R220" s="37"/>
      <c r="S220" s="322" t="s">
        <v>44</v>
      </c>
      <c r="T220" s="322" t="s">
        <v>75</v>
      </c>
      <c r="U220" s="322" t="s">
        <v>69</v>
      </c>
      <c r="V220" s="322" t="s">
        <v>69</v>
      </c>
      <c r="W220" s="322" t="s">
        <v>70</v>
      </c>
      <c r="X220" s="37"/>
      <c r="Y220" s="37"/>
      <c r="Z220" s="322" t="s">
        <v>78</v>
      </c>
      <c r="AA220" s="322" t="s">
        <v>78</v>
      </c>
      <c r="AB220" s="37"/>
      <c r="AC220" s="324">
        <f>'Ref-AgricultureSources'!$G$6</f>
        <v>17</v>
      </c>
      <c r="AD220" s="324" t="s">
        <v>72</v>
      </c>
      <c r="AE220" s="322" t="s">
        <v>73</v>
      </c>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c r="CA220" s="393"/>
      <c r="CB220" s="393"/>
      <c r="CC220" s="393"/>
      <c r="CD220" s="393"/>
      <c r="CE220" s="393"/>
      <c r="CF220" s="393"/>
      <c r="CG220" s="393"/>
      <c r="CH220" s="393"/>
      <c r="CI220" s="393"/>
      <c r="CJ220" s="390"/>
      <c r="CK220" s="390"/>
      <c r="CL220" s="390"/>
      <c r="CM220" s="390"/>
      <c r="CN220" s="390"/>
      <c r="CO220" s="390"/>
      <c r="CP220" s="390"/>
      <c r="CQ220" s="390"/>
      <c r="CR220" s="390"/>
      <c r="CS220" s="390"/>
      <c r="CT220" s="390"/>
      <c r="CU220" s="390"/>
      <c r="CV220" s="390"/>
      <c r="CW220" s="390"/>
      <c r="CX220" s="390"/>
      <c r="CY220" s="390"/>
      <c r="CZ220" s="390"/>
      <c r="DA220" s="390"/>
      <c r="DB220" s="390"/>
      <c r="DC220" s="390"/>
    </row>
    <row r="221" spans="1:107" s="303" customFormat="1" ht="33.75">
      <c r="A221" s="37"/>
      <c r="B221" s="325" t="s">
        <v>23</v>
      </c>
      <c r="C221" s="320" t="s">
        <v>100</v>
      </c>
      <c r="D221" s="320" t="s">
        <v>1226</v>
      </c>
      <c r="E221" s="324">
        <f>'Ref-AgricultureSources'!$L$7</f>
        <v>536.81628000000001</v>
      </c>
      <c r="F221" s="320" t="s">
        <v>1245</v>
      </c>
      <c r="G221" s="319" t="s">
        <v>935</v>
      </c>
      <c r="H221" s="320" t="s">
        <v>66</v>
      </c>
      <c r="I221" s="319" t="s">
        <v>935</v>
      </c>
      <c r="J221" s="320" t="s">
        <v>994</v>
      </c>
      <c r="K221" s="320" t="s">
        <v>1020</v>
      </c>
      <c r="L221" s="320" t="s">
        <v>1227</v>
      </c>
      <c r="M221" s="320" t="s">
        <v>91</v>
      </c>
      <c r="N221" s="321" t="str">
        <f>IFERROR(E221*G221*'Ref-Savings Calculations'!$E$27*Applicability,"N/A")</f>
        <v>N/A</v>
      </c>
      <c r="O221" s="321" t="s">
        <v>870</v>
      </c>
      <c r="P221" s="321" t="str">
        <f>IFERROR(E221*G221*'Ref-Savings Calculations'!$E$28*Applicability,"N/A")</f>
        <v>N/A</v>
      </c>
      <c r="Q221" s="321" t="s">
        <v>870</v>
      </c>
      <c r="R221" s="37"/>
      <c r="S221" s="322" t="s">
        <v>44</v>
      </c>
      <c r="T221" s="322" t="s">
        <v>75</v>
      </c>
      <c r="U221" s="322" t="s">
        <v>69</v>
      </c>
      <c r="V221" s="322" t="s">
        <v>69</v>
      </c>
      <c r="W221" s="322" t="s">
        <v>70</v>
      </c>
      <c r="X221" s="37"/>
      <c r="Y221" s="37"/>
      <c r="Z221" s="322" t="s">
        <v>78</v>
      </c>
      <c r="AA221" s="322" t="s">
        <v>78</v>
      </c>
      <c r="AB221" s="37"/>
      <c r="AC221" s="324">
        <f>'Ref-AgricultureSources'!$G$6</f>
        <v>17</v>
      </c>
      <c r="AD221" s="324" t="s">
        <v>72</v>
      </c>
      <c r="AE221" s="322" t="s">
        <v>73</v>
      </c>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c r="CA221" s="393"/>
      <c r="CB221" s="393"/>
      <c r="CC221" s="393"/>
      <c r="CD221" s="393"/>
      <c r="CE221" s="393"/>
      <c r="CF221" s="393"/>
      <c r="CG221" s="393"/>
      <c r="CH221" s="393"/>
      <c r="CI221" s="393"/>
      <c r="CJ221" s="390"/>
      <c r="CK221" s="390"/>
      <c r="CL221" s="390"/>
      <c r="CM221" s="390"/>
      <c r="CN221" s="390"/>
      <c r="CO221" s="390"/>
      <c r="CP221" s="390"/>
      <c r="CQ221" s="390"/>
      <c r="CR221" s="390"/>
      <c r="CS221" s="390"/>
      <c r="CT221" s="390"/>
      <c r="CU221" s="390"/>
      <c r="CV221" s="390"/>
      <c r="CW221" s="390"/>
      <c r="CX221" s="390"/>
      <c r="CY221" s="390"/>
      <c r="CZ221" s="390"/>
      <c r="DA221" s="390"/>
      <c r="DB221" s="390"/>
      <c r="DC221" s="390"/>
    </row>
    <row r="222" spans="1:107" s="303" customFormat="1" ht="33.75">
      <c r="A222" s="37"/>
      <c r="B222" s="325" t="s">
        <v>23</v>
      </c>
      <c r="C222" s="320" t="s">
        <v>100</v>
      </c>
      <c r="D222" s="320" t="s">
        <v>1226</v>
      </c>
      <c r="E222" s="324">
        <f>'Ref-AgricultureSources'!$L$7</f>
        <v>536.81628000000001</v>
      </c>
      <c r="F222" s="320" t="s">
        <v>1245</v>
      </c>
      <c r="G222" s="319" t="s">
        <v>935</v>
      </c>
      <c r="H222" s="320" t="s">
        <v>66</v>
      </c>
      <c r="I222" s="319" t="s">
        <v>935</v>
      </c>
      <c r="J222" s="320" t="s">
        <v>994</v>
      </c>
      <c r="K222" s="320" t="s">
        <v>1020</v>
      </c>
      <c r="L222" s="320" t="s">
        <v>1227</v>
      </c>
      <c r="M222" s="320" t="s">
        <v>92</v>
      </c>
      <c r="N222" s="321" t="str">
        <f>IFERROR(E222*G222*'Ref-Savings Calculations'!$E$27*Applicability,"N/A")</f>
        <v>N/A</v>
      </c>
      <c r="O222" s="321" t="s">
        <v>935</v>
      </c>
      <c r="P222" s="321" t="str">
        <f>IFERROR(E222*G222*'Ref-Savings Calculations'!$E$28*Applicability,"N/A")</f>
        <v>N/A</v>
      </c>
      <c r="Q222" s="321" t="s">
        <v>1055</v>
      </c>
      <c r="R222" s="37"/>
      <c r="S222" s="322" t="s">
        <v>44</v>
      </c>
      <c r="T222" s="322" t="s">
        <v>75</v>
      </c>
      <c r="U222" s="322" t="s">
        <v>69</v>
      </c>
      <c r="V222" s="322" t="s">
        <v>69</v>
      </c>
      <c r="W222" s="322" t="s">
        <v>70</v>
      </c>
      <c r="X222" s="37"/>
      <c r="Y222" s="37"/>
      <c r="Z222" s="322" t="s">
        <v>78</v>
      </c>
      <c r="AA222" s="322" t="s">
        <v>78</v>
      </c>
      <c r="AB222" s="37"/>
      <c r="AC222" s="324">
        <f>'Ref-AgricultureSources'!$G$6</f>
        <v>17</v>
      </c>
      <c r="AD222" s="324" t="s">
        <v>72</v>
      </c>
      <c r="AE222" s="322" t="s">
        <v>73</v>
      </c>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c r="CA222" s="393"/>
      <c r="CB222" s="393"/>
      <c r="CC222" s="393"/>
      <c r="CD222" s="393"/>
      <c r="CE222" s="393"/>
      <c r="CF222" s="393"/>
      <c r="CG222" s="393"/>
      <c r="CH222" s="393"/>
      <c r="CI222" s="393"/>
      <c r="CJ222" s="390"/>
      <c r="CK222" s="390"/>
      <c r="CL222" s="390"/>
      <c r="CM222" s="390"/>
      <c r="CN222" s="390"/>
      <c r="CO222" s="390"/>
      <c r="CP222" s="390"/>
      <c r="CQ222" s="390"/>
      <c r="CR222" s="390"/>
      <c r="CS222" s="390"/>
      <c r="CT222" s="390"/>
      <c r="CU222" s="390"/>
      <c r="CV222" s="390"/>
      <c r="CW222" s="390"/>
      <c r="CX222" s="390"/>
      <c r="CY222" s="390"/>
      <c r="CZ222" s="390"/>
      <c r="DA222" s="390"/>
      <c r="DB222" s="390"/>
      <c r="DC222" s="390"/>
    </row>
    <row r="223" spans="1:107" s="303" customFormat="1" ht="33.75">
      <c r="A223" s="37"/>
      <c r="B223" s="325" t="s">
        <v>23</v>
      </c>
      <c r="C223" s="320" t="s">
        <v>100</v>
      </c>
      <c r="D223" s="320" t="s">
        <v>1226</v>
      </c>
      <c r="E223" s="324">
        <f>'Ref-AgricultureSources'!$L$7</f>
        <v>536.81628000000001</v>
      </c>
      <c r="F223" s="320" t="s">
        <v>1245</v>
      </c>
      <c r="G223" s="319" t="s">
        <v>935</v>
      </c>
      <c r="H223" s="320" t="s">
        <v>66</v>
      </c>
      <c r="I223" s="319" t="s">
        <v>935</v>
      </c>
      <c r="J223" s="320" t="s">
        <v>994</v>
      </c>
      <c r="K223" s="320" t="s">
        <v>1020</v>
      </c>
      <c r="L223" s="320" t="s">
        <v>1227</v>
      </c>
      <c r="M223" s="320" t="s">
        <v>93</v>
      </c>
      <c r="N223" s="321" t="str">
        <f>IFERROR(E223*G223*'Ref-Savings Calculations'!$E$27*Applicability,"N/A")</f>
        <v>N/A</v>
      </c>
      <c r="O223" s="321" t="s">
        <v>935</v>
      </c>
      <c r="P223" s="321" t="str">
        <f>IFERROR(E223*G223*'Ref-Savings Calculations'!$E$28*Applicability,"N/A")</f>
        <v>N/A</v>
      </c>
      <c r="Q223" s="321" t="s">
        <v>1055</v>
      </c>
      <c r="R223" s="37"/>
      <c r="S223" s="322" t="s">
        <v>44</v>
      </c>
      <c r="T223" s="322" t="s">
        <v>75</v>
      </c>
      <c r="U223" s="322" t="s">
        <v>44</v>
      </c>
      <c r="V223" s="322" t="s">
        <v>75</v>
      </c>
      <c r="W223" s="322" t="s">
        <v>70</v>
      </c>
      <c r="X223" s="37"/>
      <c r="Y223" s="37"/>
      <c r="Z223" s="322" t="s">
        <v>78</v>
      </c>
      <c r="AA223" s="322" t="s">
        <v>78</v>
      </c>
      <c r="AB223" s="37"/>
      <c r="AC223" s="324">
        <f>'Ref-AgricultureSources'!$G$6</f>
        <v>17</v>
      </c>
      <c r="AD223" s="324" t="s">
        <v>72</v>
      </c>
      <c r="AE223" s="322" t="s">
        <v>73</v>
      </c>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c r="CA223" s="393"/>
      <c r="CB223" s="393"/>
      <c r="CC223" s="393"/>
      <c r="CD223" s="393"/>
      <c r="CE223" s="393"/>
      <c r="CF223" s="393"/>
      <c r="CG223" s="393"/>
      <c r="CH223" s="393"/>
      <c r="CI223" s="393"/>
      <c r="CJ223" s="390"/>
      <c r="CK223" s="390"/>
      <c r="CL223" s="390"/>
      <c r="CM223" s="390"/>
      <c r="CN223" s="390"/>
      <c r="CO223" s="390"/>
      <c r="CP223" s="390"/>
      <c r="CQ223" s="390"/>
      <c r="CR223" s="390"/>
      <c r="CS223" s="390"/>
      <c r="CT223" s="390"/>
      <c r="CU223" s="390"/>
      <c r="CV223" s="390"/>
      <c r="CW223" s="390"/>
      <c r="CX223" s="390"/>
      <c r="CY223" s="390"/>
      <c r="CZ223" s="390"/>
      <c r="DA223" s="390"/>
      <c r="DB223" s="390"/>
      <c r="DC223" s="390"/>
    </row>
    <row r="224" spans="1:107" s="303" customFormat="1" ht="33.75">
      <c r="A224" s="37"/>
      <c r="B224" s="325" t="s">
        <v>23</v>
      </c>
      <c r="C224" s="320" t="s">
        <v>100</v>
      </c>
      <c r="D224" s="320" t="s">
        <v>1226</v>
      </c>
      <c r="E224" s="324">
        <f>'Ref-AgricultureSources'!$L$7</f>
        <v>536.81628000000001</v>
      </c>
      <c r="F224" s="320" t="s">
        <v>1245</v>
      </c>
      <c r="G224" s="319" t="s">
        <v>935</v>
      </c>
      <c r="H224" s="320" t="s">
        <v>66</v>
      </c>
      <c r="I224" s="319" t="s">
        <v>935</v>
      </c>
      <c r="J224" s="320" t="s">
        <v>994</v>
      </c>
      <c r="K224" s="320" t="s">
        <v>1020</v>
      </c>
      <c r="L224" s="320" t="s">
        <v>101</v>
      </c>
      <c r="M224" s="320" t="s">
        <v>88</v>
      </c>
      <c r="N224" s="321" t="str">
        <f>IFERROR(E224*G224*'Ref-Savings Calculations'!$E$14*Applicability,"N/A")</f>
        <v>N/A</v>
      </c>
      <c r="O224" s="321" t="str">
        <f>IFERROR(E224*G224*'Ref-Savings Calculations'!$C$63*Applicability*ControlShare,"N/A")</f>
        <v>N/A</v>
      </c>
      <c r="P224" s="321" t="str">
        <f>IFERROR(E224*G224*'Ref-Savings Calculations'!$E$15*Applicability,"N/A")</f>
        <v>N/A</v>
      </c>
      <c r="Q224" s="321" t="s">
        <v>1109</v>
      </c>
      <c r="R224" s="37"/>
      <c r="S224" s="322" t="s">
        <v>68</v>
      </c>
      <c r="T224" s="322" t="s">
        <v>63</v>
      </c>
      <c r="U224" s="322" t="s">
        <v>69</v>
      </c>
      <c r="V224" s="322" t="s">
        <v>69</v>
      </c>
      <c r="W224" s="322" t="s">
        <v>70</v>
      </c>
      <c r="X224" s="37"/>
      <c r="Y224" s="37"/>
      <c r="Z224" s="322" t="s">
        <v>78</v>
      </c>
      <c r="AA224" s="322" t="s">
        <v>78</v>
      </c>
      <c r="AB224" s="37"/>
      <c r="AC224" s="324">
        <f>'Ref-AgricultureSources'!$G$6</f>
        <v>17</v>
      </c>
      <c r="AD224" s="324" t="s">
        <v>72</v>
      </c>
      <c r="AE224" s="322" t="s">
        <v>73</v>
      </c>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c r="CA224" s="393"/>
      <c r="CB224" s="393"/>
      <c r="CC224" s="393"/>
      <c r="CD224" s="393"/>
      <c r="CE224" s="393"/>
      <c r="CF224" s="393"/>
      <c r="CG224" s="393"/>
      <c r="CH224" s="393"/>
      <c r="CI224" s="393"/>
      <c r="CJ224" s="390"/>
      <c r="CK224" s="390"/>
      <c r="CL224" s="390"/>
      <c r="CM224" s="390"/>
      <c r="CN224" s="390"/>
      <c r="CO224" s="390"/>
      <c r="CP224" s="390"/>
      <c r="CQ224" s="390"/>
      <c r="CR224" s="390"/>
      <c r="CS224" s="390"/>
      <c r="CT224" s="390"/>
      <c r="CU224" s="390"/>
      <c r="CV224" s="390"/>
      <c r="CW224" s="390"/>
      <c r="CX224" s="390"/>
      <c r="CY224" s="390"/>
      <c r="CZ224" s="390"/>
      <c r="DA224" s="390"/>
      <c r="DB224" s="390"/>
      <c r="DC224" s="390"/>
    </row>
    <row r="225" spans="1:107" s="303" customFormat="1" ht="33.75">
      <c r="A225" s="37"/>
      <c r="B225" s="325" t="s">
        <v>23</v>
      </c>
      <c r="C225" s="320" t="s">
        <v>100</v>
      </c>
      <c r="D225" s="320" t="s">
        <v>1226</v>
      </c>
      <c r="E225" s="324">
        <f>'Ref-AgricultureSources'!$L$7</f>
        <v>536.81628000000001</v>
      </c>
      <c r="F225" s="320" t="s">
        <v>1245</v>
      </c>
      <c r="G225" s="319" t="s">
        <v>935</v>
      </c>
      <c r="H225" s="320" t="s">
        <v>66</v>
      </c>
      <c r="I225" s="319" t="s">
        <v>935</v>
      </c>
      <c r="J225" s="320" t="s">
        <v>994</v>
      </c>
      <c r="K225" s="320" t="s">
        <v>1020</v>
      </c>
      <c r="L225" s="320" t="s">
        <v>101</v>
      </c>
      <c r="M225" s="320" t="s">
        <v>90</v>
      </c>
      <c r="N225" s="321" t="str">
        <f>IFERROR(E225*G225*'Ref-Savings Calculations'!$E$14*Applicability,"N/A")</f>
        <v>N/A</v>
      </c>
      <c r="O225" s="321" t="str">
        <f>IFERROR(E225*G225*'Ref-Savings Calculations'!$C$63*Applicability*ControlShare,"N/A")</f>
        <v>N/A</v>
      </c>
      <c r="P225" s="321" t="str">
        <f>IFERROR(E225*G225*'Ref-Savings Calculations'!$E$15*Applicability,"N/A")</f>
        <v>N/A</v>
      </c>
      <c r="Q225" s="321" t="s">
        <v>871</v>
      </c>
      <c r="R225" s="37"/>
      <c r="S225" s="322" t="s">
        <v>68</v>
      </c>
      <c r="T225" s="322" t="s">
        <v>63</v>
      </c>
      <c r="U225" s="322" t="s">
        <v>69</v>
      </c>
      <c r="V225" s="322" t="s">
        <v>69</v>
      </c>
      <c r="W225" s="322" t="s">
        <v>70</v>
      </c>
      <c r="X225" s="37"/>
      <c r="Y225" s="37"/>
      <c r="Z225" s="322" t="s">
        <v>78</v>
      </c>
      <c r="AA225" s="322" t="s">
        <v>78</v>
      </c>
      <c r="AB225" s="37"/>
      <c r="AC225" s="324">
        <f>'Ref-AgricultureSources'!$G$6</f>
        <v>17</v>
      </c>
      <c r="AD225" s="324" t="s">
        <v>72</v>
      </c>
      <c r="AE225" s="322" t="s">
        <v>73</v>
      </c>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c r="CA225" s="393"/>
      <c r="CB225" s="393"/>
      <c r="CC225" s="393"/>
      <c r="CD225" s="393"/>
      <c r="CE225" s="393"/>
      <c r="CF225" s="393"/>
      <c r="CG225" s="393"/>
      <c r="CH225" s="393"/>
      <c r="CI225" s="393"/>
      <c r="CJ225" s="390"/>
      <c r="CK225" s="390"/>
      <c r="CL225" s="390"/>
      <c r="CM225" s="390"/>
      <c r="CN225" s="390"/>
      <c r="CO225" s="390"/>
      <c r="CP225" s="390"/>
      <c r="CQ225" s="390"/>
      <c r="CR225" s="390"/>
      <c r="CS225" s="390"/>
      <c r="CT225" s="390"/>
      <c r="CU225" s="390"/>
      <c r="CV225" s="390"/>
      <c r="CW225" s="390"/>
      <c r="CX225" s="390"/>
      <c r="CY225" s="390"/>
      <c r="CZ225" s="390"/>
      <c r="DA225" s="390"/>
      <c r="DB225" s="390"/>
      <c r="DC225" s="390"/>
    </row>
    <row r="226" spans="1:107" s="303" customFormat="1" ht="33.75">
      <c r="A226" s="37"/>
      <c r="B226" s="325" t="s">
        <v>23</v>
      </c>
      <c r="C226" s="320" t="s">
        <v>100</v>
      </c>
      <c r="D226" s="320" t="s">
        <v>1226</v>
      </c>
      <c r="E226" s="324">
        <f>'Ref-AgricultureSources'!$L$7</f>
        <v>536.81628000000001</v>
      </c>
      <c r="F226" s="320" t="s">
        <v>1245</v>
      </c>
      <c r="G226" s="319" t="s">
        <v>935</v>
      </c>
      <c r="H226" s="320" t="s">
        <v>66</v>
      </c>
      <c r="I226" s="319" t="s">
        <v>935</v>
      </c>
      <c r="J226" s="320" t="s">
        <v>994</v>
      </c>
      <c r="K226" s="320" t="s">
        <v>1020</v>
      </c>
      <c r="L226" s="320" t="s">
        <v>101</v>
      </c>
      <c r="M226" s="320" t="s">
        <v>91</v>
      </c>
      <c r="N226" s="321" t="str">
        <f>IFERROR(E226*G226*'Ref-Savings Calculations'!$E$14*Applicability,"N/A")</f>
        <v>N/A</v>
      </c>
      <c r="O226" s="321" t="s">
        <v>870</v>
      </c>
      <c r="P226" s="321" t="str">
        <f>IFERROR(E226*G226*'Ref-Savings Calculations'!$E$15*Applicability,"N/A")</f>
        <v>N/A</v>
      </c>
      <c r="Q226" s="321" t="s">
        <v>870</v>
      </c>
      <c r="R226" s="37"/>
      <c r="S226" s="322" t="s">
        <v>68</v>
      </c>
      <c r="T226" s="322" t="s">
        <v>63</v>
      </c>
      <c r="U226" s="322" t="s">
        <v>69</v>
      </c>
      <c r="V226" s="322" t="s">
        <v>69</v>
      </c>
      <c r="W226" s="322" t="s">
        <v>70</v>
      </c>
      <c r="X226" s="37"/>
      <c r="Y226" s="37"/>
      <c r="Z226" s="322" t="s">
        <v>78</v>
      </c>
      <c r="AA226" s="322" t="s">
        <v>78</v>
      </c>
      <c r="AB226" s="37"/>
      <c r="AC226" s="324">
        <f>'Ref-AgricultureSources'!$G$6</f>
        <v>17</v>
      </c>
      <c r="AD226" s="324" t="s">
        <v>72</v>
      </c>
      <c r="AE226" s="322" t="s">
        <v>73</v>
      </c>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c r="CA226" s="393"/>
      <c r="CB226" s="393"/>
      <c r="CC226" s="393"/>
      <c r="CD226" s="393"/>
      <c r="CE226" s="393"/>
      <c r="CF226" s="393"/>
      <c r="CG226" s="393"/>
      <c r="CH226" s="393"/>
      <c r="CI226" s="393"/>
      <c r="CJ226" s="390"/>
      <c r="CK226" s="390"/>
      <c r="CL226" s="390"/>
      <c r="CM226" s="390"/>
      <c r="CN226" s="390"/>
      <c r="CO226" s="390"/>
      <c r="CP226" s="390"/>
      <c r="CQ226" s="390"/>
      <c r="CR226" s="390"/>
      <c r="CS226" s="390"/>
      <c r="CT226" s="390"/>
      <c r="CU226" s="390"/>
      <c r="CV226" s="390"/>
      <c r="CW226" s="390"/>
      <c r="CX226" s="390"/>
      <c r="CY226" s="390"/>
      <c r="CZ226" s="390"/>
      <c r="DA226" s="390"/>
      <c r="DB226" s="390"/>
      <c r="DC226" s="390"/>
    </row>
    <row r="227" spans="1:107" s="303" customFormat="1" ht="33.75">
      <c r="A227" s="37"/>
      <c r="B227" s="325" t="s">
        <v>23</v>
      </c>
      <c r="C227" s="320" t="s">
        <v>100</v>
      </c>
      <c r="D227" s="320" t="s">
        <v>1226</v>
      </c>
      <c r="E227" s="324">
        <f>'Ref-AgricultureSources'!$L$7</f>
        <v>536.81628000000001</v>
      </c>
      <c r="F227" s="320" t="s">
        <v>1245</v>
      </c>
      <c r="G227" s="319" t="s">
        <v>935</v>
      </c>
      <c r="H227" s="320" t="s">
        <v>66</v>
      </c>
      <c r="I227" s="319" t="s">
        <v>935</v>
      </c>
      <c r="J227" s="320" t="s">
        <v>994</v>
      </c>
      <c r="K227" s="320" t="s">
        <v>1020</v>
      </c>
      <c r="L227" s="320" t="s">
        <v>101</v>
      </c>
      <c r="M227" s="320" t="s">
        <v>92</v>
      </c>
      <c r="N227" s="321" t="str">
        <f>IFERROR(E227*G227*'Ref-Savings Calculations'!$E$14*Applicability,"N/A")</f>
        <v>N/A</v>
      </c>
      <c r="O227" s="321" t="s">
        <v>935</v>
      </c>
      <c r="P227" s="321" t="str">
        <f>IFERROR(E227*G227*'Ref-Savings Calculations'!$E$15*Applicability,"N/A")</f>
        <v>N/A</v>
      </c>
      <c r="Q227" s="321" t="s">
        <v>1055</v>
      </c>
      <c r="R227" s="37"/>
      <c r="S227" s="322" t="s">
        <v>68</v>
      </c>
      <c r="T227" s="322" t="s">
        <v>63</v>
      </c>
      <c r="U227" s="322" t="s">
        <v>69</v>
      </c>
      <c r="V227" s="322" t="s">
        <v>69</v>
      </c>
      <c r="W227" s="322" t="s">
        <v>70</v>
      </c>
      <c r="X227" s="37"/>
      <c r="Y227" s="37"/>
      <c r="Z227" s="322" t="s">
        <v>78</v>
      </c>
      <c r="AA227" s="322" t="s">
        <v>78</v>
      </c>
      <c r="AB227" s="37"/>
      <c r="AC227" s="324">
        <f>'Ref-AgricultureSources'!$G$6</f>
        <v>17</v>
      </c>
      <c r="AD227" s="324" t="s">
        <v>72</v>
      </c>
      <c r="AE227" s="322" t="s">
        <v>73</v>
      </c>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c r="CA227" s="393"/>
      <c r="CB227" s="393"/>
      <c r="CC227" s="393"/>
      <c r="CD227" s="393"/>
      <c r="CE227" s="393"/>
      <c r="CF227" s="393"/>
      <c r="CG227" s="393"/>
      <c r="CH227" s="393"/>
      <c r="CI227" s="393"/>
      <c r="CJ227" s="390"/>
      <c r="CK227" s="390"/>
      <c r="CL227" s="390"/>
      <c r="CM227" s="390"/>
      <c r="CN227" s="390"/>
      <c r="CO227" s="390"/>
      <c r="CP227" s="390"/>
      <c r="CQ227" s="390"/>
      <c r="CR227" s="390"/>
      <c r="CS227" s="390"/>
      <c r="CT227" s="390"/>
      <c r="CU227" s="390"/>
      <c r="CV227" s="390"/>
      <c r="CW227" s="390"/>
      <c r="CX227" s="390"/>
      <c r="CY227" s="390"/>
      <c r="CZ227" s="390"/>
      <c r="DA227" s="390"/>
      <c r="DB227" s="390"/>
      <c r="DC227" s="390"/>
    </row>
    <row r="228" spans="1:107" s="303" customFormat="1" ht="33.75">
      <c r="A228" s="37"/>
      <c r="B228" s="325" t="s">
        <v>23</v>
      </c>
      <c r="C228" s="320" t="s">
        <v>100</v>
      </c>
      <c r="D228" s="320" t="s">
        <v>1226</v>
      </c>
      <c r="E228" s="324">
        <f>'Ref-AgricultureSources'!$L$7</f>
        <v>536.81628000000001</v>
      </c>
      <c r="F228" s="320" t="s">
        <v>1245</v>
      </c>
      <c r="G228" s="319" t="s">
        <v>935</v>
      </c>
      <c r="H228" s="320" t="s">
        <v>66</v>
      </c>
      <c r="I228" s="319" t="s">
        <v>935</v>
      </c>
      <c r="J228" s="320" t="s">
        <v>994</v>
      </c>
      <c r="K228" s="320" t="s">
        <v>1020</v>
      </c>
      <c r="L228" s="320" t="s">
        <v>101</v>
      </c>
      <c r="M228" s="320" t="s">
        <v>93</v>
      </c>
      <c r="N228" s="321" t="str">
        <f>IFERROR(E228*G228*'Ref-Savings Calculations'!$E$14*Applicability,"N/A")</f>
        <v>N/A</v>
      </c>
      <c r="O228" s="321" t="s">
        <v>935</v>
      </c>
      <c r="P228" s="321" t="str">
        <f>IFERROR(E228*G228*'Ref-Savings Calculations'!$E$15*Applicability,"N/A")</f>
        <v>N/A</v>
      </c>
      <c r="Q228" s="321" t="s">
        <v>1055</v>
      </c>
      <c r="R228" s="37"/>
      <c r="S228" s="322" t="s">
        <v>68</v>
      </c>
      <c r="T228" s="322" t="s">
        <v>63</v>
      </c>
      <c r="U228" s="322" t="s">
        <v>44</v>
      </c>
      <c r="V228" s="322" t="s">
        <v>75</v>
      </c>
      <c r="W228" s="322" t="s">
        <v>70</v>
      </c>
      <c r="X228" s="37"/>
      <c r="Y228" s="37"/>
      <c r="Z228" s="322" t="s">
        <v>78</v>
      </c>
      <c r="AA228" s="322" t="s">
        <v>78</v>
      </c>
      <c r="AB228" s="37"/>
      <c r="AC228" s="324">
        <f>'Ref-AgricultureSources'!$G$6</f>
        <v>17</v>
      </c>
      <c r="AD228" s="324" t="s">
        <v>72</v>
      </c>
      <c r="AE228" s="322" t="s">
        <v>73</v>
      </c>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c r="CA228" s="393"/>
      <c r="CB228" s="393"/>
      <c r="CC228" s="393"/>
      <c r="CD228" s="393"/>
      <c r="CE228" s="393"/>
      <c r="CF228" s="393"/>
      <c r="CG228" s="393"/>
      <c r="CH228" s="393"/>
      <c r="CI228" s="393"/>
      <c r="CJ228" s="390"/>
      <c r="CK228" s="390"/>
      <c r="CL228" s="390"/>
      <c r="CM228" s="390"/>
      <c r="CN228" s="390"/>
      <c r="CO228" s="390"/>
      <c r="CP228" s="390"/>
      <c r="CQ228" s="390"/>
      <c r="CR228" s="390"/>
      <c r="CS228" s="390"/>
      <c r="CT228" s="390"/>
      <c r="CU228" s="390"/>
      <c r="CV228" s="390"/>
      <c r="CW228" s="390"/>
      <c r="CX228" s="390"/>
      <c r="CY228" s="390"/>
      <c r="CZ228" s="390"/>
      <c r="DA228" s="390"/>
      <c r="DB228" s="390"/>
      <c r="DC228" s="390"/>
    </row>
    <row r="229" spans="1:107" s="303" customFormat="1" ht="33.75">
      <c r="A229" s="37"/>
      <c r="B229" s="325" t="s">
        <v>23</v>
      </c>
      <c r="C229" s="320" t="s">
        <v>100</v>
      </c>
      <c r="D229" s="320" t="s">
        <v>1226</v>
      </c>
      <c r="E229" s="324">
        <f>'Ref-AgricultureSources'!$L$7</f>
        <v>536.81628000000001</v>
      </c>
      <c r="F229" s="320" t="s">
        <v>1245</v>
      </c>
      <c r="G229" s="319" t="s">
        <v>935</v>
      </c>
      <c r="H229" s="320" t="s">
        <v>66</v>
      </c>
      <c r="I229" s="319" t="s">
        <v>935</v>
      </c>
      <c r="J229" s="320" t="s">
        <v>994</v>
      </c>
      <c r="K229" s="320" t="s">
        <v>1020</v>
      </c>
      <c r="L229" s="320" t="s">
        <v>1228</v>
      </c>
      <c r="M229" s="320" t="s">
        <v>88</v>
      </c>
      <c r="N229" s="321" t="str">
        <f>IFERROR(E229*G229*'Ref-Savings Calculations'!$E$17*Applicability,"N/A")</f>
        <v>N/A</v>
      </c>
      <c r="O229" s="321" t="str">
        <f>IFERROR(E229*G229*'Ref-Savings Calculations'!$C$63*Applicability*ControlShare,"N/A")</f>
        <v>N/A</v>
      </c>
      <c r="P229" s="321" t="str">
        <f>IFERROR(E229*G229*'Ref-Savings Calculations'!$E$18*Applicability,"N/A")</f>
        <v>N/A</v>
      </c>
      <c r="Q229" s="321" t="s">
        <v>1109</v>
      </c>
      <c r="R229" s="37"/>
      <c r="S229" s="322" t="s">
        <v>69</v>
      </c>
      <c r="T229" s="322" t="s">
        <v>69</v>
      </c>
      <c r="U229" s="322" t="s">
        <v>69</v>
      </c>
      <c r="V229" s="322" t="s">
        <v>69</v>
      </c>
      <c r="W229" s="322" t="s">
        <v>70</v>
      </c>
      <c r="X229" s="37"/>
      <c r="Y229" s="37"/>
      <c r="Z229" s="322" t="s">
        <v>78</v>
      </c>
      <c r="AA229" s="322" t="s">
        <v>78</v>
      </c>
      <c r="AB229" s="37"/>
      <c r="AC229" s="324">
        <f>'Ref-AgricultureSources'!$G$6</f>
        <v>17</v>
      </c>
      <c r="AD229" s="324" t="s">
        <v>72</v>
      </c>
      <c r="AE229" s="322" t="s">
        <v>73</v>
      </c>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c r="CA229" s="393"/>
      <c r="CB229" s="393"/>
      <c r="CC229" s="393"/>
      <c r="CD229" s="393"/>
      <c r="CE229" s="393"/>
      <c r="CF229" s="393"/>
      <c r="CG229" s="393"/>
      <c r="CH229" s="393"/>
      <c r="CI229" s="393"/>
      <c r="CJ229" s="390"/>
      <c r="CK229" s="390"/>
      <c r="CL229" s="390"/>
      <c r="CM229" s="390"/>
      <c r="CN229" s="390"/>
      <c r="CO229" s="390"/>
      <c r="CP229" s="390"/>
      <c r="CQ229" s="390"/>
      <c r="CR229" s="390"/>
      <c r="CS229" s="390"/>
      <c r="CT229" s="390"/>
      <c r="CU229" s="390"/>
      <c r="CV229" s="390"/>
      <c r="CW229" s="390"/>
      <c r="CX229" s="390"/>
      <c r="CY229" s="390"/>
      <c r="CZ229" s="390"/>
      <c r="DA229" s="390"/>
      <c r="DB229" s="390"/>
      <c r="DC229" s="390"/>
    </row>
    <row r="230" spans="1:107" s="303" customFormat="1" ht="33.75">
      <c r="A230" s="37"/>
      <c r="B230" s="325" t="s">
        <v>23</v>
      </c>
      <c r="C230" s="320" t="s">
        <v>100</v>
      </c>
      <c r="D230" s="320" t="s">
        <v>1226</v>
      </c>
      <c r="E230" s="324">
        <f>'Ref-AgricultureSources'!$L$7</f>
        <v>536.81628000000001</v>
      </c>
      <c r="F230" s="320" t="s">
        <v>1245</v>
      </c>
      <c r="G230" s="319" t="s">
        <v>935</v>
      </c>
      <c r="H230" s="320" t="s">
        <v>66</v>
      </c>
      <c r="I230" s="319" t="s">
        <v>935</v>
      </c>
      <c r="J230" s="320" t="s">
        <v>994</v>
      </c>
      <c r="K230" s="320" t="s">
        <v>1020</v>
      </c>
      <c r="L230" s="320" t="s">
        <v>1228</v>
      </c>
      <c r="M230" s="320" t="s">
        <v>90</v>
      </c>
      <c r="N230" s="321" t="str">
        <f>IFERROR(E230*G230*'Ref-Savings Calculations'!$E$17*Applicability,"N/A")</f>
        <v>N/A</v>
      </c>
      <c r="O230" s="321" t="str">
        <f>IFERROR(E230*G230*'Ref-Savings Calculations'!$C$63*Applicability*ControlShare,"N/A")</f>
        <v>N/A</v>
      </c>
      <c r="P230" s="321" t="str">
        <f>IFERROR(E230*G230*'Ref-Savings Calculations'!$E$18*Applicability,"N/A")</f>
        <v>N/A</v>
      </c>
      <c r="Q230" s="321" t="s">
        <v>871</v>
      </c>
      <c r="R230" s="37"/>
      <c r="S230" s="322" t="s">
        <v>69</v>
      </c>
      <c r="T230" s="322" t="s">
        <v>69</v>
      </c>
      <c r="U230" s="322" t="s">
        <v>69</v>
      </c>
      <c r="V230" s="322" t="s">
        <v>69</v>
      </c>
      <c r="W230" s="322" t="s">
        <v>70</v>
      </c>
      <c r="X230" s="37"/>
      <c r="Y230" s="37"/>
      <c r="Z230" s="322" t="s">
        <v>78</v>
      </c>
      <c r="AA230" s="322" t="s">
        <v>78</v>
      </c>
      <c r="AB230" s="37"/>
      <c r="AC230" s="324">
        <f>'Ref-AgricultureSources'!$G$6</f>
        <v>17</v>
      </c>
      <c r="AD230" s="324" t="s">
        <v>72</v>
      </c>
      <c r="AE230" s="322" t="s">
        <v>73</v>
      </c>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c r="CA230" s="393"/>
      <c r="CB230" s="393"/>
      <c r="CC230" s="393"/>
      <c r="CD230" s="393"/>
      <c r="CE230" s="393"/>
      <c r="CF230" s="393"/>
      <c r="CG230" s="393"/>
      <c r="CH230" s="393"/>
      <c r="CI230" s="393"/>
      <c r="CJ230" s="390"/>
      <c r="CK230" s="390"/>
      <c r="CL230" s="390"/>
      <c r="CM230" s="390"/>
      <c r="CN230" s="390"/>
      <c r="CO230" s="390"/>
      <c r="CP230" s="390"/>
      <c r="CQ230" s="390"/>
      <c r="CR230" s="390"/>
      <c r="CS230" s="390"/>
      <c r="CT230" s="390"/>
      <c r="CU230" s="390"/>
      <c r="CV230" s="390"/>
      <c r="CW230" s="390"/>
      <c r="CX230" s="390"/>
      <c r="CY230" s="390"/>
      <c r="CZ230" s="390"/>
      <c r="DA230" s="390"/>
      <c r="DB230" s="390"/>
      <c r="DC230" s="390"/>
    </row>
    <row r="231" spans="1:107" s="303" customFormat="1" ht="33.75">
      <c r="A231" s="37"/>
      <c r="B231" s="325" t="s">
        <v>23</v>
      </c>
      <c r="C231" s="320" t="s">
        <v>100</v>
      </c>
      <c r="D231" s="320" t="s">
        <v>1226</v>
      </c>
      <c r="E231" s="324">
        <f>'Ref-AgricultureSources'!$L$7</f>
        <v>536.81628000000001</v>
      </c>
      <c r="F231" s="320" t="s">
        <v>1245</v>
      </c>
      <c r="G231" s="319" t="s">
        <v>935</v>
      </c>
      <c r="H231" s="320" t="s">
        <v>66</v>
      </c>
      <c r="I231" s="319" t="s">
        <v>935</v>
      </c>
      <c r="J231" s="320" t="s">
        <v>994</v>
      </c>
      <c r="K231" s="320" t="s">
        <v>1020</v>
      </c>
      <c r="L231" s="320" t="s">
        <v>1228</v>
      </c>
      <c r="M231" s="320" t="s">
        <v>91</v>
      </c>
      <c r="N231" s="321" t="str">
        <f>IFERROR(E231*G231*'Ref-Savings Calculations'!$E$17*Applicability,"N/A")</f>
        <v>N/A</v>
      </c>
      <c r="O231" s="321" t="s">
        <v>870</v>
      </c>
      <c r="P231" s="321" t="str">
        <f>IFERROR(E231*G231*'Ref-Savings Calculations'!$E$18*Applicability,"N/A")</f>
        <v>N/A</v>
      </c>
      <c r="Q231" s="321" t="s">
        <v>870</v>
      </c>
      <c r="R231" s="37"/>
      <c r="S231" s="322" t="s">
        <v>69</v>
      </c>
      <c r="T231" s="322" t="s">
        <v>69</v>
      </c>
      <c r="U231" s="322" t="s">
        <v>69</v>
      </c>
      <c r="V231" s="322" t="s">
        <v>69</v>
      </c>
      <c r="W231" s="322" t="s">
        <v>70</v>
      </c>
      <c r="X231" s="37"/>
      <c r="Y231" s="37"/>
      <c r="Z231" s="322" t="s">
        <v>78</v>
      </c>
      <c r="AA231" s="322" t="s">
        <v>78</v>
      </c>
      <c r="AB231" s="37"/>
      <c r="AC231" s="324">
        <f>'Ref-AgricultureSources'!$G$6</f>
        <v>17</v>
      </c>
      <c r="AD231" s="324" t="s">
        <v>72</v>
      </c>
      <c r="AE231" s="322" t="s">
        <v>73</v>
      </c>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c r="CA231" s="393"/>
      <c r="CB231" s="393"/>
      <c r="CC231" s="393"/>
      <c r="CD231" s="393"/>
      <c r="CE231" s="393"/>
      <c r="CF231" s="393"/>
      <c r="CG231" s="393"/>
      <c r="CH231" s="393"/>
      <c r="CI231" s="393"/>
      <c r="CJ231" s="390"/>
      <c r="CK231" s="390"/>
      <c r="CL231" s="390"/>
      <c r="CM231" s="390"/>
      <c r="CN231" s="390"/>
      <c r="CO231" s="390"/>
      <c r="CP231" s="390"/>
      <c r="CQ231" s="390"/>
      <c r="CR231" s="390"/>
      <c r="CS231" s="390"/>
      <c r="CT231" s="390"/>
      <c r="CU231" s="390"/>
      <c r="CV231" s="390"/>
      <c r="CW231" s="390"/>
      <c r="CX231" s="390"/>
      <c r="CY231" s="390"/>
      <c r="CZ231" s="390"/>
      <c r="DA231" s="390"/>
      <c r="DB231" s="390"/>
      <c r="DC231" s="390"/>
    </row>
    <row r="232" spans="1:107" s="303" customFormat="1" ht="33.75">
      <c r="A232" s="37"/>
      <c r="B232" s="325" t="s">
        <v>23</v>
      </c>
      <c r="C232" s="320" t="s">
        <v>100</v>
      </c>
      <c r="D232" s="320" t="s">
        <v>1226</v>
      </c>
      <c r="E232" s="324">
        <f>'Ref-AgricultureSources'!$L$7</f>
        <v>536.81628000000001</v>
      </c>
      <c r="F232" s="320" t="s">
        <v>1245</v>
      </c>
      <c r="G232" s="319" t="s">
        <v>935</v>
      </c>
      <c r="H232" s="320" t="s">
        <v>66</v>
      </c>
      <c r="I232" s="319" t="s">
        <v>935</v>
      </c>
      <c r="J232" s="320" t="s">
        <v>994</v>
      </c>
      <c r="K232" s="320" t="s">
        <v>1020</v>
      </c>
      <c r="L232" s="320" t="s">
        <v>1228</v>
      </c>
      <c r="M232" s="320" t="s">
        <v>92</v>
      </c>
      <c r="N232" s="321" t="str">
        <f>IFERROR(E232*G232*'Ref-Savings Calculations'!$E$17*Applicability,"N/A")</f>
        <v>N/A</v>
      </c>
      <c r="O232" s="321" t="s">
        <v>935</v>
      </c>
      <c r="P232" s="321" t="str">
        <f>IFERROR(E232*G232*'Ref-Savings Calculations'!$E$18*Applicability,"N/A")</f>
        <v>N/A</v>
      </c>
      <c r="Q232" s="321" t="s">
        <v>1055</v>
      </c>
      <c r="R232" s="37"/>
      <c r="S232" s="322" t="s">
        <v>69</v>
      </c>
      <c r="T232" s="322" t="s">
        <v>69</v>
      </c>
      <c r="U232" s="322" t="s">
        <v>69</v>
      </c>
      <c r="V232" s="322" t="s">
        <v>69</v>
      </c>
      <c r="W232" s="322" t="s">
        <v>70</v>
      </c>
      <c r="X232" s="37"/>
      <c r="Y232" s="37"/>
      <c r="Z232" s="322" t="s">
        <v>78</v>
      </c>
      <c r="AA232" s="322" t="s">
        <v>78</v>
      </c>
      <c r="AB232" s="37"/>
      <c r="AC232" s="324">
        <f>'Ref-AgricultureSources'!$G$6</f>
        <v>17</v>
      </c>
      <c r="AD232" s="324" t="s">
        <v>72</v>
      </c>
      <c r="AE232" s="322" t="s">
        <v>73</v>
      </c>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c r="CA232" s="393"/>
      <c r="CB232" s="393"/>
      <c r="CC232" s="393"/>
      <c r="CD232" s="393"/>
      <c r="CE232" s="393"/>
      <c r="CF232" s="393"/>
      <c r="CG232" s="393"/>
      <c r="CH232" s="393"/>
      <c r="CI232" s="393"/>
      <c r="CJ232" s="390"/>
      <c r="CK232" s="390"/>
      <c r="CL232" s="390"/>
      <c r="CM232" s="390"/>
      <c r="CN232" s="390"/>
      <c r="CO232" s="390"/>
      <c r="CP232" s="390"/>
      <c r="CQ232" s="390"/>
      <c r="CR232" s="390"/>
      <c r="CS232" s="390"/>
      <c r="CT232" s="390"/>
      <c r="CU232" s="390"/>
      <c r="CV232" s="390"/>
      <c r="CW232" s="390"/>
      <c r="CX232" s="390"/>
      <c r="CY232" s="390"/>
      <c r="CZ232" s="390"/>
      <c r="DA232" s="390"/>
      <c r="DB232" s="390"/>
      <c r="DC232" s="390"/>
    </row>
    <row r="233" spans="1:107" s="303" customFormat="1" ht="33.75">
      <c r="A233" s="37"/>
      <c r="B233" s="325" t="s">
        <v>23</v>
      </c>
      <c r="C233" s="320" t="s">
        <v>100</v>
      </c>
      <c r="D233" s="320" t="s">
        <v>1226</v>
      </c>
      <c r="E233" s="324">
        <f>'Ref-AgricultureSources'!$L$7</f>
        <v>536.81628000000001</v>
      </c>
      <c r="F233" s="320" t="s">
        <v>1245</v>
      </c>
      <c r="G233" s="319" t="s">
        <v>935</v>
      </c>
      <c r="H233" s="320" t="s">
        <v>66</v>
      </c>
      <c r="I233" s="319" t="s">
        <v>935</v>
      </c>
      <c r="J233" s="320" t="s">
        <v>994</v>
      </c>
      <c r="K233" s="320" t="s">
        <v>1020</v>
      </c>
      <c r="L233" s="320" t="s">
        <v>1228</v>
      </c>
      <c r="M233" s="320" t="s">
        <v>93</v>
      </c>
      <c r="N233" s="321" t="str">
        <f>IFERROR(E233*G233*'Ref-Savings Calculations'!$E$17*Applicability,"N/A")</f>
        <v>N/A</v>
      </c>
      <c r="O233" s="321" t="s">
        <v>935</v>
      </c>
      <c r="P233" s="321" t="str">
        <f>IFERROR(E233*G233*'Ref-Savings Calculations'!$E$18*Applicability,"N/A")</f>
        <v>N/A</v>
      </c>
      <c r="Q233" s="321" t="s">
        <v>1055</v>
      </c>
      <c r="R233" s="37"/>
      <c r="S233" s="322" t="s">
        <v>69</v>
      </c>
      <c r="T233" s="322" t="s">
        <v>69</v>
      </c>
      <c r="U233" s="322" t="s">
        <v>44</v>
      </c>
      <c r="V233" s="322" t="s">
        <v>75</v>
      </c>
      <c r="W233" s="322" t="s">
        <v>70</v>
      </c>
      <c r="X233" s="37"/>
      <c r="Y233" s="37"/>
      <c r="Z233" s="322" t="s">
        <v>78</v>
      </c>
      <c r="AA233" s="322" t="s">
        <v>78</v>
      </c>
      <c r="AB233" s="37"/>
      <c r="AC233" s="324">
        <f>'Ref-AgricultureSources'!$G$6</f>
        <v>17</v>
      </c>
      <c r="AD233" s="324" t="s">
        <v>72</v>
      </c>
      <c r="AE233" s="322" t="s">
        <v>73</v>
      </c>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c r="CA233" s="393"/>
      <c r="CB233" s="393"/>
      <c r="CC233" s="393"/>
      <c r="CD233" s="393"/>
      <c r="CE233" s="393"/>
      <c r="CF233" s="393"/>
      <c r="CG233" s="393"/>
      <c r="CH233" s="393"/>
      <c r="CI233" s="393"/>
      <c r="CJ233" s="390"/>
      <c r="CK233" s="390"/>
      <c r="CL233" s="390"/>
      <c r="CM233" s="390"/>
      <c r="CN233" s="390"/>
      <c r="CO233" s="390"/>
      <c r="CP233" s="390"/>
      <c r="CQ233" s="390"/>
      <c r="CR233" s="390"/>
      <c r="CS233" s="390"/>
      <c r="CT233" s="390"/>
      <c r="CU233" s="390"/>
      <c r="CV233" s="390"/>
      <c r="CW233" s="390"/>
      <c r="CX233" s="390"/>
      <c r="CY233" s="390"/>
      <c r="CZ233" s="390"/>
      <c r="DA233" s="390"/>
      <c r="DB233" s="390"/>
      <c r="DC233" s="390"/>
    </row>
    <row r="234" spans="1:107" s="303" customFormat="1" ht="56.25">
      <c r="A234" s="37"/>
      <c r="B234" s="325" t="s">
        <v>23</v>
      </c>
      <c r="C234" s="320" t="s">
        <v>100</v>
      </c>
      <c r="D234" s="320" t="s">
        <v>1220</v>
      </c>
      <c r="E234" s="324">
        <f>'Ref-AgricultureSources'!$L$7</f>
        <v>536.81628000000001</v>
      </c>
      <c r="F234" s="320" t="s">
        <v>27</v>
      </c>
      <c r="G234" s="319" t="s">
        <v>935</v>
      </c>
      <c r="H234" s="320" t="s">
        <v>66</v>
      </c>
      <c r="I234" s="319" t="s">
        <v>935</v>
      </c>
      <c r="J234" s="320" t="s">
        <v>1097</v>
      </c>
      <c r="K234" s="320" t="s">
        <v>1020</v>
      </c>
      <c r="L234" s="320" t="s">
        <v>960</v>
      </c>
      <c r="M234" s="320" t="s">
        <v>88</v>
      </c>
      <c r="N234" s="321" t="str">
        <f>IFERROR(E234*G234*'Ref-Savings Calculations'!$E$35*Applicability, "N/A")</f>
        <v>N/A</v>
      </c>
      <c r="O234" s="321" t="str">
        <f>IFERROR(E234*G234*'Ref-Savings Calculations'!$C$63*Applicability*ControlShare,"N/A")</f>
        <v>N/A</v>
      </c>
      <c r="P234" s="321" t="str">
        <f>IFERROR(E234*G234*'Ref-Savings Calculations'!$E$36*Applicability, "N/A")</f>
        <v>N/A</v>
      </c>
      <c r="Q234" s="321" t="s">
        <v>1109</v>
      </c>
      <c r="R234" s="37"/>
      <c r="S234" s="322" t="s">
        <v>69</v>
      </c>
      <c r="T234" s="322" t="s">
        <v>69</v>
      </c>
      <c r="U234" s="322" t="s">
        <v>69</v>
      </c>
      <c r="V234" s="322" t="s">
        <v>69</v>
      </c>
      <c r="W234" s="322" t="s">
        <v>70</v>
      </c>
      <c r="X234" s="37"/>
      <c r="Y234" s="37"/>
      <c r="Z234" s="322" t="s">
        <v>78</v>
      </c>
      <c r="AA234" s="322" t="s">
        <v>78</v>
      </c>
      <c r="AB234" s="37"/>
      <c r="AC234" s="324">
        <f>'Ref-AgricultureSources'!$G$6</f>
        <v>17</v>
      </c>
      <c r="AD234" s="324" t="s">
        <v>72</v>
      </c>
      <c r="AE234" s="322" t="s">
        <v>73</v>
      </c>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c r="CA234" s="393"/>
      <c r="CB234" s="393"/>
      <c r="CC234" s="393"/>
      <c r="CD234" s="393"/>
      <c r="CE234" s="393"/>
      <c r="CF234" s="393"/>
      <c r="CG234" s="393"/>
      <c r="CH234" s="393"/>
      <c r="CI234" s="393"/>
      <c r="CJ234" s="390"/>
      <c r="CK234" s="390"/>
      <c r="CL234" s="390"/>
      <c r="CM234" s="390"/>
      <c r="CN234" s="390"/>
      <c r="CO234" s="390"/>
      <c r="CP234" s="390"/>
      <c r="CQ234" s="390"/>
      <c r="CR234" s="390"/>
      <c r="CS234" s="390"/>
      <c r="CT234" s="390"/>
      <c r="CU234" s="390"/>
      <c r="CV234" s="390"/>
      <c r="CW234" s="390"/>
      <c r="CX234" s="390"/>
      <c r="CY234" s="390"/>
      <c r="CZ234" s="390"/>
      <c r="DA234" s="390"/>
      <c r="DB234" s="390"/>
      <c r="DC234" s="390"/>
    </row>
    <row r="235" spans="1:107" s="303" customFormat="1" ht="56.25">
      <c r="A235" s="37"/>
      <c r="B235" s="325" t="s">
        <v>23</v>
      </c>
      <c r="C235" s="320" t="s">
        <v>100</v>
      </c>
      <c r="D235" s="320" t="s">
        <v>1220</v>
      </c>
      <c r="E235" s="324">
        <f>'Ref-AgricultureSources'!$L$7</f>
        <v>536.81628000000001</v>
      </c>
      <c r="F235" s="320" t="s">
        <v>27</v>
      </c>
      <c r="G235" s="319" t="s">
        <v>935</v>
      </c>
      <c r="H235" s="320" t="s">
        <v>66</v>
      </c>
      <c r="I235" s="319" t="s">
        <v>935</v>
      </c>
      <c r="J235" s="320" t="s">
        <v>1097</v>
      </c>
      <c r="K235" s="320" t="s">
        <v>1020</v>
      </c>
      <c r="L235" s="320" t="s">
        <v>960</v>
      </c>
      <c r="M235" s="320" t="s">
        <v>90</v>
      </c>
      <c r="N235" s="321" t="str">
        <f>IFERROR(E235*G235*'Ref-Savings Calculations'!$E$35*Applicability, "N/A")</f>
        <v>N/A</v>
      </c>
      <c r="O235" s="321" t="str">
        <f>IFERROR(E235*G235*'Ref-Savings Calculations'!$C$63*Applicability*ControlShare,"N/A")</f>
        <v>N/A</v>
      </c>
      <c r="P235" s="321" t="str">
        <f>IFERROR(E235*G235*'Ref-Savings Calculations'!$E$36*Applicability, "N/A")</f>
        <v>N/A</v>
      </c>
      <c r="Q235" s="321" t="s">
        <v>871</v>
      </c>
      <c r="R235" s="37"/>
      <c r="S235" s="322" t="s">
        <v>69</v>
      </c>
      <c r="T235" s="322" t="s">
        <v>69</v>
      </c>
      <c r="U235" s="322" t="s">
        <v>69</v>
      </c>
      <c r="V235" s="322" t="s">
        <v>69</v>
      </c>
      <c r="W235" s="322" t="s">
        <v>70</v>
      </c>
      <c r="X235" s="37"/>
      <c r="Y235" s="37"/>
      <c r="Z235" s="322" t="s">
        <v>78</v>
      </c>
      <c r="AA235" s="322" t="s">
        <v>78</v>
      </c>
      <c r="AB235" s="37"/>
      <c r="AC235" s="324">
        <f>'Ref-AgricultureSources'!$G$6</f>
        <v>17</v>
      </c>
      <c r="AD235" s="324" t="s">
        <v>72</v>
      </c>
      <c r="AE235" s="322" t="s">
        <v>73</v>
      </c>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c r="CA235" s="393"/>
      <c r="CB235" s="393"/>
      <c r="CC235" s="393"/>
      <c r="CD235" s="393"/>
      <c r="CE235" s="393"/>
      <c r="CF235" s="393"/>
      <c r="CG235" s="393"/>
      <c r="CH235" s="393"/>
      <c r="CI235" s="393"/>
      <c r="CJ235" s="390"/>
      <c r="CK235" s="390"/>
      <c r="CL235" s="390"/>
      <c r="CM235" s="390"/>
      <c r="CN235" s="390"/>
      <c r="CO235" s="390"/>
      <c r="CP235" s="390"/>
      <c r="CQ235" s="390"/>
      <c r="CR235" s="390"/>
      <c r="CS235" s="390"/>
      <c r="CT235" s="390"/>
      <c r="CU235" s="390"/>
      <c r="CV235" s="390"/>
      <c r="CW235" s="390"/>
      <c r="CX235" s="390"/>
      <c r="CY235" s="390"/>
      <c r="CZ235" s="390"/>
      <c r="DA235" s="390"/>
      <c r="DB235" s="390"/>
      <c r="DC235" s="390"/>
    </row>
    <row r="236" spans="1:107" s="303" customFormat="1" ht="56.25">
      <c r="A236" s="37"/>
      <c r="B236" s="325" t="s">
        <v>23</v>
      </c>
      <c r="C236" s="320" t="s">
        <v>100</v>
      </c>
      <c r="D236" s="320" t="s">
        <v>1220</v>
      </c>
      <c r="E236" s="324">
        <f>'Ref-AgricultureSources'!$L$7</f>
        <v>536.81628000000001</v>
      </c>
      <c r="F236" s="320" t="s">
        <v>27</v>
      </c>
      <c r="G236" s="319" t="s">
        <v>935</v>
      </c>
      <c r="H236" s="320" t="s">
        <v>66</v>
      </c>
      <c r="I236" s="319" t="s">
        <v>935</v>
      </c>
      <c r="J236" s="320" t="s">
        <v>1097</v>
      </c>
      <c r="K236" s="320" t="s">
        <v>1020</v>
      </c>
      <c r="L236" s="320" t="s">
        <v>960</v>
      </c>
      <c r="M236" s="320" t="s">
        <v>91</v>
      </c>
      <c r="N236" s="321" t="str">
        <f>IFERROR(E236*G236*'Ref-Savings Calculations'!$E$35*Applicability, "N/A")</f>
        <v>N/A</v>
      </c>
      <c r="O236" s="321" t="s">
        <v>870</v>
      </c>
      <c r="P236" s="321" t="str">
        <f>IFERROR(E236*G236*'Ref-Savings Calculations'!$E$36*Applicability, "N/A")</f>
        <v>N/A</v>
      </c>
      <c r="Q236" s="321" t="s">
        <v>870</v>
      </c>
      <c r="R236" s="37"/>
      <c r="S236" s="322" t="s">
        <v>69</v>
      </c>
      <c r="T236" s="322" t="s">
        <v>69</v>
      </c>
      <c r="U236" s="322" t="s">
        <v>69</v>
      </c>
      <c r="V236" s="322" t="s">
        <v>69</v>
      </c>
      <c r="W236" s="322" t="s">
        <v>70</v>
      </c>
      <c r="X236" s="37"/>
      <c r="Y236" s="37"/>
      <c r="Z236" s="322" t="s">
        <v>78</v>
      </c>
      <c r="AA236" s="322" t="s">
        <v>78</v>
      </c>
      <c r="AB236" s="37"/>
      <c r="AC236" s="324">
        <f>'Ref-AgricultureSources'!$G$6</f>
        <v>17</v>
      </c>
      <c r="AD236" s="324" t="s">
        <v>72</v>
      </c>
      <c r="AE236" s="322" t="s">
        <v>73</v>
      </c>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c r="CA236" s="393"/>
      <c r="CB236" s="393"/>
      <c r="CC236" s="393"/>
      <c r="CD236" s="393"/>
      <c r="CE236" s="393"/>
      <c r="CF236" s="393"/>
      <c r="CG236" s="393"/>
      <c r="CH236" s="393"/>
      <c r="CI236" s="393"/>
      <c r="CJ236" s="390"/>
      <c r="CK236" s="390"/>
      <c r="CL236" s="390"/>
      <c r="CM236" s="390"/>
      <c r="CN236" s="390"/>
      <c r="CO236" s="390"/>
      <c r="CP236" s="390"/>
      <c r="CQ236" s="390"/>
      <c r="CR236" s="390"/>
      <c r="CS236" s="390"/>
      <c r="CT236" s="390"/>
      <c r="CU236" s="390"/>
      <c r="CV236" s="390"/>
      <c r="CW236" s="390"/>
      <c r="CX236" s="390"/>
      <c r="CY236" s="390"/>
      <c r="CZ236" s="390"/>
      <c r="DA236" s="390"/>
      <c r="DB236" s="390"/>
      <c r="DC236" s="390"/>
    </row>
    <row r="237" spans="1:107" s="303" customFormat="1" ht="56.25">
      <c r="A237" s="37"/>
      <c r="B237" s="325" t="s">
        <v>23</v>
      </c>
      <c r="C237" s="320" t="s">
        <v>100</v>
      </c>
      <c r="D237" s="320" t="s">
        <v>1220</v>
      </c>
      <c r="E237" s="324">
        <f>'Ref-AgricultureSources'!$L$7</f>
        <v>536.81628000000001</v>
      </c>
      <c r="F237" s="320" t="s">
        <v>27</v>
      </c>
      <c r="G237" s="319" t="s">
        <v>935</v>
      </c>
      <c r="H237" s="320" t="s">
        <v>66</v>
      </c>
      <c r="I237" s="319" t="s">
        <v>935</v>
      </c>
      <c r="J237" s="320" t="s">
        <v>1097</v>
      </c>
      <c r="K237" s="320" t="s">
        <v>1020</v>
      </c>
      <c r="L237" s="320" t="s">
        <v>960</v>
      </c>
      <c r="M237" s="320" t="s">
        <v>92</v>
      </c>
      <c r="N237" s="321" t="str">
        <f>IFERROR(E237*G237*'Ref-Savings Calculations'!$E$35*Applicability, "N/A")</f>
        <v>N/A</v>
      </c>
      <c r="O237" s="321" t="s">
        <v>935</v>
      </c>
      <c r="P237" s="321" t="str">
        <f>IFERROR(E237*G237*'Ref-Savings Calculations'!$E$36*Applicability, "N/A")</f>
        <v>N/A</v>
      </c>
      <c r="Q237" s="321" t="s">
        <v>1055</v>
      </c>
      <c r="R237" s="37"/>
      <c r="S237" s="322" t="s">
        <v>69</v>
      </c>
      <c r="T237" s="322" t="s">
        <v>69</v>
      </c>
      <c r="U237" s="322" t="s">
        <v>69</v>
      </c>
      <c r="V237" s="322" t="s">
        <v>69</v>
      </c>
      <c r="W237" s="322" t="s">
        <v>70</v>
      </c>
      <c r="X237" s="37"/>
      <c r="Y237" s="37"/>
      <c r="Z237" s="322" t="s">
        <v>78</v>
      </c>
      <c r="AA237" s="322" t="s">
        <v>78</v>
      </c>
      <c r="AB237" s="37"/>
      <c r="AC237" s="324">
        <f>'Ref-AgricultureSources'!$G$6</f>
        <v>17</v>
      </c>
      <c r="AD237" s="324" t="s">
        <v>72</v>
      </c>
      <c r="AE237" s="322" t="s">
        <v>73</v>
      </c>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c r="CA237" s="393"/>
      <c r="CB237" s="393"/>
      <c r="CC237" s="393"/>
      <c r="CD237" s="393"/>
      <c r="CE237" s="393"/>
      <c r="CF237" s="393"/>
      <c r="CG237" s="393"/>
      <c r="CH237" s="393"/>
      <c r="CI237" s="393"/>
      <c r="CJ237" s="390"/>
      <c r="CK237" s="390"/>
      <c r="CL237" s="390"/>
      <c r="CM237" s="390"/>
      <c r="CN237" s="390"/>
      <c r="CO237" s="390"/>
      <c r="CP237" s="390"/>
      <c r="CQ237" s="390"/>
      <c r="CR237" s="390"/>
      <c r="CS237" s="390"/>
      <c r="CT237" s="390"/>
      <c r="CU237" s="390"/>
      <c r="CV237" s="390"/>
      <c r="CW237" s="390"/>
      <c r="CX237" s="390"/>
      <c r="CY237" s="390"/>
      <c r="CZ237" s="390"/>
      <c r="DA237" s="390"/>
      <c r="DB237" s="390"/>
      <c r="DC237" s="390"/>
    </row>
    <row r="238" spans="1:107" s="303" customFormat="1" ht="56.25">
      <c r="A238" s="37"/>
      <c r="B238" s="325" t="s">
        <v>23</v>
      </c>
      <c r="C238" s="320" t="s">
        <v>100</v>
      </c>
      <c r="D238" s="320" t="s">
        <v>1220</v>
      </c>
      <c r="E238" s="324">
        <f>'Ref-AgricultureSources'!$L$7</f>
        <v>536.81628000000001</v>
      </c>
      <c r="F238" s="320" t="s">
        <v>27</v>
      </c>
      <c r="G238" s="319" t="s">
        <v>935</v>
      </c>
      <c r="H238" s="320" t="s">
        <v>66</v>
      </c>
      <c r="I238" s="319" t="s">
        <v>935</v>
      </c>
      <c r="J238" s="320" t="s">
        <v>1097</v>
      </c>
      <c r="K238" s="320" t="s">
        <v>1020</v>
      </c>
      <c r="L238" s="320" t="s">
        <v>960</v>
      </c>
      <c r="M238" s="320" t="s">
        <v>93</v>
      </c>
      <c r="N238" s="321" t="str">
        <f>IFERROR(E238*G238*'Ref-Savings Calculations'!$E$35*Applicability, "N/A")</f>
        <v>N/A</v>
      </c>
      <c r="O238" s="321" t="s">
        <v>935</v>
      </c>
      <c r="P238" s="321" t="str">
        <f>IFERROR(E238*G238*'Ref-Savings Calculations'!$E$36*Applicability, "N/A")</f>
        <v>N/A</v>
      </c>
      <c r="Q238" s="321" t="s">
        <v>1055</v>
      </c>
      <c r="R238" s="37"/>
      <c r="S238" s="322" t="s">
        <v>69</v>
      </c>
      <c r="T238" s="322" t="s">
        <v>69</v>
      </c>
      <c r="U238" s="322" t="s">
        <v>44</v>
      </c>
      <c r="V238" s="322" t="s">
        <v>75</v>
      </c>
      <c r="W238" s="322" t="s">
        <v>70</v>
      </c>
      <c r="X238" s="37"/>
      <c r="Y238" s="37"/>
      <c r="Z238" s="322" t="s">
        <v>78</v>
      </c>
      <c r="AA238" s="322" t="s">
        <v>78</v>
      </c>
      <c r="AB238" s="37"/>
      <c r="AC238" s="324">
        <f>'Ref-AgricultureSources'!$G$6</f>
        <v>17</v>
      </c>
      <c r="AD238" s="324" t="s">
        <v>72</v>
      </c>
      <c r="AE238" s="322" t="s">
        <v>73</v>
      </c>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c r="CA238" s="393"/>
      <c r="CB238" s="393"/>
      <c r="CC238" s="393"/>
      <c r="CD238" s="393"/>
      <c r="CE238" s="393"/>
      <c r="CF238" s="393"/>
      <c r="CG238" s="393"/>
      <c r="CH238" s="393"/>
      <c r="CI238" s="393"/>
      <c r="CJ238" s="390"/>
      <c r="CK238" s="390"/>
      <c r="CL238" s="390"/>
      <c r="CM238" s="390"/>
      <c r="CN238" s="390"/>
      <c r="CO238" s="390"/>
      <c r="CP238" s="390"/>
      <c r="CQ238" s="390"/>
      <c r="CR238" s="390"/>
      <c r="CS238" s="390"/>
      <c r="CT238" s="390"/>
      <c r="CU238" s="390"/>
      <c r="CV238" s="390"/>
      <c r="CW238" s="390"/>
      <c r="CX238" s="390"/>
      <c r="CY238" s="390"/>
      <c r="CZ238" s="390"/>
      <c r="DA238" s="390"/>
      <c r="DB238" s="390"/>
      <c r="DC238" s="390"/>
    </row>
    <row r="239" spans="1:107" s="317" customFormat="1" ht="56.25">
      <c r="A239" s="37"/>
      <c r="B239" s="332" t="s">
        <v>23</v>
      </c>
      <c r="C239" s="333" t="s">
        <v>100</v>
      </c>
      <c r="D239" s="320" t="s">
        <v>1220</v>
      </c>
      <c r="E239" s="334">
        <f>'Ref-AgricultureSources'!$L$7</f>
        <v>536.81628000000001</v>
      </c>
      <c r="F239" s="333" t="s">
        <v>27</v>
      </c>
      <c r="G239" s="319" t="s">
        <v>935</v>
      </c>
      <c r="H239" s="320" t="s">
        <v>66</v>
      </c>
      <c r="I239" s="319" t="s">
        <v>935</v>
      </c>
      <c r="J239" s="320" t="s">
        <v>1097</v>
      </c>
      <c r="K239" s="320" t="s">
        <v>1020</v>
      </c>
      <c r="L239" s="333" t="s">
        <v>15</v>
      </c>
      <c r="M239" s="333" t="s">
        <v>88</v>
      </c>
      <c r="N239" s="321" t="str">
        <f>IFERROR(E239*G239*'Ref-Savings Calculations'!$E$39*Applicability,"N/A")</f>
        <v>N/A</v>
      </c>
      <c r="O239" s="335" t="str">
        <f>IFERROR(E239*G239*'Ref-Savings Calculations'!$C$63*Applicability*ControlShare,"N/A")</f>
        <v>N/A</v>
      </c>
      <c r="P239" s="321" t="str">
        <f>IFERROR(E239*G239*'Ref-Savings Calculations'!$E$40*Applicability,"N/A")</f>
        <v>N/A</v>
      </c>
      <c r="Q239" s="321" t="s">
        <v>1109</v>
      </c>
      <c r="R239" s="37"/>
      <c r="S239" s="336" t="s">
        <v>44</v>
      </c>
      <c r="T239" s="336" t="s">
        <v>75</v>
      </c>
      <c r="U239" s="336" t="s">
        <v>69</v>
      </c>
      <c r="V239" s="336" t="s">
        <v>69</v>
      </c>
      <c r="W239" s="336" t="s">
        <v>70</v>
      </c>
      <c r="X239" s="37"/>
      <c r="Y239" s="37"/>
      <c r="Z239" s="336" t="s">
        <v>78</v>
      </c>
      <c r="AA239" s="336" t="s">
        <v>78</v>
      </c>
      <c r="AB239" s="37"/>
      <c r="AC239" s="334">
        <f>'Ref-AgricultureSources'!$G$6</f>
        <v>17</v>
      </c>
      <c r="AD239" s="334" t="s">
        <v>72</v>
      </c>
      <c r="AE239" s="336" t="s">
        <v>73</v>
      </c>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c r="CA239" s="393"/>
      <c r="CB239" s="393"/>
      <c r="CC239" s="393"/>
      <c r="CD239" s="393"/>
      <c r="CE239" s="393"/>
      <c r="CF239" s="393"/>
      <c r="CG239" s="393"/>
      <c r="CH239" s="393"/>
      <c r="CI239" s="393"/>
      <c r="CJ239" s="390"/>
      <c r="CK239" s="390"/>
      <c r="CL239" s="390"/>
      <c r="CM239" s="390"/>
      <c r="CN239" s="390"/>
      <c r="CO239" s="390"/>
      <c r="CP239" s="390"/>
      <c r="CQ239" s="390"/>
      <c r="CR239" s="390"/>
      <c r="CS239" s="390"/>
      <c r="CT239" s="390"/>
      <c r="CU239" s="390"/>
      <c r="CV239" s="390"/>
      <c r="CW239" s="390"/>
      <c r="CX239" s="390"/>
      <c r="CY239" s="390"/>
      <c r="CZ239" s="390"/>
      <c r="DA239" s="390"/>
      <c r="DB239" s="390"/>
      <c r="DC239" s="390"/>
    </row>
    <row r="240" spans="1:107" s="317" customFormat="1" ht="56.25">
      <c r="A240" s="37"/>
      <c r="B240" s="332" t="s">
        <v>23</v>
      </c>
      <c r="C240" s="333" t="s">
        <v>100</v>
      </c>
      <c r="D240" s="320" t="s">
        <v>1220</v>
      </c>
      <c r="E240" s="334">
        <f>'Ref-AgricultureSources'!$L$7</f>
        <v>536.81628000000001</v>
      </c>
      <c r="F240" s="333" t="s">
        <v>27</v>
      </c>
      <c r="G240" s="319" t="s">
        <v>935</v>
      </c>
      <c r="H240" s="320" t="s">
        <v>66</v>
      </c>
      <c r="I240" s="319" t="s">
        <v>935</v>
      </c>
      <c r="J240" s="320" t="s">
        <v>1097</v>
      </c>
      <c r="K240" s="320" t="s">
        <v>1020</v>
      </c>
      <c r="L240" s="333" t="s">
        <v>15</v>
      </c>
      <c r="M240" s="333" t="s">
        <v>90</v>
      </c>
      <c r="N240" s="321" t="str">
        <f>IFERROR(E240*G240*'Ref-Savings Calculations'!$E$39*Applicability,"N/A")</f>
        <v>N/A</v>
      </c>
      <c r="O240" s="335" t="str">
        <f>IFERROR(E240*G240*'Ref-Savings Calculations'!$C$63*Applicability*ControlShare,"N/A")</f>
        <v>N/A</v>
      </c>
      <c r="P240" s="321" t="str">
        <f>IFERROR(E240*G240*'Ref-Savings Calculations'!$E$40*Applicability,"N/A")</f>
        <v>N/A</v>
      </c>
      <c r="Q240" s="321" t="s">
        <v>871</v>
      </c>
      <c r="R240" s="37"/>
      <c r="S240" s="336" t="s">
        <v>44</v>
      </c>
      <c r="T240" s="336" t="s">
        <v>75</v>
      </c>
      <c r="U240" s="336" t="s">
        <v>69</v>
      </c>
      <c r="V240" s="336" t="s">
        <v>69</v>
      </c>
      <c r="W240" s="336" t="s">
        <v>70</v>
      </c>
      <c r="X240" s="37"/>
      <c r="Y240" s="37"/>
      <c r="Z240" s="336" t="s">
        <v>78</v>
      </c>
      <c r="AA240" s="336" t="s">
        <v>78</v>
      </c>
      <c r="AB240" s="37"/>
      <c r="AC240" s="334">
        <f>'Ref-AgricultureSources'!$G$6</f>
        <v>17</v>
      </c>
      <c r="AD240" s="334" t="s">
        <v>72</v>
      </c>
      <c r="AE240" s="336" t="s">
        <v>73</v>
      </c>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c r="CA240" s="393"/>
      <c r="CB240" s="393"/>
      <c r="CC240" s="393"/>
      <c r="CD240" s="393"/>
      <c r="CE240" s="393"/>
      <c r="CF240" s="393"/>
      <c r="CG240" s="393"/>
      <c r="CH240" s="393"/>
      <c r="CI240" s="393"/>
      <c r="CJ240" s="390"/>
      <c r="CK240" s="390"/>
      <c r="CL240" s="390"/>
      <c r="CM240" s="390"/>
      <c r="CN240" s="390"/>
      <c r="CO240" s="390"/>
      <c r="CP240" s="390"/>
      <c r="CQ240" s="390"/>
      <c r="CR240" s="390"/>
      <c r="CS240" s="390"/>
      <c r="CT240" s="390"/>
      <c r="CU240" s="390"/>
      <c r="CV240" s="390"/>
      <c r="CW240" s="390"/>
      <c r="CX240" s="390"/>
      <c r="CY240" s="390"/>
      <c r="CZ240" s="390"/>
      <c r="DA240" s="390"/>
      <c r="DB240" s="390"/>
      <c r="DC240" s="390"/>
    </row>
    <row r="241" spans="1:107" s="317" customFormat="1" ht="56.25">
      <c r="A241" s="37"/>
      <c r="B241" s="332" t="s">
        <v>23</v>
      </c>
      <c r="C241" s="333" t="s">
        <v>100</v>
      </c>
      <c r="D241" s="320" t="s">
        <v>1220</v>
      </c>
      <c r="E241" s="334">
        <f>'Ref-AgricultureSources'!$L$7</f>
        <v>536.81628000000001</v>
      </c>
      <c r="F241" s="333" t="s">
        <v>27</v>
      </c>
      <c r="G241" s="319" t="s">
        <v>935</v>
      </c>
      <c r="H241" s="320" t="s">
        <v>66</v>
      </c>
      <c r="I241" s="319" t="s">
        <v>935</v>
      </c>
      <c r="J241" s="320" t="s">
        <v>1097</v>
      </c>
      <c r="K241" s="320" t="s">
        <v>1020</v>
      </c>
      <c r="L241" s="333" t="s">
        <v>15</v>
      </c>
      <c r="M241" s="333" t="s">
        <v>91</v>
      </c>
      <c r="N241" s="321" t="str">
        <f>IFERROR(E241*G241*'Ref-Savings Calculations'!$E$39*Applicability,"N/A")</f>
        <v>N/A</v>
      </c>
      <c r="O241" s="321" t="s">
        <v>870</v>
      </c>
      <c r="P241" s="321" t="str">
        <f>IFERROR(E241*G241*'Ref-Savings Calculations'!$E$40*Applicability,"N/A")</f>
        <v>N/A</v>
      </c>
      <c r="Q241" s="321" t="s">
        <v>870</v>
      </c>
      <c r="R241" s="37"/>
      <c r="S241" s="336" t="s">
        <v>44</v>
      </c>
      <c r="T241" s="336" t="s">
        <v>75</v>
      </c>
      <c r="U241" s="336" t="s">
        <v>69</v>
      </c>
      <c r="V241" s="336" t="s">
        <v>69</v>
      </c>
      <c r="W241" s="336" t="s">
        <v>70</v>
      </c>
      <c r="X241" s="37"/>
      <c r="Y241" s="37"/>
      <c r="Z241" s="336" t="s">
        <v>78</v>
      </c>
      <c r="AA241" s="336" t="s">
        <v>78</v>
      </c>
      <c r="AB241" s="37"/>
      <c r="AC241" s="334">
        <f>'Ref-AgricultureSources'!$G$6</f>
        <v>17</v>
      </c>
      <c r="AD241" s="334" t="s">
        <v>72</v>
      </c>
      <c r="AE241" s="336" t="s">
        <v>73</v>
      </c>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c r="CA241" s="393"/>
      <c r="CB241" s="393"/>
      <c r="CC241" s="393"/>
      <c r="CD241" s="393"/>
      <c r="CE241" s="393"/>
      <c r="CF241" s="393"/>
      <c r="CG241" s="393"/>
      <c r="CH241" s="393"/>
      <c r="CI241" s="393"/>
      <c r="CJ241" s="390"/>
      <c r="CK241" s="390"/>
      <c r="CL241" s="390"/>
      <c r="CM241" s="390"/>
      <c r="CN241" s="390"/>
      <c r="CO241" s="390"/>
      <c r="CP241" s="390"/>
      <c r="CQ241" s="390"/>
      <c r="CR241" s="390"/>
      <c r="CS241" s="390"/>
      <c r="CT241" s="390"/>
      <c r="CU241" s="390"/>
      <c r="CV241" s="390"/>
      <c r="CW241" s="390"/>
      <c r="CX241" s="390"/>
      <c r="CY241" s="390"/>
      <c r="CZ241" s="390"/>
      <c r="DA241" s="390"/>
      <c r="DB241" s="390"/>
      <c r="DC241" s="390"/>
    </row>
    <row r="242" spans="1:107" s="317" customFormat="1" ht="56.25">
      <c r="A242" s="37"/>
      <c r="B242" s="332" t="s">
        <v>23</v>
      </c>
      <c r="C242" s="333" t="s">
        <v>100</v>
      </c>
      <c r="D242" s="320" t="s">
        <v>1220</v>
      </c>
      <c r="E242" s="334">
        <f>'Ref-AgricultureSources'!$L$7</f>
        <v>536.81628000000001</v>
      </c>
      <c r="F242" s="333" t="s">
        <v>27</v>
      </c>
      <c r="G242" s="319" t="s">
        <v>935</v>
      </c>
      <c r="H242" s="320" t="s">
        <v>66</v>
      </c>
      <c r="I242" s="319" t="s">
        <v>935</v>
      </c>
      <c r="J242" s="320" t="s">
        <v>1097</v>
      </c>
      <c r="K242" s="320" t="s">
        <v>1020</v>
      </c>
      <c r="L242" s="333" t="s">
        <v>15</v>
      </c>
      <c r="M242" s="333" t="s">
        <v>92</v>
      </c>
      <c r="N242" s="321" t="str">
        <f>IFERROR(E242*G242*'Ref-Savings Calculations'!$E$39*Applicability,"N/A")</f>
        <v>N/A</v>
      </c>
      <c r="O242" s="321" t="s">
        <v>935</v>
      </c>
      <c r="P242" s="321" t="str">
        <f>IFERROR(E242*G242*'Ref-Savings Calculations'!$E$40*Applicability,"N/A")</f>
        <v>N/A</v>
      </c>
      <c r="Q242" s="321" t="s">
        <v>1055</v>
      </c>
      <c r="R242" s="37"/>
      <c r="S242" s="336" t="s">
        <v>44</v>
      </c>
      <c r="T242" s="336" t="s">
        <v>75</v>
      </c>
      <c r="U242" s="336" t="s">
        <v>69</v>
      </c>
      <c r="V242" s="336" t="s">
        <v>69</v>
      </c>
      <c r="W242" s="336" t="s">
        <v>70</v>
      </c>
      <c r="X242" s="37"/>
      <c r="Y242" s="37"/>
      <c r="Z242" s="336" t="s">
        <v>78</v>
      </c>
      <c r="AA242" s="336" t="s">
        <v>78</v>
      </c>
      <c r="AB242" s="37"/>
      <c r="AC242" s="334">
        <f>'Ref-AgricultureSources'!$G$6</f>
        <v>17</v>
      </c>
      <c r="AD242" s="334" t="s">
        <v>72</v>
      </c>
      <c r="AE242" s="336" t="s">
        <v>73</v>
      </c>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c r="CA242" s="393"/>
      <c r="CB242" s="393"/>
      <c r="CC242" s="393"/>
      <c r="CD242" s="393"/>
      <c r="CE242" s="393"/>
      <c r="CF242" s="393"/>
      <c r="CG242" s="393"/>
      <c r="CH242" s="393"/>
      <c r="CI242" s="393"/>
      <c r="CJ242" s="390"/>
      <c r="CK242" s="390"/>
      <c r="CL242" s="390"/>
      <c r="CM242" s="390"/>
      <c r="CN242" s="390"/>
      <c r="CO242" s="390"/>
      <c r="CP242" s="390"/>
      <c r="CQ242" s="390"/>
      <c r="CR242" s="390"/>
      <c r="CS242" s="390"/>
      <c r="CT242" s="390"/>
      <c r="CU242" s="390"/>
      <c r="CV242" s="390"/>
      <c r="CW242" s="390"/>
      <c r="CX242" s="390"/>
      <c r="CY242" s="390"/>
      <c r="CZ242" s="390"/>
      <c r="DA242" s="390"/>
      <c r="DB242" s="390"/>
      <c r="DC242" s="390"/>
    </row>
    <row r="243" spans="1:107" s="317" customFormat="1" ht="56.25">
      <c r="A243" s="37"/>
      <c r="B243" s="332" t="s">
        <v>23</v>
      </c>
      <c r="C243" s="333" t="s">
        <v>100</v>
      </c>
      <c r="D243" s="320" t="s">
        <v>1220</v>
      </c>
      <c r="E243" s="334">
        <f>'Ref-AgricultureSources'!$L$7</f>
        <v>536.81628000000001</v>
      </c>
      <c r="F243" s="333" t="s">
        <v>27</v>
      </c>
      <c r="G243" s="319" t="s">
        <v>935</v>
      </c>
      <c r="H243" s="320" t="s">
        <v>66</v>
      </c>
      <c r="I243" s="319" t="s">
        <v>935</v>
      </c>
      <c r="J243" s="320" t="s">
        <v>1097</v>
      </c>
      <c r="K243" s="320" t="s">
        <v>1020</v>
      </c>
      <c r="L243" s="333" t="s">
        <v>15</v>
      </c>
      <c r="M243" s="333" t="s">
        <v>93</v>
      </c>
      <c r="N243" s="321" t="str">
        <f>IFERROR(E243*G243*'Ref-Savings Calculations'!$E$39*Applicability,"N/A")</f>
        <v>N/A</v>
      </c>
      <c r="O243" s="321" t="s">
        <v>935</v>
      </c>
      <c r="P243" s="321" t="str">
        <f>IFERROR(E243*G243*'Ref-Savings Calculations'!$E$40*Applicability,"N/A")</f>
        <v>N/A</v>
      </c>
      <c r="Q243" s="321" t="s">
        <v>1055</v>
      </c>
      <c r="R243" s="37"/>
      <c r="S243" s="336" t="s">
        <v>44</v>
      </c>
      <c r="T243" s="336" t="s">
        <v>75</v>
      </c>
      <c r="U243" s="322" t="s">
        <v>44</v>
      </c>
      <c r="V243" s="322" t="s">
        <v>75</v>
      </c>
      <c r="W243" s="336" t="s">
        <v>70</v>
      </c>
      <c r="X243" s="37"/>
      <c r="Y243" s="37"/>
      <c r="Z243" s="336" t="s">
        <v>78</v>
      </c>
      <c r="AA243" s="336" t="s">
        <v>78</v>
      </c>
      <c r="AB243" s="37"/>
      <c r="AC243" s="334">
        <f>'Ref-AgricultureSources'!$G$6</f>
        <v>17</v>
      </c>
      <c r="AD243" s="334" t="s">
        <v>72</v>
      </c>
      <c r="AE243" s="336" t="s">
        <v>73</v>
      </c>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c r="CA243" s="393"/>
      <c r="CB243" s="393"/>
      <c r="CC243" s="393"/>
      <c r="CD243" s="393"/>
      <c r="CE243" s="393"/>
      <c r="CF243" s="393"/>
      <c r="CG243" s="393"/>
      <c r="CH243" s="393"/>
      <c r="CI243" s="393"/>
      <c r="CJ243" s="390"/>
      <c r="CK243" s="390"/>
      <c r="CL243" s="390"/>
      <c r="CM243" s="390"/>
      <c r="CN243" s="390"/>
      <c r="CO243" s="390"/>
      <c r="CP243" s="390"/>
      <c r="CQ243" s="390"/>
      <c r="CR243" s="390"/>
      <c r="CS243" s="390"/>
      <c r="CT243" s="390"/>
      <c r="CU243" s="390"/>
      <c r="CV243" s="390"/>
      <c r="CW243" s="390"/>
      <c r="CX243" s="390"/>
      <c r="CY243" s="390"/>
      <c r="CZ243" s="390"/>
      <c r="DA243" s="390"/>
      <c r="DB243" s="390"/>
      <c r="DC243" s="390"/>
    </row>
    <row r="244" spans="1:107" s="317" customFormat="1" ht="56.25">
      <c r="A244" s="37"/>
      <c r="B244" s="658" t="s">
        <v>23</v>
      </c>
      <c r="C244" s="659" t="s">
        <v>1142</v>
      </c>
      <c r="D244" s="660" t="s">
        <v>1220</v>
      </c>
      <c r="E244" s="661">
        <f>'Ref-ComSources'!$AB$7*'Ref-ComSources'!$E$86</f>
        <v>328.32750217054399</v>
      </c>
      <c r="F244" s="659" t="s">
        <v>27</v>
      </c>
      <c r="G244" s="662">
        <f>'Ref-2013CSSsaturationsINT'!$F$51</f>
        <v>0.96648493861628382</v>
      </c>
      <c r="H244" s="659" t="s">
        <v>66</v>
      </c>
      <c r="I244" s="663">
        <f>'Ref-2013CSSsaturationsINT'!$J$51</f>
        <v>0.72346043337546795</v>
      </c>
      <c r="J244" s="659" t="s">
        <v>1097</v>
      </c>
      <c r="K244" s="659" t="s">
        <v>1025</v>
      </c>
      <c r="L244" s="659" t="s">
        <v>960</v>
      </c>
      <c r="M244" s="659" t="s">
        <v>88</v>
      </c>
      <c r="N244" s="664">
        <f>E244*G244*'Ref-Savings Calculations'!$E$33*Applicability</f>
        <v>46.866252669243487</v>
      </c>
      <c r="O244" s="664">
        <f>E244*G244*'Ref-Savings Calculations'!$C$54*Applicability*ControlShare</f>
        <v>44.07764330680758</v>
      </c>
      <c r="P244" s="664">
        <f>E244*G244*'Ref-Savings Calculations'!$E$34*Applicability</f>
        <v>40.61741898001101</v>
      </c>
      <c r="Q244" s="664" t="s">
        <v>1109</v>
      </c>
      <c r="R244" s="37"/>
      <c r="S244" s="659" t="s">
        <v>69</v>
      </c>
      <c r="T244" s="659" t="s">
        <v>69</v>
      </c>
      <c r="U244" s="659" t="s">
        <v>69</v>
      </c>
      <c r="V244" s="659" t="s">
        <v>69</v>
      </c>
      <c r="W244" s="659" t="s">
        <v>70</v>
      </c>
      <c r="X244" s="37"/>
      <c r="Y244" s="37"/>
      <c r="Z244" s="659" t="s">
        <v>78</v>
      </c>
      <c r="AA244" s="659" t="s">
        <v>78</v>
      </c>
      <c r="AB244" s="37"/>
      <c r="AC244" s="666">
        <f>'Ref-ComHOU'!$G$96</f>
        <v>12.202739726027396</v>
      </c>
      <c r="AD244" s="664" t="s">
        <v>72</v>
      </c>
      <c r="AE244" s="659" t="s">
        <v>73</v>
      </c>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c r="CA244" s="393"/>
      <c r="CB244" s="393"/>
      <c r="CC244" s="393"/>
      <c r="CD244" s="393"/>
      <c r="CE244" s="393"/>
      <c r="CF244" s="393"/>
      <c r="CG244" s="393"/>
      <c r="CH244" s="393"/>
      <c r="CI244" s="393"/>
      <c r="CJ244" s="390"/>
      <c r="CK244" s="390"/>
      <c r="CL244" s="390"/>
      <c r="CM244" s="390"/>
      <c r="CN244" s="390"/>
      <c r="CO244" s="390"/>
      <c r="CP244" s="390"/>
      <c r="CQ244" s="390"/>
      <c r="CR244" s="390"/>
      <c r="CS244" s="390"/>
      <c r="CT244" s="390"/>
      <c r="CU244" s="390"/>
      <c r="CV244" s="390"/>
      <c r="CW244" s="390"/>
      <c r="CX244" s="390"/>
      <c r="CY244" s="390"/>
      <c r="CZ244" s="390"/>
      <c r="DA244" s="390"/>
      <c r="DB244" s="390"/>
      <c r="DC244" s="390"/>
    </row>
    <row r="245" spans="1:107" s="317" customFormat="1" ht="56.25">
      <c r="A245" s="37"/>
      <c r="B245" s="658" t="s">
        <v>23</v>
      </c>
      <c r="C245" s="659" t="s">
        <v>1142</v>
      </c>
      <c r="D245" s="660" t="s">
        <v>1220</v>
      </c>
      <c r="E245" s="661">
        <f>'Ref-ComSources'!$AB$7*'Ref-ComSources'!$E$86</f>
        <v>328.32750217054399</v>
      </c>
      <c r="F245" s="659" t="s">
        <v>27</v>
      </c>
      <c r="G245" s="662">
        <f>'Ref-2013CSSsaturationsINT'!$F$51</f>
        <v>0.96648493861628382</v>
      </c>
      <c r="H245" s="659" t="s">
        <v>66</v>
      </c>
      <c r="I245" s="663">
        <f>'Ref-2013CSSsaturationsINT'!$J$51</f>
        <v>0.72346043337546795</v>
      </c>
      <c r="J245" s="659" t="s">
        <v>1097</v>
      </c>
      <c r="K245" s="659" t="s">
        <v>1025</v>
      </c>
      <c r="L245" s="659" t="s">
        <v>960</v>
      </c>
      <c r="M245" s="659" t="s">
        <v>90</v>
      </c>
      <c r="N245" s="664">
        <f>E245*G245*'Ref-Savings Calculations'!$E$33*Applicability</f>
        <v>46.866252669243487</v>
      </c>
      <c r="O245" s="664">
        <f>E245*G245*'Ref-Savings Calculations'!$C$82*Applicability*ControlShare</f>
        <v>53.260485662392504</v>
      </c>
      <c r="P245" s="664">
        <f>E245*G245*'Ref-Savings Calculations'!$E$34*Applicability</f>
        <v>40.61741898001101</v>
      </c>
      <c r="Q245" s="664" t="s">
        <v>871</v>
      </c>
      <c r="R245" s="37"/>
      <c r="S245" s="659" t="s">
        <v>69</v>
      </c>
      <c r="T245" s="659" t="s">
        <v>69</v>
      </c>
      <c r="U245" s="659" t="s">
        <v>69</v>
      </c>
      <c r="V245" s="659" t="s">
        <v>69</v>
      </c>
      <c r="W245" s="659" t="s">
        <v>70</v>
      </c>
      <c r="X245" s="37"/>
      <c r="Y245" s="37"/>
      <c r="Z245" s="659" t="s">
        <v>78</v>
      </c>
      <c r="AA245" s="659" t="s">
        <v>78</v>
      </c>
      <c r="AB245" s="37"/>
      <c r="AC245" s="666">
        <f>'Ref-ComHOU'!$G$96</f>
        <v>12.202739726027396</v>
      </c>
      <c r="AD245" s="664" t="s">
        <v>72</v>
      </c>
      <c r="AE245" s="659" t="s">
        <v>73</v>
      </c>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c r="CA245" s="393"/>
      <c r="CB245" s="393"/>
      <c r="CC245" s="393"/>
      <c r="CD245" s="393"/>
      <c r="CE245" s="393"/>
      <c r="CF245" s="393"/>
      <c r="CG245" s="393"/>
      <c r="CH245" s="393"/>
      <c r="CI245" s="393"/>
      <c r="CJ245" s="390"/>
      <c r="CK245" s="390"/>
      <c r="CL245" s="390"/>
      <c r="CM245" s="390"/>
      <c r="CN245" s="390"/>
      <c r="CO245" s="390"/>
      <c r="CP245" s="390"/>
      <c r="CQ245" s="390"/>
      <c r="CR245" s="390"/>
      <c r="CS245" s="390"/>
      <c r="CT245" s="390"/>
      <c r="CU245" s="390"/>
      <c r="CV245" s="390"/>
      <c r="CW245" s="390"/>
      <c r="CX245" s="390"/>
      <c r="CY245" s="390"/>
      <c r="CZ245" s="390"/>
      <c r="DA245" s="390"/>
      <c r="DB245" s="390"/>
      <c r="DC245" s="390"/>
    </row>
    <row r="246" spans="1:107" s="317" customFormat="1" ht="56.25">
      <c r="A246" s="37"/>
      <c r="B246" s="658" t="s">
        <v>23</v>
      </c>
      <c r="C246" s="659" t="s">
        <v>1142</v>
      </c>
      <c r="D246" s="660" t="s">
        <v>1220</v>
      </c>
      <c r="E246" s="661">
        <f>'Ref-ComSources'!$AB$7*'Ref-ComSources'!$E$86</f>
        <v>328.32750217054399</v>
      </c>
      <c r="F246" s="659" t="s">
        <v>27</v>
      </c>
      <c r="G246" s="662">
        <f>'Ref-2013CSSsaturationsINT'!$F$51</f>
        <v>0.96648493861628382</v>
      </c>
      <c r="H246" s="659" t="s">
        <v>66</v>
      </c>
      <c r="I246" s="663">
        <f>'Ref-2013CSSsaturationsINT'!$J$51</f>
        <v>0.72346043337546795</v>
      </c>
      <c r="J246" s="659" t="s">
        <v>1097</v>
      </c>
      <c r="K246" s="659" t="s">
        <v>1025</v>
      </c>
      <c r="L246" s="659" t="s">
        <v>960</v>
      </c>
      <c r="M246" s="659" t="s">
        <v>91</v>
      </c>
      <c r="N246" s="664">
        <f>E246*G246*'Ref-Savings Calculations'!$E$33*Applicability</f>
        <v>46.866252669243487</v>
      </c>
      <c r="O246" s="664" t="s">
        <v>870</v>
      </c>
      <c r="P246" s="664">
        <f>E246*G246*'Ref-Savings Calculations'!$E$34*Applicability</f>
        <v>40.61741898001101</v>
      </c>
      <c r="Q246" s="664" t="s">
        <v>870</v>
      </c>
      <c r="R246" s="37"/>
      <c r="S246" s="665" t="s">
        <v>69</v>
      </c>
      <c r="T246" s="659" t="s">
        <v>69</v>
      </c>
      <c r="U246" s="665" t="s">
        <v>870</v>
      </c>
      <c r="V246" s="665" t="s">
        <v>870</v>
      </c>
      <c r="W246" s="659" t="s">
        <v>70</v>
      </c>
      <c r="X246" s="37"/>
      <c r="Y246" s="37"/>
      <c r="Z246" s="659" t="s">
        <v>78</v>
      </c>
      <c r="AA246" s="659" t="s">
        <v>78</v>
      </c>
      <c r="AB246" s="37"/>
      <c r="AC246" s="666">
        <f>'Ref-ComHOU'!$G$96</f>
        <v>12.202739726027396</v>
      </c>
      <c r="AD246" s="664" t="s">
        <v>72</v>
      </c>
      <c r="AE246" s="659" t="s">
        <v>73</v>
      </c>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c r="CA246" s="393"/>
      <c r="CB246" s="393"/>
      <c r="CC246" s="393"/>
      <c r="CD246" s="393"/>
      <c r="CE246" s="393"/>
      <c r="CF246" s="393"/>
      <c r="CG246" s="393"/>
      <c r="CH246" s="393"/>
      <c r="CI246" s="393"/>
      <c r="CJ246" s="390"/>
      <c r="CK246" s="390"/>
      <c r="CL246" s="390"/>
      <c r="CM246" s="390"/>
      <c r="CN246" s="390"/>
      <c r="CO246" s="390"/>
      <c r="CP246" s="390"/>
      <c r="CQ246" s="390"/>
      <c r="CR246" s="390"/>
      <c r="CS246" s="390"/>
      <c r="CT246" s="390"/>
      <c r="CU246" s="390"/>
      <c r="CV246" s="390"/>
      <c r="CW246" s="390"/>
      <c r="CX246" s="390"/>
      <c r="CY246" s="390"/>
      <c r="CZ246" s="390"/>
      <c r="DA246" s="390"/>
      <c r="DB246" s="390"/>
      <c r="DC246" s="390"/>
    </row>
    <row r="247" spans="1:107" s="317" customFormat="1" ht="56.25">
      <c r="A247" s="37"/>
      <c r="B247" s="658" t="s">
        <v>23</v>
      </c>
      <c r="C247" s="659" t="s">
        <v>1142</v>
      </c>
      <c r="D247" s="660" t="s">
        <v>1220</v>
      </c>
      <c r="E247" s="661">
        <f>'Ref-ComSources'!$AB$7*'Ref-ComSources'!$E$86</f>
        <v>328.32750217054399</v>
      </c>
      <c r="F247" s="659" t="s">
        <v>27</v>
      </c>
      <c r="G247" s="662">
        <f>'Ref-2013CSSsaturationsINT'!$F$51</f>
        <v>0.96648493861628382</v>
      </c>
      <c r="H247" s="659" t="s">
        <v>66</v>
      </c>
      <c r="I247" s="663">
        <f>'Ref-2013CSSsaturationsINT'!$J$51</f>
        <v>0.72346043337546795</v>
      </c>
      <c r="J247" s="659" t="s">
        <v>1097</v>
      </c>
      <c r="K247" s="659" t="s">
        <v>1025</v>
      </c>
      <c r="L247" s="659" t="s">
        <v>960</v>
      </c>
      <c r="M247" s="659" t="s">
        <v>92</v>
      </c>
      <c r="N247" s="664">
        <f>E247*G247*'Ref-Savings Calculations'!$E$33*Applicability</f>
        <v>46.866252669243487</v>
      </c>
      <c r="O247" s="664">
        <f>E247*G247*'Ref-Savings Calculations'!$C$99*Applicability*ControlShare</f>
        <v>66.116464960211374</v>
      </c>
      <c r="P247" s="664">
        <f>E247*G247*'Ref-Savings Calculations'!$E$34*Applicability</f>
        <v>40.61741898001101</v>
      </c>
      <c r="Q247" s="664">
        <f>E247*G247*('Ref-Savings Calculations'!$C$99-'Ref-Savings Calculations'!$C$82)*Applicability*ControlShare</f>
        <v>12.855979297818878</v>
      </c>
      <c r="R247" s="37"/>
      <c r="S247" s="665" t="s">
        <v>69</v>
      </c>
      <c r="T247" s="659" t="s">
        <v>69</v>
      </c>
      <c r="U247" s="659" t="s">
        <v>69</v>
      </c>
      <c r="V247" s="659" t="s">
        <v>69</v>
      </c>
      <c r="W247" s="659" t="s">
        <v>70</v>
      </c>
      <c r="X247" s="37"/>
      <c r="Y247" s="37"/>
      <c r="Z247" s="659" t="s">
        <v>78</v>
      </c>
      <c r="AA247" s="659" t="s">
        <v>78</v>
      </c>
      <c r="AB247" s="37"/>
      <c r="AC247" s="666">
        <f>'Ref-ComHOU'!$G$96</f>
        <v>12.202739726027396</v>
      </c>
      <c r="AD247" s="664" t="s">
        <v>72</v>
      </c>
      <c r="AE247" s="659" t="s">
        <v>73</v>
      </c>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c r="CA247" s="393"/>
      <c r="CB247" s="393"/>
      <c r="CC247" s="393"/>
      <c r="CD247" s="393"/>
      <c r="CE247" s="393"/>
      <c r="CF247" s="393"/>
      <c r="CG247" s="393"/>
      <c r="CH247" s="393"/>
      <c r="CI247" s="393"/>
      <c r="CJ247" s="390"/>
      <c r="CK247" s="390"/>
      <c r="CL247" s="390"/>
      <c r="CM247" s="390"/>
      <c r="CN247" s="390"/>
      <c r="CO247" s="390"/>
      <c r="CP247" s="390"/>
      <c r="CQ247" s="390"/>
      <c r="CR247" s="390"/>
      <c r="CS247" s="390"/>
      <c r="CT247" s="390"/>
      <c r="CU247" s="390"/>
      <c r="CV247" s="390"/>
      <c r="CW247" s="390"/>
      <c r="CX247" s="390"/>
      <c r="CY247" s="390"/>
      <c r="CZ247" s="390"/>
      <c r="DA247" s="390"/>
      <c r="DB247" s="390"/>
      <c r="DC247" s="390"/>
    </row>
    <row r="248" spans="1:107" s="317" customFormat="1" ht="56.25">
      <c r="A248" s="37"/>
      <c r="B248" s="658" t="s">
        <v>23</v>
      </c>
      <c r="C248" s="659" t="s">
        <v>1142</v>
      </c>
      <c r="D248" s="660" t="s">
        <v>1220</v>
      </c>
      <c r="E248" s="661">
        <f>'Ref-ComSources'!$AB$7*'Ref-ComSources'!$E$86</f>
        <v>328.32750217054399</v>
      </c>
      <c r="F248" s="659" t="s">
        <v>27</v>
      </c>
      <c r="G248" s="662">
        <f>'Ref-2013CSSsaturationsINT'!$F$51</f>
        <v>0.96648493861628382</v>
      </c>
      <c r="H248" s="659" t="s">
        <v>66</v>
      </c>
      <c r="I248" s="663">
        <f>'Ref-2013CSSsaturationsINT'!$J$51</f>
        <v>0.72346043337546795</v>
      </c>
      <c r="J248" s="659" t="s">
        <v>1097</v>
      </c>
      <c r="K248" s="659" t="s">
        <v>1025</v>
      </c>
      <c r="L248" s="659" t="s">
        <v>960</v>
      </c>
      <c r="M248" s="659" t="s">
        <v>93</v>
      </c>
      <c r="N248" s="664">
        <f>E248*G248*'Ref-Savings Calculations'!$E$33*Applicability</f>
        <v>46.866252669243487</v>
      </c>
      <c r="O248" s="664">
        <f>E248*G248*'Ref-Savings Calculations'!$C$109*Applicability*ControlShare</f>
        <v>69.789601902445355</v>
      </c>
      <c r="P248" s="664">
        <f>E248*G248*'Ref-Savings Calculations'!$E$34*Applicability</f>
        <v>40.61741898001101</v>
      </c>
      <c r="Q248" s="664" t="s">
        <v>871</v>
      </c>
      <c r="R248" s="37"/>
      <c r="S248" s="659" t="s">
        <v>69</v>
      </c>
      <c r="T248" s="659" t="s">
        <v>69</v>
      </c>
      <c r="U248" s="665" t="s">
        <v>44</v>
      </c>
      <c r="V248" s="665" t="s">
        <v>75</v>
      </c>
      <c r="W248" s="659" t="s">
        <v>70</v>
      </c>
      <c r="X248" s="37"/>
      <c r="Y248" s="37"/>
      <c r="Z248" s="659" t="s">
        <v>78</v>
      </c>
      <c r="AA248" s="659" t="s">
        <v>78</v>
      </c>
      <c r="AB248" s="37"/>
      <c r="AC248" s="666">
        <f>'Ref-ComHOU'!$G$96</f>
        <v>12.202739726027396</v>
      </c>
      <c r="AD248" s="664" t="s">
        <v>72</v>
      </c>
      <c r="AE248" s="659" t="s">
        <v>73</v>
      </c>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c r="CA248" s="393"/>
      <c r="CB248" s="393"/>
      <c r="CC248" s="393"/>
      <c r="CD248" s="393"/>
      <c r="CE248" s="393"/>
      <c r="CF248" s="393"/>
      <c r="CG248" s="393"/>
      <c r="CH248" s="393"/>
      <c r="CI248" s="393"/>
      <c r="CJ248" s="390"/>
      <c r="CK248" s="390"/>
      <c r="CL248" s="390"/>
      <c r="CM248" s="390"/>
      <c r="CN248" s="390"/>
      <c r="CO248" s="390"/>
      <c r="CP248" s="390"/>
      <c r="CQ248" s="390"/>
      <c r="CR248" s="390"/>
      <c r="CS248" s="390"/>
      <c r="CT248" s="390"/>
      <c r="CU248" s="390"/>
      <c r="CV248" s="390"/>
      <c r="CW248" s="390"/>
      <c r="CX248" s="390"/>
      <c r="CY248" s="390"/>
      <c r="CZ248" s="390"/>
      <c r="DA248" s="390"/>
      <c r="DB248" s="390"/>
      <c r="DC248" s="390"/>
    </row>
    <row r="249" spans="1:107" s="317" customFormat="1" ht="56.25">
      <c r="A249" s="37"/>
      <c r="B249" s="658" t="s">
        <v>23</v>
      </c>
      <c r="C249" s="659" t="s">
        <v>1142</v>
      </c>
      <c r="D249" s="660" t="s">
        <v>1220</v>
      </c>
      <c r="E249" s="661">
        <f>'Ref-ComSources'!$AB$7*'Ref-ComSources'!$E$86</f>
        <v>328.32750217054399</v>
      </c>
      <c r="F249" s="659" t="s">
        <v>27</v>
      </c>
      <c r="G249" s="662">
        <f>'Ref-2013CSSsaturationsINT'!$F$51</f>
        <v>0.96648493861628382</v>
      </c>
      <c r="H249" s="659" t="s">
        <v>66</v>
      </c>
      <c r="I249" s="663">
        <f>'Ref-2013CSSsaturationsINT'!$J$51</f>
        <v>0.72346043337546795</v>
      </c>
      <c r="J249" s="659" t="s">
        <v>1097</v>
      </c>
      <c r="K249" s="659" t="s">
        <v>1025</v>
      </c>
      <c r="L249" s="659" t="s">
        <v>15</v>
      </c>
      <c r="M249" s="659" t="s">
        <v>88</v>
      </c>
      <c r="N249" s="664">
        <f>E249*G249*'Ref-Savings Calculations'!$E$39*Applicability</f>
        <v>64.97578185046406</v>
      </c>
      <c r="O249" s="664">
        <f>E249*G249*'Ref-Savings Calculations'!$C$54*Applicability*ControlShare</f>
        <v>44.07764330680758</v>
      </c>
      <c r="P249" s="664">
        <f>E249*G249*'Ref-Savings Calculations'!$E$40*Applicability</f>
        <v>55.531627511733802</v>
      </c>
      <c r="Q249" s="664" t="s">
        <v>1109</v>
      </c>
      <c r="R249" s="37"/>
      <c r="S249" s="659" t="s">
        <v>44</v>
      </c>
      <c r="T249" s="665" t="s">
        <v>63</v>
      </c>
      <c r="U249" s="659" t="s">
        <v>69</v>
      </c>
      <c r="V249" s="659" t="s">
        <v>69</v>
      </c>
      <c r="W249" s="659" t="s">
        <v>70</v>
      </c>
      <c r="X249" s="37"/>
      <c r="Y249" s="37"/>
      <c r="Z249" s="659" t="s">
        <v>78</v>
      </c>
      <c r="AA249" s="659" t="s">
        <v>78</v>
      </c>
      <c r="AB249" s="37"/>
      <c r="AC249" s="666">
        <f>'Ref-ComHOU'!$G$96</f>
        <v>12.202739726027396</v>
      </c>
      <c r="AD249" s="664" t="s">
        <v>72</v>
      </c>
      <c r="AE249" s="659" t="s">
        <v>73</v>
      </c>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c r="CA249" s="393"/>
      <c r="CB249" s="393"/>
      <c r="CC249" s="393"/>
      <c r="CD249" s="393"/>
      <c r="CE249" s="393"/>
      <c r="CF249" s="393"/>
      <c r="CG249" s="393"/>
      <c r="CH249" s="393"/>
      <c r="CI249" s="393"/>
      <c r="CJ249" s="390"/>
      <c r="CK249" s="390"/>
      <c r="CL249" s="390"/>
      <c r="CM249" s="390"/>
      <c r="CN249" s="390"/>
      <c r="CO249" s="390"/>
      <c r="CP249" s="390"/>
      <c r="CQ249" s="390"/>
      <c r="CR249" s="390"/>
      <c r="CS249" s="390"/>
      <c r="CT249" s="390"/>
      <c r="CU249" s="390"/>
      <c r="CV249" s="390"/>
      <c r="CW249" s="390"/>
      <c r="CX249" s="390"/>
      <c r="CY249" s="390"/>
      <c r="CZ249" s="390"/>
      <c r="DA249" s="390"/>
      <c r="DB249" s="390"/>
      <c r="DC249" s="390"/>
    </row>
    <row r="250" spans="1:107" s="317" customFormat="1" ht="56.25">
      <c r="A250" s="37"/>
      <c r="B250" s="658" t="s">
        <v>23</v>
      </c>
      <c r="C250" s="659" t="s">
        <v>1142</v>
      </c>
      <c r="D250" s="660" t="s">
        <v>1220</v>
      </c>
      <c r="E250" s="661">
        <f>'Ref-ComSources'!$AB$7*'Ref-ComSources'!$E$86</f>
        <v>328.32750217054399</v>
      </c>
      <c r="F250" s="659" t="s">
        <v>27</v>
      </c>
      <c r="G250" s="662">
        <f>'Ref-2013CSSsaturationsINT'!$F$51</f>
        <v>0.96648493861628382</v>
      </c>
      <c r="H250" s="659" t="s">
        <v>66</v>
      </c>
      <c r="I250" s="663">
        <f>'Ref-2013CSSsaturationsINT'!$J$51</f>
        <v>0.72346043337546795</v>
      </c>
      <c r="J250" s="659" t="s">
        <v>1097</v>
      </c>
      <c r="K250" s="659" t="s">
        <v>1025</v>
      </c>
      <c r="L250" s="659" t="s">
        <v>15</v>
      </c>
      <c r="M250" s="659" t="s">
        <v>90</v>
      </c>
      <c r="N250" s="664">
        <f>E250*G250*'Ref-Savings Calculations'!$E$39*Applicability</f>
        <v>64.97578185046406</v>
      </c>
      <c r="O250" s="664">
        <f>E250*G250*'Ref-Savings Calculations'!$C$82*Applicability*ControlShare</f>
        <v>53.260485662392504</v>
      </c>
      <c r="P250" s="664">
        <f>E250*G250*'Ref-Savings Calculations'!$E$40*Applicability</f>
        <v>55.531627511733802</v>
      </c>
      <c r="Q250" s="664" t="s">
        <v>871</v>
      </c>
      <c r="R250" s="37"/>
      <c r="S250" s="659" t="s">
        <v>44</v>
      </c>
      <c r="T250" s="665" t="s">
        <v>63</v>
      </c>
      <c r="U250" s="659" t="s">
        <v>69</v>
      </c>
      <c r="V250" s="659" t="s">
        <v>69</v>
      </c>
      <c r="W250" s="659" t="s">
        <v>70</v>
      </c>
      <c r="X250" s="37"/>
      <c r="Y250" s="37"/>
      <c r="Z250" s="659" t="s">
        <v>78</v>
      </c>
      <c r="AA250" s="659" t="s">
        <v>78</v>
      </c>
      <c r="AB250" s="37"/>
      <c r="AC250" s="666">
        <f>'Ref-ComHOU'!$G$96</f>
        <v>12.202739726027396</v>
      </c>
      <c r="AD250" s="664" t="s">
        <v>72</v>
      </c>
      <c r="AE250" s="659" t="s">
        <v>73</v>
      </c>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c r="CA250" s="393"/>
      <c r="CB250" s="393"/>
      <c r="CC250" s="393"/>
      <c r="CD250" s="393"/>
      <c r="CE250" s="393"/>
      <c r="CF250" s="393"/>
      <c r="CG250" s="393"/>
      <c r="CH250" s="393"/>
      <c r="CI250" s="393"/>
      <c r="CJ250" s="390"/>
      <c r="CK250" s="390"/>
      <c r="CL250" s="390"/>
      <c r="CM250" s="390"/>
      <c r="CN250" s="390"/>
      <c r="CO250" s="390"/>
      <c r="CP250" s="390"/>
      <c r="CQ250" s="390"/>
      <c r="CR250" s="390"/>
      <c r="CS250" s="390"/>
      <c r="CT250" s="390"/>
      <c r="CU250" s="390"/>
      <c r="CV250" s="390"/>
      <c r="CW250" s="390"/>
      <c r="CX250" s="390"/>
      <c r="CY250" s="390"/>
      <c r="CZ250" s="390"/>
      <c r="DA250" s="390"/>
      <c r="DB250" s="390"/>
      <c r="DC250" s="390"/>
    </row>
    <row r="251" spans="1:107" s="317" customFormat="1" ht="56.25">
      <c r="A251" s="37"/>
      <c r="B251" s="658" t="s">
        <v>23</v>
      </c>
      <c r="C251" s="659" t="s">
        <v>1142</v>
      </c>
      <c r="D251" s="660" t="s">
        <v>1220</v>
      </c>
      <c r="E251" s="661">
        <f>'Ref-ComSources'!$AB$7*'Ref-ComSources'!$E$86</f>
        <v>328.32750217054399</v>
      </c>
      <c r="F251" s="659" t="s">
        <v>27</v>
      </c>
      <c r="G251" s="662">
        <f>'Ref-2013CSSsaturationsINT'!$F$51</f>
        <v>0.96648493861628382</v>
      </c>
      <c r="H251" s="659" t="s">
        <v>66</v>
      </c>
      <c r="I251" s="663">
        <f>'Ref-2013CSSsaturationsINT'!$J$51</f>
        <v>0.72346043337546795</v>
      </c>
      <c r="J251" s="659" t="s">
        <v>1097</v>
      </c>
      <c r="K251" s="659" t="s">
        <v>1025</v>
      </c>
      <c r="L251" s="659" t="s">
        <v>15</v>
      </c>
      <c r="M251" s="659" t="s">
        <v>91</v>
      </c>
      <c r="N251" s="664">
        <f>E251*G251*'Ref-Savings Calculations'!$E$39*Applicability</f>
        <v>64.97578185046406</v>
      </c>
      <c r="O251" s="664" t="s">
        <v>870</v>
      </c>
      <c r="P251" s="664">
        <f>E251*G251*'Ref-Savings Calculations'!$E$40*Applicability</f>
        <v>55.531627511733802</v>
      </c>
      <c r="Q251" s="664" t="s">
        <v>870</v>
      </c>
      <c r="R251" s="37"/>
      <c r="S251" s="659" t="s">
        <v>44</v>
      </c>
      <c r="T251" s="665" t="s">
        <v>63</v>
      </c>
      <c r="U251" s="665" t="s">
        <v>870</v>
      </c>
      <c r="V251" s="665" t="s">
        <v>870</v>
      </c>
      <c r="W251" s="659" t="s">
        <v>70</v>
      </c>
      <c r="X251" s="37"/>
      <c r="Y251" s="37"/>
      <c r="Z251" s="659" t="s">
        <v>78</v>
      </c>
      <c r="AA251" s="659" t="s">
        <v>78</v>
      </c>
      <c r="AB251" s="37"/>
      <c r="AC251" s="666">
        <f>'Ref-ComHOU'!$G$96</f>
        <v>12.202739726027396</v>
      </c>
      <c r="AD251" s="664" t="s">
        <v>72</v>
      </c>
      <c r="AE251" s="659" t="s">
        <v>73</v>
      </c>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c r="CA251" s="393"/>
      <c r="CB251" s="393"/>
      <c r="CC251" s="393"/>
      <c r="CD251" s="393"/>
      <c r="CE251" s="393"/>
      <c r="CF251" s="393"/>
      <c r="CG251" s="393"/>
      <c r="CH251" s="393"/>
      <c r="CI251" s="393"/>
      <c r="CJ251" s="390"/>
      <c r="CK251" s="390"/>
      <c r="CL251" s="390"/>
      <c r="CM251" s="390"/>
      <c r="CN251" s="390"/>
      <c r="CO251" s="390"/>
      <c r="CP251" s="390"/>
      <c r="CQ251" s="390"/>
      <c r="CR251" s="390"/>
      <c r="CS251" s="390"/>
      <c r="CT251" s="390"/>
      <c r="CU251" s="390"/>
      <c r="CV251" s="390"/>
      <c r="CW251" s="390"/>
      <c r="CX251" s="390"/>
      <c r="CY251" s="390"/>
      <c r="CZ251" s="390"/>
      <c r="DA251" s="390"/>
      <c r="DB251" s="390"/>
      <c r="DC251" s="390"/>
    </row>
    <row r="252" spans="1:107" s="317" customFormat="1" ht="56.25">
      <c r="A252" s="37"/>
      <c r="B252" s="658" t="s">
        <v>23</v>
      </c>
      <c r="C252" s="659" t="s">
        <v>1142</v>
      </c>
      <c r="D252" s="660" t="s">
        <v>1220</v>
      </c>
      <c r="E252" s="661">
        <f>'Ref-ComSources'!$AB$7*'Ref-ComSources'!$E$86</f>
        <v>328.32750217054399</v>
      </c>
      <c r="F252" s="659" t="s">
        <v>27</v>
      </c>
      <c r="G252" s="662">
        <f>'Ref-2013CSSsaturationsINT'!$F$51</f>
        <v>0.96648493861628382</v>
      </c>
      <c r="H252" s="659" t="s">
        <v>66</v>
      </c>
      <c r="I252" s="663">
        <f>'Ref-2013CSSsaturationsINT'!$J$51</f>
        <v>0.72346043337546795</v>
      </c>
      <c r="J252" s="659" t="s">
        <v>1097</v>
      </c>
      <c r="K252" s="659" t="s">
        <v>1025</v>
      </c>
      <c r="L252" s="659" t="s">
        <v>15</v>
      </c>
      <c r="M252" s="659" t="s">
        <v>92</v>
      </c>
      <c r="N252" s="664">
        <f>E252*G252*'Ref-Savings Calculations'!$E$39*Applicability</f>
        <v>64.97578185046406</v>
      </c>
      <c r="O252" s="664">
        <f>E252*G252*'Ref-Savings Calculations'!$C$99*Applicability*ControlShare</f>
        <v>66.116464960211374</v>
      </c>
      <c r="P252" s="664">
        <f>E252*G252*'Ref-Savings Calculations'!$E$40*Applicability</f>
        <v>55.531627511733802</v>
      </c>
      <c r="Q252" s="664">
        <f>E252*G252*('Ref-Savings Calculations'!$C$99-'Ref-Savings Calculations'!$C$82)*Applicability*ControlShare</f>
        <v>12.855979297818878</v>
      </c>
      <c r="R252" s="37"/>
      <c r="S252" s="659" t="s">
        <v>44</v>
      </c>
      <c r="T252" s="665" t="s">
        <v>63</v>
      </c>
      <c r="U252" s="659" t="s">
        <v>69</v>
      </c>
      <c r="V252" s="659" t="s">
        <v>69</v>
      </c>
      <c r="W252" s="659" t="s">
        <v>70</v>
      </c>
      <c r="X252" s="37"/>
      <c r="Y252" s="37"/>
      <c r="Z252" s="659" t="s">
        <v>78</v>
      </c>
      <c r="AA252" s="659" t="s">
        <v>78</v>
      </c>
      <c r="AB252" s="37"/>
      <c r="AC252" s="666">
        <f>'Ref-ComHOU'!$G$96</f>
        <v>12.202739726027396</v>
      </c>
      <c r="AD252" s="664" t="s">
        <v>72</v>
      </c>
      <c r="AE252" s="659" t="s">
        <v>73</v>
      </c>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c r="CA252" s="393"/>
      <c r="CB252" s="393"/>
      <c r="CC252" s="393"/>
      <c r="CD252" s="393"/>
      <c r="CE252" s="393"/>
      <c r="CF252" s="393"/>
      <c r="CG252" s="393"/>
      <c r="CH252" s="393"/>
      <c r="CI252" s="393"/>
      <c r="CJ252" s="390"/>
      <c r="CK252" s="390"/>
      <c r="CL252" s="390"/>
      <c r="CM252" s="390"/>
      <c r="CN252" s="390"/>
      <c r="CO252" s="390"/>
      <c r="CP252" s="390"/>
      <c r="CQ252" s="390"/>
      <c r="CR252" s="390"/>
      <c r="CS252" s="390"/>
      <c r="CT252" s="390"/>
      <c r="CU252" s="390"/>
      <c r="CV252" s="390"/>
      <c r="CW252" s="390"/>
      <c r="CX252" s="390"/>
      <c r="CY252" s="390"/>
      <c r="CZ252" s="390"/>
      <c r="DA252" s="390"/>
      <c r="DB252" s="390"/>
      <c r="DC252" s="390"/>
    </row>
    <row r="253" spans="1:107" s="317" customFormat="1" ht="56.25">
      <c r="A253" s="37"/>
      <c r="B253" s="658" t="s">
        <v>23</v>
      </c>
      <c r="C253" s="659" t="s">
        <v>1142</v>
      </c>
      <c r="D253" s="660" t="s">
        <v>1220</v>
      </c>
      <c r="E253" s="661">
        <f>'Ref-ComSources'!$AB$7*'Ref-ComSources'!$E$86</f>
        <v>328.32750217054399</v>
      </c>
      <c r="F253" s="659" t="s">
        <v>27</v>
      </c>
      <c r="G253" s="662">
        <f>'Ref-2013CSSsaturationsINT'!$F$51</f>
        <v>0.96648493861628382</v>
      </c>
      <c r="H253" s="659" t="s">
        <v>66</v>
      </c>
      <c r="I253" s="663">
        <f>'Ref-2013CSSsaturationsINT'!$J$51</f>
        <v>0.72346043337546795</v>
      </c>
      <c r="J253" s="659" t="s">
        <v>1097</v>
      </c>
      <c r="K253" s="659" t="s">
        <v>1025</v>
      </c>
      <c r="L253" s="659" t="s">
        <v>15</v>
      </c>
      <c r="M253" s="659" t="s">
        <v>93</v>
      </c>
      <c r="N253" s="664">
        <f>E253*G253*'Ref-Savings Calculations'!$E$39*Applicability</f>
        <v>64.97578185046406</v>
      </c>
      <c r="O253" s="664">
        <f>E253*G253*'Ref-Savings Calculations'!$C$109*Applicability*ControlShare</f>
        <v>69.789601902445355</v>
      </c>
      <c r="P253" s="664">
        <f>E253*G253*'Ref-Savings Calculations'!$E$40*Applicability</f>
        <v>55.531627511733802</v>
      </c>
      <c r="Q253" s="664" t="s">
        <v>871</v>
      </c>
      <c r="R253" s="37"/>
      <c r="S253" s="659" t="s">
        <v>44</v>
      </c>
      <c r="T253" s="665" t="s">
        <v>63</v>
      </c>
      <c r="U253" s="665" t="s">
        <v>44</v>
      </c>
      <c r="V253" s="665" t="s">
        <v>75</v>
      </c>
      <c r="W253" s="659" t="s">
        <v>70</v>
      </c>
      <c r="X253" s="37"/>
      <c r="Y253" s="37"/>
      <c r="Z253" s="659" t="s">
        <v>78</v>
      </c>
      <c r="AA253" s="659" t="s">
        <v>78</v>
      </c>
      <c r="AB253" s="37"/>
      <c r="AC253" s="666">
        <f>'Ref-ComHOU'!$G$96</f>
        <v>12.202739726027396</v>
      </c>
      <c r="AD253" s="664" t="s">
        <v>72</v>
      </c>
      <c r="AE253" s="659" t="s">
        <v>73</v>
      </c>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c r="CA253" s="393"/>
      <c r="CB253" s="393"/>
      <c r="CC253" s="393"/>
      <c r="CD253" s="393"/>
      <c r="CE253" s="393"/>
      <c r="CF253" s="393"/>
      <c r="CG253" s="393"/>
      <c r="CH253" s="393"/>
      <c r="CI253" s="393"/>
      <c r="CJ253" s="390"/>
      <c r="CK253" s="390"/>
      <c r="CL253" s="390"/>
      <c r="CM253" s="390"/>
      <c r="CN253" s="390"/>
      <c r="CO253" s="390"/>
      <c r="CP253" s="390"/>
      <c r="CQ253" s="390"/>
      <c r="CR253" s="390"/>
      <c r="CS253" s="390"/>
      <c r="CT253" s="390"/>
      <c r="CU253" s="390"/>
      <c r="CV253" s="390"/>
      <c r="CW253" s="390"/>
      <c r="CX253" s="390"/>
      <c r="CY253" s="390"/>
      <c r="CZ253" s="390"/>
      <c r="DA253" s="390"/>
      <c r="DB253" s="390"/>
      <c r="DC253" s="390"/>
    </row>
    <row r="254" spans="1:107" s="317" customFormat="1" ht="56.25">
      <c r="A254" s="37"/>
      <c r="B254" s="667" t="s">
        <v>23</v>
      </c>
      <c r="C254" s="668" t="s">
        <v>1142</v>
      </c>
      <c r="D254" s="669" t="s">
        <v>1226</v>
      </c>
      <c r="E254" s="670">
        <f>'Ref-ComSources'!$AB$7*'Ref-ComSources'!$D$86</f>
        <v>1091.5065405491862</v>
      </c>
      <c r="F254" s="668" t="s">
        <v>27</v>
      </c>
      <c r="G254" s="671">
        <f>'Ref-2013CSSsaturationsINT'!$F$59</f>
        <v>0.93010280779392651</v>
      </c>
      <c r="H254" s="668" t="s">
        <v>66</v>
      </c>
      <c r="I254" s="672">
        <f>'Ref-2013CSSsaturationsINT'!$J$59</f>
        <v>0.48057777987331629</v>
      </c>
      <c r="J254" s="668" t="s">
        <v>1097</v>
      </c>
      <c r="K254" s="668" t="s">
        <v>1025</v>
      </c>
      <c r="L254" s="673" t="s">
        <v>1228</v>
      </c>
      <c r="M254" s="668" t="s">
        <v>88</v>
      </c>
      <c r="N254" s="674">
        <f>E254*G254*'Ref-Savings Calculations'!$E$33*Applicability</f>
        <v>149.93919479486527</v>
      </c>
      <c r="O254" s="674">
        <f>E254*G254*'Ref-Savings Calculations'!$C$54*Applicability*ControlShare</f>
        <v>93.674678955661747</v>
      </c>
      <c r="P254" s="674">
        <f>E254*G254*'Ref-Savings Calculations'!$E$34*Applicability</f>
        <v>129.94730215554986</v>
      </c>
      <c r="Q254" s="674" t="s">
        <v>1109</v>
      </c>
      <c r="R254" s="37"/>
      <c r="S254" s="668" t="s">
        <v>69</v>
      </c>
      <c r="T254" s="668" t="s">
        <v>69</v>
      </c>
      <c r="U254" s="668" t="s">
        <v>69</v>
      </c>
      <c r="V254" s="668" t="s">
        <v>69</v>
      </c>
      <c r="W254" s="668" t="s">
        <v>70</v>
      </c>
      <c r="X254" s="37"/>
      <c r="Y254" s="37"/>
      <c r="Z254" s="668" t="s">
        <v>78</v>
      </c>
      <c r="AA254" s="668" t="s">
        <v>78</v>
      </c>
      <c r="AB254" s="37"/>
      <c r="AC254" s="676">
        <f>'Ref-ComHOU'!$G$96</f>
        <v>12.202739726027396</v>
      </c>
      <c r="AD254" s="674" t="s">
        <v>72</v>
      </c>
      <c r="AE254" s="668" t="s">
        <v>73</v>
      </c>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c r="CA254" s="393"/>
      <c r="CB254" s="393"/>
      <c r="CC254" s="393"/>
      <c r="CD254" s="393"/>
      <c r="CE254" s="393"/>
      <c r="CF254" s="393"/>
      <c r="CG254" s="393"/>
      <c r="CH254" s="393"/>
      <c r="CI254" s="393"/>
      <c r="CJ254" s="390"/>
      <c r="CK254" s="390"/>
      <c r="CL254" s="390"/>
      <c r="CM254" s="390"/>
      <c r="CN254" s="390"/>
      <c r="CO254" s="390"/>
      <c r="CP254" s="390"/>
      <c r="CQ254" s="390"/>
      <c r="CR254" s="390"/>
      <c r="CS254" s="390"/>
      <c r="CT254" s="390"/>
      <c r="CU254" s="390"/>
      <c r="CV254" s="390"/>
      <c r="CW254" s="390"/>
      <c r="CX254" s="390"/>
      <c r="CY254" s="390"/>
      <c r="CZ254" s="390"/>
      <c r="DA254" s="390"/>
      <c r="DB254" s="390"/>
      <c r="DC254" s="390"/>
    </row>
    <row r="255" spans="1:107" s="317" customFormat="1" ht="56.25">
      <c r="A255" s="37"/>
      <c r="B255" s="667" t="s">
        <v>23</v>
      </c>
      <c r="C255" s="668" t="s">
        <v>1142</v>
      </c>
      <c r="D255" s="669" t="s">
        <v>1226</v>
      </c>
      <c r="E255" s="670">
        <f>'Ref-ComSources'!$AB$7*'Ref-ComSources'!$D$86</f>
        <v>1091.5065405491862</v>
      </c>
      <c r="F255" s="668" t="s">
        <v>27</v>
      </c>
      <c r="G255" s="671">
        <f>'Ref-2013CSSsaturationsINT'!$F$59</f>
        <v>0.93010280779392651</v>
      </c>
      <c r="H255" s="668" t="s">
        <v>66</v>
      </c>
      <c r="I255" s="672">
        <f>'Ref-2013CSSsaturationsINT'!$J$59</f>
        <v>0.48057777987331629</v>
      </c>
      <c r="J255" s="668" t="s">
        <v>1097</v>
      </c>
      <c r="K255" s="668" t="s">
        <v>1025</v>
      </c>
      <c r="L255" s="673" t="s">
        <v>1228</v>
      </c>
      <c r="M255" s="668" t="s">
        <v>90</v>
      </c>
      <c r="N255" s="674">
        <f>E255*G255*'Ref-Savings Calculations'!$E$33*Applicability</f>
        <v>149.93919479486527</v>
      </c>
      <c r="O255" s="674">
        <f>E255*G255*'Ref-Savings Calculations'!$C$82*Applicability*ControlShare</f>
        <v>113.1902370714246</v>
      </c>
      <c r="P255" s="674">
        <f>E255*G255*'Ref-Savings Calculations'!$E$34*Applicability</f>
        <v>129.94730215554986</v>
      </c>
      <c r="Q255" s="674" t="s">
        <v>871</v>
      </c>
      <c r="R255" s="37"/>
      <c r="S255" s="668" t="s">
        <v>69</v>
      </c>
      <c r="T255" s="668" t="s">
        <v>69</v>
      </c>
      <c r="U255" s="668" t="s">
        <v>69</v>
      </c>
      <c r="V255" s="668" t="s">
        <v>69</v>
      </c>
      <c r="W255" s="668" t="s">
        <v>70</v>
      </c>
      <c r="X255" s="37"/>
      <c r="Y255" s="37"/>
      <c r="Z255" s="668" t="s">
        <v>78</v>
      </c>
      <c r="AA255" s="668" t="s">
        <v>78</v>
      </c>
      <c r="AB255" s="37"/>
      <c r="AC255" s="676">
        <f>'Ref-ComHOU'!$G$96</f>
        <v>12.202739726027396</v>
      </c>
      <c r="AD255" s="674" t="s">
        <v>72</v>
      </c>
      <c r="AE255" s="668" t="s">
        <v>73</v>
      </c>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c r="CA255" s="393"/>
      <c r="CB255" s="393"/>
      <c r="CC255" s="393"/>
      <c r="CD255" s="393"/>
      <c r="CE255" s="393"/>
      <c r="CF255" s="393"/>
      <c r="CG255" s="393"/>
      <c r="CH255" s="393"/>
      <c r="CI255" s="393"/>
      <c r="CJ255" s="390"/>
      <c r="CK255" s="390"/>
      <c r="CL255" s="390"/>
      <c r="CM255" s="390"/>
      <c r="CN255" s="390"/>
      <c r="CO255" s="390"/>
      <c r="CP255" s="390"/>
      <c r="CQ255" s="390"/>
      <c r="CR255" s="390"/>
      <c r="CS255" s="390"/>
      <c r="CT255" s="390"/>
      <c r="CU255" s="390"/>
      <c r="CV255" s="390"/>
      <c r="CW255" s="390"/>
      <c r="CX255" s="390"/>
      <c r="CY255" s="390"/>
      <c r="CZ255" s="390"/>
      <c r="DA255" s="390"/>
      <c r="DB255" s="390"/>
      <c r="DC255" s="390"/>
    </row>
    <row r="256" spans="1:107" s="317" customFormat="1" ht="56.25">
      <c r="A256" s="37"/>
      <c r="B256" s="667" t="s">
        <v>23</v>
      </c>
      <c r="C256" s="668" t="s">
        <v>1142</v>
      </c>
      <c r="D256" s="669" t="s">
        <v>1226</v>
      </c>
      <c r="E256" s="670">
        <f>'Ref-ComSources'!$AB$7*'Ref-ComSources'!$D$86</f>
        <v>1091.5065405491862</v>
      </c>
      <c r="F256" s="668" t="s">
        <v>27</v>
      </c>
      <c r="G256" s="671">
        <f>'Ref-2013CSSsaturationsINT'!$F$59</f>
        <v>0.93010280779392651</v>
      </c>
      <c r="H256" s="668" t="s">
        <v>66</v>
      </c>
      <c r="I256" s="672">
        <f>'Ref-2013CSSsaturationsINT'!$J$59</f>
        <v>0.48057777987331629</v>
      </c>
      <c r="J256" s="668" t="s">
        <v>1097</v>
      </c>
      <c r="K256" s="668" t="s">
        <v>1025</v>
      </c>
      <c r="L256" s="673" t="s">
        <v>1228</v>
      </c>
      <c r="M256" s="668" t="s">
        <v>91</v>
      </c>
      <c r="N256" s="674">
        <f>E256*G256*'Ref-Savings Calculations'!$E$33*Applicability</f>
        <v>149.93919479486527</v>
      </c>
      <c r="O256" s="674" t="s">
        <v>870</v>
      </c>
      <c r="P256" s="674">
        <f>E256*G256*'Ref-Savings Calculations'!$E$34*Applicability</f>
        <v>129.94730215554986</v>
      </c>
      <c r="Q256" s="674" t="s">
        <v>870</v>
      </c>
      <c r="R256" s="37"/>
      <c r="S256" s="668" t="s">
        <v>69</v>
      </c>
      <c r="T256" s="668" t="s">
        <v>69</v>
      </c>
      <c r="U256" s="673" t="s">
        <v>870</v>
      </c>
      <c r="V256" s="673" t="s">
        <v>870</v>
      </c>
      <c r="W256" s="668" t="s">
        <v>70</v>
      </c>
      <c r="X256" s="37"/>
      <c r="Y256" s="37"/>
      <c r="Z256" s="668" t="s">
        <v>78</v>
      </c>
      <c r="AA256" s="668" t="s">
        <v>78</v>
      </c>
      <c r="AB256" s="37"/>
      <c r="AC256" s="676">
        <f>'Ref-ComHOU'!$G$96</f>
        <v>12.202739726027396</v>
      </c>
      <c r="AD256" s="674" t="s">
        <v>72</v>
      </c>
      <c r="AE256" s="668" t="s">
        <v>73</v>
      </c>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c r="CA256" s="393"/>
      <c r="CB256" s="393"/>
      <c r="CC256" s="393"/>
      <c r="CD256" s="393"/>
      <c r="CE256" s="393"/>
      <c r="CF256" s="393"/>
      <c r="CG256" s="393"/>
      <c r="CH256" s="393"/>
      <c r="CI256" s="393"/>
      <c r="CJ256" s="390"/>
      <c r="CK256" s="390"/>
      <c r="CL256" s="390"/>
      <c r="CM256" s="390"/>
      <c r="CN256" s="390"/>
      <c r="CO256" s="390"/>
      <c r="CP256" s="390"/>
      <c r="CQ256" s="390"/>
      <c r="CR256" s="390"/>
      <c r="CS256" s="390"/>
      <c r="CT256" s="390"/>
      <c r="CU256" s="390"/>
      <c r="CV256" s="390"/>
      <c r="CW256" s="390"/>
      <c r="CX256" s="390"/>
      <c r="CY256" s="390"/>
      <c r="CZ256" s="390"/>
      <c r="DA256" s="390"/>
      <c r="DB256" s="390"/>
      <c r="DC256" s="390"/>
    </row>
    <row r="257" spans="1:107" s="317" customFormat="1" ht="56.25">
      <c r="A257" s="37"/>
      <c r="B257" s="667" t="s">
        <v>23</v>
      </c>
      <c r="C257" s="668" t="s">
        <v>1142</v>
      </c>
      <c r="D257" s="669" t="s">
        <v>1226</v>
      </c>
      <c r="E257" s="670">
        <f>'Ref-ComSources'!$AB$7*'Ref-ComSources'!$D$86</f>
        <v>1091.5065405491862</v>
      </c>
      <c r="F257" s="668" t="s">
        <v>27</v>
      </c>
      <c r="G257" s="671">
        <f>'Ref-2013CSSsaturationsINT'!$F$59</f>
        <v>0.93010280779392651</v>
      </c>
      <c r="H257" s="668" t="s">
        <v>66</v>
      </c>
      <c r="I257" s="672">
        <f>'Ref-2013CSSsaturationsINT'!$J$59</f>
        <v>0.48057777987331629</v>
      </c>
      <c r="J257" s="668" t="s">
        <v>1097</v>
      </c>
      <c r="K257" s="668" t="s">
        <v>1025</v>
      </c>
      <c r="L257" s="673" t="s">
        <v>1228</v>
      </c>
      <c r="M257" s="668" t="s">
        <v>92</v>
      </c>
      <c r="N257" s="674">
        <f>E257*G257*'Ref-Savings Calculations'!$E$33*Applicability</f>
        <v>149.93919479486527</v>
      </c>
      <c r="O257" s="674">
        <f>E257*G257*'Ref-Savings Calculations'!$C$99*Applicability*ControlShare</f>
        <v>140.51201843349264</v>
      </c>
      <c r="P257" s="674">
        <f>E257*G257*'Ref-Savings Calculations'!$E$34*Applicability</f>
        <v>129.94730215554986</v>
      </c>
      <c r="Q257" s="674">
        <f>E257*G257*('Ref-Savings Calculations'!$C$99-'Ref-Savings Calculations'!$C$82)*Applicability*ControlShare</f>
        <v>27.321781362068013</v>
      </c>
      <c r="R257" s="37"/>
      <c r="S257" s="668" t="s">
        <v>69</v>
      </c>
      <c r="T257" s="668" t="s">
        <v>69</v>
      </c>
      <c r="U257" s="668" t="s">
        <v>69</v>
      </c>
      <c r="V257" s="668" t="s">
        <v>69</v>
      </c>
      <c r="W257" s="668" t="s">
        <v>70</v>
      </c>
      <c r="X257" s="37"/>
      <c r="Y257" s="37"/>
      <c r="Z257" s="668" t="s">
        <v>78</v>
      </c>
      <c r="AA257" s="668" t="s">
        <v>78</v>
      </c>
      <c r="AB257" s="37"/>
      <c r="AC257" s="676">
        <f>'Ref-ComHOU'!$G$96</f>
        <v>12.202739726027396</v>
      </c>
      <c r="AD257" s="674" t="s">
        <v>72</v>
      </c>
      <c r="AE257" s="668" t="s">
        <v>73</v>
      </c>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c r="CA257" s="393"/>
      <c r="CB257" s="393"/>
      <c r="CC257" s="393"/>
      <c r="CD257" s="393"/>
      <c r="CE257" s="393"/>
      <c r="CF257" s="393"/>
      <c r="CG257" s="393"/>
      <c r="CH257" s="393"/>
      <c r="CI257" s="393"/>
      <c r="CJ257" s="390"/>
      <c r="CK257" s="390"/>
      <c r="CL257" s="390"/>
      <c r="CM257" s="390"/>
      <c r="CN257" s="390"/>
      <c r="CO257" s="390"/>
      <c r="CP257" s="390"/>
      <c r="CQ257" s="390"/>
      <c r="CR257" s="390"/>
      <c r="CS257" s="390"/>
      <c r="CT257" s="390"/>
      <c r="CU257" s="390"/>
      <c r="CV257" s="390"/>
      <c r="CW257" s="390"/>
      <c r="CX257" s="390"/>
      <c r="CY257" s="390"/>
      <c r="CZ257" s="390"/>
      <c r="DA257" s="390"/>
      <c r="DB257" s="390"/>
      <c r="DC257" s="390"/>
    </row>
    <row r="258" spans="1:107" s="317" customFormat="1" ht="56.25">
      <c r="A258" s="37"/>
      <c r="B258" s="667" t="s">
        <v>23</v>
      </c>
      <c r="C258" s="668" t="s">
        <v>1142</v>
      </c>
      <c r="D258" s="669" t="s">
        <v>1226</v>
      </c>
      <c r="E258" s="670">
        <f>'Ref-ComSources'!$AB$7*'Ref-ComSources'!$D$86</f>
        <v>1091.5065405491862</v>
      </c>
      <c r="F258" s="668" t="s">
        <v>27</v>
      </c>
      <c r="G258" s="671">
        <f>'Ref-2013CSSsaturationsINT'!$F$59</f>
        <v>0.93010280779392651</v>
      </c>
      <c r="H258" s="668" t="s">
        <v>66</v>
      </c>
      <c r="I258" s="672">
        <f>'Ref-2013CSSsaturationsINT'!$J$59</f>
        <v>0.48057777987331629</v>
      </c>
      <c r="J258" s="668" t="s">
        <v>1097</v>
      </c>
      <c r="K258" s="668" t="s">
        <v>1025</v>
      </c>
      <c r="L258" s="673" t="s">
        <v>1228</v>
      </c>
      <c r="M258" s="668" t="s">
        <v>93</v>
      </c>
      <c r="N258" s="674">
        <f>E258*G258*'Ref-Savings Calculations'!$E$33*Applicability</f>
        <v>149.93919479486527</v>
      </c>
      <c r="O258" s="674">
        <f>E258*G258*'Ref-Savings Calculations'!$C$109*Applicability*ControlShare</f>
        <v>148.31824167979778</v>
      </c>
      <c r="P258" s="674">
        <f>E258*G258*'Ref-Savings Calculations'!$E$34*Applicability</f>
        <v>129.94730215554986</v>
      </c>
      <c r="Q258" s="674" t="s">
        <v>871</v>
      </c>
      <c r="R258" s="37"/>
      <c r="S258" s="668" t="s">
        <v>69</v>
      </c>
      <c r="T258" s="668" t="s">
        <v>69</v>
      </c>
      <c r="U258" s="673" t="s">
        <v>44</v>
      </c>
      <c r="V258" s="673" t="s">
        <v>75</v>
      </c>
      <c r="W258" s="668" t="s">
        <v>70</v>
      </c>
      <c r="X258" s="37"/>
      <c r="Y258" s="37"/>
      <c r="Z258" s="668" t="s">
        <v>78</v>
      </c>
      <c r="AA258" s="668" t="s">
        <v>78</v>
      </c>
      <c r="AB258" s="37"/>
      <c r="AC258" s="676">
        <f>'Ref-ComHOU'!$G$96</f>
        <v>12.202739726027396</v>
      </c>
      <c r="AD258" s="674" t="s">
        <v>72</v>
      </c>
      <c r="AE258" s="668" t="s">
        <v>73</v>
      </c>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c r="CA258" s="393"/>
      <c r="CB258" s="393"/>
      <c r="CC258" s="393"/>
      <c r="CD258" s="393"/>
      <c r="CE258" s="393"/>
      <c r="CF258" s="393"/>
      <c r="CG258" s="393"/>
      <c r="CH258" s="393"/>
      <c r="CI258" s="393"/>
      <c r="CJ258" s="390"/>
      <c r="CK258" s="390"/>
      <c r="CL258" s="390"/>
      <c r="CM258" s="390"/>
      <c r="CN258" s="390"/>
      <c r="CO258" s="390"/>
      <c r="CP258" s="390"/>
      <c r="CQ258" s="390"/>
      <c r="CR258" s="390"/>
      <c r="CS258" s="390"/>
      <c r="CT258" s="390"/>
      <c r="CU258" s="390"/>
      <c r="CV258" s="390"/>
      <c r="CW258" s="390"/>
      <c r="CX258" s="390"/>
      <c r="CY258" s="390"/>
      <c r="CZ258" s="390"/>
      <c r="DA258" s="390"/>
      <c r="DB258" s="390"/>
      <c r="DC258" s="390"/>
    </row>
    <row r="259" spans="1:107" s="317" customFormat="1" ht="56.25">
      <c r="A259" s="37"/>
      <c r="B259" s="667" t="s">
        <v>23</v>
      </c>
      <c r="C259" s="668" t="s">
        <v>1142</v>
      </c>
      <c r="D259" s="669" t="s">
        <v>1226</v>
      </c>
      <c r="E259" s="670">
        <f>'Ref-ComSources'!$AB$7*'Ref-ComSources'!$D$86</f>
        <v>1091.5065405491862</v>
      </c>
      <c r="F259" s="668" t="s">
        <v>27</v>
      </c>
      <c r="G259" s="671">
        <f>'Ref-2013CSSsaturationsINT'!$F$59</f>
        <v>0.93010280779392651</v>
      </c>
      <c r="H259" s="668" t="s">
        <v>66</v>
      </c>
      <c r="I259" s="672">
        <f>'Ref-2013CSSsaturationsINT'!$J$59</f>
        <v>0.48057777987331629</v>
      </c>
      <c r="J259" s="668" t="s">
        <v>1097</v>
      </c>
      <c r="K259" s="668" t="s">
        <v>1025</v>
      </c>
      <c r="L259" s="673" t="s">
        <v>1227</v>
      </c>
      <c r="M259" s="668" t="s">
        <v>88</v>
      </c>
      <c r="N259" s="675">
        <f>E259*G259*'Ref-Savings Calculations'!$E$39*Applicability</f>
        <v>207.87700865657163</v>
      </c>
      <c r="O259" s="674">
        <f>E259*G259*'Ref-Savings Calculations'!$C$54*Applicability*ControlShare</f>
        <v>93.674678955661747</v>
      </c>
      <c r="P259" s="674">
        <f>E259*G259*'Ref-Savings Calculations'!$E$40*Applicability</f>
        <v>177.66232716579086</v>
      </c>
      <c r="Q259" s="674" t="s">
        <v>1109</v>
      </c>
      <c r="R259" s="37"/>
      <c r="S259" s="668" t="s">
        <v>44</v>
      </c>
      <c r="T259" s="673" t="s">
        <v>63</v>
      </c>
      <c r="U259" s="668" t="s">
        <v>69</v>
      </c>
      <c r="V259" s="668" t="s">
        <v>69</v>
      </c>
      <c r="W259" s="668" t="s">
        <v>70</v>
      </c>
      <c r="X259" s="37"/>
      <c r="Y259" s="37"/>
      <c r="Z259" s="673" t="s">
        <v>78</v>
      </c>
      <c r="AA259" s="673" t="s">
        <v>78</v>
      </c>
      <c r="AB259" s="37"/>
      <c r="AC259" s="677">
        <f>'Ref-ComHOU'!$G$96</f>
        <v>12.202739726027396</v>
      </c>
      <c r="AD259" s="675" t="s">
        <v>72</v>
      </c>
      <c r="AE259" s="673" t="s">
        <v>73</v>
      </c>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c r="CA259" s="393"/>
      <c r="CB259" s="393"/>
      <c r="CC259" s="393"/>
      <c r="CD259" s="393"/>
      <c r="CE259" s="393"/>
      <c r="CF259" s="393"/>
      <c r="CG259" s="393"/>
      <c r="CH259" s="393"/>
      <c r="CI259" s="393"/>
      <c r="CJ259" s="390"/>
      <c r="CK259" s="390"/>
      <c r="CL259" s="390"/>
      <c r="CM259" s="390"/>
      <c r="CN259" s="390"/>
      <c r="CO259" s="390"/>
      <c r="CP259" s="390"/>
      <c r="CQ259" s="390"/>
      <c r="CR259" s="390"/>
      <c r="CS259" s="390"/>
      <c r="CT259" s="390"/>
      <c r="CU259" s="390"/>
      <c r="CV259" s="390"/>
      <c r="CW259" s="390"/>
      <c r="CX259" s="390"/>
      <c r="CY259" s="390"/>
      <c r="CZ259" s="390"/>
      <c r="DA259" s="390"/>
      <c r="DB259" s="390"/>
      <c r="DC259" s="390"/>
    </row>
    <row r="260" spans="1:107" s="317" customFormat="1" ht="56.25">
      <c r="A260" s="37"/>
      <c r="B260" s="667" t="s">
        <v>23</v>
      </c>
      <c r="C260" s="668" t="s">
        <v>1142</v>
      </c>
      <c r="D260" s="669" t="s">
        <v>1226</v>
      </c>
      <c r="E260" s="670">
        <f>'Ref-ComSources'!$AB$7*'Ref-ComSources'!$D$86</f>
        <v>1091.5065405491862</v>
      </c>
      <c r="F260" s="668" t="s">
        <v>27</v>
      </c>
      <c r="G260" s="671">
        <f>'Ref-2013CSSsaturationsINT'!$F$59</f>
        <v>0.93010280779392651</v>
      </c>
      <c r="H260" s="668" t="s">
        <v>66</v>
      </c>
      <c r="I260" s="672">
        <f>'Ref-2013CSSsaturationsINT'!$J$59</f>
        <v>0.48057777987331629</v>
      </c>
      <c r="J260" s="668" t="s">
        <v>1097</v>
      </c>
      <c r="K260" s="668" t="s">
        <v>1025</v>
      </c>
      <c r="L260" s="673" t="s">
        <v>1227</v>
      </c>
      <c r="M260" s="668" t="s">
        <v>90</v>
      </c>
      <c r="N260" s="675">
        <f>E260*G260*'Ref-Savings Calculations'!$E$39*Applicability</f>
        <v>207.87700865657163</v>
      </c>
      <c r="O260" s="674">
        <f>E260*G260*'Ref-Savings Calculations'!$C$82*Applicability*ControlShare</f>
        <v>113.1902370714246</v>
      </c>
      <c r="P260" s="674">
        <f>E260*G260*'Ref-Savings Calculations'!$E$40*Applicability</f>
        <v>177.66232716579086</v>
      </c>
      <c r="Q260" s="674" t="s">
        <v>871</v>
      </c>
      <c r="R260" s="37"/>
      <c r="S260" s="668" t="s">
        <v>44</v>
      </c>
      <c r="T260" s="673" t="s">
        <v>63</v>
      </c>
      <c r="U260" s="668" t="s">
        <v>69</v>
      </c>
      <c r="V260" s="668" t="s">
        <v>69</v>
      </c>
      <c r="W260" s="668" t="s">
        <v>70</v>
      </c>
      <c r="X260" s="37"/>
      <c r="Y260" s="37"/>
      <c r="Z260" s="673" t="s">
        <v>78</v>
      </c>
      <c r="AA260" s="673" t="s">
        <v>78</v>
      </c>
      <c r="AB260" s="37"/>
      <c r="AC260" s="677">
        <f>'Ref-ComHOU'!$G$96</f>
        <v>12.202739726027396</v>
      </c>
      <c r="AD260" s="675" t="s">
        <v>72</v>
      </c>
      <c r="AE260" s="673" t="s">
        <v>73</v>
      </c>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c r="CA260" s="393"/>
      <c r="CB260" s="393"/>
      <c r="CC260" s="393"/>
      <c r="CD260" s="393"/>
      <c r="CE260" s="393"/>
      <c r="CF260" s="393"/>
      <c r="CG260" s="393"/>
      <c r="CH260" s="393"/>
      <c r="CI260" s="393"/>
      <c r="CJ260" s="390"/>
      <c r="CK260" s="390"/>
      <c r="CL260" s="390"/>
      <c r="CM260" s="390"/>
      <c r="CN260" s="390"/>
      <c r="CO260" s="390"/>
      <c r="CP260" s="390"/>
      <c r="CQ260" s="390"/>
      <c r="CR260" s="390"/>
      <c r="CS260" s="390"/>
      <c r="CT260" s="390"/>
      <c r="CU260" s="390"/>
      <c r="CV260" s="390"/>
      <c r="CW260" s="390"/>
      <c r="CX260" s="390"/>
      <c r="CY260" s="390"/>
      <c r="CZ260" s="390"/>
      <c r="DA260" s="390"/>
      <c r="DB260" s="390"/>
      <c r="DC260" s="390"/>
    </row>
    <row r="261" spans="1:107" s="317" customFormat="1" ht="56.25">
      <c r="A261" s="37"/>
      <c r="B261" s="667" t="s">
        <v>23</v>
      </c>
      <c r="C261" s="668" t="s">
        <v>1142</v>
      </c>
      <c r="D261" s="669" t="s">
        <v>1226</v>
      </c>
      <c r="E261" s="670">
        <f>'Ref-ComSources'!$AB$7*'Ref-ComSources'!$D$86</f>
        <v>1091.5065405491862</v>
      </c>
      <c r="F261" s="668" t="s">
        <v>27</v>
      </c>
      <c r="G261" s="671">
        <f>'Ref-2013CSSsaturationsINT'!$F$59</f>
        <v>0.93010280779392651</v>
      </c>
      <c r="H261" s="668" t="s">
        <v>66</v>
      </c>
      <c r="I261" s="672">
        <f>'Ref-2013CSSsaturationsINT'!$J$59</f>
        <v>0.48057777987331629</v>
      </c>
      <c r="J261" s="668" t="s">
        <v>1097</v>
      </c>
      <c r="K261" s="668" t="s">
        <v>1025</v>
      </c>
      <c r="L261" s="673" t="s">
        <v>1227</v>
      </c>
      <c r="M261" s="668" t="s">
        <v>91</v>
      </c>
      <c r="N261" s="675">
        <f>E261*G261*'Ref-Savings Calculations'!$E$39*Applicability</f>
        <v>207.87700865657163</v>
      </c>
      <c r="O261" s="674" t="s">
        <v>870</v>
      </c>
      <c r="P261" s="674">
        <f>E261*G261*'Ref-Savings Calculations'!$E$40*Applicability</f>
        <v>177.66232716579086</v>
      </c>
      <c r="Q261" s="674" t="s">
        <v>870</v>
      </c>
      <c r="R261" s="37"/>
      <c r="S261" s="668" t="s">
        <v>44</v>
      </c>
      <c r="T261" s="673" t="s">
        <v>63</v>
      </c>
      <c r="U261" s="673" t="s">
        <v>870</v>
      </c>
      <c r="V261" s="673" t="s">
        <v>870</v>
      </c>
      <c r="W261" s="668" t="s">
        <v>70</v>
      </c>
      <c r="X261" s="37"/>
      <c r="Y261" s="37"/>
      <c r="Z261" s="673" t="s">
        <v>78</v>
      </c>
      <c r="AA261" s="673" t="s">
        <v>78</v>
      </c>
      <c r="AB261" s="37"/>
      <c r="AC261" s="677">
        <f>'Ref-ComHOU'!$G$96</f>
        <v>12.202739726027396</v>
      </c>
      <c r="AD261" s="675" t="s">
        <v>72</v>
      </c>
      <c r="AE261" s="673" t="s">
        <v>73</v>
      </c>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c r="CA261" s="393"/>
      <c r="CB261" s="393"/>
      <c r="CC261" s="393"/>
      <c r="CD261" s="393"/>
      <c r="CE261" s="393"/>
      <c r="CF261" s="393"/>
      <c r="CG261" s="393"/>
      <c r="CH261" s="393"/>
      <c r="CI261" s="393"/>
      <c r="CJ261" s="390"/>
      <c r="CK261" s="390"/>
      <c r="CL261" s="390"/>
      <c r="CM261" s="390"/>
      <c r="CN261" s="390"/>
      <c r="CO261" s="390"/>
      <c r="CP261" s="390"/>
      <c r="CQ261" s="390"/>
      <c r="CR261" s="390"/>
      <c r="CS261" s="390"/>
      <c r="CT261" s="390"/>
      <c r="CU261" s="390"/>
      <c r="CV261" s="390"/>
      <c r="CW261" s="390"/>
      <c r="CX261" s="390"/>
      <c r="CY261" s="390"/>
      <c r="CZ261" s="390"/>
      <c r="DA261" s="390"/>
      <c r="DB261" s="390"/>
      <c r="DC261" s="390"/>
    </row>
    <row r="262" spans="1:107" s="317" customFormat="1" ht="56.25">
      <c r="A262" s="37"/>
      <c r="B262" s="667" t="s">
        <v>23</v>
      </c>
      <c r="C262" s="668" t="s">
        <v>1142</v>
      </c>
      <c r="D262" s="669" t="s">
        <v>1226</v>
      </c>
      <c r="E262" s="670">
        <f>'Ref-ComSources'!$AB$7*'Ref-ComSources'!$D$86</f>
        <v>1091.5065405491862</v>
      </c>
      <c r="F262" s="668" t="s">
        <v>27</v>
      </c>
      <c r="G262" s="671">
        <f>'Ref-2013CSSsaturationsINT'!$F$59</f>
        <v>0.93010280779392651</v>
      </c>
      <c r="H262" s="668" t="s">
        <v>66</v>
      </c>
      <c r="I262" s="672">
        <f>'Ref-2013CSSsaturationsINT'!$J$59</f>
        <v>0.48057777987331629</v>
      </c>
      <c r="J262" s="668" t="s">
        <v>1097</v>
      </c>
      <c r="K262" s="668" t="s">
        <v>1025</v>
      </c>
      <c r="L262" s="673" t="s">
        <v>1227</v>
      </c>
      <c r="M262" s="668" t="s">
        <v>92</v>
      </c>
      <c r="N262" s="675">
        <f>E262*G262*'Ref-Savings Calculations'!$E$39*Applicability</f>
        <v>207.87700865657163</v>
      </c>
      <c r="O262" s="674">
        <f>E262*G262*'Ref-Savings Calculations'!$C$99*Applicability*ControlShare</f>
        <v>140.51201843349264</v>
      </c>
      <c r="P262" s="674">
        <f>E262*G262*'Ref-Savings Calculations'!$E$40*Applicability</f>
        <v>177.66232716579086</v>
      </c>
      <c r="Q262" s="674">
        <f>E262*G262*('Ref-Savings Calculations'!$C$99-'Ref-Savings Calculations'!$C$82)*Applicability*ControlShare</f>
        <v>27.321781362068013</v>
      </c>
      <c r="R262" s="37"/>
      <c r="S262" s="668" t="s">
        <v>44</v>
      </c>
      <c r="T262" s="673" t="s">
        <v>63</v>
      </c>
      <c r="U262" s="668" t="s">
        <v>69</v>
      </c>
      <c r="V262" s="668" t="s">
        <v>69</v>
      </c>
      <c r="W262" s="668" t="s">
        <v>70</v>
      </c>
      <c r="X262" s="37"/>
      <c r="Y262" s="37"/>
      <c r="Z262" s="673" t="s">
        <v>78</v>
      </c>
      <c r="AA262" s="673" t="s">
        <v>78</v>
      </c>
      <c r="AB262" s="37"/>
      <c r="AC262" s="677">
        <f>'Ref-ComHOU'!$G$96</f>
        <v>12.202739726027396</v>
      </c>
      <c r="AD262" s="675" t="s">
        <v>72</v>
      </c>
      <c r="AE262" s="673" t="s">
        <v>73</v>
      </c>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c r="CA262" s="393"/>
      <c r="CB262" s="393"/>
      <c r="CC262" s="393"/>
      <c r="CD262" s="393"/>
      <c r="CE262" s="393"/>
      <c r="CF262" s="393"/>
      <c r="CG262" s="393"/>
      <c r="CH262" s="393"/>
      <c r="CI262" s="393"/>
      <c r="CJ262" s="390"/>
      <c r="CK262" s="390"/>
      <c r="CL262" s="390"/>
      <c r="CM262" s="390"/>
      <c r="CN262" s="390"/>
      <c r="CO262" s="390"/>
      <c r="CP262" s="390"/>
      <c r="CQ262" s="390"/>
      <c r="CR262" s="390"/>
      <c r="CS262" s="390"/>
      <c r="CT262" s="390"/>
      <c r="CU262" s="390"/>
      <c r="CV262" s="390"/>
      <c r="CW262" s="390"/>
      <c r="CX262" s="390"/>
      <c r="CY262" s="390"/>
      <c r="CZ262" s="390"/>
      <c r="DA262" s="390"/>
      <c r="DB262" s="390"/>
      <c r="DC262" s="390"/>
    </row>
    <row r="263" spans="1:107" s="317" customFormat="1" ht="56.25">
      <c r="A263" s="37"/>
      <c r="B263" s="667" t="s">
        <v>23</v>
      </c>
      <c r="C263" s="668" t="s">
        <v>1142</v>
      </c>
      <c r="D263" s="669" t="s">
        <v>1226</v>
      </c>
      <c r="E263" s="670">
        <f>'Ref-ComSources'!$AB$7*'Ref-ComSources'!$D$86</f>
        <v>1091.5065405491862</v>
      </c>
      <c r="F263" s="668" t="s">
        <v>27</v>
      </c>
      <c r="G263" s="671">
        <f>'Ref-2013CSSsaturationsINT'!$F$59</f>
        <v>0.93010280779392651</v>
      </c>
      <c r="H263" s="668" t="s">
        <v>66</v>
      </c>
      <c r="I263" s="672">
        <f>'Ref-2013CSSsaturationsINT'!$J$59</f>
        <v>0.48057777987331629</v>
      </c>
      <c r="J263" s="668" t="s">
        <v>1097</v>
      </c>
      <c r="K263" s="668" t="s">
        <v>1025</v>
      </c>
      <c r="L263" s="673" t="s">
        <v>1227</v>
      </c>
      <c r="M263" s="668" t="s">
        <v>93</v>
      </c>
      <c r="N263" s="675">
        <f>E263*G263*'Ref-Savings Calculations'!$E$39*Applicability</f>
        <v>207.87700865657163</v>
      </c>
      <c r="O263" s="674">
        <f>E263*G263*'Ref-Savings Calculations'!$C$109*Applicability*ControlShare</f>
        <v>148.31824167979778</v>
      </c>
      <c r="P263" s="674">
        <f>E263*G263*'Ref-Savings Calculations'!$E$40*Applicability</f>
        <v>177.66232716579086</v>
      </c>
      <c r="Q263" s="674" t="s">
        <v>871</v>
      </c>
      <c r="R263" s="37"/>
      <c r="S263" s="668" t="s">
        <v>44</v>
      </c>
      <c r="T263" s="673" t="s">
        <v>63</v>
      </c>
      <c r="U263" s="673" t="s">
        <v>44</v>
      </c>
      <c r="V263" s="673" t="s">
        <v>75</v>
      </c>
      <c r="W263" s="668" t="s">
        <v>70</v>
      </c>
      <c r="X263" s="37"/>
      <c r="Y263" s="37"/>
      <c r="Z263" s="673" t="s">
        <v>78</v>
      </c>
      <c r="AA263" s="673" t="s">
        <v>78</v>
      </c>
      <c r="AB263" s="37"/>
      <c r="AC263" s="677">
        <f>'Ref-ComHOU'!$G$96</f>
        <v>12.202739726027396</v>
      </c>
      <c r="AD263" s="675" t="s">
        <v>72</v>
      </c>
      <c r="AE263" s="673" t="s">
        <v>73</v>
      </c>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c r="CA263" s="393"/>
      <c r="CB263" s="393"/>
      <c r="CC263" s="393"/>
      <c r="CD263" s="393"/>
      <c r="CE263" s="393"/>
      <c r="CF263" s="393"/>
      <c r="CG263" s="393"/>
      <c r="CH263" s="393"/>
      <c r="CI263" s="393"/>
      <c r="CJ263" s="390"/>
      <c r="CK263" s="390"/>
      <c r="CL263" s="390"/>
      <c r="CM263" s="390"/>
      <c r="CN263" s="390"/>
      <c r="CO263" s="390"/>
      <c r="CP263" s="390"/>
      <c r="CQ263" s="390"/>
      <c r="CR263" s="390"/>
      <c r="CS263" s="390"/>
      <c r="CT263" s="390"/>
      <c r="CU263" s="390"/>
      <c r="CV263" s="390"/>
      <c r="CW263" s="390"/>
      <c r="CX263" s="390"/>
      <c r="CY263" s="390"/>
      <c r="CZ263" s="390"/>
      <c r="DA263" s="390"/>
      <c r="DB263" s="390"/>
      <c r="DC263" s="390"/>
    </row>
    <row r="264" spans="1:107" s="317" customFormat="1" ht="33.75">
      <c r="A264" s="37"/>
      <c r="B264" s="464" t="s">
        <v>23</v>
      </c>
      <c r="C264" s="465" t="s">
        <v>1142</v>
      </c>
      <c r="D264" s="348" t="s">
        <v>1224</v>
      </c>
      <c r="E264" s="467">
        <f>'Ref-ComSources'!$AB$7*'Ref-ComSources'!$F$86</f>
        <v>36.480833574504885</v>
      </c>
      <c r="F264" s="344" t="s">
        <v>28</v>
      </c>
      <c r="G264" s="346">
        <v>0.99</v>
      </c>
      <c r="H264" s="344" t="s">
        <v>66</v>
      </c>
      <c r="I264" s="386">
        <f>'Ref-BaselineControls'!$J$24</f>
        <v>0.5</v>
      </c>
      <c r="J264" s="344" t="s">
        <v>28</v>
      </c>
      <c r="K264" s="344" t="s">
        <v>1003</v>
      </c>
      <c r="L264" s="344" t="s">
        <v>102</v>
      </c>
      <c r="M264" s="344" t="s">
        <v>88</v>
      </c>
      <c r="N264" s="349">
        <f>E264*G264*'Ref-Savings Calculations'!$E$30*Applicability</f>
        <v>10.401415268762834</v>
      </c>
      <c r="O264" s="349">
        <f>E264*G264*'Ref-Savings Calculations'!$C$54*Applicability*ControlShare</f>
        <v>3.4671384229209448</v>
      </c>
      <c r="P264" s="349">
        <f>E264*G264*'Ref-Savings Calculations'!$E$30*Applicability</f>
        <v>10.401415268762834</v>
      </c>
      <c r="Q264" s="349" t="s">
        <v>871</v>
      </c>
      <c r="R264" s="37"/>
      <c r="S264" s="465" t="s">
        <v>44</v>
      </c>
      <c r="T264" s="344" t="s">
        <v>63</v>
      </c>
      <c r="U264" s="344" t="s">
        <v>69</v>
      </c>
      <c r="V264" s="344" t="s">
        <v>69</v>
      </c>
      <c r="W264" s="344" t="s">
        <v>70</v>
      </c>
      <c r="X264" s="37"/>
      <c r="Y264" s="37"/>
      <c r="Z264" s="344" t="s">
        <v>78</v>
      </c>
      <c r="AA264" s="344" t="s">
        <v>78</v>
      </c>
      <c r="AB264" s="37"/>
      <c r="AC264" s="347">
        <f>'Ref-ComHOU'!$G$96</f>
        <v>12.202739726027396</v>
      </c>
      <c r="AD264" s="349" t="s">
        <v>72</v>
      </c>
      <c r="AE264" s="344" t="s">
        <v>73</v>
      </c>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c r="CA264" s="393"/>
      <c r="CB264" s="393"/>
      <c r="CC264" s="393"/>
      <c r="CD264" s="393"/>
      <c r="CE264" s="393"/>
      <c r="CF264" s="393"/>
      <c r="CG264" s="393"/>
      <c r="CH264" s="393"/>
      <c r="CI264" s="393"/>
      <c r="CJ264" s="390"/>
      <c r="CK264" s="390"/>
      <c r="CL264" s="390"/>
      <c r="CM264" s="390"/>
      <c r="CN264" s="390"/>
      <c r="CO264" s="390"/>
      <c r="CP264" s="390"/>
      <c r="CQ264" s="390"/>
      <c r="CR264" s="390"/>
      <c r="CS264" s="390"/>
      <c r="CT264" s="390"/>
      <c r="CU264" s="390"/>
      <c r="CV264" s="390"/>
      <c r="CW264" s="390"/>
      <c r="CX264" s="390"/>
      <c r="CY264" s="390"/>
      <c r="CZ264" s="390"/>
      <c r="DA264" s="390"/>
      <c r="DB264" s="390"/>
      <c r="DC264" s="390"/>
    </row>
    <row r="265" spans="1:107" s="317" customFormat="1" ht="33.75">
      <c r="A265" s="37"/>
      <c r="B265" s="464" t="s">
        <v>23</v>
      </c>
      <c r="C265" s="465" t="s">
        <v>1142</v>
      </c>
      <c r="D265" s="348" t="s">
        <v>1224</v>
      </c>
      <c r="E265" s="467">
        <f>'Ref-ComSources'!$AB$7*'Ref-ComSources'!$F$86</f>
        <v>36.480833574504885</v>
      </c>
      <c r="F265" s="344" t="s">
        <v>28</v>
      </c>
      <c r="G265" s="346">
        <v>0.99</v>
      </c>
      <c r="H265" s="344" t="s">
        <v>66</v>
      </c>
      <c r="I265" s="386">
        <f>'Ref-BaselineControls'!$J$24</f>
        <v>0.5</v>
      </c>
      <c r="J265" s="344" t="s">
        <v>28</v>
      </c>
      <c r="K265" s="344" t="s">
        <v>1003</v>
      </c>
      <c r="L265" s="344" t="s">
        <v>102</v>
      </c>
      <c r="M265" s="344" t="s">
        <v>90</v>
      </c>
      <c r="N265" s="349">
        <f>E265*G265*'Ref-Savings Calculations'!$E$30*Applicability</f>
        <v>10.401415268762834</v>
      </c>
      <c r="O265" s="349">
        <f>E265*G265*'Ref-Savings Calculations'!$C$82*Applicability*ControlShare</f>
        <v>4.1894589276961414</v>
      </c>
      <c r="P265" s="349">
        <f>E265*G265*'Ref-Savings Calculations'!$E$30*Applicability</f>
        <v>10.401415268762834</v>
      </c>
      <c r="Q265" s="349" t="s">
        <v>1109</v>
      </c>
      <c r="R265" s="37"/>
      <c r="S265" s="465" t="s">
        <v>44</v>
      </c>
      <c r="T265" s="344" t="s">
        <v>63</v>
      </c>
      <c r="U265" s="344" t="s">
        <v>69</v>
      </c>
      <c r="V265" s="344" t="s">
        <v>69</v>
      </c>
      <c r="W265" s="344" t="s">
        <v>70</v>
      </c>
      <c r="X265" s="37"/>
      <c r="Y265" s="37"/>
      <c r="Z265" s="344" t="s">
        <v>78</v>
      </c>
      <c r="AA265" s="344" t="s">
        <v>78</v>
      </c>
      <c r="AB265" s="37"/>
      <c r="AC265" s="347">
        <f>'Ref-ComHOU'!$G$96</f>
        <v>12.202739726027396</v>
      </c>
      <c r="AD265" s="349" t="s">
        <v>72</v>
      </c>
      <c r="AE265" s="344" t="s">
        <v>73</v>
      </c>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c r="CA265" s="393"/>
      <c r="CB265" s="393"/>
      <c r="CC265" s="393"/>
      <c r="CD265" s="393"/>
      <c r="CE265" s="393"/>
      <c r="CF265" s="393"/>
      <c r="CG265" s="393"/>
      <c r="CH265" s="393"/>
      <c r="CI265" s="393"/>
      <c r="CJ265" s="390"/>
      <c r="CK265" s="390"/>
      <c r="CL265" s="390"/>
      <c r="CM265" s="390"/>
      <c r="CN265" s="390"/>
      <c r="CO265" s="390"/>
      <c r="CP265" s="390"/>
      <c r="CQ265" s="390"/>
      <c r="CR265" s="390"/>
      <c r="CS265" s="390"/>
      <c r="CT265" s="390"/>
      <c r="CU265" s="390"/>
      <c r="CV265" s="390"/>
      <c r="CW265" s="390"/>
      <c r="CX265" s="390"/>
      <c r="CY265" s="390"/>
      <c r="CZ265" s="390"/>
      <c r="DA265" s="390"/>
      <c r="DB265" s="390"/>
      <c r="DC265" s="390"/>
    </row>
    <row r="266" spans="1:107" s="317" customFormat="1" ht="33.75">
      <c r="A266" s="37"/>
      <c r="B266" s="464" t="s">
        <v>23</v>
      </c>
      <c r="C266" s="465" t="s">
        <v>1142</v>
      </c>
      <c r="D266" s="348" t="s">
        <v>1224</v>
      </c>
      <c r="E266" s="467">
        <f>'Ref-ComSources'!$AB$7*'Ref-ComSources'!$F$86</f>
        <v>36.480833574504885</v>
      </c>
      <c r="F266" s="344" t="s">
        <v>28</v>
      </c>
      <c r="G266" s="346">
        <v>0.99</v>
      </c>
      <c r="H266" s="344" t="s">
        <v>66</v>
      </c>
      <c r="I266" s="386">
        <f>'Ref-BaselineControls'!$J$24</f>
        <v>0.5</v>
      </c>
      <c r="J266" s="344" t="s">
        <v>28</v>
      </c>
      <c r="K266" s="344" t="s">
        <v>1003</v>
      </c>
      <c r="L266" s="344" t="s">
        <v>102</v>
      </c>
      <c r="M266" s="344" t="s">
        <v>91</v>
      </c>
      <c r="N266" s="349">
        <f>E266*G266*'Ref-Savings Calculations'!$E$30*Applicability</f>
        <v>10.401415268762834</v>
      </c>
      <c r="O266" s="349" t="s">
        <v>870</v>
      </c>
      <c r="P266" s="349">
        <f>E266*G266*'Ref-Savings Calculations'!$E$30*Applicability</f>
        <v>10.401415268762834</v>
      </c>
      <c r="Q266" s="349" t="s">
        <v>870</v>
      </c>
      <c r="R266" s="37"/>
      <c r="S266" s="465" t="s">
        <v>44</v>
      </c>
      <c r="T266" s="344" t="s">
        <v>63</v>
      </c>
      <c r="U266" s="344" t="s">
        <v>69</v>
      </c>
      <c r="V266" s="344" t="s">
        <v>69</v>
      </c>
      <c r="W266" s="344" t="s">
        <v>70</v>
      </c>
      <c r="X266" s="37"/>
      <c r="Y266" s="37"/>
      <c r="Z266" s="344" t="s">
        <v>78</v>
      </c>
      <c r="AA266" s="344" t="s">
        <v>78</v>
      </c>
      <c r="AB266" s="37"/>
      <c r="AC266" s="347">
        <f>'Ref-ComHOU'!$G$96</f>
        <v>12.202739726027396</v>
      </c>
      <c r="AD266" s="349" t="s">
        <v>72</v>
      </c>
      <c r="AE266" s="344" t="s">
        <v>73</v>
      </c>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c r="CA266" s="393"/>
      <c r="CB266" s="393"/>
      <c r="CC266" s="393"/>
      <c r="CD266" s="393"/>
      <c r="CE266" s="393"/>
      <c r="CF266" s="393"/>
      <c r="CG266" s="393"/>
      <c r="CH266" s="393"/>
      <c r="CI266" s="393"/>
      <c r="CJ266" s="390"/>
      <c r="CK266" s="390"/>
      <c r="CL266" s="390"/>
      <c r="CM266" s="390"/>
      <c r="CN266" s="390"/>
      <c r="CO266" s="390"/>
      <c r="CP266" s="390"/>
      <c r="CQ266" s="390"/>
      <c r="CR266" s="390"/>
      <c r="CS266" s="390"/>
      <c r="CT266" s="390"/>
      <c r="CU266" s="390"/>
      <c r="CV266" s="390"/>
      <c r="CW266" s="390"/>
      <c r="CX266" s="390"/>
      <c r="CY266" s="390"/>
      <c r="CZ266" s="390"/>
      <c r="DA266" s="390"/>
      <c r="DB266" s="390"/>
      <c r="DC266" s="390"/>
    </row>
    <row r="267" spans="1:107" s="317" customFormat="1" ht="33.75">
      <c r="A267" s="37"/>
      <c r="B267" s="464" t="s">
        <v>23</v>
      </c>
      <c r="C267" s="465" t="s">
        <v>1142</v>
      </c>
      <c r="D267" s="348" t="s">
        <v>1224</v>
      </c>
      <c r="E267" s="467">
        <f>'Ref-ComSources'!$AB$7*'Ref-ComSources'!$F$86</f>
        <v>36.480833574504885</v>
      </c>
      <c r="F267" s="344" t="s">
        <v>28</v>
      </c>
      <c r="G267" s="346">
        <v>0.99</v>
      </c>
      <c r="H267" s="344" t="s">
        <v>66</v>
      </c>
      <c r="I267" s="386">
        <f>'Ref-BaselineControls'!$J$24</f>
        <v>0.5</v>
      </c>
      <c r="J267" s="344" t="s">
        <v>28</v>
      </c>
      <c r="K267" s="344" t="s">
        <v>1003</v>
      </c>
      <c r="L267" s="344" t="s">
        <v>102</v>
      </c>
      <c r="M267" s="344" t="s">
        <v>92</v>
      </c>
      <c r="N267" s="349">
        <f>E267*G267*'Ref-Savings Calculations'!$E$30*Applicability</f>
        <v>10.401415268762834</v>
      </c>
      <c r="O267" s="349">
        <f>E267*G267*'Ref-Savings Calculations'!$C$99*Applicability*ControlShare</f>
        <v>5.2007076343814171</v>
      </c>
      <c r="P267" s="349">
        <f>E267*G267*'Ref-Savings Calculations'!$E$30*Applicability</f>
        <v>10.401415268762834</v>
      </c>
      <c r="Q267" s="349">
        <f>E267*G267*('Ref-Savings Calculations'!$C$99-'Ref-Savings Calculations'!$C$54)*Applicability*ControlShare</f>
        <v>1.7335692114604724</v>
      </c>
      <c r="R267" s="37"/>
      <c r="S267" s="465" t="s">
        <v>44</v>
      </c>
      <c r="T267" s="344" t="s">
        <v>63</v>
      </c>
      <c r="U267" s="344" t="s">
        <v>69</v>
      </c>
      <c r="V267" s="344" t="s">
        <v>69</v>
      </c>
      <c r="W267" s="344" t="s">
        <v>70</v>
      </c>
      <c r="X267" s="37"/>
      <c r="Y267" s="37"/>
      <c r="Z267" s="344" t="s">
        <v>78</v>
      </c>
      <c r="AA267" s="344" t="s">
        <v>78</v>
      </c>
      <c r="AB267" s="37"/>
      <c r="AC267" s="347">
        <f>'Ref-ComHOU'!$G$96</f>
        <v>12.202739726027396</v>
      </c>
      <c r="AD267" s="349" t="s">
        <v>72</v>
      </c>
      <c r="AE267" s="344" t="s">
        <v>73</v>
      </c>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c r="CA267" s="393"/>
      <c r="CB267" s="393"/>
      <c r="CC267" s="393"/>
      <c r="CD267" s="393"/>
      <c r="CE267" s="393"/>
      <c r="CF267" s="393"/>
      <c r="CG267" s="393"/>
      <c r="CH267" s="393"/>
      <c r="CI267" s="393"/>
      <c r="CJ267" s="390"/>
      <c r="CK267" s="390"/>
      <c r="CL267" s="390"/>
      <c r="CM267" s="390"/>
      <c r="CN267" s="390"/>
      <c r="CO267" s="390"/>
      <c r="CP267" s="390"/>
      <c r="CQ267" s="390"/>
      <c r="CR267" s="390"/>
      <c r="CS267" s="390"/>
      <c r="CT267" s="390"/>
      <c r="CU267" s="390"/>
      <c r="CV267" s="390"/>
      <c r="CW267" s="390"/>
      <c r="CX267" s="390"/>
      <c r="CY267" s="390"/>
      <c r="CZ267" s="390"/>
      <c r="DA267" s="390"/>
      <c r="DB267" s="390"/>
      <c r="DC267" s="390"/>
    </row>
    <row r="268" spans="1:107" s="317" customFormat="1" ht="33.75">
      <c r="A268" s="37"/>
      <c r="B268" s="464" t="s">
        <v>23</v>
      </c>
      <c r="C268" s="465" t="s">
        <v>1142</v>
      </c>
      <c r="D268" s="348" t="s">
        <v>1224</v>
      </c>
      <c r="E268" s="467">
        <f>'Ref-ComSources'!$AB$7*'Ref-ComSources'!$F$86</f>
        <v>36.480833574504885</v>
      </c>
      <c r="F268" s="344" t="s">
        <v>28</v>
      </c>
      <c r="G268" s="346">
        <v>0.99</v>
      </c>
      <c r="H268" s="344" t="s">
        <v>66</v>
      </c>
      <c r="I268" s="386">
        <f>'Ref-BaselineControls'!$J$24</f>
        <v>0.5</v>
      </c>
      <c r="J268" s="344" t="s">
        <v>28</v>
      </c>
      <c r="K268" s="344" t="s">
        <v>1003</v>
      </c>
      <c r="L268" s="344" t="s">
        <v>102</v>
      </c>
      <c r="M268" s="344" t="s">
        <v>93</v>
      </c>
      <c r="N268" s="349">
        <f>E268*G268*'Ref-Savings Calculations'!$E$30*Applicability</f>
        <v>10.401415268762834</v>
      </c>
      <c r="O268" s="349">
        <f>E268*G268*'Ref-Savings Calculations'!$C$109*Applicability*ControlShare</f>
        <v>5.4896358362914954</v>
      </c>
      <c r="P268" s="349">
        <f>E268*G268*'Ref-Savings Calculations'!$E$30*Applicability</f>
        <v>10.401415268762834</v>
      </c>
      <c r="Q268" s="349">
        <f>E268*G268*('Ref-Savings Calculations'!$C$109-'Ref-Savings Calculations'!$C$54)*Applicability*ControlShare</f>
        <v>2.0224974133705511</v>
      </c>
      <c r="R268" s="37"/>
      <c r="S268" s="465" t="s">
        <v>44</v>
      </c>
      <c r="T268" s="344" t="s">
        <v>63</v>
      </c>
      <c r="U268" s="344" t="s">
        <v>44</v>
      </c>
      <c r="V268" s="344" t="s">
        <v>75</v>
      </c>
      <c r="W268" s="465" t="s">
        <v>70</v>
      </c>
      <c r="X268" s="37"/>
      <c r="Y268" s="37"/>
      <c r="Z268" s="344" t="s">
        <v>78</v>
      </c>
      <c r="AA268" s="344" t="s">
        <v>78</v>
      </c>
      <c r="AB268" s="37"/>
      <c r="AC268" s="347">
        <f>'Ref-ComHOU'!$G$96</f>
        <v>12.202739726027396</v>
      </c>
      <c r="AD268" s="349" t="s">
        <v>72</v>
      </c>
      <c r="AE268" s="344" t="s">
        <v>73</v>
      </c>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c r="CA268" s="393"/>
      <c r="CB268" s="393"/>
      <c r="CC268" s="393"/>
      <c r="CD268" s="393"/>
      <c r="CE268" s="393"/>
      <c r="CF268" s="393"/>
      <c r="CG268" s="393"/>
      <c r="CH268" s="393"/>
      <c r="CI268" s="393"/>
      <c r="CJ268" s="390"/>
      <c r="CK268" s="390"/>
      <c r="CL268" s="390"/>
      <c r="CM268" s="390"/>
      <c r="CN268" s="390"/>
      <c r="CO268" s="390"/>
      <c r="CP268" s="390"/>
      <c r="CQ268" s="390"/>
      <c r="CR268" s="390"/>
      <c r="CS268" s="390"/>
      <c r="CT268" s="390"/>
      <c r="CU268" s="390"/>
      <c r="CV268" s="390"/>
      <c r="CW268" s="390"/>
      <c r="CX268" s="390"/>
      <c r="CY268" s="390"/>
      <c r="CZ268" s="390"/>
      <c r="DA268" s="390"/>
      <c r="DB268" s="390"/>
      <c r="DC268" s="390"/>
    </row>
    <row r="269" spans="1:107" s="303" customFormat="1" ht="24">
      <c r="A269" s="37"/>
      <c r="B269" s="325" t="s">
        <v>23</v>
      </c>
      <c r="C269" s="320" t="s">
        <v>938</v>
      </c>
      <c r="D269" s="320" t="s">
        <v>97</v>
      </c>
      <c r="E269" s="324">
        <f>'Ref-ComSources'!$AB$15*'Ref-ComSources'!$D$267</f>
        <v>949.02748923351123</v>
      </c>
      <c r="F269" s="320" t="s">
        <v>24</v>
      </c>
      <c r="G269" s="319">
        <f>'Ref-ComSources'!$E$66*50%</f>
        <v>0.34749999999999998</v>
      </c>
      <c r="H269" s="320" t="s">
        <v>66</v>
      </c>
      <c r="I269" s="378">
        <f>'Ref-BaselineControls'!$J$19</f>
        <v>0.95</v>
      </c>
      <c r="J269" s="320" t="s">
        <v>25</v>
      </c>
      <c r="K269" s="320" t="s">
        <v>939</v>
      </c>
      <c r="L269" s="320" t="s">
        <v>99</v>
      </c>
      <c r="M269" s="320" t="s">
        <v>88</v>
      </c>
      <c r="N269" s="321">
        <f>E269*G269*'Ref-Savings Calculations'!$E$7*Applicability</f>
        <v>60.883763540057572</v>
      </c>
      <c r="O269" s="321">
        <f>E269*G269*'Ref-Savings Calculations'!$C$57*Applicability*ControlShare</f>
        <v>112.78717195795663</v>
      </c>
      <c r="P269" s="321">
        <f>rMarketSolutions[[#This Row],[Lighting Savings
(lamp and/or ballast)]]</f>
        <v>60.883763540057572</v>
      </c>
      <c r="Q269" s="321">
        <f>E269*G269*'Ref-Savings Calculations'!$C$57*Applicability*ControlShare</f>
        <v>112.78717195795663</v>
      </c>
      <c r="R269" s="37"/>
      <c r="S269" s="322" t="s">
        <v>44</v>
      </c>
      <c r="T269" s="322" t="s">
        <v>63</v>
      </c>
      <c r="U269" s="322" t="s">
        <v>69</v>
      </c>
      <c r="V269" s="322" t="s">
        <v>69</v>
      </c>
      <c r="W269" s="322" t="s">
        <v>70</v>
      </c>
      <c r="X269" s="37"/>
      <c r="Y269" s="37"/>
      <c r="Z269" s="322" t="s">
        <v>78</v>
      </c>
      <c r="AA269" s="322" t="s">
        <v>78</v>
      </c>
      <c r="AB269" s="37"/>
      <c r="AC269" s="324">
        <f>'Ref-ComHOU'!$G$44</f>
        <v>2.1890410958904112</v>
      </c>
      <c r="AD269" s="324" t="s">
        <v>72</v>
      </c>
      <c r="AE269" s="322" t="s">
        <v>73</v>
      </c>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c r="CA269" s="393"/>
      <c r="CB269" s="393"/>
      <c r="CC269" s="393"/>
      <c r="CD269" s="393"/>
      <c r="CE269" s="393"/>
      <c r="CF269" s="393"/>
      <c r="CG269" s="393"/>
      <c r="CH269" s="393"/>
      <c r="CI269" s="393"/>
      <c r="CJ269" s="390"/>
      <c r="CK269" s="390"/>
      <c r="CL269" s="390"/>
      <c r="CM269" s="390"/>
      <c r="CN269" s="390"/>
      <c r="CO269" s="390"/>
      <c r="CP269" s="390"/>
      <c r="CQ269" s="390"/>
      <c r="CR269" s="390"/>
      <c r="CS269" s="390"/>
      <c r="CT269" s="390"/>
      <c r="CU269" s="390"/>
      <c r="CV269" s="390"/>
      <c r="CW269" s="390"/>
      <c r="CX269" s="390"/>
      <c r="CY269" s="390"/>
      <c r="CZ269" s="390"/>
      <c r="DA269" s="390"/>
      <c r="DB269" s="390"/>
      <c r="DC269" s="390"/>
    </row>
    <row r="270" spans="1:107" s="303" customFormat="1" ht="24">
      <c r="A270" s="37"/>
      <c r="B270" s="325" t="s">
        <v>23</v>
      </c>
      <c r="C270" s="320" t="s">
        <v>938</v>
      </c>
      <c r="D270" s="320" t="s">
        <v>97</v>
      </c>
      <c r="E270" s="324">
        <f>'Ref-ComSources'!$AB$15*'Ref-ComSources'!$D$267</f>
        <v>949.02748923351123</v>
      </c>
      <c r="F270" s="320" t="s">
        <v>24</v>
      </c>
      <c r="G270" s="319">
        <f>'Ref-ComSources'!$E$66*50%</f>
        <v>0.34749999999999998</v>
      </c>
      <c r="H270" s="320" t="s">
        <v>66</v>
      </c>
      <c r="I270" s="378">
        <f>'Ref-BaselineControls'!$J$19</f>
        <v>0.95</v>
      </c>
      <c r="J270" s="320" t="s">
        <v>25</v>
      </c>
      <c r="K270" s="320" t="s">
        <v>939</v>
      </c>
      <c r="L270" s="320" t="s">
        <v>99</v>
      </c>
      <c r="M270" s="320" t="s">
        <v>90</v>
      </c>
      <c r="N270" s="321">
        <f>E270*G270*'Ref-Savings Calculations'!$E$7*Applicability</f>
        <v>60.883763540057572</v>
      </c>
      <c r="O270" s="321">
        <f>E270*G270*'Ref-Savings Calculations'!$C$77*Applicability*ControlShare</f>
        <v>70.178684773839677</v>
      </c>
      <c r="P270" s="321">
        <f>rMarketSolutions[[#This Row],[Lighting Savings
(lamp and/or ballast)]]</f>
        <v>60.883763540057572</v>
      </c>
      <c r="Q270" s="321">
        <f>E270*G270*'Ref-Savings Calculations'!$C$77*Applicability*ControlShare</f>
        <v>70.178684773839677</v>
      </c>
      <c r="R270" s="37"/>
      <c r="S270" s="322" t="s">
        <v>44</v>
      </c>
      <c r="T270" s="322" t="s">
        <v>63</v>
      </c>
      <c r="U270" s="322" t="s">
        <v>69</v>
      </c>
      <c r="V270" s="322" t="s">
        <v>69</v>
      </c>
      <c r="W270" s="322" t="s">
        <v>70</v>
      </c>
      <c r="X270" s="37"/>
      <c r="Y270" s="37"/>
      <c r="Z270" s="322" t="s">
        <v>78</v>
      </c>
      <c r="AA270" s="322" t="s">
        <v>78</v>
      </c>
      <c r="AB270" s="37"/>
      <c r="AC270" s="324">
        <f>'Ref-ComHOU'!$G$44</f>
        <v>2.1890410958904112</v>
      </c>
      <c r="AD270" s="324" t="s">
        <v>72</v>
      </c>
      <c r="AE270" s="322" t="s">
        <v>73</v>
      </c>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c r="CA270" s="393"/>
      <c r="CB270" s="393"/>
      <c r="CC270" s="393"/>
      <c r="CD270" s="393"/>
      <c r="CE270" s="393"/>
      <c r="CF270" s="393"/>
      <c r="CG270" s="393"/>
      <c r="CH270" s="393"/>
      <c r="CI270" s="393"/>
      <c r="CJ270" s="390"/>
      <c r="CK270" s="390"/>
      <c r="CL270" s="390"/>
      <c r="CM270" s="390"/>
      <c r="CN270" s="390"/>
      <c r="CO270" s="390"/>
      <c r="CP270" s="390"/>
      <c r="CQ270" s="390"/>
      <c r="CR270" s="390"/>
      <c r="CS270" s="390"/>
      <c r="CT270" s="390"/>
      <c r="CU270" s="390"/>
      <c r="CV270" s="390"/>
      <c r="CW270" s="390"/>
      <c r="CX270" s="390"/>
      <c r="CY270" s="390"/>
      <c r="CZ270" s="390"/>
      <c r="DA270" s="390"/>
      <c r="DB270" s="390"/>
      <c r="DC270" s="390"/>
    </row>
    <row r="271" spans="1:107" s="303" customFormat="1" ht="24">
      <c r="A271" s="37"/>
      <c r="B271" s="325" t="s">
        <v>23</v>
      </c>
      <c r="C271" s="320" t="s">
        <v>938</v>
      </c>
      <c r="D271" s="320" t="s">
        <v>97</v>
      </c>
      <c r="E271" s="324">
        <f>'Ref-ComSources'!$AB$15*'Ref-ComSources'!$D$267</f>
        <v>949.02748923351123</v>
      </c>
      <c r="F271" s="320" t="s">
        <v>24</v>
      </c>
      <c r="G271" s="319">
        <f>'Ref-ComSources'!$E$66*50%</f>
        <v>0.34749999999999998</v>
      </c>
      <c r="H271" s="320" t="s">
        <v>66</v>
      </c>
      <c r="I271" s="378">
        <f>'Ref-BaselineControls'!$J$19</f>
        <v>0.95</v>
      </c>
      <c r="J271" s="320" t="s">
        <v>25</v>
      </c>
      <c r="K271" s="320" t="s">
        <v>939</v>
      </c>
      <c r="L271" s="320" t="s">
        <v>99</v>
      </c>
      <c r="M271" s="320" t="s">
        <v>91</v>
      </c>
      <c r="N271" s="321">
        <f>E271*G271*'Ref-Savings Calculations'!$E$7*Applicability</f>
        <v>60.883763540057572</v>
      </c>
      <c r="O271" s="321">
        <f>E271*G271*'Ref-Savings Calculations'!$C$89*Applicability*ControlShare</f>
        <v>77.697829571036792</v>
      </c>
      <c r="P271" s="321">
        <f>rMarketSolutions[[#This Row],[Lighting Savings
(lamp and/or ballast)]]</f>
        <v>60.883763540057572</v>
      </c>
      <c r="Q271" s="321">
        <f>E271*G271*'Ref-Savings Calculations'!$C$89*Applicability*ControlShare</f>
        <v>77.697829571036792</v>
      </c>
      <c r="R271" s="37"/>
      <c r="S271" s="322" t="s">
        <v>44</v>
      </c>
      <c r="T271" s="322" t="s">
        <v>63</v>
      </c>
      <c r="U271" s="322" t="s">
        <v>69</v>
      </c>
      <c r="V271" s="322" t="s">
        <v>69</v>
      </c>
      <c r="W271" s="322" t="s">
        <v>70</v>
      </c>
      <c r="X271" s="37"/>
      <c r="Y271" s="37"/>
      <c r="Z271" s="322" t="s">
        <v>78</v>
      </c>
      <c r="AA271" s="322" t="s">
        <v>78</v>
      </c>
      <c r="AB271" s="37"/>
      <c r="AC271" s="324">
        <f>'Ref-ComHOU'!$G$44</f>
        <v>2.1890410958904112</v>
      </c>
      <c r="AD271" s="324" t="s">
        <v>72</v>
      </c>
      <c r="AE271" s="322" t="s">
        <v>73</v>
      </c>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c r="CA271" s="393"/>
      <c r="CB271" s="393"/>
      <c r="CC271" s="393"/>
      <c r="CD271" s="393"/>
      <c r="CE271" s="393"/>
      <c r="CF271" s="393"/>
      <c r="CG271" s="393"/>
      <c r="CH271" s="393"/>
      <c r="CI271" s="393"/>
      <c r="CJ271" s="390"/>
      <c r="CK271" s="390"/>
      <c r="CL271" s="390"/>
      <c r="CM271" s="390"/>
      <c r="CN271" s="390"/>
      <c r="CO271" s="390"/>
      <c r="CP271" s="390"/>
      <c r="CQ271" s="390"/>
      <c r="CR271" s="390"/>
      <c r="CS271" s="390"/>
      <c r="CT271" s="390"/>
      <c r="CU271" s="390"/>
      <c r="CV271" s="390"/>
      <c r="CW271" s="390"/>
      <c r="CX271" s="390"/>
      <c r="CY271" s="390"/>
      <c r="CZ271" s="390"/>
      <c r="DA271" s="390"/>
      <c r="DB271" s="390"/>
      <c r="DC271" s="390"/>
    </row>
    <row r="272" spans="1:107" s="303" customFormat="1" ht="24">
      <c r="A272" s="37"/>
      <c r="B272" s="325" t="s">
        <v>23</v>
      </c>
      <c r="C272" s="320" t="s">
        <v>938</v>
      </c>
      <c r="D272" s="320" t="s">
        <v>97</v>
      </c>
      <c r="E272" s="324">
        <f>'Ref-ComSources'!$AB$15*'Ref-ComSources'!$D$267</f>
        <v>949.02748923351123</v>
      </c>
      <c r="F272" s="320" t="s">
        <v>24</v>
      </c>
      <c r="G272" s="319">
        <f>'Ref-ComSources'!$E$66*50%</f>
        <v>0.34749999999999998</v>
      </c>
      <c r="H272" s="320" t="s">
        <v>66</v>
      </c>
      <c r="I272" s="378">
        <f>'Ref-BaselineControls'!$J$19</f>
        <v>0.95</v>
      </c>
      <c r="J272" s="320" t="s">
        <v>25</v>
      </c>
      <c r="K272" s="320" t="s">
        <v>939</v>
      </c>
      <c r="L272" s="320" t="s">
        <v>99</v>
      </c>
      <c r="M272" s="320" t="s">
        <v>92</v>
      </c>
      <c r="N272" s="321">
        <f>E272*G272*'Ref-Savings Calculations'!$E$7*Applicability</f>
        <v>60.883763540057572</v>
      </c>
      <c r="O272" s="321" t="s">
        <v>870</v>
      </c>
      <c r="P272" s="321">
        <f>rMarketSolutions[[#This Row],[Lighting Savings
(lamp and/or ballast)]]</f>
        <v>60.883763540057572</v>
      </c>
      <c r="Q272" s="321" t="s">
        <v>870</v>
      </c>
      <c r="R272" s="37"/>
      <c r="S272" s="322" t="s">
        <v>44</v>
      </c>
      <c r="T272" s="322" t="s">
        <v>63</v>
      </c>
      <c r="U272" s="322" t="s">
        <v>69</v>
      </c>
      <c r="V272" s="322" t="s">
        <v>69</v>
      </c>
      <c r="W272" s="322" t="s">
        <v>70</v>
      </c>
      <c r="X272" s="37"/>
      <c r="Y272" s="37"/>
      <c r="Z272" s="322" t="s">
        <v>78</v>
      </c>
      <c r="AA272" s="322" t="s">
        <v>78</v>
      </c>
      <c r="AB272" s="37"/>
      <c r="AC272" s="324">
        <f>'Ref-ComHOU'!$G$44</f>
        <v>2.1890410958904112</v>
      </c>
      <c r="AD272" s="324" t="s">
        <v>72</v>
      </c>
      <c r="AE272" s="322" t="s">
        <v>73</v>
      </c>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c r="CA272" s="393"/>
      <c r="CB272" s="393"/>
      <c r="CC272" s="393"/>
      <c r="CD272" s="393"/>
      <c r="CE272" s="393"/>
      <c r="CF272" s="393"/>
      <c r="CG272" s="393"/>
      <c r="CH272" s="393"/>
      <c r="CI272" s="393"/>
      <c r="CJ272" s="390"/>
      <c r="CK272" s="390"/>
      <c r="CL272" s="390"/>
      <c r="CM272" s="390"/>
      <c r="CN272" s="390"/>
      <c r="CO272" s="390"/>
      <c r="CP272" s="390"/>
      <c r="CQ272" s="390"/>
      <c r="CR272" s="390"/>
      <c r="CS272" s="390"/>
      <c r="CT272" s="390"/>
      <c r="CU272" s="390"/>
      <c r="CV272" s="390"/>
      <c r="CW272" s="390"/>
      <c r="CX272" s="390"/>
      <c r="CY272" s="390"/>
      <c r="CZ272" s="390"/>
      <c r="DA272" s="390"/>
      <c r="DB272" s="390"/>
      <c r="DC272" s="390"/>
    </row>
    <row r="273" spans="1:107" s="303" customFormat="1" ht="24">
      <c r="A273" s="37"/>
      <c r="B273" s="325" t="s">
        <v>23</v>
      </c>
      <c r="C273" s="320" t="s">
        <v>938</v>
      </c>
      <c r="D273" s="320" t="s">
        <v>97</v>
      </c>
      <c r="E273" s="324">
        <f>'Ref-ComSources'!$AB$15*'Ref-ComSources'!$D$267</f>
        <v>949.02748923351123</v>
      </c>
      <c r="F273" s="320" t="s">
        <v>24</v>
      </c>
      <c r="G273" s="319">
        <f>'Ref-ComSources'!$E$66*50%</f>
        <v>0.34749999999999998</v>
      </c>
      <c r="H273" s="320" t="s">
        <v>66</v>
      </c>
      <c r="I273" s="378">
        <f>'Ref-BaselineControls'!$J$19</f>
        <v>0.95</v>
      </c>
      <c r="J273" s="320" t="s">
        <v>25</v>
      </c>
      <c r="K273" s="320" t="s">
        <v>939</v>
      </c>
      <c r="L273" s="320" t="s">
        <v>99</v>
      </c>
      <c r="M273" s="320" t="s">
        <v>93</v>
      </c>
      <c r="N273" s="321">
        <f>E273*G273*'Ref-Savings Calculations'!$E$7*Applicability</f>
        <v>60.883763540057572</v>
      </c>
      <c r="O273" s="321">
        <f>E273*G273*'Ref-Savings Calculations'!$C$109*Applicability*ControlShare</f>
        <v>95.242500764496711</v>
      </c>
      <c r="P273" s="321">
        <f>rMarketSolutions[[#This Row],[Lighting Savings
(lamp and/or ballast)]]</f>
        <v>60.883763540057572</v>
      </c>
      <c r="Q273" s="321">
        <f>E273*G273*'Ref-Savings Calculations'!$C$109*Applicability*ControlShare</f>
        <v>95.242500764496711</v>
      </c>
      <c r="R273" s="37"/>
      <c r="S273" s="322" t="s">
        <v>44</v>
      </c>
      <c r="T273" s="322" t="s">
        <v>63</v>
      </c>
      <c r="U273" s="322" t="s">
        <v>44</v>
      </c>
      <c r="V273" s="322" t="s">
        <v>75</v>
      </c>
      <c r="W273" s="322" t="s">
        <v>70</v>
      </c>
      <c r="X273" s="37"/>
      <c r="Y273" s="37"/>
      <c r="Z273" s="322" t="s">
        <v>78</v>
      </c>
      <c r="AA273" s="322" t="s">
        <v>78</v>
      </c>
      <c r="AB273" s="37"/>
      <c r="AC273" s="324">
        <f>'Ref-ComHOU'!$G$44</f>
        <v>2.1890410958904112</v>
      </c>
      <c r="AD273" s="324" t="s">
        <v>72</v>
      </c>
      <c r="AE273" s="322" t="s">
        <v>73</v>
      </c>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c r="CA273" s="393"/>
      <c r="CB273" s="393"/>
      <c r="CC273" s="393"/>
      <c r="CD273" s="393"/>
      <c r="CE273" s="393"/>
      <c r="CF273" s="393"/>
      <c r="CG273" s="393"/>
      <c r="CH273" s="393"/>
      <c r="CI273" s="393"/>
      <c r="CJ273" s="390"/>
      <c r="CK273" s="390"/>
      <c r="CL273" s="390"/>
      <c r="CM273" s="390"/>
      <c r="CN273" s="390"/>
      <c r="CO273" s="390"/>
      <c r="CP273" s="390"/>
      <c r="CQ273" s="390"/>
      <c r="CR273" s="390"/>
      <c r="CS273" s="390"/>
      <c r="CT273" s="390"/>
      <c r="CU273" s="390"/>
      <c r="CV273" s="390"/>
      <c r="CW273" s="390"/>
      <c r="CX273" s="390"/>
      <c r="CY273" s="390"/>
      <c r="CZ273" s="390"/>
      <c r="DA273" s="390"/>
      <c r="DB273" s="390"/>
      <c r="DC273" s="390"/>
    </row>
    <row r="274" spans="1:107" s="303" customFormat="1" ht="24">
      <c r="A274" s="37"/>
      <c r="B274" s="325" t="s">
        <v>23</v>
      </c>
      <c r="C274" s="320" t="s">
        <v>938</v>
      </c>
      <c r="D274" s="320" t="s">
        <v>97</v>
      </c>
      <c r="E274" s="324">
        <f>'Ref-ComSources'!$AB$15*'Ref-ComSources'!$D$267</f>
        <v>949.02748923351123</v>
      </c>
      <c r="F274" s="320" t="s">
        <v>26</v>
      </c>
      <c r="G274" s="319">
        <f>'Ref-ComSources'!$E$66*50%</f>
        <v>0.34749999999999998</v>
      </c>
      <c r="H274" s="320" t="s">
        <v>66</v>
      </c>
      <c r="I274" s="378">
        <f>'Ref-BaselineControls'!$J$19</f>
        <v>0.95</v>
      </c>
      <c r="J274" s="320" t="s">
        <v>25</v>
      </c>
      <c r="K274" s="320" t="s">
        <v>939</v>
      </c>
      <c r="L274" s="320" t="s">
        <v>99</v>
      </c>
      <c r="M274" s="320" t="s">
        <v>88</v>
      </c>
      <c r="N274" s="321">
        <f>E274*G274*'Ref-Savings Calculations'!$E$11*Applicability</f>
        <v>219.85803500576341</v>
      </c>
      <c r="O274" s="321">
        <f>E274*G274*'Ref-Savings Calculations'!$C$57*Applicability*ControlShare</f>
        <v>112.78717195795663</v>
      </c>
      <c r="P274" s="321">
        <f>E274*G274*'Ref-Savings Calculations'!$E$9*Applicability</f>
        <v>208.86513325547523</v>
      </c>
      <c r="Q274" s="321">
        <f>E274*G274*'Ref-Savings Calculations'!$C$57*Applicability*ControlShare</f>
        <v>112.78717195795663</v>
      </c>
      <c r="R274" s="37"/>
      <c r="S274" s="322" t="s">
        <v>44</v>
      </c>
      <c r="T274" s="322" t="s">
        <v>63</v>
      </c>
      <c r="U274" s="322" t="s">
        <v>69</v>
      </c>
      <c r="V274" s="322" t="s">
        <v>69</v>
      </c>
      <c r="W274" s="322" t="s">
        <v>70</v>
      </c>
      <c r="X274" s="37"/>
      <c r="Y274" s="37"/>
      <c r="Z274" s="322" t="s">
        <v>78</v>
      </c>
      <c r="AA274" s="322" t="s">
        <v>78</v>
      </c>
      <c r="AB274" s="37"/>
      <c r="AC274" s="324">
        <f>'Ref-ComHOU'!$G$44</f>
        <v>2.1890410958904112</v>
      </c>
      <c r="AD274" s="324" t="s">
        <v>72</v>
      </c>
      <c r="AE274" s="322" t="s">
        <v>73</v>
      </c>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c r="CA274" s="393"/>
      <c r="CB274" s="393"/>
      <c r="CC274" s="393"/>
      <c r="CD274" s="393"/>
      <c r="CE274" s="393"/>
      <c r="CF274" s="393"/>
      <c r="CG274" s="393"/>
      <c r="CH274" s="393"/>
      <c r="CI274" s="393"/>
      <c r="CJ274" s="390"/>
      <c r="CK274" s="390"/>
      <c r="CL274" s="390"/>
      <c r="CM274" s="390"/>
      <c r="CN274" s="390"/>
      <c r="CO274" s="390"/>
      <c r="CP274" s="390"/>
      <c r="CQ274" s="390"/>
      <c r="CR274" s="390"/>
      <c r="CS274" s="390"/>
      <c r="CT274" s="390"/>
      <c r="CU274" s="390"/>
      <c r="CV274" s="390"/>
      <c r="CW274" s="390"/>
      <c r="CX274" s="390"/>
      <c r="CY274" s="390"/>
      <c r="CZ274" s="390"/>
      <c r="DA274" s="390"/>
      <c r="DB274" s="390"/>
      <c r="DC274" s="390"/>
    </row>
    <row r="275" spans="1:107" s="303" customFormat="1" ht="24">
      <c r="A275" s="37"/>
      <c r="B275" s="325" t="s">
        <v>23</v>
      </c>
      <c r="C275" s="320" t="s">
        <v>938</v>
      </c>
      <c r="D275" s="320" t="s">
        <v>97</v>
      </c>
      <c r="E275" s="324">
        <f>'Ref-ComSources'!$AB$15*'Ref-ComSources'!$D$267</f>
        <v>949.02748923351123</v>
      </c>
      <c r="F275" s="320" t="s">
        <v>26</v>
      </c>
      <c r="G275" s="319">
        <f>'Ref-ComSources'!$E$66*50%</f>
        <v>0.34749999999999998</v>
      </c>
      <c r="H275" s="320" t="s">
        <v>66</v>
      </c>
      <c r="I275" s="378">
        <f>'Ref-BaselineControls'!$J$19</f>
        <v>0.95</v>
      </c>
      <c r="J275" s="320" t="s">
        <v>25</v>
      </c>
      <c r="K275" s="320" t="s">
        <v>939</v>
      </c>
      <c r="L275" s="320" t="s">
        <v>99</v>
      </c>
      <c r="M275" s="320" t="s">
        <v>90</v>
      </c>
      <c r="N275" s="321">
        <f>E275*G275*'Ref-Savings Calculations'!$E$11*Applicability</f>
        <v>219.85803500576341</v>
      </c>
      <c r="O275" s="321">
        <f>E275*G275*'Ref-Savings Calculations'!$C$77*Applicability*ControlShare</f>
        <v>70.178684773839677</v>
      </c>
      <c r="P275" s="321">
        <f>E275*G275*'Ref-Savings Calculations'!$E$9*Applicability</f>
        <v>208.86513325547523</v>
      </c>
      <c r="Q275" s="321">
        <f>E275*G275*'Ref-Savings Calculations'!$C$77*Applicability*ControlShare</f>
        <v>70.178684773839677</v>
      </c>
      <c r="R275" s="37"/>
      <c r="S275" s="322" t="s">
        <v>44</v>
      </c>
      <c r="T275" s="322" t="s">
        <v>63</v>
      </c>
      <c r="U275" s="322" t="s">
        <v>69</v>
      </c>
      <c r="V275" s="322" t="s">
        <v>69</v>
      </c>
      <c r="W275" s="322" t="s">
        <v>70</v>
      </c>
      <c r="X275" s="37"/>
      <c r="Y275" s="37"/>
      <c r="Z275" s="322" t="s">
        <v>78</v>
      </c>
      <c r="AA275" s="322" t="s">
        <v>78</v>
      </c>
      <c r="AB275" s="37"/>
      <c r="AC275" s="324">
        <f>'Ref-ComHOU'!$G$44</f>
        <v>2.1890410958904112</v>
      </c>
      <c r="AD275" s="324" t="s">
        <v>72</v>
      </c>
      <c r="AE275" s="322" t="s">
        <v>73</v>
      </c>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c r="CA275" s="393"/>
      <c r="CB275" s="393"/>
      <c r="CC275" s="393"/>
      <c r="CD275" s="393"/>
      <c r="CE275" s="393"/>
      <c r="CF275" s="393"/>
      <c r="CG275" s="393"/>
      <c r="CH275" s="393"/>
      <c r="CI275" s="393"/>
      <c r="CJ275" s="390"/>
      <c r="CK275" s="390"/>
      <c r="CL275" s="390"/>
      <c r="CM275" s="390"/>
      <c r="CN275" s="390"/>
      <c r="CO275" s="390"/>
      <c r="CP275" s="390"/>
      <c r="CQ275" s="390"/>
      <c r="CR275" s="390"/>
      <c r="CS275" s="390"/>
      <c r="CT275" s="390"/>
      <c r="CU275" s="390"/>
      <c r="CV275" s="390"/>
      <c r="CW275" s="390"/>
      <c r="CX275" s="390"/>
      <c r="CY275" s="390"/>
      <c r="CZ275" s="390"/>
      <c r="DA275" s="390"/>
      <c r="DB275" s="390"/>
      <c r="DC275" s="390"/>
    </row>
    <row r="276" spans="1:107" s="303" customFormat="1" ht="24">
      <c r="A276" s="37"/>
      <c r="B276" s="325" t="s">
        <v>23</v>
      </c>
      <c r="C276" s="320" t="s">
        <v>938</v>
      </c>
      <c r="D276" s="320" t="s">
        <v>97</v>
      </c>
      <c r="E276" s="324">
        <f>'Ref-ComSources'!$AB$15*'Ref-ComSources'!$D$267</f>
        <v>949.02748923351123</v>
      </c>
      <c r="F276" s="320" t="s">
        <v>26</v>
      </c>
      <c r="G276" s="319">
        <f>'Ref-ComSources'!$E$66*50%</f>
        <v>0.34749999999999998</v>
      </c>
      <c r="H276" s="320" t="s">
        <v>66</v>
      </c>
      <c r="I276" s="378">
        <f>'Ref-BaselineControls'!$J$19</f>
        <v>0.95</v>
      </c>
      <c r="J276" s="320" t="s">
        <v>25</v>
      </c>
      <c r="K276" s="320" t="s">
        <v>939</v>
      </c>
      <c r="L276" s="320" t="s">
        <v>99</v>
      </c>
      <c r="M276" s="320" t="s">
        <v>91</v>
      </c>
      <c r="N276" s="321">
        <f>E276*G276*'Ref-Savings Calculations'!$E$11*Applicability</f>
        <v>219.85803500576341</v>
      </c>
      <c r="O276" s="321">
        <f>E276*G276*'Ref-Savings Calculations'!$C$89*Applicability*ControlShare</f>
        <v>77.697829571036792</v>
      </c>
      <c r="P276" s="321">
        <f>E276*G276*'Ref-Savings Calculations'!$E$9*Applicability</f>
        <v>208.86513325547523</v>
      </c>
      <c r="Q276" s="321">
        <f>E276*G276*'Ref-Savings Calculations'!$C$89*Applicability*ControlShare</f>
        <v>77.697829571036792</v>
      </c>
      <c r="R276" s="37"/>
      <c r="S276" s="322" t="s">
        <v>44</v>
      </c>
      <c r="T276" s="322" t="s">
        <v>63</v>
      </c>
      <c r="U276" s="322" t="s">
        <v>69</v>
      </c>
      <c r="V276" s="322" t="s">
        <v>69</v>
      </c>
      <c r="W276" s="322" t="s">
        <v>70</v>
      </c>
      <c r="X276" s="37"/>
      <c r="Y276" s="37"/>
      <c r="Z276" s="322" t="s">
        <v>78</v>
      </c>
      <c r="AA276" s="322" t="s">
        <v>78</v>
      </c>
      <c r="AB276" s="37"/>
      <c r="AC276" s="324">
        <f>'Ref-ComHOU'!$G$44</f>
        <v>2.1890410958904112</v>
      </c>
      <c r="AD276" s="324" t="s">
        <v>72</v>
      </c>
      <c r="AE276" s="322" t="s">
        <v>73</v>
      </c>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c r="CA276" s="393"/>
      <c r="CB276" s="393"/>
      <c r="CC276" s="393"/>
      <c r="CD276" s="393"/>
      <c r="CE276" s="393"/>
      <c r="CF276" s="393"/>
      <c r="CG276" s="393"/>
      <c r="CH276" s="393"/>
      <c r="CI276" s="393"/>
      <c r="CJ276" s="390"/>
      <c r="CK276" s="390"/>
      <c r="CL276" s="390"/>
      <c r="CM276" s="390"/>
      <c r="CN276" s="390"/>
      <c r="CO276" s="390"/>
      <c r="CP276" s="390"/>
      <c r="CQ276" s="390"/>
      <c r="CR276" s="390"/>
      <c r="CS276" s="390"/>
      <c r="CT276" s="390"/>
      <c r="CU276" s="390"/>
      <c r="CV276" s="390"/>
      <c r="CW276" s="390"/>
      <c r="CX276" s="390"/>
      <c r="CY276" s="390"/>
      <c r="CZ276" s="390"/>
      <c r="DA276" s="390"/>
      <c r="DB276" s="390"/>
      <c r="DC276" s="390"/>
    </row>
    <row r="277" spans="1:107" s="303" customFormat="1" ht="24">
      <c r="A277" s="37"/>
      <c r="B277" s="325" t="s">
        <v>23</v>
      </c>
      <c r="C277" s="320" t="s">
        <v>938</v>
      </c>
      <c r="D277" s="320" t="s">
        <v>97</v>
      </c>
      <c r="E277" s="324">
        <f>'Ref-ComSources'!$AB$15*'Ref-ComSources'!$D$267</f>
        <v>949.02748923351123</v>
      </c>
      <c r="F277" s="320" t="s">
        <v>26</v>
      </c>
      <c r="G277" s="319">
        <f>'Ref-ComSources'!$E$66*50%</f>
        <v>0.34749999999999998</v>
      </c>
      <c r="H277" s="320" t="s">
        <v>66</v>
      </c>
      <c r="I277" s="378">
        <f>'Ref-BaselineControls'!$J$19</f>
        <v>0.95</v>
      </c>
      <c r="J277" s="320" t="s">
        <v>25</v>
      </c>
      <c r="K277" s="320" t="s">
        <v>939</v>
      </c>
      <c r="L277" s="320" t="s">
        <v>99</v>
      </c>
      <c r="M277" s="320" t="s">
        <v>92</v>
      </c>
      <c r="N277" s="321">
        <f>E277*G277*'Ref-Savings Calculations'!$E$11*Applicability</f>
        <v>219.85803500576341</v>
      </c>
      <c r="O277" s="321" t="s">
        <v>870</v>
      </c>
      <c r="P277" s="321">
        <f>E277*G277*'Ref-Savings Calculations'!$E$9*Applicability</f>
        <v>208.86513325547523</v>
      </c>
      <c r="Q277" s="321" t="s">
        <v>870</v>
      </c>
      <c r="R277" s="37"/>
      <c r="S277" s="322" t="s">
        <v>44</v>
      </c>
      <c r="T277" s="322" t="s">
        <v>63</v>
      </c>
      <c r="U277" s="322" t="s">
        <v>69</v>
      </c>
      <c r="V277" s="322" t="s">
        <v>69</v>
      </c>
      <c r="W277" s="322" t="s">
        <v>70</v>
      </c>
      <c r="X277" s="37"/>
      <c r="Y277" s="37"/>
      <c r="Z277" s="322" t="s">
        <v>78</v>
      </c>
      <c r="AA277" s="322" t="s">
        <v>78</v>
      </c>
      <c r="AB277" s="37"/>
      <c r="AC277" s="324">
        <f>'Ref-ComHOU'!$G$44</f>
        <v>2.1890410958904112</v>
      </c>
      <c r="AD277" s="324" t="s">
        <v>72</v>
      </c>
      <c r="AE277" s="322" t="s">
        <v>73</v>
      </c>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c r="CA277" s="393"/>
      <c r="CB277" s="393"/>
      <c r="CC277" s="393"/>
      <c r="CD277" s="393"/>
      <c r="CE277" s="393"/>
      <c r="CF277" s="393"/>
      <c r="CG277" s="393"/>
      <c r="CH277" s="393"/>
      <c r="CI277" s="393"/>
      <c r="CJ277" s="390"/>
      <c r="CK277" s="390"/>
      <c r="CL277" s="390"/>
      <c r="CM277" s="390"/>
      <c r="CN277" s="390"/>
      <c r="CO277" s="390"/>
      <c r="CP277" s="390"/>
      <c r="CQ277" s="390"/>
      <c r="CR277" s="390"/>
      <c r="CS277" s="390"/>
      <c r="CT277" s="390"/>
      <c r="CU277" s="390"/>
      <c r="CV277" s="390"/>
      <c r="CW277" s="390"/>
      <c r="CX277" s="390"/>
      <c r="CY277" s="390"/>
      <c r="CZ277" s="390"/>
      <c r="DA277" s="390"/>
      <c r="DB277" s="390"/>
      <c r="DC277" s="390"/>
    </row>
    <row r="278" spans="1:107" s="303" customFormat="1" ht="24">
      <c r="A278" s="37"/>
      <c r="B278" s="325" t="s">
        <v>23</v>
      </c>
      <c r="C278" s="320" t="s">
        <v>938</v>
      </c>
      <c r="D278" s="320" t="s">
        <v>97</v>
      </c>
      <c r="E278" s="324">
        <f>'Ref-ComSources'!$AB$15*'Ref-ComSources'!$D$267</f>
        <v>949.02748923351123</v>
      </c>
      <c r="F278" s="320" t="s">
        <v>26</v>
      </c>
      <c r="G278" s="319">
        <f>'Ref-ComSources'!$E$66*50%</f>
        <v>0.34749999999999998</v>
      </c>
      <c r="H278" s="320" t="s">
        <v>66</v>
      </c>
      <c r="I278" s="378">
        <f>'Ref-BaselineControls'!$J$19</f>
        <v>0.95</v>
      </c>
      <c r="J278" s="320" t="s">
        <v>25</v>
      </c>
      <c r="K278" s="320" t="s">
        <v>939</v>
      </c>
      <c r="L278" s="320" t="s">
        <v>99</v>
      </c>
      <c r="M278" s="320" t="s">
        <v>93</v>
      </c>
      <c r="N278" s="321">
        <f>E278*G278*'Ref-Savings Calculations'!$E$11*Applicability</f>
        <v>219.85803500576341</v>
      </c>
      <c r="O278" s="321">
        <f>E278*G278*'Ref-Savings Calculations'!$C$109*Applicability*ControlShare</f>
        <v>95.242500764496711</v>
      </c>
      <c r="P278" s="321">
        <f>E278*G278*'Ref-Savings Calculations'!$E$9*Applicability</f>
        <v>208.86513325547523</v>
      </c>
      <c r="Q278" s="321">
        <f>E278*G278*'Ref-Savings Calculations'!$C$109*Applicability*ControlShare</f>
        <v>95.242500764496711</v>
      </c>
      <c r="R278" s="37"/>
      <c r="S278" s="322" t="s">
        <v>44</v>
      </c>
      <c r="T278" s="322" t="s">
        <v>63</v>
      </c>
      <c r="U278" s="322" t="s">
        <v>44</v>
      </c>
      <c r="V278" s="322" t="s">
        <v>75</v>
      </c>
      <c r="W278" s="322" t="s">
        <v>70</v>
      </c>
      <c r="X278" s="37"/>
      <c r="Y278" s="37"/>
      <c r="Z278" s="322" t="s">
        <v>78</v>
      </c>
      <c r="AA278" s="322" t="s">
        <v>78</v>
      </c>
      <c r="AB278" s="37"/>
      <c r="AC278" s="324">
        <f>'Ref-ComHOU'!$G$44</f>
        <v>2.1890410958904112</v>
      </c>
      <c r="AD278" s="324" t="s">
        <v>72</v>
      </c>
      <c r="AE278" s="322" t="s">
        <v>73</v>
      </c>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c r="CA278" s="393"/>
      <c r="CB278" s="393"/>
      <c r="CC278" s="393"/>
      <c r="CD278" s="393"/>
      <c r="CE278" s="393"/>
      <c r="CF278" s="393"/>
      <c r="CG278" s="393"/>
      <c r="CH278" s="393"/>
      <c r="CI278" s="393"/>
      <c r="CJ278" s="390"/>
      <c r="CK278" s="390"/>
      <c r="CL278" s="390"/>
      <c r="CM278" s="390"/>
      <c r="CN278" s="390"/>
      <c r="CO278" s="390"/>
      <c r="CP278" s="390"/>
      <c r="CQ278" s="390"/>
      <c r="CR278" s="390"/>
      <c r="CS278" s="390"/>
      <c r="CT278" s="390"/>
      <c r="CU278" s="390"/>
      <c r="CV278" s="390"/>
      <c r="CW278" s="390"/>
      <c r="CX278" s="390"/>
      <c r="CY278" s="390"/>
      <c r="CZ278" s="390"/>
      <c r="DA278" s="390"/>
      <c r="DB278" s="390"/>
      <c r="DC278" s="390"/>
    </row>
    <row r="279" spans="1:107" s="303" customFormat="1" ht="33.75">
      <c r="A279" s="37"/>
      <c r="B279" s="325" t="s">
        <v>23</v>
      </c>
      <c r="C279" s="320" t="s">
        <v>938</v>
      </c>
      <c r="D279" s="320" t="s">
        <v>1220</v>
      </c>
      <c r="E279" s="324">
        <f>'Ref-ComSources'!$AB$15*'Ref-ComSources'!$D$268</f>
        <v>158.98048972032714</v>
      </c>
      <c r="F279" s="320" t="s">
        <v>25</v>
      </c>
      <c r="G279" s="319">
        <f>('Ref-ComSources'!$E$68/SUM('Ref-ComSources'!$E$68,'Ref-ComSources'!$D$68))*50%</f>
        <v>0.36844919786096259</v>
      </c>
      <c r="H279" s="320" t="s">
        <v>66</v>
      </c>
      <c r="I279" s="378">
        <f>'Ref-BaselineControls'!$J$19</f>
        <v>0.95</v>
      </c>
      <c r="J279" s="320" t="s">
        <v>25</v>
      </c>
      <c r="K279" s="320" t="s">
        <v>1033</v>
      </c>
      <c r="L279" s="320" t="s">
        <v>95</v>
      </c>
      <c r="M279" s="320" t="s">
        <v>88</v>
      </c>
      <c r="N279" s="321">
        <f>E279*G279*'Ref-Savings Calculations'!$E$9*Applicability</f>
        <v>37.098281478231776</v>
      </c>
      <c r="O279" s="321">
        <f>E279*G279*'Ref-Savings Calculations'!$C$57*Applicability*ControlShare</f>
        <v>20.033071998245159</v>
      </c>
      <c r="P279" s="321">
        <f>E279*G279*'Ref-Savings Calculations'!$E$9*Applicability</f>
        <v>37.098281478231776</v>
      </c>
      <c r="Q279" s="321" t="s">
        <v>871</v>
      </c>
      <c r="R279" s="37"/>
      <c r="S279" s="322" t="s">
        <v>44</v>
      </c>
      <c r="T279" s="322" t="s">
        <v>63</v>
      </c>
      <c r="U279" s="322" t="s">
        <v>69</v>
      </c>
      <c r="V279" s="322" t="s">
        <v>69</v>
      </c>
      <c r="W279" s="322" t="s">
        <v>70</v>
      </c>
      <c r="X279" s="37"/>
      <c r="Y279" s="37"/>
      <c r="Z279" s="322" t="s">
        <v>78</v>
      </c>
      <c r="AA279" s="322" t="s">
        <v>78</v>
      </c>
      <c r="AB279" s="37"/>
      <c r="AC279" s="324">
        <f>'Ref-ComHOU'!$G$49</f>
        <v>21.6</v>
      </c>
      <c r="AD279" s="324" t="s">
        <v>72</v>
      </c>
      <c r="AE279" s="322" t="s">
        <v>73</v>
      </c>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c r="CA279" s="393"/>
      <c r="CB279" s="393"/>
      <c r="CC279" s="393"/>
      <c r="CD279" s="393"/>
      <c r="CE279" s="393"/>
      <c r="CF279" s="393"/>
      <c r="CG279" s="393"/>
      <c r="CH279" s="393"/>
      <c r="CI279" s="393"/>
      <c r="CJ279" s="390"/>
      <c r="CK279" s="390"/>
      <c r="CL279" s="390"/>
      <c r="CM279" s="390"/>
      <c r="CN279" s="390"/>
      <c r="CO279" s="390"/>
      <c r="CP279" s="390"/>
      <c r="CQ279" s="390"/>
      <c r="CR279" s="390"/>
      <c r="CS279" s="390"/>
      <c r="CT279" s="390"/>
      <c r="CU279" s="390"/>
      <c r="CV279" s="390"/>
      <c r="CW279" s="390"/>
      <c r="CX279" s="390"/>
      <c r="CY279" s="390"/>
      <c r="CZ279" s="390"/>
      <c r="DA279" s="390"/>
      <c r="DB279" s="390"/>
      <c r="DC279" s="390"/>
    </row>
    <row r="280" spans="1:107" s="303" customFormat="1" ht="33.75">
      <c r="A280" s="37"/>
      <c r="B280" s="325" t="s">
        <v>23</v>
      </c>
      <c r="C280" s="320" t="s">
        <v>938</v>
      </c>
      <c r="D280" s="320" t="s">
        <v>1220</v>
      </c>
      <c r="E280" s="324">
        <f>'Ref-ComSources'!$AB$15*'Ref-ComSources'!$D$268</f>
        <v>158.98048972032714</v>
      </c>
      <c r="F280" s="320" t="s">
        <v>25</v>
      </c>
      <c r="G280" s="319">
        <f>('Ref-ComSources'!$E$68/SUM('Ref-ComSources'!$E$68,'Ref-ComSources'!$D$68))*50%</f>
        <v>0.36844919786096259</v>
      </c>
      <c r="H280" s="320" t="s">
        <v>66</v>
      </c>
      <c r="I280" s="378">
        <f>'Ref-BaselineControls'!$J$19</f>
        <v>0.95</v>
      </c>
      <c r="J280" s="320" t="s">
        <v>25</v>
      </c>
      <c r="K280" s="320" t="s">
        <v>1033</v>
      </c>
      <c r="L280" s="320" t="s">
        <v>95</v>
      </c>
      <c r="M280" s="320" t="s">
        <v>90</v>
      </c>
      <c r="N280" s="321">
        <f>E280*G280*'Ref-Savings Calculations'!$E$9*Applicability</f>
        <v>37.098281478231776</v>
      </c>
      <c r="O280" s="321">
        <f>E280*G280*'Ref-Savings Calculations'!$C$77*Applicability*ControlShare</f>
        <v>12.465022576685881</v>
      </c>
      <c r="P280" s="321">
        <f>E280*G280*'Ref-Savings Calculations'!$E$9*Applicability</f>
        <v>37.098281478231776</v>
      </c>
      <c r="Q280" s="321" t="s">
        <v>1109</v>
      </c>
      <c r="R280" s="37"/>
      <c r="S280" s="322" t="s">
        <v>44</v>
      </c>
      <c r="T280" s="322" t="s">
        <v>63</v>
      </c>
      <c r="U280" s="322" t="s">
        <v>69</v>
      </c>
      <c r="V280" s="322" t="s">
        <v>69</v>
      </c>
      <c r="W280" s="322" t="s">
        <v>70</v>
      </c>
      <c r="X280" s="37"/>
      <c r="Y280" s="37"/>
      <c r="Z280" s="322" t="s">
        <v>78</v>
      </c>
      <c r="AA280" s="322" t="s">
        <v>78</v>
      </c>
      <c r="AB280" s="37"/>
      <c r="AC280" s="324">
        <f>'Ref-ComHOU'!$G$49</f>
        <v>21.6</v>
      </c>
      <c r="AD280" s="324" t="s">
        <v>72</v>
      </c>
      <c r="AE280" s="322" t="s">
        <v>73</v>
      </c>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c r="CA280" s="393"/>
      <c r="CB280" s="393"/>
      <c r="CC280" s="393"/>
      <c r="CD280" s="393"/>
      <c r="CE280" s="393"/>
      <c r="CF280" s="393"/>
      <c r="CG280" s="393"/>
      <c r="CH280" s="393"/>
      <c r="CI280" s="393"/>
      <c r="CJ280" s="390"/>
      <c r="CK280" s="390"/>
      <c r="CL280" s="390"/>
      <c r="CM280" s="390"/>
      <c r="CN280" s="390"/>
      <c r="CO280" s="390"/>
      <c r="CP280" s="390"/>
      <c r="CQ280" s="390"/>
      <c r="CR280" s="390"/>
      <c r="CS280" s="390"/>
      <c r="CT280" s="390"/>
      <c r="CU280" s="390"/>
      <c r="CV280" s="390"/>
      <c r="CW280" s="390"/>
      <c r="CX280" s="390"/>
      <c r="CY280" s="390"/>
      <c r="CZ280" s="390"/>
      <c r="DA280" s="390"/>
      <c r="DB280" s="390"/>
      <c r="DC280" s="390"/>
    </row>
    <row r="281" spans="1:107" s="303" customFormat="1" ht="33.75">
      <c r="A281" s="37"/>
      <c r="B281" s="325" t="s">
        <v>23</v>
      </c>
      <c r="C281" s="320" t="s">
        <v>938</v>
      </c>
      <c r="D281" s="320" t="s">
        <v>1220</v>
      </c>
      <c r="E281" s="324">
        <f>'Ref-ComSources'!$AB$15*'Ref-ComSources'!$D$268</f>
        <v>158.98048972032714</v>
      </c>
      <c r="F281" s="320" t="s">
        <v>25</v>
      </c>
      <c r="G281" s="319">
        <f>('Ref-ComSources'!$E$68/SUM('Ref-ComSources'!$E$68,'Ref-ComSources'!$D$68))*50%</f>
        <v>0.36844919786096259</v>
      </c>
      <c r="H281" s="320" t="s">
        <v>66</v>
      </c>
      <c r="I281" s="378">
        <f>'Ref-BaselineControls'!$J$19</f>
        <v>0.95</v>
      </c>
      <c r="J281" s="320" t="s">
        <v>25</v>
      </c>
      <c r="K281" s="320" t="s">
        <v>1033</v>
      </c>
      <c r="L281" s="320" t="s">
        <v>95</v>
      </c>
      <c r="M281" s="320" t="s">
        <v>91</v>
      </c>
      <c r="N281" s="321">
        <f>E281*G281*'Ref-Savings Calculations'!$E$9*Applicability</f>
        <v>37.098281478231776</v>
      </c>
      <c r="O281" s="321" t="s">
        <v>870</v>
      </c>
      <c r="P281" s="321">
        <f>E281*G281*'Ref-Savings Calculations'!$E$9*Applicability</f>
        <v>37.098281478231776</v>
      </c>
      <c r="Q281" s="321" t="s">
        <v>870</v>
      </c>
      <c r="R281" s="37"/>
      <c r="S281" s="322" t="s">
        <v>44</v>
      </c>
      <c r="T281" s="322" t="s">
        <v>63</v>
      </c>
      <c r="U281" s="322" t="s">
        <v>69</v>
      </c>
      <c r="V281" s="322" t="s">
        <v>69</v>
      </c>
      <c r="W281" s="322" t="s">
        <v>70</v>
      </c>
      <c r="X281" s="37"/>
      <c r="Y281" s="37"/>
      <c r="Z281" s="322" t="s">
        <v>78</v>
      </c>
      <c r="AA281" s="322" t="s">
        <v>78</v>
      </c>
      <c r="AB281" s="37"/>
      <c r="AC281" s="324">
        <f>'Ref-ComHOU'!$G$49</f>
        <v>21.6</v>
      </c>
      <c r="AD281" s="324" t="s">
        <v>72</v>
      </c>
      <c r="AE281" s="322" t="s">
        <v>73</v>
      </c>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c r="CA281" s="393"/>
      <c r="CB281" s="393"/>
      <c r="CC281" s="393"/>
      <c r="CD281" s="393"/>
      <c r="CE281" s="393"/>
      <c r="CF281" s="393"/>
      <c r="CG281" s="393"/>
      <c r="CH281" s="393"/>
      <c r="CI281" s="393"/>
      <c r="CJ281" s="390"/>
      <c r="CK281" s="390"/>
      <c r="CL281" s="390"/>
      <c r="CM281" s="390"/>
      <c r="CN281" s="390"/>
      <c r="CO281" s="390"/>
      <c r="CP281" s="390"/>
      <c r="CQ281" s="390"/>
      <c r="CR281" s="390"/>
      <c r="CS281" s="390"/>
      <c r="CT281" s="390"/>
      <c r="CU281" s="390"/>
      <c r="CV281" s="390"/>
      <c r="CW281" s="390"/>
      <c r="CX281" s="390"/>
      <c r="CY281" s="390"/>
      <c r="CZ281" s="390"/>
      <c r="DA281" s="390"/>
      <c r="DB281" s="390"/>
      <c r="DC281" s="390"/>
    </row>
    <row r="282" spans="1:107" s="303" customFormat="1" ht="33.75">
      <c r="A282" s="37"/>
      <c r="B282" s="325" t="s">
        <v>23</v>
      </c>
      <c r="C282" s="320" t="s">
        <v>938</v>
      </c>
      <c r="D282" s="320" t="s">
        <v>1220</v>
      </c>
      <c r="E282" s="324">
        <f>'Ref-ComSources'!$AB$15*'Ref-ComSources'!$D$268</f>
        <v>158.98048972032714</v>
      </c>
      <c r="F282" s="320" t="s">
        <v>25</v>
      </c>
      <c r="G282" s="319">
        <f>('Ref-ComSources'!$E$68/SUM('Ref-ComSources'!$E$68,'Ref-ComSources'!$D$68))*50%</f>
        <v>0.36844919786096259</v>
      </c>
      <c r="H282" s="320" t="s">
        <v>66</v>
      </c>
      <c r="I282" s="378">
        <f>'Ref-BaselineControls'!$J$19</f>
        <v>0.95</v>
      </c>
      <c r="J282" s="320" t="s">
        <v>25</v>
      </c>
      <c r="K282" s="320" t="s">
        <v>1033</v>
      </c>
      <c r="L282" s="320" t="s">
        <v>95</v>
      </c>
      <c r="M282" s="320" t="s">
        <v>92</v>
      </c>
      <c r="N282" s="321">
        <f>E282*G282*'Ref-Savings Calculations'!$E$9*Applicability</f>
        <v>37.098281478231776</v>
      </c>
      <c r="O282" s="321">
        <f>E282*G282*'Ref-Savings Calculations'!$C$99*Applicability*ControlShare</f>
        <v>16.026457598596128</v>
      </c>
      <c r="P282" s="321">
        <f>E282*G282*'Ref-Savings Calculations'!$E$9*Applicability</f>
        <v>37.098281478231776</v>
      </c>
      <c r="Q282" s="321" t="s">
        <v>1109</v>
      </c>
      <c r="R282" s="37"/>
      <c r="S282" s="322" t="s">
        <v>44</v>
      </c>
      <c r="T282" s="322" t="s">
        <v>63</v>
      </c>
      <c r="U282" s="322" t="s">
        <v>69</v>
      </c>
      <c r="V282" s="322" t="s">
        <v>69</v>
      </c>
      <c r="W282" s="322" t="s">
        <v>70</v>
      </c>
      <c r="X282" s="37"/>
      <c r="Y282" s="37"/>
      <c r="Z282" s="322" t="s">
        <v>78</v>
      </c>
      <c r="AA282" s="322" t="s">
        <v>78</v>
      </c>
      <c r="AB282" s="37"/>
      <c r="AC282" s="324">
        <f>'Ref-ComHOU'!$G$49</f>
        <v>21.6</v>
      </c>
      <c r="AD282" s="324" t="s">
        <v>72</v>
      </c>
      <c r="AE282" s="322" t="s">
        <v>73</v>
      </c>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c r="CA282" s="393"/>
      <c r="CB282" s="393"/>
      <c r="CC282" s="393"/>
      <c r="CD282" s="393"/>
      <c r="CE282" s="393"/>
      <c r="CF282" s="393"/>
      <c r="CG282" s="393"/>
      <c r="CH282" s="393"/>
      <c r="CI282" s="393"/>
      <c r="CJ282" s="390"/>
      <c r="CK282" s="390"/>
      <c r="CL282" s="390"/>
      <c r="CM282" s="390"/>
      <c r="CN282" s="390"/>
      <c r="CO282" s="390"/>
      <c r="CP282" s="390"/>
      <c r="CQ282" s="390"/>
      <c r="CR282" s="390"/>
      <c r="CS282" s="390"/>
      <c r="CT282" s="390"/>
      <c r="CU282" s="390"/>
      <c r="CV282" s="390"/>
      <c r="CW282" s="390"/>
      <c r="CX282" s="390"/>
      <c r="CY282" s="390"/>
      <c r="CZ282" s="390"/>
      <c r="DA282" s="390"/>
      <c r="DB282" s="390"/>
      <c r="DC282" s="390"/>
    </row>
    <row r="283" spans="1:107" s="303" customFormat="1" ht="33.75">
      <c r="A283" s="37"/>
      <c r="B283" s="325" t="s">
        <v>23</v>
      </c>
      <c r="C283" s="320" t="s">
        <v>938</v>
      </c>
      <c r="D283" s="320" t="s">
        <v>1220</v>
      </c>
      <c r="E283" s="324">
        <f>'Ref-ComSources'!$AB$15*'Ref-ComSources'!$D$268</f>
        <v>158.98048972032714</v>
      </c>
      <c r="F283" s="320" t="s">
        <v>25</v>
      </c>
      <c r="G283" s="319">
        <f>('Ref-ComSources'!$E$68/SUM('Ref-ComSources'!$E$68,'Ref-ComSources'!$D$68))*50%</f>
        <v>0.36844919786096259</v>
      </c>
      <c r="H283" s="320" t="s">
        <v>66</v>
      </c>
      <c r="I283" s="378">
        <f>'Ref-BaselineControls'!$J$19</f>
        <v>0.95</v>
      </c>
      <c r="J283" s="320" t="s">
        <v>25</v>
      </c>
      <c r="K283" s="320" t="s">
        <v>1033</v>
      </c>
      <c r="L283" s="320" t="s">
        <v>95</v>
      </c>
      <c r="M283" s="320" t="s">
        <v>93</v>
      </c>
      <c r="N283" s="321">
        <f>E283*G283*'Ref-Savings Calculations'!$E$9*Applicability</f>
        <v>37.098281478231776</v>
      </c>
      <c r="O283" s="321">
        <f>E283*G283*'Ref-Savings Calculations'!$C$109*Applicability*ControlShare</f>
        <v>16.916816354073688</v>
      </c>
      <c r="P283" s="321">
        <f>E283*G283*'Ref-Savings Calculations'!$E$9*Applicability</f>
        <v>37.098281478231776</v>
      </c>
      <c r="Q283" s="321" t="s">
        <v>1109</v>
      </c>
      <c r="R283" s="37"/>
      <c r="S283" s="322" t="s">
        <v>44</v>
      </c>
      <c r="T283" s="322" t="s">
        <v>63</v>
      </c>
      <c r="U283" s="322" t="s">
        <v>44</v>
      </c>
      <c r="V283" s="322" t="s">
        <v>75</v>
      </c>
      <c r="W283" s="322" t="s">
        <v>70</v>
      </c>
      <c r="X283" s="37"/>
      <c r="Y283" s="37"/>
      <c r="Z283" s="322" t="s">
        <v>78</v>
      </c>
      <c r="AA283" s="322" t="s">
        <v>78</v>
      </c>
      <c r="AB283" s="37"/>
      <c r="AC283" s="324">
        <f>'Ref-ComHOU'!$G$49</f>
        <v>21.6</v>
      </c>
      <c r="AD283" s="324" t="s">
        <v>72</v>
      </c>
      <c r="AE283" s="322" t="s">
        <v>73</v>
      </c>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c r="CA283" s="393"/>
      <c r="CB283" s="393"/>
      <c r="CC283" s="393"/>
      <c r="CD283" s="393"/>
      <c r="CE283" s="393"/>
      <c r="CF283" s="393"/>
      <c r="CG283" s="393"/>
      <c r="CH283" s="393"/>
      <c r="CI283" s="393"/>
      <c r="CJ283" s="390"/>
      <c r="CK283" s="390"/>
      <c r="CL283" s="390"/>
      <c r="CM283" s="390"/>
      <c r="CN283" s="390"/>
      <c r="CO283" s="390"/>
      <c r="CP283" s="390"/>
      <c r="CQ283" s="390"/>
      <c r="CR283" s="390"/>
      <c r="CS283" s="390"/>
      <c r="CT283" s="390"/>
      <c r="CU283" s="390"/>
      <c r="CV283" s="390"/>
      <c r="CW283" s="390"/>
      <c r="CX283" s="390"/>
      <c r="CY283" s="390"/>
      <c r="CZ283" s="390"/>
      <c r="DA283" s="390"/>
      <c r="DB283" s="390"/>
      <c r="DC283" s="390"/>
    </row>
    <row r="284" spans="1:107" s="303" customFormat="1" ht="33.75">
      <c r="A284" s="37"/>
      <c r="B284" s="325" t="s">
        <v>23</v>
      </c>
      <c r="C284" s="320" t="s">
        <v>938</v>
      </c>
      <c r="D284" s="320" t="s">
        <v>1220</v>
      </c>
      <c r="E284" s="324">
        <f>'Ref-ComSources'!$AB$15*'Ref-ComSources'!$D$268</f>
        <v>158.98048972032714</v>
      </c>
      <c r="F284" s="320" t="s">
        <v>25</v>
      </c>
      <c r="G284" s="319">
        <f>('Ref-ComSources'!$E$68/SUM('Ref-ComSources'!$E$68,'Ref-ComSources'!$D$68))*50%</f>
        <v>0.36844919786096259</v>
      </c>
      <c r="H284" s="320" t="s">
        <v>66</v>
      </c>
      <c r="I284" s="378">
        <f>'Ref-BaselineControls'!$J$19</f>
        <v>0.95</v>
      </c>
      <c r="J284" s="320" t="s">
        <v>25</v>
      </c>
      <c r="K284" s="320" t="s">
        <v>1033</v>
      </c>
      <c r="L284" s="320" t="s">
        <v>24</v>
      </c>
      <c r="M284" s="320" t="s">
        <v>88</v>
      </c>
      <c r="N284" s="321">
        <f>E284*G284*'Ref-Savings Calculations'!$E$8*Applicability</f>
        <v>34.169469782581899</v>
      </c>
      <c r="O284" s="321">
        <f>E284*G284*'Ref-Savings Calculations'!$C$57*Applicability*ControlShare</f>
        <v>20.033071998245159</v>
      </c>
      <c r="P284" s="321">
        <f>E284*G284*'Ref-Savings Calculations'!$E$8*Applicability</f>
        <v>34.169469782581899</v>
      </c>
      <c r="Q284" s="321" t="s">
        <v>871</v>
      </c>
      <c r="R284" s="37"/>
      <c r="S284" s="322" t="s">
        <v>68</v>
      </c>
      <c r="T284" s="322" t="s">
        <v>63</v>
      </c>
      <c r="U284" s="322" t="s">
        <v>69</v>
      </c>
      <c r="V284" s="322" t="s">
        <v>69</v>
      </c>
      <c r="W284" s="322" t="s">
        <v>70</v>
      </c>
      <c r="X284" s="37"/>
      <c r="Y284" s="37"/>
      <c r="Z284" s="322" t="s">
        <v>78</v>
      </c>
      <c r="AA284" s="322" t="s">
        <v>78</v>
      </c>
      <c r="AB284" s="37"/>
      <c r="AC284" s="324">
        <f>'Ref-ComHOU'!$G$49</f>
        <v>21.6</v>
      </c>
      <c r="AD284" s="324" t="s">
        <v>72</v>
      </c>
      <c r="AE284" s="322" t="s">
        <v>73</v>
      </c>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c r="CA284" s="393"/>
      <c r="CB284" s="393"/>
      <c r="CC284" s="393"/>
      <c r="CD284" s="393"/>
      <c r="CE284" s="393"/>
      <c r="CF284" s="393"/>
      <c r="CG284" s="393"/>
      <c r="CH284" s="393"/>
      <c r="CI284" s="393"/>
      <c r="CJ284" s="390"/>
      <c r="CK284" s="390"/>
      <c r="CL284" s="390"/>
      <c r="CM284" s="390"/>
      <c r="CN284" s="390"/>
      <c r="CO284" s="390"/>
      <c r="CP284" s="390"/>
      <c r="CQ284" s="390"/>
      <c r="CR284" s="390"/>
      <c r="CS284" s="390"/>
      <c r="CT284" s="390"/>
      <c r="CU284" s="390"/>
      <c r="CV284" s="390"/>
      <c r="CW284" s="390"/>
      <c r="CX284" s="390"/>
      <c r="CY284" s="390"/>
      <c r="CZ284" s="390"/>
      <c r="DA284" s="390"/>
      <c r="DB284" s="390"/>
      <c r="DC284" s="390"/>
    </row>
    <row r="285" spans="1:107" s="303" customFormat="1" ht="33.75">
      <c r="A285" s="37"/>
      <c r="B285" s="325" t="s">
        <v>23</v>
      </c>
      <c r="C285" s="320" t="s">
        <v>938</v>
      </c>
      <c r="D285" s="320" t="s">
        <v>1220</v>
      </c>
      <c r="E285" s="324">
        <f>'Ref-ComSources'!$AB$15*'Ref-ComSources'!$D$268</f>
        <v>158.98048972032714</v>
      </c>
      <c r="F285" s="320" t="s">
        <v>25</v>
      </c>
      <c r="G285" s="319">
        <f>('Ref-ComSources'!$E$68/SUM('Ref-ComSources'!$E$68,'Ref-ComSources'!$D$68))*50%</f>
        <v>0.36844919786096259</v>
      </c>
      <c r="H285" s="320" t="s">
        <v>66</v>
      </c>
      <c r="I285" s="378">
        <f>'Ref-BaselineControls'!$J$19</f>
        <v>0.95</v>
      </c>
      <c r="J285" s="320" t="s">
        <v>25</v>
      </c>
      <c r="K285" s="320" t="s">
        <v>1033</v>
      </c>
      <c r="L285" s="320" t="s">
        <v>24</v>
      </c>
      <c r="M285" s="320" t="s">
        <v>90</v>
      </c>
      <c r="N285" s="321">
        <f>E285*G285*'Ref-Savings Calculations'!$E$8*Applicability</f>
        <v>34.169469782581899</v>
      </c>
      <c r="O285" s="321">
        <f>E285*G285*'Ref-Savings Calculations'!$C$77*Applicability*ControlShare</f>
        <v>12.465022576685881</v>
      </c>
      <c r="P285" s="321">
        <f>E285*G285*'Ref-Savings Calculations'!$E$8*Applicability</f>
        <v>34.169469782581899</v>
      </c>
      <c r="Q285" s="321" t="s">
        <v>1109</v>
      </c>
      <c r="R285" s="37"/>
      <c r="S285" s="322" t="s">
        <v>68</v>
      </c>
      <c r="T285" s="322" t="s">
        <v>63</v>
      </c>
      <c r="U285" s="322" t="s">
        <v>69</v>
      </c>
      <c r="V285" s="322" t="s">
        <v>69</v>
      </c>
      <c r="W285" s="322" t="s">
        <v>70</v>
      </c>
      <c r="X285" s="37"/>
      <c r="Y285" s="37"/>
      <c r="Z285" s="322" t="s">
        <v>78</v>
      </c>
      <c r="AA285" s="322" t="s">
        <v>78</v>
      </c>
      <c r="AB285" s="37"/>
      <c r="AC285" s="324">
        <f>'Ref-ComHOU'!$G$49</f>
        <v>21.6</v>
      </c>
      <c r="AD285" s="324" t="s">
        <v>72</v>
      </c>
      <c r="AE285" s="322" t="s">
        <v>73</v>
      </c>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c r="CA285" s="393"/>
      <c r="CB285" s="393"/>
      <c r="CC285" s="393"/>
      <c r="CD285" s="393"/>
      <c r="CE285" s="393"/>
      <c r="CF285" s="393"/>
      <c r="CG285" s="393"/>
      <c r="CH285" s="393"/>
      <c r="CI285" s="393"/>
      <c r="CJ285" s="390"/>
      <c r="CK285" s="390"/>
      <c r="CL285" s="390"/>
      <c r="CM285" s="390"/>
      <c r="CN285" s="390"/>
      <c r="CO285" s="390"/>
      <c r="CP285" s="390"/>
      <c r="CQ285" s="390"/>
      <c r="CR285" s="390"/>
      <c r="CS285" s="390"/>
      <c r="CT285" s="390"/>
      <c r="CU285" s="390"/>
      <c r="CV285" s="390"/>
      <c r="CW285" s="390"/>
      <c r="CX285" s="390"/>
      <c r="CY285" s="390"/>
      <c r="CZ285" s="390"/>
      <c r="DA285" s="390"/>
      <c r="DB285" s="390"/>
      <c r="DC285" s="390"/>
    </row>
    <row r="286" spans="1:107" s="303" customFormat="1" ht="33.75">
      <c r="A286" s="37"/>
      <c r="B286" s="325" t="s">
        <v>23</v>
      </c>
      <c r="C286" s="320" t="s">
        <v>938</v>
      </c>
      <c r="D286" s="320" t="s">
        <v>1220</v>
      </c>
      <c r="E286" s="324">
        <f>'Ref-ComSources'!$AB$15*'Ref-ComSources'!$D$268</f>
        <v>158.98048972032714</v>
      </c>
      <c r="F286" s="320" t="s">
        <v>25</v>
      </c>
      <c r="G286" s="319">
        <f>('Ref-ComSources'!$E$68/SUM('Ref-ComSources'!$E$68,'Ref-ComSources'!$D$68))*50%</f>
        <v>0.36844919786096259</v>
      </c>
      <c r="H286" s="320" t="s">
        <v>66</v>
      </c>
      <c r="I286" s="378">
        <f>'Ref-BaselineControls'!$J$19</f>
        <v>0.95</v>
      </c>
      <c r="J286" s="320" t="s">
        <v>25</v>
      </c>
      <c r="K286" s="320" t="s">
        <v>1033</v>
      </c>
      <c r="L286" s="320" t="s">
        <v>24</v>
      </c>
      <c r="M286" s="320" t="s">
        <v>91</v>
      </c>
      <c r="N286" s="321">
        <f>E286*G286*'Ref-Savings Calculations'!$E$8*Applicability</f>
        <v>34.169469782581899</v>
      </c>
      <c r="O286" s="321" t="s">
        <v>870</v>
      </c>
      <c r="P286" s="321">
        <f>E286*G286*'Ref-Savings Calculations'!$E$8*Applicability</f>
        <v>34.169469782581899</v>
      </c>
      <c r="Q286" s="321" t="s">
        <v>870</v>
      </c>
      <c r="R286" s="37"/>
      <c r="S286" s="322" t="s">
        <v>68</v>
      </c>
      <c r="T286" s="322" t="s">
        <v>63</v>
      </c>
      <c r="U286" s="322" t="s">
        <v>69</v>
      </c>
      <c r="V286" s="322" t="s">
        <v>69</v>
      </c>
      <c r="W286" s="322" t="s">
        <v>70</v>
      </c>
      <c r="X286" s="37"/>
      <c r="Y286" s="37"/>
      <c r="Z286" s="322" t="s">
        <v>78</v>
      </c>
      <c r="AA286" s="322" t="s">
        <v>78</v>
      </c>
      <c r="AB286" s="37"/>
      <c r="AC286" s="324">
        <f>'Ref-ComHOU'!$G$49</f>
        <v>21.6</v>
      </c>
      <c r="AD286" s="324" t="s">
        <v>72</v>
      </c>
      <c r="AE286" s="322" t="s">
        <v>73</v>
      </c>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c r="CA286" s="393"/>
      <c r="CB286" s="393"/>
      <c r="CC286" s="393"/>
      <c r="CD286" s="393"/>
      <c r="CE286" s="393"/>
      <c r="CF286" s="393"/>
      <c r="CG286" s="393"/>
      <c r="CH286" s="393"/>
      <c r="CI286" s="393"/>
      <c r="CJ286" s="390"/>
      <c r="CK286" s="390"/>
      <c r="CL286" s="390"/>
      <c r="CM286" s="390"/>
      <c r="CN286" s="390"/>
      <c r="CO286" s="390"/>
      <c r="CP286" s="390"/>
      <c r="CQ286" s="390"/>
      <c r="CR286" s="390"/>
      <c r="CS286" s="390"/>
      <c r="CT286" s="390"/>
      <c r="CU286" s="390"/>
      <c r="CV286" s="390"/>
      <c r="CW286" s="390"/>
      <c r="CX286" s="390"/>
      <c r="CY286" s="390"/>
      <c r="CZ286" s="390"/>
      <c r="DA286" s="390"/>
      <c r="DB286" s="390"/>
      <c r="DC286" s="390"/>
    </row>
    <row r="287" spans="1:107" s="303" customFormat="1" ht="33.75">
      <c r="A287" s="37"/>
      <c r="B287" s="325" t="s">
        <v>23</v>
      </c>
      <c r="C287" s="320" t="s">
        <v>938</v>
      </c>
      <c r="D287" s="320" t="s">
        <v>1220</v>
      </c>
      <c r="E287" s="324">
        <f>'Ref-ComSources'!$AB$15*'Ref-ComSources'!$D$268</f>
        <v>158.98048972032714</v>
      </c>
      <c r="F287" s="320" t="s">
        <v>25</v>
      </c>
      <c r="G287" s="319">
        <f>('Ref-ComSources'!$E$68/SUM('Ref-ComSources'!$E$68,'Ref-ComSources'!$D$68))*50%</f>
        <v>0.36844919786096259</v>
      </c>
      <c r="H287" s="320" t="s">
        <v>66</v>
      </c>
      <c r="I287" s="378">
        <f>'Ref-BaselineControls'!$J$19</f>
        <v>0.95</v>
      </c>
      <c r="J287" s="320" t="s">
        <v>25</v>
      </c>
      <c r="K287" s="320" t="s">
        <v>1033</v>
      </c>
      <c r="L287" s="320" t="s">
        <v>24</v>
      </c>
      <c r="M287" s="320" t="s">
        <v>92</v>
      </c>
      <c r="N287" s="321">
        <f>E287*G287*'Ref-Savings Calculations'!$E$8*Applicability</f>
        <v>34.169469782581899</v>
      </c>
      <c r="O287" s="321">
        <f>E287*G287*'Ref-Savings Calculations'!$C$99*Applicability*ControlShare</f>
        <v>16.026457598596128</v>
      </c>
      <c r="P287" s="321">
        <f>E287*G287*'Ref-Savings Calculations'!$E$8*Applicability</f>
        <v>34.169469782581899</v>
      </c>
      <c r="Q287" s="321" t="s">
        <v>1109</v>
      </c>
      <c r="R287" s="37"/>
      <c r="S287" s="322" t="s">
        <v>68</v>
      </c>
      <c r="T287" s="322" t="s">
        <v>63</v>
      </c>
      <c r="U287" s="322" t="s">
        <v>69</v>
      </c>
      <c r="V287" s="322" t="s">
        <v>69</v>
      </c>
      <c r="W287" s="322" t="s">
        <v>70</v>
      </c>
      <c r="X287" s="37"/>
      <c r="Y287" s="37"/>
      <c r="Z287" s="322" t="s">
        <v>78</v>
      </c>
      <c r="AA287" s="322" t="s">
        <v>78</v>
      </c>
      <c r="AB287" s="37"/>
      <c r="AC287" s="324">
        <f>'Ref-ComHOU'!$G$49</f>
        <v>21.6</v>
      </c>
      <c r="AD287" s="324" t="s">
        <v>72</v>
      </c>
      <c r="AE287" s="322" t="s">
        <v>73</v>
      </c>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c r="CA287" s="393"/>
      <c r="CB287" s="393"/>
      <c r="CC287" s="393"/>
      <c r="CD287" s="393"/>
      <c r="CE287" s="393"/>
      <c r="CF287" s="393"/>
      <c r="CG287" s="393"/>
      <c r="CH287" s="393"/>
      <c r="CI287" s="393"/>
      <c r="CJ287" s="390"/>
      <c r="CK287" s="390"/>
      <c r="CL287" s="390"/>
      <c r="CM287" s="390"/>
      <c r="CN287" s="390"/>
      <c r="CO287" s="390"/>
      <c r="CP287" s="390"/>
      <c r="CQ287" s="390"/>
      <c r="CR287" s="390"/>
      <c r="CS287" s="390"/>
      <c r="CT287" s="390"/>
      <c r="CU287" s="390"/>
      <c r="CV287" s="390"/>
      <c r="CW287" s="390"/>
      <c r="CX287" s="390"/>
      <c r="CY287" s="390"/>
      <c r="CZ287" s="390"/>
      <c r="DA287" s="390"/>
      <c r="DB287" s="390"/>
      <c r="DC287" s="390"/>
    </row>
    <row r="288" spans="1:107" s="303" customFormat="1" ht="33.75">
      <c r="A288" s="37"/>
      <c r="B288" s="325" t="s">
        <v>23</v>
      </c>
      <c r="C288" s="320" t="s">
        <v>938</v>
      </c>
      <c r="D288" s="320" t="s">
        <v>1220</v>
      </c>
      <c r="E288" s="324">
        <f>'Ref-ComSources'!$AB$15*'Ref-ComSources'!$D$268</f>
        <v>158.98048972032714</v>
      </c>
      <c r="F288" s="320" t="s">
        <v>25</v>
      </c>
      <c r="G288" s="319">
        <f>('Ref-ComSources'!$E$68/SUM('Ref-ComSources'!$E$68,'Ref-ComSources'!$D$68))*50%</f>
        <v>0.36844919786096259</v>
      </c>
      <c r="H288" s="320" t="s">
        <v>66</v>
      </c>
      <c r="I288" s="378">
        <f>'Ref-BaselineControls'!$J$19</f>
        <v>0.95</v>
      </c>
      <c r="J288" s="320" t="s">
        <v>25</v>
      </c>
      <c r="K288" s="320" t="s">
        <v>1033</v>
      </c>
      <c r="L288" s="320" t="s">
        <v>24</v>
      </c>
      <c r="M288" s="320" t="s">
        <v>93</v>
      </c>
      <c r="N288" s="321">
        <f>E288*G288*'Ref-Savings Calculations'!$E$8*Applicability</f>
        <v>34.169469782581899</v>
      </c>
      <c r="O288" s="321">
        <f>E288*G288*'Ref-Savings Calculations'!$C$109*Applicability*ControlShare</f>
        <v>16.916816354073688</v>
      </c>
      <c r="P288" s="321">
        <f>E288*G288*'Ref-Savings Calculations'!$E$8*Applicability</f>
        <v>34.169469782581899</v>
      </c>
      <c r="Q288" s="321" t="s">
        <v>1109</v>
      </c>
      <c r="R288" s="37"/>
      <c r="S288" s="322" t="s">
        <v>68</v>
      </c>
      <c r="T288" s="322" t="s">
        <v>63</v>
      </c>
      <c r="U288" s="322" t="s">
        <v>44</v>
      </c>
      <c r="V288" s="322" t="s">
        <v>75</v>
      </c>
      <c r="W288" s="322" t="s">
        <v>70</v>
      </c>
      <c r="X288" s="37"/>
      <c r="Y288" s="37"/>
      <c r="Z288" s="322" t="s">
        <v>78</v>
      </c>
      <c r="AA288" s="322" t="s">
        <v>78</v>
      </c>
      <c r="AB288" s="37"/>
      <c r="AC288" s="324">
        <f>'Ref-ComHOU'!$G$49</f>
        <v>21.6</v>
      </c>
      <c r="AD288" s="324" t="s">
        <v>72</v>
      </c>
      <c r="AE288" s="322" t="s">
        <v>73</v>
      </c>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c r="CA288" s="393"/>
      <c r="CB288" s="393"/>
      <c r="CC288" s="393"/>
      <c r="CD288" s="393"/>
      <c r="CE288" s="393"/>
      <c r="CF288" s="393"/>
      <c r="CG288" s="393"/>
      <c r="CH288" s="393"/>
      <c r="CI288" s="393"/>
      <c r="CJ288" s="390"/>
      <c r="CK288" s="390"/>
      <c r="CL288" s="390"/>
      <c r="CM288" s="390"/>
      <c r="CN288" s="390"/>
      <c r="CO288" s="390"/>
      <c r="CP288" s="390"/>
      <c r="CQ288" s="390"/>
      <c r="CR288" s="390"/>
      <c r="CS288" s="390"/>
      <c r="CT288" s="390"/>
      <c r="CU288" s="390"/>
      <c r="CV288" s="390"/>
      <c r="CW288" s="390"/>
      <c r="CX288" s="390"/>
      <c r="CY288" s="390"/>
      <c r="CZ288" s="390"/>
      <c r="DA288" s="390"/>
      <c r="DB288" s="390"/>
      <c r="DC288" s="390"/>
    </row>
    <row r="289" spans="1:107" s="303" customFormat="1" ht="56.25">
      <c r="A289" s="37"/>
      <c r="B289" s="325" t="s">
        <v>23</v>
      </c>
      <c r="C289" s="320" t="s">
        <v>938</v>
      </c>
      <c r="D289" s="320" t="s">
        <v>1220</v>
      </c>
      <c r="E289" s="324">
        <f>'Ref-ComSources'!$AB$15*'Ref-ComSources'!$D$268</f>
        <v>158.98048972032714</v>
      </c>
      <c r="F289" s="320" t="s">
        <v>27</v>
      </c>
      <c r="G289" s="319">
        <f>'Ref-ComSources'!$D$68/(SUM('Ref-ComSources'!$E$68,'Ref-ComSources'!$D$68))</f>
        <v>0.26310160427807489</v>
      </c>
      <c r="H289" s="320" t="s">
        <v>66</v>
      </c>
      <c r="I289" s="378">
        <f>'Ref-BaselineControls'!$J$19</f>
        <v>0.95</v>
      </c>
      <c r="J289" s="320" t="s">
        <v>1097</v>
      </c>
      <c r="K289" s="320" t="s">
        <v>1033</v>
      </c>
      <c r="L289" s="320" t="s">
        <v>960</v>
      </c>
      <c r="M289" s="320" t="s">
        <v>88</v>
      </c>
      <c r="N289" s="321">
        <f>E289*G289*'Ref-Savings Calculations'!$E$31*Applicability</f>
        <v>10.464192418925684</v>
      </c>
      <c r="O289" s="321">
        <f>E289*G289*'Ref-Savings Calculations'!$C$57*Applicability*ControlShare</f>
        <v>14.305183487861566</v>
      </c>
      <c r="P289" s="321">
        <f>E289*G289*'Ref-Savings Calculations'!$E$32*Applicability</f>
        <v>6.6924835030931282</v>
      </c>
      <c r="Q289" s="321" t="s">
        <v>871</v>
      </c>
      <c r="R289" s="37"/>
      <c r="S289" s="322" t="s">
        <v>69</v>
      </c>
      <c r="T289" s="322" t="s">
        <v>69</v>
      </c>
      <c r="U289" s="322" t="s">
        <v>69</v>
      </c>
      <c r="V289" s="322" t="s">
        <v>69</v>
      </c>
      <c r="W289" s="322" t="s">
        <v>70</v>
      </c>
      <c r="X289" s="37"/>
      <c r="Y289" s="37"/>
      <c r="Z289" s="322" t="s">
        <v>78</v>
      </c>
      <c r="AA289" s="322" t="s">
        <v>78</v>
      </c>
      <c r="AB289" s="37"/>
      <c r="AC289" s="324">
        <f>'Ref-ComHOU'!$G$49</f>
        <v>21.6</v>
      </c>
      <c r="AD289" s="324" t="s">
        <v>72</v>
      </c>
      <c r="AE289" s="322" t="s">
        <v>73</v>
      </c>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c r="CA289" s="393"/>
      <c r="CB289" s="393"/>
      <c r="CC289" s="393"/>
      <c r="CD289" s="393"/>
      <c r="CE289" s="393"/>
      <c r="CF289" s="393"/>
      <c r="CG289" s="393"/>
      <c r="CH289" s="393"/>
      <c r="CI289" s="393"/>
      <c r="CJ289" s="390"/>
      <c r="CK289" s="390"/>
      <c r="CL289" s="390"/>
      <c r="CM289" s="390"/>
      <c r="CN289" s="390"/>
      <c r="CO289" s="390"/>
      <c r="CP289" s="390"/>
      <c r="CQ289" s="390"/>
      <c r="CR289" s="390"/>
      <c r="CS289" s="390"/>
      <c r="CT289" s="390"/>
      <c r="CU289" s="390"/>
      <c r="CV289" s="390"/>
      <c r="CW289" s="390"/>
      <c r="CX289" s="390"/>
      <c r="CY289" s="390"/>
      <c r="CZ289" s="390"/>
      <c r="DA289" s="390"/>
      <c r="DB289" s="390"/>
      <c r="DC289" s="390"/>
    </row>
    <row r="290" spans="1:107" s="303" customFormat="1" ht="56.25">
      <c r="A290" s="37"/>
      <c r="B290" s="325" t="s">
        <v>23</v>
      </c>
      <c r="C290" s="320" t="s">
        <v>938</v>
      </c>
      <c r="D290" s="320" t="s">
        <v>1220</v>
      </c>
      <c r="E290" s="324">
        <f>'Ref-ComSources'!$AB$15*'Ref-ComSources'!$D$268</f>
        <v>158.98048972032714</v>
      </c>
      <c r="F290" s="320" t="s">
        <v>27</v>
      </c>
      <c r="G290" s="319">
        <f>'Ref-ComSources'!$D$68/(SUM('Ref-ComSources'!$E$68,'Ref-ComSources'!$D$68))</f>
        <v>0.26310160427807489</v>
      </c>
      <c r="H290" s="320" t="s">
        <v>66</v>
      </c>
      <c r="I290" s="378">
        <f>'Ref-BaselineControls'!$J$19</f>
        <v>0.95</v>
      </c>
      <c r="J290" s="320" t="s">
        <v>1097</v>
      </c>
      <c r="K290" s="320" t="s">
        <v>1033</v>
      </c>
      <c r="L290" s="320" t="s">
        <v>960</v>
      </c>
      <c r="M290" s="320" t="s">
        <v>90</v>
      </c>
      <c r="N290" s="321">
        <f>E290*G290*'Ref-Savings Calculations'!$E$31*Applicability</f>
        <v>10.464192418925684</v>
      </c>
      <c r="O290" s="321">
        <f>E290*G290*'Ref-Savings Calculations'!$C$77*Applicability*ControlShare</f>
        <v>8.9010030591138616</v>
      </c>
      <c r="P290" s="321">
        <f>E290*G290*'Ref-Savings Calculations'!$E$32*Applicability</f>
        <v>6.6924835030931282</v>
      </c>
      <c r="Q290" s="321" t="s">
        <v>1109</v>
      </c>
      <c r="R290" s="37"/>
      <c r="S290" s="322" t="s">
        <v>69</v>
      </c>
      <c r="T290" s="322" t="s">
        <v>69</v>
      </c>
      <c r="U290" s="322" t="s">
        <v>69</v>
      </c>
      <c r="V290" s="322" t="s">
        <v>69</v>
      </c>
      <c r="W290" s="322" t="s">
        <v>70</v>
      </c>
      <c r="X290" s="37"/>
      <c r="Y290" s="37"/>
      <c r="Z290" s="322" t="s">
        <v>78</v>
      </c>
      <c r="AA290" s="322" t="s">
        <v>78</v>
      </c>
      <c r="AB290" s="37"/>
      <c r="AC290" s="324">
        <f>'Ref-ComHOU'!$G$49</f>
        <v>21.6</v>
      </c>
      <c r="AD290" s="324" t="s">
        <v>72</v>
      </c>
      <c r="AE290" s="322" t="s">
        <v>73</v>
      </c>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c r="CA290" s="393"/>
      <c r="CB290" s="393"/>
      <c r="CC290" s="393"/>
      <c r="CD290" s="393"/>
      <c r="CE290" s="393"/>
      <c r="CF290" s="393"/>
      <c r="CG290" s="393"/>
      <c r="CH290" s="393"/>
      <c r="CI290" s="393"/>
      <c r="CJ290" s="390"/>
      <c r="CK290" s="390"/>
      <c r="CL290" s="390"/>
      <c r="CM290" s="390"/>
      <c r="CN290" s="390"/>
      <c r="CO290" s="390"/>
      <c r="CP290" s="390"/>
      <c r="CQ290" s="390"/>
      <c r="CR290" s="390"/>
      <c r="CS290" s="390"/>
      <c r="CT290" s="390"/>
      <c r="CU290" s="390"/>
      <c r="CV290" s="390"/>
      <c r="CW290" s="390"/>
      <c r="CX290" s="390"/>
      <c r="CY290" s="390"/>
      <c r="CZ290" s="390"/>
      <c r="DA290" s="390"/>
      <c r="DB290" s="390"/>
      <c r="DC290" s="390"/>
    </row>
    <row r="291" spans="1:107" s="303" customFormat="1" ht="56.25">
      <c r="A291" s="37"/>
      <c r="B291" s="325" t="s">
        <v>23</v>
      </c>
      <c r="C291" s="320" t="s">
        <v>938</v>
      </c>
      <c r="D291" s="320" t="s">
        <v>1220</v>
      </c>
      <c r="E291" s="324">
        <f>'Ref-ComSources'!$AB$15*'Ref-ComSources'!$D$268</f>
        <v>158.98048972032714</v>
      </c>
      <c r="F291" s="320" t="s">
        <v>27</v>
      </c>
      <c r="G291" s="319">
        <f>'Ref-ComSources'!$D$68/(SUM('Ref-ComSources'!$E$68,'Ref-ComSources'!$D$68))</f>
        <v>0.26310160427807489</v>
      </c>
      <c r="H291" s="320" t="s">
        <v>66</v>
      </c>
      <c r="I291" s="378">
        <f>'Ref-BaselineControls'!$J$19</f>
        <v>0.95</v>
      </c>
      <c r="J291" s="320" t="s">
        <v>1097</v>
      </c>
      <c r="K291" s="320" t="s">
        <v>1033</v>
      </c>
      <c r="L291" s="320" t="s">
        <v>960</v>
      </c>
      <c r="M291" s="320" t="s">
        <v>91</v>
      </c>
      <c r="N291" s="321">
        <f>E291*G291*'Ref-Savings Calculations'!$E$31*Applicability</f>
        <v>10.464192418925684</v>
      </c>
      <c r="O291" s="321" t="s">
        <v>870</v>
      </c>
      <c r="P291" s="321">
        <f>E291*G291*'Ref-Savings Calculations'!$E$32*Applicability</f>
        <v>6.6924835030931282</v>
      </c>
      <c r="Q291" s="321" t="s">
        <v>870</v>
      </c>
      <c r="R291" s="37"/>
      <c r="S291" s="322" t="s">
        <v>69</v>
      </c>
      <c r="T291" s="322" t="s">
        <v>69</v>
      </c>
      <c r="U291" s="322" t="s">
        <v>69</v>
      </c>
      <c r="V291" s="322" t="s">
        <v>69</v>
      </c>
      <c r="W291" s="322" t="s">
        <v>70</v>
      </c>
      <c r="X291" s="37"/>
      <c r="Y291" s="37"/>
      <c r="Z291" s="322" t="s">
        <v>78</v>
      </c>
      <c r="AA291" s="322" t="s">
        <v>78</v>
      </c>
      <c r="AB291" s="37"/>
      <c r="AC291" s="324">
        <f>'Ref-ComHOU'!$G$49</f>
        <v>21.6</v>
      </c>
      <c r="AD291" s="324" t="s">
        <v>72</v>
      </c>
      <c r="AE291" s="322" t="s">
        <v>73</v>
      </c>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c r="CA291" s="393"/>
      <c r="CB291" s="393"/>
      <c r="CC291" s="393"/>
      <c r="CD291" s="393"/>
      <c r="CE291" s="393"/>
      <c r="CF291" s="393"/>
      <c r="CG291" s="393"/>
      <c r="CH291" s="393"/>
      <c r="CI291" s="393"/>
      <c r="CJ291" s="390"/>
      <c r="CK291" s="390"/>
      <c r="CL291" s="390"/>
      <c r="CM291" s="390"/>
      <c r="CN291" s="390"/>
      <c r="CO291" s="390"/>
      <c r="CP291" s="390"/>
      <c r="CQ291" s="390"/>
      <c r="CR291" s="390"/>
      <c r="CS291" s="390"/>
      <c r="CT291" s="390"/>
      <c r="CU291" s="390"/>
      <c r="CV291" s="390"/>
      <c r="CW291" s="390"/>
      <c r="CX291" s="390"/>
      <c r="CY291" s="390"/>
      <c r="CZ291" s="390"/>
      <c r="DA291" s="390"/>
      <c r="DB291" s="390"/>
      <c r="DC291" s="390"/>
    </row>
    <row r="292" spans="1:107" s="303" customFormat="1" ht="56.25">
      <c r="A292" s="37"/>
      <c r="B292" s="325" t="s">
        <v>23</v>
      </c>
      <c r="C292" s="320" t="s">
        <v>938</v>
      </c>
      <c r="D292" s="320" t="s">
        <v>1220</v>
      </c>
      <c r="E292" s="324">
        <f>'Ref-ComSources'!$AB$15*'Ref-ComSources'!$D$268</f>
        <v>158.98048972032714</v>
      </c>
      <c r="F292" s="320" t="s">
        <v>27</v>
      </c>
      <c r="G292" s="319">
        <f>'Ref-ComSources'!$D$68/(SUM('Ref-ComSources'!$E$68,'Ref-ComSources'!$D$68))</f>
        <v>0.26310160427807489</v>
      </c>
      <c r="H292" s="320" t="s">
        <v>66</v>
      </c>
      <c r="I292" s="378">
        <f>'Ref-BaselineControls'!$J$19</f>
        <v>0.95</v>
      </c>
      <c r="J292" s="320" t="s">
        <v>1097</v>
      </c>
      <c r="K292" s="320" t="s">
        <v>1033</v>
      </c>
      <c r="L292" s="320" t="s">
        <v>960</v>
      </c>
      <c r="M292" s="320" t="s">
        <v>92</v>
      </c>
      <c r="N292" s="321">
        <f>E292*G292*'Ref-Savings Calculations'!$E$31*Applicability</f>
        <v>10.464192418925684</v>
      </c>
      <c r="O292" s="321">
        <f>E292*G292*'Ref-Savings Calculations'!$C$99*Applicability*ControlShare</f>
        <v>11.444146790289251</v>
      </c>
      <c r="P292" s="321">
        <f>E292*G292*'Ref-Savings Calculations'!$E$32*Applicability</f>
        <v>6.6924835030931282</v>
      </c>
      <c r="Q292" s="321" t="s">
        <v>1109</v>
      </c>
      <c r="R292" s="37"/>
      <c r="S292" s="322" t="s">
        <v>69</v>
      </c>
      <c r="T292" s="322" t="s">
        <v>69</v>
      </c>
      <c r="U292" s="322" t="s">
        <v>69</v>
      </c>
      <c r="V292" s="322" t="s">
        <v>69</v>
      </c>
      <c r="W292" s="322" t="s">
        <v>70</v>
      </c>
      <c r="X292" s="37"/>
      <c r="Y292" s="37"/>
      <c r="Z292" s="322" t="s">
        <v>78</v>
      </c>
      <c r="AA292" s="322" t="s">
        <v>78</v>
      </c>
      <c r="AB292" s="37"/>
      <c r="AC292" s="324">
        <f>'Ref-ComHOU'!$G$49</f>
        <v>21.6</v>
      </c>
      <c r="AD292" s="324" t="s">
        <v>72</v>
      </c>
      <c r="AE292" s="322" t="s">
        <v>73</v>
      </c>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c r="CA292" s="393"/>
      <c r="CB292" s="393"/>
      <c r="CC292" s="393"/>
      <c r="CD292" s="393"/>
      <c r="CE292" s="393"/>
      <c r="CF292" s="393"/>
      <c r="CG292" s="393"/>
      <c r="CH292" s="393"/>
      <c r="CI292" s="393"/>
      <c r="CJ292" s="390"/>
      <c r="CK292" s="390"/>
      <c r="CL292" s="390"/>
      <c r="CM292" s="390"/>
      <c r="CN292" s="390"/>
      <c r="CO292" s="390"/>
      <c r="CP292" s="390"/>
      <c r="CQ292" s="390"/>
      <c r="CR292" s="390"/>
      <c r="CS292" s="390"/>
      <c r="CT292" s="390"/>
      <c r="CU292" s="390"/>
      <c r="CV292" s="390"/>
      <c r="CW292" s="390"/>
      <c r="CX292" s="390"/>
      <c r="CY292" s="390"/>
      <c r="CZ292" s="390"/>
      <c r="DA292" s="390"/>
      <c r="DB292" s="390"/>
      <c r="DC292" s="390"/>
    </row>
    <row r="293" spans="1:107" s="303" customFormat="1" ht="56.25">
      <c r="A293" s="37"/>
      <c r="B293" s="325" t="s">
        <v>23</v>
      </c>
      <c r="C293" s="320" t="s">
        <v>938</v>
      </c>
      <c r="D293" s="320" t="s">
        <v>1220</v>
      </c>
      <c r="E293" s="324">
        <f>'Ref-ComSources'!$AB$15*'Ref-ComSources'!$D$268</f>
        <v>158.98048972032714</v>
      </c>
      <c r="F293" s="320" t="s">
        <v>27</v>
      </c>
      <c r="G293" s="319">
        <f>'Ref-ComSources'!$D$68/(SUM('Ref-ComSources'!$E$68,'Ref-ComSources'!$D$68))</f>
        <v>0.26310160427807489</v>
      </c>
      <c r="H293" s="320" t="s">
        <v>66</v>
      </c>
      <c r="I293" s="378">
        <f>'Ref-BaselineControls'!$J$19</f>
        <v>0.95</v>
      </c>
      <c r="J293" s="320" t="s">
        <v>1097</v>
      </c>
      <c r="K293" s="320" t="s">
        <v>1033</v>
      </c>
      <c r="L293" s="320" t="s">
        <v>960</v>
      </c>
      <c r="M293" s="320" t="s">
        <v>93</v>
      </c>
      <c r="N293" s="321">
        <f>E293*G293*'Ref-Savings Calculations'!$E$31*Applicability</f>
        <v>10.464192418925684</v>
      </c>
      <c r="O293" s="321">
        <f>E293*G293*'Ref-Savings Calculations'!$C$109*Applicability*ControlShare</f>
        <v>12.0799327230831</v>
      </c>
      <c r="P293" s="321">
        <f>E293*G293*'Ref-Savings Calculations'!$E$32*Applicability</f>
        <v>6.6924835030931282</v>
      </c>
      <c r="Q293" s="321" t="s">
        <v>1109</v>
      </c>
      <c r="R293" s="37"/>
      <c r="S293" s="322" t="s">
        <v>69</v>
      </c>
      <c r="T293" s="322" t="s">
        <v>69</v>
      </c>
      <c r="U293" s="322" t="s">
        <v>44</v>
      </c>
      <c r="V293" s="322" t="s">
        <v>75</v>
      </c>
      <c r="W293" s="322" t="s">
        <v>70</v>
      </c>
      <c r="X293" s="37"/>
      <c r="Y293" s="37"/>
      <c r="Z293" s="322" t="s">
        <v>78</v>
      </c>
      <c r="AA293" s="322" t="s">
        <v>78</v>
      </c>
      <c r="AB293" s="37"/>
      <c r="AC293" s="324">
        <f>'Ref-ComHOU'!$G$49</f>
        <v>21.6</v>
      </c>
      <c r="AD293" s="324" t="s">
        <v>72</v>
      </c>
      <c r="AE293" s="322" t="s">
        <v>73</v>
      </c>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c r="CA293" s="393"/>
      <c r="CB293" s="393"/>
      <c r="CC293" s="393"/>
      <c r="CD293" s="393"/>
      <c r="CE293" s="393"/>
      <c r="CF293" s="393"/>
      <c r="CG293" s="393"/>
      <c r="CH293" s="393"/>
      <c r="CI293" s="393"/>
      <c r="CJ293" s="390"/>
      <c r="CK293" s="390"/>
      <c r="CL293" s="390"/>
      <c r="CM293" s="390"/>
      <c r="CN293" s="390"/>
      <c r="CO293" s="390"/>
      <c r="CP293" s="390"/>
      <c r="CQ293" s="390"/>
      <c r="CR293" s="390"/>
      <c r="CS293" s="390"/>
      <c r="CT293" s="390"/>
      <c r="CU293" s="390"/>
      <c r="CV293" s="390"/>
      <c r="CW293" s="390"/>
      <c r="CX293" s="390"/>
      <c r="CY293" s="390"/>
      <c r="CZ293" s="390"/>
      <c r="DA293" s="390"/>
      <c r="DB293" s="390"/>
      <c r="DC293" s="390"/>
    </row>
    <row r="294" spans="1:107" s="303" customFormat="1" ht="56.25">
      <c r="A294" s="37"/>
      <c r="B294" s="325" t="s">
        <v>23</v>
      </c>
      <c r="C294" s="320" t="s">
        <v>938</v>
      </c>
      <c r="D294" s="320" t="s">
        <v>1220</v>
      </c>
      <c r="E294" s="324">
        <f>'Ref-ComSources'!$AB$15*'Ref-ComSources'!$D$268</f>
        <v>158.98048972032714</v>
      </c>
      <c r="F294" s="320" t="s">
        <v>27</v>
      </c>
      <c r="G294" s="319">
        <f>'Ref-ComSources'!$D$68/(SUM('Ref-ComSources'!$E$68,'Ref-ComSources'!$D$68))</f>
        <v>0.26310160427807489</v>
      </c>
      <c r="H294" s="320" t="s">
        <v>66</v>
      </c>
      <c r="I294" s="378">
        <f>'Ref-BaselineControls'!$J$19</f>
        <v>0.95</v>
      </c>
      <c r="J294" s="320" t="s">
        <v>1097</v>
      </c>
      <c r="K294" s="320" t="s">
        <v>1033</v>
      </c>
      <c r="L294" s="320" t="s">
        <v>15</v>
      </c>
      <c r="M294" s="320" t="s">
        <v>88</v>
      </c>
      <c r="N294" s="321">
        <f>E294*G294*'Ref-Savings Calculations'!$E$39*Applicability</f>
        <v>8.5647854355060904</v>
      </c>
      <c r="O294" s="321">
        <f>E294*G294*'Ref-Savings Calculations'!$C$57*Applicability*ControlShare</f>
        <v>14.305183487861566</v>
      </c>
      <c r="P294" s="321">
        <f>E294*G294*'Ref-Savings Calculations'!$E$40*Applicability</f>
        <v>7.3199038315081113</v>
      </c>
      <c r="Q294" s="321" t="s">
        <v>871</v>
      </c>
      <c r="R294" s="37"/>
      <c r="S294" s="322" t="s">
        <v>44</v>
      </c>
      <c r="T294" s="322" t="s">
        <v>63</v>
      </c>
      <c r="U294" s="322" t="s">
        <v>69</v>
      </c>
      <c r="V294" s="322" t="s">
        <v>69</v>
      </c>
      <c r="W294" s="322" t="s">
        <v>70</v>
      </c>
      <c r="X294" s="37"/>
      <c r="Y294" s="37"/>
      <c r="Z294" s="322" t="s">
        <v>78</v>
      </c>
      <c r="AA294" s="322" t="s">
        <v>78</v>
      </c>
      <c r="AB294" s="37"/>
      <c r="AC294" s="324">
        <f>'Ref-ComHOU'!$G$49</f>
        <v>21.6</v>
      </c>
      <c r="AD294" s="324" t="s">
        <v>72</v>
      </c>
      <c r="AE294" s="322" t="s">
        <v>73</v>
      </c>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c r="CA294" s="393"/>
      <c r="CB294" s="393"/>
      <c r="CC294" s="393"/>
      <c r="CD294" s="393"/>
      <c r="CE294" s="393"/>
      <c r="CF294" s="393"/>
      <c r="CG294" s="393"/>
      <c r="CH294" s="393"/>
      <c r="CI294" s="393"/>
      <c r="CJ294" s="390"/>
      <c r="CK294" s="390"/>
      <c r="CL294" s="390"/>
      <c r="CM294" s="390"/>
      <c r="CN294" s="390"/>
      <c r="CO294" s="390"/>
      <c r="CP294" s="390"/>
      <c r="CQ294" s="390"/>
      <c r="CR294" s="390"/>
      <c r="CS294" s="390"/>
      <c r="CT294" s="390"/>
      <c r="CU294" s="390"/>
      <c r="CV294" s="390"/>
      <c r="CW294" s="390"/>
      <c r="CX294" s="390"/>
      <c r="CY294" s="390"/>
      <c r="CZ294" s="390"/>
      <c r="DA294" s="390"/>
      <c r="DB294" s="390"/>
      <c r="DC294" s="390"/>
    </row>
    <row r="295" spans="1:107" s="303" customFormat="1" ht="56.25">
      <c r="A295" s="37"/>
      <c r="B295" s="325" t="s">
        <v>23</v>
      </c>
      <c r="C295" s="320" t="s">
        <v>938</v>
      </c>
      <c r="D295" s="320" t="s">
        <v>1220</v>
      </c>
      <c r="E295" s="324">
        <f>'Ref-ComSources'!$AB$15*'Ref-ComSources'!$D$268</f>
        <v>158.98048972032714</v>
      </c>
      <c r="F295" s="320" t="s">
        <v>27</v>
      </c>
      <c r="G295" s="319">
        <f>'Ref-ComSources'!$D$68/(SUM('Ref-ComSources'!$E$68,'Ref-ComSources'!$D$68))</f>
        <v>0.26310160427807489</v>
      </c>
      <c r="H295" s="320" t="s">
        <v>66</v>
      </c>
      <c r="I295" s="378">
        <f>'Ref-BaselineControls'!$J$19</f>
        <v>0.95</v>
      </c>
      <c r="J295" s="320" t="s">
        <v>1097</v>
      </c>
      <c r="K295" s="320" t="s">
        <v>1033</v>
      </c>
      <c r="L295" s="320" t="s">
        <v>15</v>
      </c>
      <c r="M295" s="320" t="s">
        <v>90</v>
      </c>
      <c r="N295" s="321">
        <f>E295*G295*'Ref-Savings Calculations'!$E$39*Applicability</f>
        <v>8.5647854355060904</v>
      </c>
      <c r="O295" s="321">
        <f>E295*G295*'Ref-Savings Calculations'!$C$77*Applicability*ControlShare</f>
        <v>8.9010030591138616</v>
      </c>
      <c r="P295" s="321">
        <f>E295*G295*'Ref-Savings Calculations'!$E$40*Applicability</f>
        <v>7.3199038315081113</v>
      </c>
      <c r="Q295" s="321" t="s">
        <v>1109</v>
      </c>
      <c r="R295" s="37"/>
      <c r="S295" s="322" t="s">
        <v>44</v>
      </c>
      <c r="T295" s="322" t="s">
        <v>63</v>
      </c>
      <c r="U295" s="322" t="s">
        <v>69</v>
      </c>
      <c r="V295" s="322" t="s">
        <v>69</v>
      </c>
      <c r="W295" s="322" t="s">
        <v>70</v>
      </c>
      <c r="X295" s="37"/>
      <c r="Y295" s="37"/>
      <c r="Z295" s="322" t="s">
        <v>78</v>
      </c>
      <c r="AA295" s="322" t="s">
        <v>78</v>
      </c>
      <c r="AB295" s="37"/>
      <c r="AC295" s="324">
        <f>'Ref-ComHOU'!$G$49</f>
        <v>21.6</v>
      </c>
      <c r="AD295" s="324" t="s">
        <v>72</v>
      </c>
      <c r="AE295" s="322" t="s">
        <v>73</v>
      </c>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c r="CA295" s="393"/>
      <c r="CB295" s="393"/>
      <c r="CC295" s="393"/>
      <c r="CD295" s="393"/>
      <c r="CE295" s="393"/>
      <c r="CF295" s="393"/>
      <c r="CG295" s="393"/>
      <c r="CH295" s="393"/>
      <c r="CI295" s="393"/>
      <c r="CJ295" s="390"/>
      <c r="CK295" s="390"/>
      <c r="CL295" s="390"/>
      <c r="CM295" s="390"/>
      <c r="CN295" s="390"/>
      <c r="CO295" s="390"/>
      <c r="CP295" s="390"/>
      <c r="CQ295" s="390"/>
      <c r="CR295" s="390"/>
      <c r="CS295" s="390"/>
      <c r="CT295" s="390"/>
      <c r="CU295" s="390"/>
      <c r="CV295" s="390"/>
      <c r="CW295" s="390"/>
      <c r="CX295" s="390"/>
      <c r="CY295" s="390"/>
      <c r="CZ295" s="390"/>
      <c r="DA295" s="390"/>
      <c r="DB295" s="390"/>
      <c r="DC295" s="390"/>
    </row>
    <row r="296" spans="1:107" s="303" customFormat="1" ht="56.25">
      <c r="A296" s="37"/>
      <c r="B296" s="325" t="s">
        <v>23</v>
      </c>
      <c r="C296" s="320" t="s">
        <v>938</v>
      </c>
      <c r="D296" s="320" t="s">
        <v>1220</v>
      </c>
      <c r="E296" s="324">
        <f>'Ref-ComSources'!$AB$15*'Ref-ComSources'!$D$268</f>
        <v>158.98048972032714</v>
      </c>
      <c r="F296" s="320" t="s">
        <v>27</v>
      </c>
      <c r="G296" s="319">
        <f>'Ref-ComSources'!$D$68/(SUM('Ref-ComSources'!$E$68,'Ref-ComSources'!$D$68))</f>
        <v>0.26310160427807489</v>
      </c>
      <c r="H296" s="320" t="s">
        <v>66</v>
      </c>
      <c r="I296" s="378">
        <f>'Ref-BaselineControls'!$J$19</f>
        <v>0.95</v>
      </c>
      <c r="J296" s="320" t="s">
        <v>1097</v>
      </c>
      <c r="K296" s="320" t="s">
        <v>1033</v>
      </c>
      <c r="L296" s="320" t="s">
        <v>15</v>
      </c>
      <c r="M296" s="320" t="s">
        <v>91</v>
      </c>
      <c r="N296" s="321">
        <f>E296*G296*'Ref-Savings Calculations'!$E$39*Applicability</f>
        <v>8.5647854355060904</v>
      </c>
      <c r="O296" s="321" t="s">
        <v>870</v>
      </c>
      <c r="P296" s="321">
        <f>E296*G296*'Ref-Savings Calculations'!$E$40*Applicability</f>
        <v>7.3199038315081113</v>
      </c>
      <c r="Q296" s="321" t="s">
        <v>870</v>
      </c>
      <c r="R296" s="37"/>
      <c r="S296" s="322" t="s">
        <v>44</v>
      </c>
      <c r="T296" s="322" t="s">
        <v>63</v>
      </c>
      <c r="U296" s="322" t="s">
        <v>69</v>
      </c>
      <c r="V296" s="322" t="s">
        <v>69</v>
      </c>
      <c r="W296" s="322" t="s">
        <v>70</v>
      </c>
      <c r="X296" s="37"/>
      <c r="Y296" s="37"/>
      <c r="Z296" s="322" t="s">
        <v>78</v>
      </c>
      <c r="AA296" s="322" t="s">
        <v>78</v>
      </c>
      <c r="AB296" s="37"/>
      <c r="AC296" s="324">
        <f>'Ref-ComHOU'!$G$49</f>
        <v>21.6</v>
      </c>
      <c r="AD296" s="324" t="s">
        <v>72</v>
      </c>
      <c r="AE296" s="322" t="s">
        <v>73</v>
      </c>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c r="CA296" s="393"/>
      <c r="CB296" s="393"/>
      <c r="CC296" s="393"/>
      <c r="CD296" s="393"/>
      <c r="CE296" s="393"/>
      <c r="CF296" s="393"/>
      <c r="CG296" s="393"/>
      <c r="CH296" s="393"/>
      <c r="CI296" s="393"/>
      <c r="CJ296" s="390"/>
      <c r="CK296" s="390"/>
      <c r="CL296" s="390"/>
      <c r="CM296" s="390"/>
      <c r="CN296" s="390"/>
      <c r="CO296" s="390"/>
      <c r="CP296" s="390"/>
      <c r="CQ296" s="390"/>
      <c r="CR296" s="390"/>
      <c r="CS296" s="390"/>
      <c r="CT296" s="390"/>
      <c r="CU296" s="390"/>
      <c r="CV296" s="390"/>
      <c r="CW296" s="390"/>
      <c r="CX296" s="390"/>
      <c r="CY296" s="390"/>
      <c r="CZ296" s="390"/>
      <c r="DA296" s="390"/>
      <c r="DB296" s="390"/>
      <c r="DC296" s="390"/>
    </row>
    <row r="297" spans="1:107" s="303" customFormat="1" ht="56.25">
      <c r="A297" s="37"/>
      <c r="B297" s="325" t="s">
        <v>23</v>
      </c>
      <c r="C297" s="320" t="s">
        <v>938</v>
      </c>
      <c r="D297" s="320" t="s">
        <v>1220</v>
      </c>
      <c r="E297" s="324">
        <f>'Ref-ComSources'!$AB$15*'Ref-ComSources'!$D$268</f>
        <v>158.98048972032714</v>
      </c>
      <c r="F297" s="320" t="s">
        <v>27</v>
      </c>
      <c r="G297" s="319">
        <f>'Ref-ComSources'!$D$68/(SUM('Ref-ComSources'!$E$68,'Ref-ComSources'!$D$68))</f>
        <v>0.26310160427807489</v>
      </c>
      <c r="H297" s="320" t="s">
        <v>66</v>
      </c>
      <c r="I297" s="378">
        <f>'Ref-BaselineControls'!$J$19</f>
        <v>0.95</v>
      </c>
      <c r="J297" s="320" t="s">
        <v>1097</v>
      </c>
      <c r="K297" s="320" t="s">
        <v>1033</v>
      </c>
      <c r="L297" s="320" t="s">
        <v>15</v>
      </c>
      <c r="M297" s="320" t="s">
        <v>92</v>
      </c>
      <c r="N297" s="321">
        <f>E297*G297*'Ref-Savings Calculations'!$E$39*Applicability</f>
        <v>8.5647854355060904</v>
      </c>
      <c r="O297" s="321">
        <f>E297*G297*'Ref-Savings Calculations'!$C$99*Applicability*ControlShare</f>
        <v>11.444146790289251</v>
      </c>
      <c r="P297" s="321">
        <f>E297*G297*'Ref-Savings Calculations'!$E$40*Applicability</f>
        <v>7.3199038315081113</v>
      </c>
      <c r="Q297" s="321" t="s">
        <v>1109</v>
      </c>
      <c r="R297" s="37"/>
      <c r="S297" s="322" t="s">
        <v>44</v>
      </c>
      <c r="T297" s="322" t="s">
        <v>63</v>
      </c>
      <c r="U297" s="322" t="s">
        <v>69</v>
      </c>
      <c r="V297" s="322" t="s">
        <v>69</v>
      </c>
      <c r="W297" s="322" t="s">
        <v>70</v>
      </c>
      <c r="X297" s="37"/>
      <c r="Y297" s="37"/>
      <c r="Z297" s="322" t="s">
        <v>78</v>
      </c>
      <c r="AA297" s="322" t="s">
        <v>78</v>
      </c>
      <c r="AB297" s="37"/>
      <c r="AC297" s="324">
        <f>'Ref-ComHOU'!$G$49</f>
        <v>21.6</v>
      </c>
      <c r="AD297" s="324" t="s">
        <v>72</v>
      </c>
      <c r="AE297" s="322" t="s">
        <v>73</v>
      </c>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c r="CA297" s="393"/>
      <c r="CB297" s="393"/>
      <c r="CC297" s="393"/>
      <c r="CD297" s="393"/>
      <c r="CE297" s="393"/>
      <c r="CF297" s="393"/>
      <c r="CG297" s="393"/>
      <c r="CH297" s="393"/>
      <c r="CI297" s="393"/>
      <c r="CJ297" s="390"/>
      <c r="CK297" s="390"/>
      <c r="CL297" s="390"/>
      <c r="CM297" s="390"/>
      <c r="CN297" s="390"/>
      <c r="CO297" s="390"/>
      <c r="CP297" s="390"/>
      <c r="CQ297" s="390"/>
      <c r="CR297" s="390"/>
      <c r="CS297" s="390"/>
      <c r="CT297" s="390"/>
      <c r="CU297" s="390"/>
      <c r="CV297" s="390"/>
      <c r="CW297" s="390"/>
      <c r="CX297" s="390"/>
      <c r="CY297" s="390"/>
      <c r="CZ297" s="390"/>
      <c r="DA297" s="390"/>
      <c r="DB297" s="390"/>
      <c r="DC297" s="390"/>
    </row>
    <row r="298" spans="1:107" s="303" customFormat="1" ht="56.25">
      <c r="A298" s="37"/>
      <c r="B298" s="325" t="s">
        <v>23</v>
      </c>
      <c r="C298" s="320" t="s">
        <v>938</v>
      </c>
      <c r="D298" s="320" t="s">
        <v>1220</v>
      </c>
      <c r="E298" s="324">
        <f>'Ref-ComSources'!$AB$15*'Ref-ComSources'!$D$268</f>
        <v>158.98048972032714</v>
      </c>
      <c r="F298" s="320" t="s">
        <v>27</v>
      </c>
      <c r="G298" s="319">
        <f>'Ref-ComSources'!$D$68/(SUM('Ref-ComSources'!$E$68,'Ref-ComSources'!$D$68))</f>
        <v>0.26310160427807489</v>
      </c>
      <c r="H298" s="320" t="s">
        <v>66</v>
      </c>
      <c r="I298" s="378">
        <f>'Ref-BaselineControls'!$J$19</f>
        <v>0.95</v>
      </c>
      <c r="J298" s="320" t="s">
        <v>1097</v>
      </c>
      <c r="K298" s="320" t="s">
        <v>1033</v>
      </c>
      <c r="L298" s="320" t="s">
        <v>15</v>
      </c>
      <c r="M298" s="320" t="s">
        <v>93</v>
      </c>
      <c r="N298" s="321">
        <f>E298*G298*'Ref-Savings Calculations'!$E$39*Applicability</f>
        <v>8.5647854355060904</v>
      </c>
      <c r="O298" s="321">
        <f>E298*G298*'Ref-Savings Calculations'!$C$109*Applicability*ControlShare</f>
        <v>12.0799327230831</v>
      </c>
      <c r="P298" s="321">
        <f>E298*G298*'Ref-Savings Calculations'!$E$40*Applicability</f>
        <v>7.3199038315081113</v>
      </c>
      <c r="Q298" s="321" t="s">
        <v>1109</v>
      </c>
      <c r="R298" s="37"/>
      <c r="S298" s="322" t="s">
        <v>44</v>
      </c>
      <c r="T298" s="322" t="s">
        <v>63</v>
      </c>
      <c r="U298" s="322" t="s">
        <v>44</v>
      </c>
      <c r="V298" s="322" t="s">
        <v>75</v>
      </c>
      <c r="W298" s="322" t="s">
        <v>70</v>
      </c>
      <c r="X298" s="37"/>
      <c r="Y298" s="37"/>
      <c r="Z298" s="322" t="s">
        <v>78</v>
      </c>
      <c r="AA298" s="322" t="s">
        <v>78</v>
      </c>
      <c r="AB298" s="37"/>
      <c r="AC298" s="324">
        <f>'Ref-ComHOU'!$G$49</f>
        <v>21.6</v>
      </c>
      <c r="AD298" s="324" t="s">
        <v>72</v>
      </c>
      <c r="AE298" s="322" t="s">
        <v>73</v>
      </c>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c r="CA298" s="393"/>
      <c r="CB298" s="393"/>
      <c r="CC298" s="393"/>
      <c r="CD298" s="393"/>
      <c r="CE298" s="393"/>
      <c r="CF298" s="393"/>
      <c r="CG298" s="393"/>
      <c r="CH298" s="393"/>
      <c r="CI298" s="393"/>
      <c r="CJ298" s="390"/>
      <c r="CK298" s="390"/>
      <c r="CL298" s="390"/>
      <c r="CM298" s="390"/>
      <c r="CN298" s="390"/>
      <c r="CO298" s="390"/>
      <c r="CP298" s="390"/>
      <c r="CQ298" s="390"/>
      <c r="CR298" s="390"/>
      <c r="CS298" s="390"/>
      <c r="CT298" s="390"/>
      <c r="CU298" s="390"/>
      <c r="CV298" s="390"/>
      <c r="CW298" s="390"/>
      <c r="CX298" s="390"/>
      <c r="CY298" s="390"/>
      <c r="CZ298" s="390"/>
      <c r="DA298" s="390"/>
      <c r="DB298" s="390"/>
      <c r="DC298" s="390"/>
    </row>
    <row r="299" spans="1:107" s="303" customFormat="1" ht="33.75">
      <c r="A299" s="37"/>
      <c r="B299" s="325" t="s">
        <v>23</v>
      </c>
      <c r="C299" s="320" t="s">
        <v>938</v>
      </c>
      <c r="D299" s="320" t="s">
        <v>1220</v>
      </c>
      <c r="E299" s="324">
        <f>'Ref-ComSources'!$AB$15*'Ref-ComSources'!$D$268</f>
        <v>158.98048972032714</v>
      </c>
      <c r="F299" s="320" t="s">
        <v>26</v>
      </c>
      <c r="G299" s="319">
        <f>('Ref-ComSources'!$E$68/SUM('Ref-ComSources'!$E$68,'Ref-ComSources'!$D$68))*50%</f>
        <v>0.36844919786096259</v>
      </c>
      <c r="H299" s="320" t="s">
        <v>66</v>
      </c>
      <c r="I299" s="378">
        <f>'Ref-BaselineControls'!$J$19</f>
        <v>0.95</v>
      </c>
      <c r="J299" s="320" t="s">
        <v>25</v>
      </c>
      <c r="K299" s="320" t="s">
        <v>1033</v>
      </c>
      <c r="L299" s="320" t="s">
        <v>95</v>
      </c>
      <c r="M299" s="320" t="s">
        <v>88</v>
      </c>
      <c r="N299" s="321">
        <f>E299*G299*'Ref-Savings Calculations'!$E$11*Applicability</f>
        <v>39.050822608665037</v>
      </c>
      <c r="O299" s="321">
        <f>E299*G299*'Ref-Savings Calculations'!$C$57*Applicability*ControlShare</f>
        <v>20.033071998245159</v>
      </c>
      <c r="P299" s="321">
        <f>E299*G299*'Ref-Savings Calculations'!$E$9*Applicability</f>
        <v>37.098281478231776</v>
      </c>
      <c r="Q299" s="321" t="s">
        <v>871</v>
      </c>
      <c r="R299" s="37"/>
      <c r="S299" s="322" t="s">
        <v>44</v>
      </c>
      <c r="T299" s="322" t="s">
        <v>63</v>
      </c>
      <c r="U299" s="322" t="s">
        <v>69</v>
      </c>
      <c r="V299" s="322" t="s">
        <v>69</v>
      </c>
      <c r="W299" s="322" t="s">
        <v>70</v>
      </c>
      <c r="X299" s="37"/>
      <c r="Y299" s="37"/>
      <c r="Z299" s="322" t="s">
        <v>78</v>
      </c>
      <c r="AA299" s="322" t="s">
        <v>78</v>
      </c>
      <c r="AB299" s="37"/>
      <c r="AC299" s="324">
        <f>'Ref-ComHOU'!$G$49</f>
        <v>21.6</v>
      </c>
      <c r="AD299" s="324" t="s">
        <v>72</v>
      </c>
      <c r="AE299" s="322" t="s">
        <v>73</v>
      </c>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c r="CA299" s="393"/>
      <c r="CB299" s="393"/>
      <c r="CC299" s="393"/>
      <c r="CD299" s="393"/>
      <c r="CE299" s="393"/>
      <c r="CF299" s="393"/>
      <c r="CG299" s="393"/>
      <c r="CH299" s="393"/>
      <c r="CI299" s="393"/>
      <c r="CJ299" s="390"/>
      <c r="CK299" s="390"/>
      <c r="CL299" s="390"/>
      <c r="CM299" s="390"/>
      <c r="CN299" s="390"/>
      <c r="CO299" s="390"/>
      <c r="CP299" s="390"/>
      <c r="CQ299" s="390"/>
      <c r="CR299" s="390"/>
      <c r="CS299" s="390"/>
      <c r="CT299" s="390"/>
      <c r="CU299" s="390"/>
      <c r="CV299" s="390"/>
      <c r="CW299" s="390"/>
      <c r="CX299" s="390"/>
      <c r="CY299" s="390"/>
      <c r="CZ299" s="390"/>
      <c r="DA299" s="390"/>
      <c r="DB299" s="390"/>
      <c r="DC299" s="390"/>
    </row>
    <row r="300" spans="1:107" s="303" customFormat="1" ht="33.75">
      <c r="A300" s="37"/>
      <c r="B300" s="325" t="s">
        <v>23</v>
      </c>
      <c r="C300" s="320" t="s">
        <v>938</v>
      </c>
      <c r="D300" s="320" t="s">
        <v>1220</v>
      </c>
      <c r="E300" s="324">
        <f>'Ref-ComSources'!$AB$15*'Ref-ComSources'!$D$268</f>
        <v>158.98048972032714</v>
      </c>
      <c r="F300" s="320" t="s">
        <v>26</v>
      </c>
      <c r="G300" s="319">
        <f>('Ref-ComSources'!$E$68/SUM('Ref-ComSources'!$E$68,'Ref-ComSources'!$D$68))*50%</f>
        <v>0.36844919786096259</v>
      </c>
      <c r="H300" s="320" t="s">
        <v>66</v>
      </c>
      <c r="I300" s="378">
        <f>'Ref-BaselineControls'!$J$19</f>
        <v>0.95</v>
      </c>
      <c r="J300" s="320" t="s">
        <v>25</v>
      </c>
      <c r="K300" s="320" t="s">
        <v>1033</v>
      </c>
      <c r="L300" s="320" t="s">
        <v>95</v>
      </c>
      <c r="M300" s="320" t="s">
        <v>90</v>
      </c>
      <c r="N300" s="321">
        <f>E300*G300*'Ref-Savings Calculations'!$E$11*Applicability</f>
        <v>39.050822608665037</v>
      </c>
      <c r="O300" s="321">
        <f>E300*G300*'Ref-Savings Calculations'!$C$77*Applicability*ControlShare</f>
        <v>12.465022576685881</v>
      </c>
      <c r="P300" s="321">
        <f>E300*G300*'Ref-Savings Calculations'!$E$9*Applicability</f>
        <v>37.098281478231776</v>
      </c>
      <c r="Q300" s="321" t="s">
        <v>1109</v>
      </c>
      <c r="R300" s="37"/>
      <c r="S300" s="322" t="s">
        <v>44</v>
      </c>
      <c r="T300" s="322" t="s">
        <v>63</v>
      </c>
      <c r="U300" s="322" t="s">
        <v>69</v>
      </c>
      <c r="V300" s="322" t="s">
        <v>69</v>
      </c>
      <c r="W300" s="322" t="s">
        <v>70</v>
      </c>
      <c r="X300" s="37"/>
      <c r="Y300" s="37"/>
      <c r="Z300" s="322" t="s">
        <v>78</v>
      </c>
      <c r="AA300" s="322" t="s">
        <v>78</v>
      </c>
      <c r="AB300" s="37"/>
      <c r="AC300" s="324">
        <f>'Ref-ComHOU'!$G$49</f>
        <v>21.6</v>
      </c>
      <c r="AD300" s="324" t="s">
        <v>72</v>
      </c>
      <c r="AE300" s="322" t="s">
        <v>73</v>
      </c>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c r="CA300" s="393"/>
      <c r="CB300" s="393"/>
      <c r="CC300" s="393"/>
      <c r="CD300" s="393"/>
      <c r="CE300" s="393"/>
      <c r="CF300" s="393"/>
      <c r="CG300" s="393"/>
      <c r="CH300" s="393"/>
      <c r="CI300" s="393"/>
      <c r="CJ300" s="390"/>
      <c r="CK300" s="390"/>
      <c r="CL300" s="390"/>
      <c r="CM300" s="390"/>
      <c r="CN300" s="390"/>
      <c r="CO300" s="390"/>
      <c r="CP300" s="390"/>
      <c r="CQ300" s="390"/>
      <c r="CR300" s="390"/>
      <c r="CS300" s="390"/>
      <c r="CT300" s="390"/>
      <c r="CU300" s="390"/>
      <c r="CV300" s="390"/>
      <c r="CW300" s="390"/>
      <c r="CX300" s="390"/>
      <c r="CY300" s="390"/>
      <c r="CZ300" s="390"/>
      <c r="DA300" s="390"/>
      <c r="DB300" s="390"/>
      <c r="DC300" s="390"/>
    </row>
    <row r="301" spans="1:107" s="303" customFormat="1" ht="33.75">
      <c r="A301" s="37"/>
      <c r="B301" s="325" t="s">
        <v>23</v>
      </c>
      <c r="C301" s="320" t="s">
        <v>938</v>
      </c>
      <c r="D301" s="320" t="s">
        <v>1220</v>
      </c>
      <c r="E301" s="324">
        <f>'Ref-ComSources'!$AB$15*'Ref-ComSources'!$D$268</f>
        <v>158.98048972032714</v>
      </c>
      <c r="F301" s="320" t="s">
        <v>26</v>
      </c>
      <c r="G301" s="319">
        <f>('Ref-ComSources'!$E$68/SUM('Ref-ComSources'!$E$68,'Ref-ComSources'!$D$68))*50%</f>
        <v>0.36844919786096259</v>
      </c>
      <c r="H301" s="320" t="s">
        <v>66</v>
      </c>
      <c r="I301" s="378">
        <f>'Ref-BaselineControls'!$J$19</f>
        <v>0.95</v>
      </c>
      <c r="J301" s="320" t="s">
        <v>25</v>
      </c>
      <c r="K301" s="320" t="s">
        <v>1033</v>
      </c>
      <c r="L301" s="320" t="s">
        <v>95</v>
      </c>
      <c r="M301" s="320" t="s">
        <v>91</v>
      </c>
      <c r="N301" s="321">
        <f>E301*G301*'Ref-Savings Calculations'!$E$11*Applicability</f>
        <v>39.050822608665037</v>
      </c>
      <c r="O301" s="321" t="s">
        <v>870</v>
      </c>
      <c r="P301" s="321">
        <f>E301*G301*'Ref-Savings Calculations'!$E$9*Applicability</f>
        <v>37.098281478231776</v>
      </c>
      <c r="Q301" s="321" t="s">
        <v>870</v>
      </c>
      <c r="R301" s="37"/>
      <c r="S301" s="322" t="s">
        <v>44</v>
      </c>
      <c r="T301" s="322" t="s">
        <v>63</v>
      </c>
      <c r="U301" s="322" t="s">
        <v>69</v>
      </c>
      <c r="V301" s="322" t="s">
        <v>69</v>
      </c>
      <c r="W301" s="322" t="s">
        <v>70</v>
      </c>
      <c r="X301" s="37"/>
      <c r="Y301" s="37"/>
      <c r="Z301" s="322" t="s">
        <v>78</v>
      </c>
      <c r="AA301" s="322" t="s">
        <v>78</v>
      </c>
      <c r="AB301" s="37"/>
      <c r="AC301" s="324">
        <f>'Ref-ComHOU'!$G$49</f>
        <v>21.6</v>
      </c>
      <c r="AD301" s="324" t="s">
        <v>72</v>
      </c>
      <c r="AE301" s="322" t="s">
        <v>73</v>
      </c>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c r="CA301" s="393"/>
      <c r="CB301" s="393"/>
      <c r="CC301" s="393"/>
      <c r="CD301" s="393"/>
      <c r="CE301" s="393"/>
      <c r="CF301" s="393"/>
      <c r="CG301" s="393"/>
      <c r="CH301" s="393"/>
      <c r="CI301" s="393"/>
      <c r="CJ301" s="390"/>
      <c r="CK301" s="390"/>
      <c r="CL301" s="390"/>
      <c r="CM301" s="390"/>
      <c r="CN301" s="390"/>
      <c r="CO301" s="390"/>
      <c r="CP301" s="390"/>
      <c r="CQ301" s="390"/>
      <c r="CR301" s="390"/>
      <c r="CS301" s="390"/>
      <c r="CT301" s="390"/>
      <c r="CU301" s="390"/>
      <c r="CV301" s="390"/>
      <c r="CW301" s="390"/>
      <c r="CX301" s="390"/>
      <c r="CY301" s="390"/>
      <c r="CZ301" s="390"/>
      <c r="DA301" s="390"/>
      <c r="DB301" s="390"/>
      <c r="DC301" s="390"/>
    </row>
    <row r="302" spans="1:107" s="303" customFormat="1" ht="33.75">
      <c r="A302" s="37"/>
      <c r="B302" s="325" t="s">
        <v>23</v>
      </c>
      <c r="C302" s="320" t="s">
        <v>938</v>
      </c>
      <c r="D302" s="320" t="s">
        <v>1220</v>
      </c>
      <c r="E302" s="324">
        <f>'Ref-ComSources'!$AB$15*'Ref-ComSources'!$D$268</f>
        <v>158.98048972032714</v>
      </c>
      <c r="F302" s="320" t="s">
        <v>26</v>
      </c>
      <c r="G302" s="319">
        <f>('Ref-ComSources'!$E$68/SUM('Ref-ComSources'!$E$68,'Ref-ComSources'!$D$68))*50%</f>
        <v>0.36844919786096259</v>
      </c>
      <c r="H302" s="320" t="s">
        <v>66</v>
      </c>
      <c r="I302" s="378">
        <f>'Ref-BaselineControls'!$J$19</f>
        <v>0.95</v>
      </c>
      <c r="J302" s="320" t="s">
        <v>25</v>
      </c>
      <c r="K302" s="320" t="s">
        <v>1033</v>
      </c>
      <c r="L302" s="320" t="s">
        <v>95</v>
      </c>
      <c r="M302" s="320" t="s">
        <v>92</v>
      </c>
      <c r="N302" s="321">
        <f>E302*G302*'Ref-Savings Calculations'!$E$11*Applicability</f>
        <v>39.050822608665037</v>
      </c>
      <c r="O302" s="321">
        <f>E302*G302*'Ref-Savings Calculations'!$C$99*Applicability*ControlShare</f>
        <v>16.026457598596128</v>
      </c>
      <c r="P302" s="321">
        <f>E302*G302*'Ref-Savings Calculations'!$E$9*Applicability</f>
        <v>37.098281478231776</v>
      </c>
      <c r="Q302" s="321" t="s">
        <v>1109</v>
      </c>
      <c r="R302" s="37"/>
      <c r="S302" s="322" t="s">
        <v>44</v>
      </c>
      <c r="T302" s="322" t="s">
        <v>63</v>
      </c>
      <c r="U302" s="322" t="s">
        <v>69</v>
      </c>
      <c r="V302" s="322" t="s">
        <v>69</v>
      </c>
      <c r="W302" s="322" t="s">
        <v>70</v>
      </c>
      <c r="X302" s="37"/>
      <c r="Y302" s="37"/>
      <c r="Z302" s="322" t="s">
        <v>78</v>
      </c>
      <c r="AA302" s="322" t="s">
        <v>78</v>
      </c>
      <c r="AB302" s="37"/>
      <c r="AC302" s="324">
        <f>'Ref-ComHOU'!$G$49</f>
        <v>21.6</v>
      </c>
      <c r="AD302" s="324" t="s">
        <v>72</v>
      </c>
      <c r="AE302" s="322" t="s">
        <v>73</v>
      </c>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c r="CA302" s="393"/>
      <c r="CB302" s="393"/>
      <c r="CC302" s="393"/>
      <c r="CD302" s="393"/>
      <c r="CE302" s="393"/>
      <c r="CF302" s="393"/>
      <c r="CG302" s="393"/>
      <c r="CH302" s="393"/>
      <c r="CI302" s="393"/>
      <c r="CJ302" s="390"/>
      <c r="CK302" s="390"/>
      <c r="CL302" s="390"/>
      <c r="CM302" s="390"/>
      <c r="CN302" s="390"/>
      <c r="CO302" s="390"/>
      <c r="CP302" s="390"/>
      <c r="CQ302" s="390"/>
      <c r="CR302" s="390"/>
      <c r="CS302" s="390"/>
      <c r="CT302" s="390"/>
      <c r="CU302" s="390"/>
      <c r="CV302" s="390"/>
      <c r="CW302" s="390"/>
      <c r="CX302" s="390"/>
      <c r="CY302" s="390"/>
      <c r="CZ302" s="390"/>
      <c r="DA302" s="390"/>
      <c r="DB302" s="390"/>
      <c r="DC302" s="390"/>
    </row>
    <row r="303" spans="1:107" s="303" customFormat="1" ht="33.75">
      <c r="A303" s="37"/>
      <c r="B303" s="325" t="s">
        <v>23</v>
      </c>
      <c r="C303" s="320" t="s">
        <v>938</v>
      </c>
      <c r="D303" s="320" t="s">
        <v>1220</v>
      </c>
      <c r="E303" s="324">
        <f>'Ref-ComSources'!$AB$15*'Ref-ComSources'!$D$268</f>
        <v>158.98048972032714</v>
      </c>
      <c r="F303" s="320" t="s">
        <v>26</v>
      </c>
      <c r="G303" s="319">
        <f>('Ref-ComSources'!$E$68/SUM('Ref-ComSources'!$E$68,'Ref-ComSources'!$D$68))*50%</f>
        <v>0.36844919786096259</v>
      </c>
      <c r="H303" s="320" t="s">
        <v>66</v>
      </c>
      <c r="I303" s="378">
        <f>'Ref-BaselineControls'!$J$19</f>
        <v>0.95</v>
      </c>
      <c r="J303" s="320" t="s">
        <v>25</v>
      </c>
      <c r="K303" s="320" t="s">
        <v>1033</v>
      </c>
      <c r="L303" s="320" t="s">
        <v>95</v>
      </c>
      <c r="M303" s="320" t="s">
        <v>93</v>
      </c>
      <c r="N303" s="321">
        <f>E303*G303*'Ref-Savings Calculations'!$E$11*Applicability</f>
        <v>39.050822608665037</v>
      </c>
      <c r="O303" s="321">
        <f>E303*G303*'Ref-Savings Calculations'!$C$109*Applicability*ControlShare</f>
        <v>16.916816354073688</v>
      </c>
      <c r="P303" s="321">
        <f>E303*G303*'Ref-Savings Calculations'!$E$9*Applicability</f>
        <v>37.098281478231776</v>
      </c>
      <c r="Q303" s="321" t="s">
        <v>1109</v>
      </c>
      <c r="R303" s="37"/>
      <c r="S303" s="322" t="s">
        <v>44</v>
      </c>
      <c r="T303" s="322" t="s">
        <v>63</v>
      </c>
      <c r="U303" s="322" t="s">
        <v>44</v>
      </c>
      <c r="V303" s="322" t="s">
        <v>75</v>
      </c>
      <c r="W303" s="322" t="s">
        <v>70</v>
      </c>
      <c r="X303" s="37"/>
      <c r="Y303" s="37"/>
      <c r="Z303" s="322" t="s">
        <v>78</v>
      </c>
      <c r="AA303" s="322" t="s">
        <v>78</v>
      </c>
      <c r="AB303" s="37"/>
      <c r="AC303" s="324">
        <f>'Ref-ComHOU'!$G$49</f>
        <v>21.6</v>
      </c>
      <c r="AD303" s="324" t="s">
        <v>72</v>
      </c>
      <c r="AE303" s="322" t="s">
        <v>73</v>
      </c>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c r="CA303" s="393"/>
      <c r="CB303" s="393"/>
      <c r="CC303" s="393"/>
      <c r="CD303" s="393"/>
      <c r="CE303" s="393"/>
      <c r="CF303" s="393"/>
      <c r="CG303" s="393"/>
      <c r="CH303" s="393"/>
      <c r="CI303" s="393"/>
      <c r="CJ303" s="390"/>
      <c r="CK303" s="390"/>
      <c r="CL303" s="390"/>
      <c r="CM303" s="390"/>
      <c r="CN303" s="390"/>
      <c r="CO303" s="390"/>
      <c r="CP303" s="390"/>
      <c r="CQ303" s="390"/>
      <c r="CR303" s="390"/>
      <c r="CS303" s="390"/>
      <c r="CT303" s="390"/>
      <c r="CU303" s="390"/>
      <c r="CV303" s="390"/>
      <c r="CW303" s="390"/>
      <c r="CX303" s="390"/>
      <c r="CY303" s="390"/>
      <c r="CZ303" s="390"/>
      <c r="DA303" s="390"/>
      <c r="DB303" s="390"/>
      <c r="DC303" s="390"/>
    </row>
    <row r="304" spans="1:107" s="303" customFormat="1" ht="33.75">
      <c r="A304" s="37"/>
      <c r="B304" s="325" t="s">
        <v>23</v>
      </c>
      <c r="C304" s="320" t="s">
        <v>938</v>
      </c>
      <c r="D304" s="320" t="s">
        <v>1220</v>
      </c>
      <c r="E304" s="324">
        <f>'Ref-ComSources'!$AB$15*'Ref-ComSources'!$D$268</f>
        <v>158.98048972032714</v>
      </c>
      <c r="F304" s="320" t="s">
        <v>26</v>
      </c>
      <c r="G304" s="319">
        <f>('Ref-ComSources'!$E$68/SUM('Ref-ComSources'!$E$68,'Ref-ComSources'!$D$68))*50%</f>
        <v>0.36844919786096259</v>
      </c>
      <c r="H304" s="320" t="s">
        <v>66</v>
      </c>
      <c r="I304" s="378">
        <f>'Ref-BaselineControls'!$J$19</f>
        <v>0.95</v>
      </c>
      <c r="J304" s="320" t="s">
        <v>25</v>
      </c>
      <c r="K304" s="320" t="s">
        <v>1033</v>
      </c>
      <c r="L304" s="320" t="s">
        <v>24</v>
      </c>
      <c r="M304" s="320" t="s">
        <v>88</v>
      </c>
      <c r="N304" s="321">
        <f>E304*G304*'Ref-Savings Calculations'!$E$10*Applicability</f>
        <v>36.707773252145124</v>
      </c>
      <c r="O304" s="321">
        <f>E304*G304*'Ref-Savings Calculations'!$C$57*Applicability*ControlShare</f>
        <v>20.033071998245159</v>
      </c>
      <c r="P304" s="321">
        <f>E304*G304*'Ref-Savings Calculations'!$E$8*Applicability</f>
        <v>34.169469782581899</v>
      </c>
      <c r="Q304" s="321" t="s">
        <v>871</v>
      </c>
      <c r="R304" s="37"/>
      <c r="S304" s="322" t="s">
        <v>68</v>
      </c>
      <c r="T304" s="322" t="s">
        <v>63</v>
      </c>
      <c r="U304" s="322" t="s">
        <v>69</v>
      </c>
      <c r="V304" s="322" t="s">
        <v>69</v>
      </c>
      <c r="W304" s="322" t="s">
        <v>70</v>
      </c>
      <c r="X304" s="37"/>
      <c r="Y304" s="37"/>
      <c r="Z304" s="322" t="s">
        <v>78</v>
      </c>
      <c r="AA304" s="322" t="s">
        <v>78</v>
      </c>
      <c r="AB304" s="37"/>
      <c r="AC304" s="324">
        <f>'Ref-ComHOU'!$G$49</f>
        <v>21.6</v>
      </c>
      <c r="AD304" s="324" t="s">
        <v>72</v>
      </c>
      <c r="AE304" s="322" t="s">
        <v>73</v>
      </c>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c r="CA304" s="393"/>
      <c r="CB304" s="393"/>
      <c r="CC304" s="393"/>
      <c r="CD304" s="393"/>
      <c r="CE304" s="393"/>
      <c r="CF304" s="393"/>
      <c r="CG304" s="393"/>
      <c r="CH304" s="393"/>
      <c r="CI304" s="393"/>
      <c r="CJ304" s="390"/>
      <c r="CK304" s="390"/>
      <c r="CL304" s="390"/>
      <c r="CM304" s="390"/>
      <c r="CN304" s="390"/>
      <c r="CO304" s="390"/>
      <c r="CP304" s="390"/>
      <c r="CQ304" s="390"/>
      <c r="CR304" s="390"/>
      <c r="CS304" s="390"/>
      <c r="CT304" s="390"/>
      <c r="CU304" s="390"/>
      <c r="CV304" s="390"/>
      <c r="CW304" s="390"/>
      <c r="CX304" s="390"/>
      <c r="CY304" s="390"/>
      <c r="CZ304" s="390"/>
      <c r="DA304" s="390"/>
      <c r="DB304" s="390"/>
      <c r="DC304" s="390"/>
    </row>
    <row r="305" spans="1:107" s="303" customFormat="1" ht="33.75">
      <c r="A305" s="37"/>
      <c r="B305" s="325" t="s">
        <v>23</v>
      </c>
      <c r="C305" s="320" t="s">
        <v>938</v>
      </c>
      <c r="D305" s="320" t="s">
        <v>1220</v>
      </c>
      <c r="E305" s="324">
        <f>'Ref-ComSources'!$AB$15*'Ref-ComSources'!$D$268</f>
        <v>158.98048972032714</v>
      </c>
      <c r="F305" s="320" t="s">
        <v>26</v>
      </c>
      <c r="G305" s="319">
        <f>('Ref-ComSources'!$E$68/SUM('Ref-ComSources'!$E$68,'Ref-ComSources'!$D$68))*50%</f>
        <v>0.36844919786096259</v>
      </c>
      <c r="H305" s="320" t="s">
        <v>66</v>
      </c>
      <c r="I305" s="378">
        <f>'Ref-BaselineControls'!$J$19</f>
        <v>0.95</v>
      </c>
      <c r="J305" s="320" t="s">
        <v>25</v>
      </c>
      <c r="K305" s="320" t="s">
        <v>1033</v>
      </c>
      <c r="L305" s="320" t="s">
        <v>24</v>
      </c>
      <c r="M305" s="320" t="s">
        <v>90</v>
      </c>
      <c r="N305" s="321">
        <f>E305*G305*'Ref-Savings Calculations'!$E$10*Applicability</f>
        <v>36.707773252145124</v>
      </c>
      <c r="O305" s="321">
        <f>E305*G305*'Ref-Savings Calculations'!$C$77*Applicability*ControlShare</f>
        <v>12.465022576685881</v>
      </c>
      <c r="P305" s="321">
        <f>E305*G305*'Ref-Savings Calculations'!$E$8*Applicability</f>
        <v>34.169469782581899</v>
      </c>
      <c r="Q305" s="321" t="s">
        <v>1109</v>
      </c>
      <c r="R305" s="37"/>
      <c r="S305" s="322" t="s">
        <v>68</v>
      </c>
      <c r="T305" s="322" t="s">
        <v>63</v>
      </c>
      <c r="U305" s="322" t="s">
        <v>69</v>
      </c>
      <c r="V305" s="322" t="s">
        <v>69</v>
      </c>
      <c r="W305" s="322" t="s">
        <v>70</v>
      </c>
      <c r="X305" s="37"/>
      <c r="Y305" s="37"/>
      <c r="Z305" s="322" t="s">
        <v>78</v>
      </c>
      <c r="AA305" s="322" t="s">
        <v>78</v>
      </c>
      <c r="AB305" s="37"/>
      <c r="AC305" s="324">
        <f>'Ref-ComHOU'!$G$49</f>
        <v>21.6</v>
      </c>
      <c r="AD305" s="324" t="s">
        <v>72</v>
      </c>
      <c r="AE305" s="322" t="s">
        <v>73</v>
      </c>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c r="CA305" s="393"/>
      <c r="CB305" s="393"/>
      <c r="CC305" s="393"/>
      <c r="CD305" s="393"/>
      <c r="CE305" s="393"/>
      <c r="CF305" s="393"/>
      <c r="CG305" s="393"/>
      <c r="CH305" s="393"/>
      <c r="CI305" s="393"/>
      <c r="CJ305" s="390"/>
      <c r="CK305" s="390"/>
      <c r="CL305" s="390"/>
      <c r="CM305" s="390"/>
      <c r="CN305" s="390"/>
      <c r="CO305" s="390"/>
      <c r="CP305" s="390"/>
      <c r="CQ305" s="390"/>
      <c r="CR305" s="390"/>
      <c r="CS305" s="390"/>
      <c r="CT305" s="390"/>
      <c r="CU305" s="390"/>
      <c r="CV305" s="390"/>
      <c r="CW305" s="390"/>
      <c r="CX305" s="390"/>
      <c r="CY305" s="390"/>
      <c r="CZ305" s="390"/>
      <c r="DA305" s="390"/>
      <c r="DB305" s="390"/>
      <c r="DC305" s="390"/>
    </row>
    <row r="306" spans="1:107" s="303" customFormat="1" ht="33.75">
      <c r="A306" s="37"/>
      <c r="B306" s="325" t="s">
        <v>23</v>
      </c>
      <c r="C306" s="320" t="s">
        <v>938</v>
      </c>
      <c r="D306" s="320" t="s">
        <v>1220</v>
      </c>
      <c r="E306" s="324">
        <f>'Ref-ComSources'!$AB$15*'Ref-ComSources'!$D$268</f>
        <v>158.98048972032714</v>
      </c>
      <c r="F306" s="320" t="s">
        <v>26</v>
      </c>
      <c r="G306" s="319">
        <f>('Ref-ComSources'!$E$68/SUM('Ref-ComSources'!$E$68,'Ref-ComSources'!$D$68))*50%</f>
        <v>0.36844919786096259</v>
      </c>
      <c r="H306" s="320" t="s">
        <v>66</v>
      </c>
      <c r="I306" s="378">
        <f>'Ref-BaselineControls'!$J$19</f>
        <v>0.95</v>
      </c>
      <c r="J306" s="320" t="s">
        <v>25</v>
      </c>
      <c r="K306" s="320" t="s">
        <v>1033</v>
      </c>
      <c r="L306" s="320" t="s">
        <v>24</v>
      </c>
      <c r="M306" s="320" t="s">
        <v>91</v>
      </c>
      <c r="N306" s="321">
        <f>E306*G306*'Ref-Savings Calculations'!$E$10*Applicability</f>
        <v>36.707773252145124</v>
      </c>
      <c r="O306" s="321" t="s">
        <v>870</v>
      </c>
      <c r="P306" s="321">
        <f>E306*G306*'Ref-Savings Calculations'!$E$8*Applicability</f>
        <v>34.169469782581899</v>
      </c>
      <c r="Q306" s="321" t="s">
        <v>870</v>
      </c>
      <c r="R306" s="37"/>
      <c r="S306" s="322" t="s">
        <v>68</v>
      </c>
      <c r="T306" s="322" t="s">
        <v>63</v>
      </c>
      <c r="U306" s="322" t="s">
        <v>69</v>
      </c>
      <c r="V306" s="322" t="s">
        <v>69</v>
      </c>
      <c r="W306" s="322" t="s">
        <v>70</v>
      </c>
      <c r="X306" s="37"/>
      <c r="Y306" s="37"/>
      <c r="Z306" s="322" t="s">
        <v>78</v>
      </c>
      <c r="AA306" s="322" t="s">
        <v>78</v>
      </c>
      <c r="AB306" s="37"/>
      <c r="AC306" s="324">
        <f>'Ref-ComHOU'!$G$49</f>
        <v>21.6</v>
      </c>
      <c r="AD306" s="324" t="s">
        <v>72</v>
      </c>
      <c r="AE306" s="322" t="s">
        <v>73</v>
      </c>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c r="CA306" s="393"/>
      <c r="CB306" s="393"/>
      <c r="CC306" s="393"/>
      <c r="CD306" s="393"/>
      <c r="CE306" s="393"/>
      <c r="CF306" s="393"/>
      <c r="CG306" s="393"/>
      <c r="CH306" s="393"/>
      <c r="CI306" s="393"/>
      <c r="CJ306" s="390"/>
      <c r="CK306" s="390"/>
      <c r="CL306" s="390"/>
      <c r="CM306" s="390"/>
      <c r="CN306" s="390"/>
      <c r="CO306" s="390"/>
      <c r="CP306" s="390"/>
      <c r="CQ306" s="390"/>
      <c r="CR306" s="390"/>
      <c r="CS306" s="390"/>
      <c r="CT306" s="390"/>
      <c r="CU306" s="390"/>
      <c r="CV306" s="390"/>
      <c r="CW306" s="390"/>
      <c r="CX306" s="390"/>
      <c r="CY306" s="390"/>
      <c r="CZ306" s="390"/>
      <c r="DA306" s="390"/>
      <c r="DB306" s="390"/>
      <c r="DC306" s="390"/>
    </row>
    <row r="307" spans="1:107" s="303" customFormat="1" ht="33.75">
      <c r="A307" s="37"/>
      <c r="B307" s="325" t="s">
        <v>23</v>
      </c>
      <c r="C307" s="320" t="s">
        <v>938</v>
      </c>
      <c r="D307" s="320" t="s">
        <v>1220</v>
      </c>
      <c r="E307" s="324">
        <f>'Ref-ComSources'!$AB$15*'Ref-ComSources'!$D$268</f>
        <v>158.98048972032714</v>
      </c>
      <c r="F307" s="320" t="s">
        <v>26</v>
      </c>
      <c r="G307" s="319">
        <f>('Ref-ComSources'!$E$68/SUM('Ref-ComSources'!$E$68,'Ref-ComSources'!$D$68))*50%</f>
        <v>0.36844919786096259</v>
      </c>
      <c r="H307" s="320" t="s">
        <v>66</v>
      </c>
      <c r="I307" s="378">
        <f>'Ref-BaselineControls'!$J$19</f>
        <v>0.95</v>
      </c>
      <c r="J307" s="320" t="s">
        <v>25</v>
      </c>
      <c r="K307" s="320" t="s">
        <v>1033</v>
      </c>
      <c r="L307" s="320" t="s">
        <v>24</v>
      </c>
      <c r="M307" s="320" t="s">
        <v>92</v>
      </c>
      <c r="N307" s="321">
        <f>E307*G307*'Ref-Savings Calculations'!$E$10*Applicability</f>
        <v>36.707773252145124</v>
      </c>
      <c r="O307" s="321">
        <f>E307*G307*'Ref-Savings Calculations'!$C$99*Applicability*ControlShare</f>
        <v>16.026457598596128</v>
      </c>
      <c r="P307" s="321">
        <f>E307*G307*'Ref-Savings Calculations'!$E$8*Applicability</f>
        <v>34.169469782581899</v>
      </c>
      <c r="Q307" s="321" t="s">
        <v>1109</v>
      </c>
      <c r="R307" s="37"/>
      <c r="S307" s="322" t="s">
        <v>68</v>
      </c>
      <c r="T307" s="322" t="s">
        <v>63</v>
      </c>
      <c r="U307" s="322" t="s">
        <v>69</v>
      </c>
      <c r="V307" s="322" t="s">
        <v>69</v>
      </c>
      <c r="W307" s="322" t="s">
        <v>70</v>
      </c>
      <c r="X307" s="37"/>
      <c r="Y307" s="37"/>
      <c r="Z307" s="322" t="s">
        <v>78</v>
      </c>
      <c r="AA307" s="322" t="s">
        <v>78</v>
      </c>
      <c r="AB307" s="37"/>
      <c r="AC307" s="324">
        <f>'Ref-ComHOU'!$G$49</f>
        <v>21.6</v>
      </c>
      <c r="AD307" s="324" t="s">
        <v>72</v>
      </c>
      <c r="AE307" s="322" t="s">
        <v>73</v>
      </c>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c r="CA307" s="393"/>
      <c r="CB307" s="393"/>
      <c r="CC307" s="393"/>
      <c r="CD307" s="393"/>
      <c r="CE307" s="393"/>
      <c r="CF307" s="393"/>
      <c r="CG307" s="393"/>
      <c r="CH307" s="393"/>
      <c r="CI307" s="393"/>
      <c r="CJ307" s="390"/>
      <c r="CK307" s="390"/>
      <c r="CL307" s="390"/>
      <c r="CM307" s="390"/>
      <c r="CN307" s="390"/>
      <c r="CO307" s="390"/>
      <c r="CP307" s="390"/>
      <c r="CQ307" s="390"/>
      <c r="CR307" s="390"/>
      <c r="CS307" s="390"/>
      <c r="CT307" s="390"/>
      <c r="CU307" s="390"/>
      <c r="CV307" s="390"/>
      <c r="CW307" s="390"/>
      <c r="CX307" s="390"/>
      <c r="CY307" s="390"/>
      <c r="CZ307" s="390"/>
      <c r="DA307" s="390"/>
      <c r="DB307" s="390"/>
      <c r="DC307" s="390"/>
    </row>
    <row r="308" spans="1:107" s="317" customFormat="1" ht="33.75">
      <c r="A308" s="37"/>
      <c r="B308" s="332" t="s">
        <v>23</v>
      </c>
      <c r="C308" s="320" t="s">
        <v>938</v>
      </c>
      <c r="D308" s="333" t="s">
        <v>1220</v>
      </c>
      <c r="E308" s="324">
        <f>'Ref-ComSources'!$AB$15*'Ref-ComSources'!$D$268</f>
        <v>158.98048972032714</v>
      </c>
      <c r="F308" s="333" t="s">
        <v>26</v>
      </c>
      <c r="G308" s="319">
        <f>('Ref-ComSources'!$E$68/SUM('Ref-ComSources'!$E$68,'Ref-ComSources'!$D$68))*50%</f>
        <v>0.36844919786096259</v>
      </c>
      <c r="H308" s="320" t="s">
        <v>66</v>
      </c>
      <c r="I308" s="378">
        <f>'Ref-BaselineControls'!$J$19</f>
        <v>0.95</v>
      </c>
      <c r="J308" s="320" t="s">
        <v>25</v>
      </c>
      <c r="K308" s="320" t="s">
        <v>1033</v>
      </c>
      <c r="L308" s="333" t="s">
        <v>24</v>
      </c>
      <c r="M308" s="333" t="s">
        <v>93</v>
      </c>
      <c r="N308" s="321">
        <f>E308*G308*'Ref-Savings Calculations'!$E$10*Applicability</f>
        <v>36.707773252145124</v>
      </c>
      <c r="O308" s="335">
        <f>E308*G308*'Ref-Savings Calculations'!$C$109*Applicability*ControlShare</f>
        <v>16.916816354073688</v>
      </c>
      <c r="P308" s="321">
        <f>E308*G308*'Ref-Savings Calculations'!$E$8*Applicability</f>
        <v>34.169469782581899</v>
      </c>
      <c r="Q308" s="321" t="s">
        <v>1109</v>
      </c>
      <c r="R308" s="37"/>
      <c r="S308" s="336" t="s">
        <v>68</v>
      </c>
      <c r="T308" s="336" t="s">
        <v>63</v>
      </c>
      <c r="U308" s="322" t="s">
        <v>44</v>
      </c>
      <c r="V308" s="322" t="s">
        <v>75</v>
      </c>
      <c r="W308" s="322" t="s">
        <v>70</v>
      </c>
      <c r="X308" s="37"/>
      <c r="Y308" s="37"/>
      <c r="Z308" s="336" t="s">
        <v>78</v>
      </c>
      <c r="AA308" s="336" t="s">
        <v>78</v>
      </c>
      <c r="AB308" s="37"/>
      <c r="AC308" s="334">
        <f>'Ref-ComHOU'!$G$49</f>
        <v>21.6</v>
      </c>
      <c r="AD308" s="334" t="s">
        <v>72</v>
      </c>
      <c r="AE308" s="336" t="s">
        <v>73</v>
      </c>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c r="CA308" s="393"/>
      <c r="CB308" s="393"/>
      <c r="CC308" s="393"/>
      <c r="CD308" s="393"/>
      <c r="CE308" s="393"/>
      <c r="CF308" s="393"/>
      <c r="CG308" s="393"/>
      <c r="CH308" s="393"/>
      <c r="CI308" s="393"/>
      <c r="CJ308" s="390"/>
      <c r="CK308" s="390"/>
      <c r="CL308" s="390"/>
      <c r="CM308" s="390"/>
      <c r="CN308" s="390"/>
      <c r="CO308" s="390"/>
      <c r="CP308" s="390"/>
      <c r="CQ308" s="390"/>
      <c r="CR308" s="390"/>
      <c r="CS308" s="390"/>
      <c r="CT308" s="390"/>
      <c r="CU308" s="390"/>
      <c r="CV308" s="390"/>
      <c r="CW308" s="390"/>
      <c r="CX308" s="390"/>
      <c r="CY308" s="390"/>
      <c r="CZ308" s="390"/>
      <c r="DA308" s="390"/>
      <c r="DB308" s="390"/>
      <c r="DC308" s="390"/>
    </row>
    <row r="309" spans="1:107" s="317" customFormat="1" ht="56.25">
      <c r="A309" s="37"/>
      <c r="B309" s="464" t="s">
        <v>23</v>
      </c>
      <c r="C309" s="465" t="s">
        <v>1143</v>
      </c>
      <c r="D309" s="348" t="s">
        <v>1220</v>
      </c>
      <c r="E309" s="467">
        <f>'Ref-ComSources'!$AB$8*('Ref-ComSources'!$D$63+'Ref-ComSources'!$E$63)</f>
        <v>446.00405151407574</v>
      </c>
      <c r="F309" s="465" t="s">
        <v>27</v>
      </c>
      <c r="G309" s="468">
        <f>'Ref-2013CSSsaturationsINT'!$F$78</f>
        <v>0.90317050049758907</v>
      </c>
      <c r="H309" s="465" t="s">
        <v>66</v>
      </c>
      <c r="I309" s="469">
        <f>'Ref-2013CSSsaturationsINT'!$J$78</f>
        <v>0.77184852779052782</v>
      </c>
      <c r="J309" s="465" t="s">
        <v>1097</v>
      </c>
      <c r="K309" s="465" t="s">
        <v>1012</v>
      </c>
      <c r="L309" s="465" t="s">
        <v>960</v>
      </c>
      <c r="M309" s="465" t="s">
        <v>88</v>
      </c>
      <c r="N309" s="470">
        <f>E309*G309*'Ref-Savings Calculations'!$E$33*Applicability</f>
        <v>59.493076051188247</v>
      </c>
      <c r="O309" s="470">
        <f>E309*G309*'Ref-Savings Calculations'!$C$54*Applicability*ControlShare</f>
        <v>59.695536112991405</v>
      </c>
      <c r="P309" s="470">
        <f>E309*G309*'Ref-Savings Calculations'!$E$34*Applicability</f>
        <v>51.560665911029787</v>
      </c>
      <c r="Q309" s="470">
        <f>E309*G309*('Ref-Savings Calculations'!$C$54-'Ref-Savings Calculations'!$C$124)*Applicability*ControlShare</f>
        <v>9.9492560188318979</v>
      </c>
      <c r="R309" s="37"/>
      <c r="S309" s="344" t="s">
        <v>69</v>
      </c>
      <c r="T309" s="344" t="s">
        <v>69</v>
      </c>
      <c r="U309" s="344" t="s">
        <v>69</v>
      </c>
      <c r="V309" s="344" t="s">
        <v>69</v>
      </c>
      <c r="W309" s="344" t="s">
        <v>76</v>
      </c>
      <c r="X309" s="37"/>
      <c r="Y309" s="37"/>
      <c r="Z309" s="465" t="s">
        <v>78</v>
      </c>
      <c r="AA309" s="465" t="s">
        <v>78</v>
      </c>
      <c r="AB309" s="37"/>
      <c r="AC309" s="474">
        <f>'Ref-ComHOU'!$G$34</f>
        <v>14.227397260273975</v>
      </c>
      <c r="AD309" s="470" t="s">
        <v>72</v>
      </c>
      <c r="AE309" s="465" t="s">
        <v>73</v>
      </c>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c r="CA309" s="393"/>
      <c r="CB309" s="393"/>
      <c r="CC309" s="393"/>
      <c r="CD309" s="393"/>
      <c r="CE309" s="393"/>
      <c r="CF309" s="393"/>
      <c r="CG309" s="393"/>
      <c r="CH309" s="393"/>
      <c r="CI309" s="393"/>
      <c r="CJ309" s="390"/>
      <c r="CK309" s="390"/>
      <c r="CL309" s="390"/>
      <c r="CM309" s="390"/>
      <c r="CN309" s="390"/>
      <c r="CO309" s="390"/>
      <c r="CP309" s="390"/>
      <c r="CQ309" s="390"/>
      <c r="CR309" s="390"/>
      <c r="CS309" s="390"/>
      <c r="CT309" s="390"/>
      <c r="CU309" s="390"/>
      <c r="CV309" s="390"/>
      <c r="CW309" s="390"/>
      <c r="CX309" s="390"/>
      <c r="CY309" s="390"/>
      <c r="CZ309" s="390"/>
      <c r="DA309" s="390"/>
      <c r="DB309" s="390"/>
      <c r="DC309" s="390"/>
    </row>
    <row r="310" spans="1:107" s="317" customFormat="1" ht="56.25">
      <c r="A310" s="37"/>
      <c r="B310" s="464" t="s">
        <v>23</v>
      </c>
      <c r="C310" s="465" t="s">
        <v>1143</v>
      </c>
      <c r="D310" s="348" t="s">
        <v>1220</v>
      </c>
      <c r="E310" s="467">
        <f>'Ref-ComSources'!$AB$8*('Ref-ComSources'!$D$63+'Ref-ComSources'!$E$63)</f>
        <v>446.00405151407574</v>
      </c>
      <c r="F310" s="465" t="s">
        <v>27</v>
      </c>
      <c r="G310" s="468">
        <f>'Ref-2013CSSsaturationsINT'!$F$78</f>
        <v>0.90317050049758907</v>
      </c>
      <c r="H310" s="465" t="s">
        <v>66</v>
      </c>
      <c r="I310" s="469">
        <f>'Ref-2013CSSsaturationsINT'!$J$78</f>
        <v>0.77184852779052782</v>
      </c>
      <c r="J310" s="465" t="s">
        <v>1097</v>
      </c>
      <c r="K310" s="465" t="s">
        <v>1012</v>
      </c>
      <c r="L310" s="465" t="s">
        <v>960</v>
      </c>
      <c r="M310" s="465" t="s">
        <v>90</v>
      </c>
      <c r="N310" s="470">
        <f>E310*G310*'Ref-Savings Calculations'!$E$33*Applicability</f>
        <v>59.493076051188247</v>
      </c>
      <c r="O310" s="470">
        <f>E310*G310*'Ref-Savings Calculations'!$C$77*Applicability*ControlShare</f>
        <v>69.644792131823309</v>
      </c>
      <c r="P310" s="470">
        <f>E310*G310*'Ref-Savings Calculations'!$E$34*Applicability</f>
        <v>51.560665911029787</v>
      </c>
      <c r="Q310" s="470">
        <f>E310*G310*('Ref-Savings Calculations'!$C$77-'Ref-Savings Calculations'!$C$124)*Applicability*ControlShare</f>
        <v>19.89851203766381</v>
      </c>
      <c r="R310" s="37"/>
      <c r="S310" s="344" t="s">
        <v>69</v>
      </c>
      <c r="T310" s="344" t="s">
        <v>69</v>
      </c>
      <c r="U310" s="344" t="s">
        <v>69</v>
      </c>
      <c r="V310" s="344" t="s">
        <v>69</v>
      </c>
      <c r="W310" s="344" t="s">
        <v>76</v>
      </c>
      <c r="X310" s="37"/>
      <c r="Y310" s="37"/>
      <c r="Z310" s="465" t="s">
        <v>78</v>
      </c>
      <c r="AA310" s="465" t="s">
        <v>78</v>
      </c>
      <c r="AB310" s="37"/>
      <c r="AC310" s="474">
        <f>'Ref-ComHOU'!$G$34</f>
        <v>14.227397260273975</v>
      </c>
      <c r="AD310" s="470" t="s">
        <v>72</v>
      </c>
      <c r="AE310" s="465" t="s">
        <v>73</v>
      </c>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c r="CA310" s="393"/>
      <c r="CB310" s="393"/>
      <c r="CC310" s="393"/>
      <c r="CD310" s="393"/>
      <c r="CE310" s="393"/>
      <c r="CF310" s="393"/>
      <c r="CG310" s="393"/>
      <c r="CH310" s="393"/>
      <c r="CI310" s="393"/>
      <c r="CJ310" s="390"/>
      <c r="CK310" s="390"/>
      <c r="CL310" s="390"/>
      <c r="CM310" s="390"/>
      <c r="CN310" s="390"/>
      <c r="CO310" s="390"/>
      <c r="CP310" s="390"/>
      <c r="CQ310" s="390"/>
      <c r="CR310" s="390"/>
      <c r="CS310" s="390"/>
      <c r="CT310" s="390"/>
      <c r="CU310" s="390"/>
      <c r="CV310" s="390"/>
      <c r="CW310" s="390"/>
      <c r="CX310" s="390"/>
      <c r="CY310" s="390"/>
      <c r="CZ310" s="390"/>
      <c r="DA310" s="390"/>
      <c r="DB310" s="390"/>
      <c r="DC310" s="390"/>
    </row>
    <row r="311" spans="1:107" s="317" customFormat="1" ht="56.25">
      <c r="A311" s="37"/>
      <c r="B311" s="464" t="s">
        <v>23</v>
      </c>
      <c r="C311" s="465" t="s">
        <v>1143</v>
      </c>
      <c r="D311" s="348" t="s">
        <v>1220</v>
      </c>
      <c r="E311" s="467">
        <f>'Ref-ComSources'!$AB$8*('Ref-ComSources'!$D$63+'Ref-ComSources'!$E$63)</f>
        <v>446.00405151407574</v>
      </c>
      <c r="F311" s="465" t="s">
        <v>27</v>
      </c>
      <c r="G311" s="468">
        <f>'Ref-2013CSSsaturationsINT'!$F$78</f>
        <v>0.90317050049758907</v>
      </c>
      <c r="H311" s="465" t="s">
        <v>66</v>
      </c>
      <c r="I311" s="469">
        <f>'Ref-2013CSSsaturationsINT'!$J$78</f>
        <v>0.77184852779052782</v>
      </c>
      <c r="J311" s="465" t="s">
        <v>1097</v>
      </c>
      <c r="K311" s="465" t="s">
        <v>1012</v>
      </c>
      <c r="L311" s="465" t="s">
        <v>960</v>
      </c>
      <c r="M311" s="465" t="s">
        <v>91</v>
      </c>
      <c r="N311" s="470">
        <f>E311*G311*'Ref-Savings Calculations'!$E$33*Applicability</f>
        <v>59.493076051188247</v>
      </c>
      <c r="O311" s="470" t="s">
        <v>870</v>
      </c>
      <c r="P311" s="470">
        <f>E311*G311*'Ref-Savings Calculations'!$E$34*Applicability</f>
        <v>51.560665911029787</v>
      </c>
      <c r="Q311" s="470" t="s">
        <v>870</v>
      </c>
      <c r="R311" s="37"/>
      <c r="S311" s="344" t="s">
        <v>69</v>
      </c>
      <c r="T311" s="344" t="s">
        <v>69</v>
      </c>
      <c r="U311" s="344" t="s">
        <v>870</v>
      </c>
      <c r="V311" s="344" t="s">
        <v>870</v>
      </c>
      <c r="W311" s="344" t="s">
        <v>76</v>
      </c>
      <c r="X311" s="37"/>
      <c r="Y311" s="37"/>
      <c r="Z311" s="465" t="s">
        <v>78</v>
      </c>
      <c r="AA311" s="465" t="s">
        <v>78</v>
      </c>
      <c r="AB311" s="37"/>
      <c r="AC311" s="474">
        <f>'Ref-ComHOU'!$G$34</f>
        <v>14.227397260273975</v>
      </c>
      <c r="AD311" s="470" t="s">
        <v>72</v>
      </c>
      <c r="AE311" s="465" t="s">
        <v>73</v>
      </c>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c r="CA311" s="393"/>
      <c r="CB311" s="393"/>
      <c r="CC311" s="393"/>
      <c r="CD311" s="393"/>
      <c r="CE311" s="393"/>
      <c r="CF311" s="393"/>
      <c r="CG311" s="393"/>
      <c r="CH311" s="393"/>
      <c r="CI311" s="393"/>
      <c r="CJ311" s="390"/>
      <c r="CK311" s="390"/>
      <c r="CL311" s="390"/>
      <c r="CM311" s="390"/>
      <c r="CN311" s="390"/>
      <c r="CO311" s="390"/>
      <c r="CP311" s="390"/>
      <c r="CQ311" s="390"/>
      <c r="CR311" s="390"/>
      <c r="CS311" s="390"/>
      <c r="CT311" s="390"/>
      <c r="CU311" s="390"/>
      <c r="CV311" s="390"/>
      <c r="CW311" s="390"/>
      <c r="CX311" s="390"/>
      <c r="CY311" s="390"/>
      <c r="CZ311" s="390"/>
      <c r="DA311" s="390"/>
      <c r="DB311" s="390"/>
      <c r="DC311" s="390"/>
    </row>
    <row r="312" spans="1:107" s="317" customFormat="1" ht="56.25">
      <c r="A312" s="37"/>
      <c r="B312" s="464" t="s">
        <v>23</v>
      </c>
      <c r="C312" s="465" t="s">
        <v>1143</v>
      </c>
      <c r="D312" s="348" t="s">
        <v>1220</v>
      </c>
      <c r="E312" s="467">
        <f>'Ref-ComSources'!$AB$8*('Ref-ComSources'!$D$63+'Ref-ComSources'!$E$63)</f>
        <v>446.00405151407574</v>
      </c>
      <c r="F312" s="465" t="s">
        <v>27</v>
      </c>
      <c r="G312" s="468">
        <f>'Ref-2013CSSsaturationsINT'!$F$78</f>
        <v>0.90317050049758907</v>
      </c>
      <c r="H312" s="465" t="s">
        <v>66</v>
      </c>
      <c r="I312" s="469">
        <f>'Ref-2013CSSsaturationsINT'!$J$78</f>
        <v>0.77184852779052782</v>
      </c>
      <c r="J312" s="465" t="s">
        <v>1097</v>
      </c>
      <c r="K312" s="465" t="s">
        <v>1012</v>
      </c>
      <c r="L312" s="465" t="s">
        <v>960</v>
      </c>
      <c r="M312" s="465" t="s">
        <v>92</v>
      </c>
      <c r="N312" s="470">
        <f>E312*G312*'Ref-Savings Calculations'!$E$33*Applicability</f>
        <v>59.493076051188247</v>
      </c>
      <c r="O312" s="470">
        <f>E312*G312*'Ref-Savings Calculations'!$C$99*Applicability*ControlShare</f>
        <v>89.543304169487115</v>
      </c>
      <c r="P312" s="470">
        <f>E312*G312*'Ref-Savings Calculations'!$E$34*Applicability</f>
        <v>51.560665911029787</v>
      </c>
      <c r="Q312" s="470">
        <f>E312*G312*('Ref-Savings Calculations'!$C$99-'Ref-Savings Calculations'!$C$124)*Applicability*ControlShare</f>
        <v>39.797024075327592</v>
      </c>
      <c r="R312" s="37"/>
      <c r="S312" s="344" t="s">
        <v>69</v>
      </c>
      <c r="T312" s="344" t="s">
        <v>69</v>
      </c>
      <c r="U312" s="344" t="s">
        <v>69</v>
      </c>
      <c r="V312" s="344" t="s">
        <v>69</v>
      </c>
      <c r="W312" s="344" t="s">
        <v>76</v>
      </c>
      <c r="X312" s="37"/>
      <c r="Y312" s="37"/>
      <c r="Z312" s="465" t="s">
        <v>78</v>
      </c>
      <c r="AA312" s="465" t="s">
        <v>78</v>
      </c>
      <c r="AB312" s="37"/>
      <c r="AC312" s="474">
        <f>'Ref-ComHOU'!$G$34</f>
        <v>14.227397260273975</v>
      </c>
      <c r="AD312" s="470" t="s">
        <v>72</v>
      </c>
      <c r="AE312" s="465" t="s">
        <v>73</v>
      </c>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c r="CA312" s="393"/>
      <c r="CB312" s="393"/>
      <c r="CC312" s="393"/>
      <c r="CD312" s="393"/>
      <c r="CE312" s="393"/>
      <c r="CF312" s="393"/>
      <c r="CG312" s="393"/>
      <c r="CH312" s="393"/>
      <c r="CI312" s="393"/>
      <c r="CJ312" s="390"/>
      <c r="CK312" s="390"/>
      <c r="CL312" s="390"/>
      <c r="CM312" s="390"/>
      <c r="CN312" s="390"/>
      <c r="CO312" s="390"/>
      <c r="CP312" s="390"/>
      <c r="CQ312" s="390"/>
      <c r="CR312" s="390"/>
      <c r="CS312" s="390"/>
      <c r="CT312" s="390"/>
      <c r="CU312" s="390"/>
      <c r="CV312" s="390"/>
      <c r="CW312" s="390"/>
      <c r="CX312" s="390"/>
      <c r="CY312" s="390"/>
      <c r="CZ312" s="390"/>
      <c r="DA312" s="390"/>
      <c r="DB312" s="390"/>
      <c r="DC312" s="390"/>
    </row>
    <row r="313" spans="1:107" s="317" customFormat="1" ht="56.25">
      <c r="A313" s="37"/>
      <c r="B313" s="464" t="s">
        <v>23</v>
      </c>
      <c r="C313" s="465" t="s">
        <v>1143</v>
      </c>
      <c r="D313" s="348" t="s">
        <v>1220</v>
      </c>
      <c r="E313" s="467">
        <f>'Ref-ComSources'!$AB$8*('Ref-ComSources'!$D$63+'Ref-ComSources'!$E$63)</f>
        <v>446.00405151407574</v>
      </c>
      <c r="F313" s="465" t="s">
        <v>27</v>
      </c>
      <c r="G313" s="468">
        <f>'Ref-2013CSSsaturationsINT'!$F$78</f>
        <v>0.90317050049758907</v>
      </c>
      <c r="H313" s="465" t="s">
        <v>66</v>
      </c>
      <c r="I313" s="469">
        <f>'Ref-2013CSSsaturationsINT'!$J$78</f>
        <v>0.77184852779052782</v>
      </c>
      <c r="J313" s="465" t="s">
        <v>1097</v>
      </c>
      <c r="K313" s="465" t="s">
        <v>1012</v>
      </c>
      <c r="L313" s="465" t="s">
        <v>960</v>
      </c>
      <c r="M313" s="465" t="s">
        <v>93</v>
      </c>
      <c r="N313" s="470">
        <f>E313*G313*'Ref-Savings Calculations'!$E$33*Applicability</f>
        <v>59.493076051188247</v>
      </c>
      <c r="O313" s="470">
        <f>E313*G313*'Ref-Savings Calculations'!$C$109*Applicability*ControlShare</f>
        <v>94.517932178903052</v>
      </c>
      <c r="P313" s="470">
        <f>E313*G313*'Ref-Savings Calculations'!$E$34*Applicability</f>
        <v>51.560665911029787</v>
      </c>
      <c r="Q313" s="470">
        <f>E313*G313*('Ref-Savings Calculations'!$C$109-'Ref-Savings Calculations'!$C$124)*Applicability*ControlShare</f>
        <v>44.771652084743558</v>
      </c>
      <c r="R313" s="37"/>
      <c r="S313" s="344" t="s">
        <v>69</v>
      </c>
      <c r="T313" s="344" t="s">
        <v>69</v>
      </c>
      <c r="U313" s="344" t="s">
        <v>44</v>
      </c>
      <c r="V313" s="344" t="s">
        <v>75</v>
      </c>
      <c r="W313" s="344" t="s">
        <v>76</v>
      </c>
      <c r="X313" s="37"/>
      <c r="Y313" s="37"/>
      <c r="Z313" s="465" t="s">
        <v>78</v>
      </c>
      <c r="AA313" s="465" t="s">
        <v>78</v>
      </c>
      <c r="AB313" s="37"/>
      <c r="AC313" s="474">
        <f>'Ref-ComHOU'!$G$34</f>
        <v>14.227397260273975</v>
      </c>
      <c r="AD313" s="470" t="s">
        <v>72</v>
      </c>
      <c r="AE313" s="465" t="s">
        <v>73</v>
      </c>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c r="CA313" s="393"/>
      <c r="CB313" s="393"/>
      <c r="CC313" s="393"/>
      <c r="CD313" s="393"/>
      <c r="CE313" s="393"/>
      <c r="CF313" s="393"/>
      <c r="CG313" s="393"/>
      <c r="CH313" s="393"/>
      <c r="CI313" s="393"/>
      <c r="CJ313" s="390"/>
      <c r="CK313" s="390"/>
      <c r="CL313" s="390"/>
      <c r="CM313" s="390"/>
      <c r="CN313" s="390"/>
      <c r="CO313" s="390"/>
      <c r="CP313" s="390"/>
      <c r="CQ313" s="390"/>
      <c r="CR313" s="390"/>
      <c r="CS313" s="390"/>
      <c r="CT313" s="390"/>
      <c r="CU313" s="390"/>
      <c r="CV313" s="390"/>
      <c r="CW313" s="390"/>
      <c r="CX313" s="390"/>
      <c r="CY313" s="390"/>
      <c r="CZ313" s="390"/>
      <c r="DA313" s="390"/>
      <c r="DB313" s="390"/>
      <c r="DC313" s="390"/>
    </row>
    <row r="314" spans="1:107" s="317" customFormat="1" ht="56.25">
      <c r="A314" s="37"/>
      <c r="B314" s="464" t="s">
        <v>23</v>
      </c>
      <c r="C314" s="465" t="s">
        <v>1143</v>
      </c>
      <c r="D314" s="348" t="s">
        <v>1220</v>
      </c>
      <c r="E314" s="467">
        <f>'Ref-ComSources'!$AB$8*('Ref-ComSources'!$D$63+'Ref-ComSources'!$E$63)</f>
        <v>446.00405151407574</v>
      </c>
      <c r="F314" s="465" t="s">
        <v>27</v>
      </c>
      <c r="G314" s="468">
        <f>'Ref-2013CSSsaturationsINT'!$F$78</f>
        <v>0.90317050049758907</v>
      </c>
      <c r="H314" s="465" t="s">
        <v>66</v>
      </c>
      <c r="I314" s="469">
        <f>'Ref-2013CSSsaturationsINT'!$J$78</f>
        <v>0.77184852779052782</v>
      </c>
      <c r="J314" s="465" t="s">
        <v>1097</v>
      </c>
      <c r="K314" s="465" t="s">
        <v>1012</v>
      </c>
      <c r="L314" s="465" t="s">
        <v>15</v>
      </c>
      <c r="M314" s="465" t="s">
        <v>88</v>
      </c>
      <c r="N314" s="470">
        <f>E314*G314*'Ref-Savings Calculations'!$E$39*Applicability</f>
        <v>82.481720021364652</v>
      </c>
      <c r="O314" s="470">
        <f>E314*G314*'Ref-Savings Calculations'!$C$54*Applicability*ControlShare</f>
        <v>59.695536112991405</v>
      </c>
      <c r="P314" s="470">
        <f>E314*G314*'Ref-Savings Calculations'!$E$40*Applicability</f>
        <v>70.493097925236057</v>
      </c>
      <c r="Q314" s="470">
        <f>E314*G314*('Ref-Savings Calculations'!$C$54-'Ref-Savings Calculations'!$C$124)*Applicability*ControlShare</f>
        <v>9.9492560188318979</v>
      </c>
      <c r="R314" s="37"/>
      <c r="S314" s="344" t="s">
        <v>44</v>
      </c>
      <c r="T314" s="344" t="s">
        <v>63</v>
      </c>
      <c r="U314" s="344" t="s">
        <v>69</v>
      </c>
      <c r="V314" s="344" t="s">
        <v>69</v>
      </c>
      <c r="W314" s="344" t="s">
        <v>103</v>
      </c>
      <c r="X314" s="37"/>
      <c r="Y314" s="37"/>
      <c r="Z314" s="465" t="s">
        <v>78</v>
      </c>
      <c r="AA314" s="465" t="s">
        <v>78</v>
      </c>
      <c r="AB314" s="37"/>
      <c r="AC314" s="474">
        <f>'Ref-ComHOU'!$G$34</f>
        <v>14.227397260273975</v>
      </c>
      <c r="AD314" s="470" t="s">
        <v>72</v>
      </c>
      <c r="AE314" s="465" t="s">
        <v>73</v>
      </c>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c r="CA314" s="393"/>
      <c r="CB314" s="393"/>
      <c r="CC314" s="393"/>
      <c r="CD314" s="393"/>
      <c r="CE314" s="393"/>
      <c r="CF314" s="393"/>
      <c r="CG314" s="393"/>
      <c r="CH314" s="393"/>
      <c r="CI314" s="393"/>
      <c r="CJ314" s="390"/>
      <c r="CK314" s="390"/>
      <c r="CL314" s="390"/>
      <c r="CM314" s="390"/>
      <c r="CN314" s="390"/>
      <c r="CO314" s="390"/>
      <c r="CP314" s="390"/>
      <c r="CQ314" s="390"/>
      <c r="CR314" s="390"/>
      <c r="CS314" s="390"/>
      <c r="CT314" s="390"/>
      <c r="CU314" s="390"/>
      <c r="CV314" s="390"/>
      <c r="CW314" s="390"/>
      <c r="CX314" s="390"/>
      <c r="CY314" s="390"/>
      <c r="CZ314" s="390"/>
      <c r="DA314" s="390"/>
      <c r="DB314" s="390"/>
      <c r="DC314" s="390"/>
    </row>
    <row r="315" spans="1:107" s="317" customFormat="1" ht="56.25">
      <c r="A315" s="37"/>
      <c r="B315" s="464" t="s">
        <v>23</v>
      </c>
      <c r="C315" s="465" t="s">
        <v>1143</v>
      </c>
      <c r="D315" s="348" t="s">
        <v>1220</v>
      </c>
      <c r="E315" s="467">
        <f>'Ref-ComSources'!$AB$8*('Ref-ComSources'!$D$63+'Ref-ComSources'!$E$63)</f>
        <v>446.00405151407574</v>
      </c>
      <c r="F315" s="465" t="s">
        <v>27</v>
      </c>
      <c r="G315" s="468">
        <f>'Ref-2013CSSsaturationsINT'!$F$78</f>
        <v>0.90317050049758907</v>
      </c>
      <c r="H315" s="465" t="s">
        <v>66</v>
      </c>
      <c r="I315" s="469">
        <f>'Ref-2013CSSsaturationsINT'!$J$78</f>
        <v>0.77184852779052782</v>
      </c>
      <c r="J315" s="465" t="s">
        <v>1097</v>
      </c>
      <c r="K315" s="465" t="s">
        <v>1012</v>
      </c>
      <c r="L315" s="465" t="s">
        <v>15</v>
      </c>
      <c r="M315" s="465" t="s">
        <v>90</v>
      </c>
      <c r="N315" s="470">
        <f>E315*G315*'Ref-Savings Calculations'!$E$39*Applicability</f>
        <v>82.481720021364652</v>
      </c>
      <c r="O315" s="470">
        <f>E315*G315*'Ref-Savings Calculations'!$C$77*Applicability*ControlShare</f>
        <v>69.644792131823309</v>
      </c>
      <c r="P315" s="470">
        <f>E315*G315*'Ref-Savings Calculations'!$E$40*Applicability</f>
        <v>70.493097925236057</v>
      </c>
      <c r="Q315" s="470">
        <f>E315*G315*('Ref-Savings Calculations'!$C$77-'Ref-Savings Calculations'!$C$124)*Applicability*ControlShare</f>
        <v>19.89851203766381</v>
      </c>
      <c r="R315" s="37"/>
      <c r="S315" s="344" t="s">
        <v>44</v>
      </c>
      <c r="T315" s="344" t="s">
        <v>63</v>
      </c>
      <c r="U315" s="344" t="s">
        <v>69</v>
      </c>
      <c r="V315" s="344" t="s">
        <v>69</v>
      </c>
      <c r="W315" s="344" t="s">
        <v>103</v>
      </c>
      <c r="X315" s="37"/>
      <c r="Y315" s="37"/>
      <c r="Z315" s="465" t="s">
        <v>78</v>
      </c>
      <c r="AA315" s="465" t="s">
        <v>78</v>
      </c>
      <c r="AB315" s="37"/>
      <c r="AC315" s="474">
        <f>'Ref-ComHOU'!$G$34</f>
        <v>14.227397260273975</v>
      </c>
      <c r="AD315" s="470" t="s">
        <v>72</v>
      </c>
      <c r="AE315" s="465" t="s">
        <v>73</v>
      </c>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c r="CA315" s="393"/>
      <c r="CB315" s="393"/>
      <c r="CC315" s="393"/>
      <c r="CD315" s="393"/>
      <c r="CE315" s="393"/>
      <c r="CF315" s="393"/>
      <c r="CG315" s="393"/>
      <c r="CH315" s="393"/>
      <c r="CI315" s="393"/>
      <c r="CJ315" s="390"/>
      <c r="CK315" s="390"/>
      <c r="CL315" s="390"/>
      <c r="CM315" s="390"/>
      <c r="CN315" s="390"/>
      <c r="CO315" s="390"/>
      <c r="CP315" s="390"/>
      <c r="CQ315" s="390"/>
      <c r="CR315" s="390"/>
      <c r="CS315" s="390"/>
      <c r="CT315" s="390"/>
      <c r="CU315" s="390"/>
      <c r="CV315" s="390"/>
      <c r="CW315" s="390"/>
      <c r="CX315" s="390"/>
      <c r="CY315" s="390"/>
      <c r="CZ315" s="390"/>
      <c r="DA315" s="390"/>
      <c r="DB315" s="390"/>
      <c r="DC315" s="390"/>
    </row>
    <row r="316" spans="1:107" s="317" customFormat="1" ht="56.25">
      <c r="A316" s="37"/>
      <c r="B316" s="464" t="s">
        <v>23</v>
      </c>
      <c r="C316" s="465" t="s">
        <v>1143</v>
      </c>
      <c r="D316" s="348" t="s">
        <v>1220</v>
      </c>
      <c r="E316" s="467">
        <f>'Ref-ComSources'!$AB$8*('Ref-ComSources'!$D$63+'Ref-ComSources'!$E$63)</f>
        <v>446.00405151407574</v>
      </c>
      <c r="F316" s="465" t="s">
        <v>27</v>
      </c>
      <c r="G316" s="468">
        <f>'Ref-2013CSSsaturationsINT'!$F$78</f>
        <v>0.90317050049758907</v>
      </c>
      <c r="H316" s="465" t="s">
        <v>66</v>
      </c>
      <c r="I316" s="469">
        <f>'Ref-2013CSSsaturationsINT'!$J$78</f>
        <v>0.77184852779052782</v>
      </c>
      <c r="J316" s="465" t="s">
        <v>1097</v>
      </c>
      <c r="K316" s="465" t="s">
        <v>1012</v>
      </c>
      <c r="L316" s="465" t="s">
        <v>15</v>
      </c>
      <c r="M316" s="465" t="s">
        <v>91</v>
      </c>
      <c r="N316" s="470">
        <f>E316*G316*'Ref-Savings Calculations'!$E$39*Applicability</f>
        <v>82.481720021364652</v>
      </c>
      <c r="O316" s="470" t="s">
        <v>870</v>
      </c>
      <c r="P316" s="470">
        <f>E316*G316*'Ref-Savings Calculations'!$E$40*Applicability</f>
        <v>70.493097925236057</v>
      </c>
      <c r="Q316" s="470" t="s">
        <v>870</v>
      </c>
      <c r="R316" s="37"/>
      <c r="S316" s="344" t="s">
        <v>44</v>
      </c>
      <c r="T316" s="344" t="s">
        <v>63</v>
      </c>
      <c r="U316" s="344" t="s">
        <v>870</v>
      </c>
      <c r="V316" s="344" t="s">
        <v>870</v>
      </c>
      <c r="W316" s="344" t="s">
        <v>103</v>
      </c>
      <c r="X316" s="37"/>
      <c r="Y316" s="37"/>
      <c r="Z316" s="465" t="s">
        <v>78</v>
      </c>
      <c r="AA316" s="465" t="s">
        <v>78</v>
      </c>
      <c r="AB316" s="37"/>
      <c r="AC316" s="474">
        <f>'Ref-ComHOU'!$G$34</f>
        <v>14.227397260273975</v>
      </c>
      <c r="AD316" s="470" t="s">
        <v>72</v>
      </c>
      <c r="AE316" s="465" t="s">
        <v>73</v>
      </c>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c r="CA316" s="393"/>
      <c r="CB316" s="393"/>
      <c r="CC316" s="393"/>
      <c r="CD316" s="393"/>
      <c r="CE316" s="393"/>
      <c r="CF316" s="393"/>
      <c r="CG316" s="393"/>
      <c r="CH316" s="393"/>
      <c r="CI316" s="393"/>
      <c r="CJ316" s="390"/>
      <c r="CK316" s="390"/>
      <c r="CL316" s="390"/>
      <c r="CM316" s="390"/>
      <c r="CN316" s="390"/>
      <c r="CO316" s="390"/>
      <c r="CP316" s="390"/>
      <c r="CQ316" s="390"/>
      <c r="CR316" s="390"/>
      <c r="CS316" s="390"/>
      <c r="CT316" s="390"/>
      <c r="CU316" s="390"/>
      <c r="CV316" s="390"/>
      <c r="CW316" s="390"/>
      <c r="CX316" s="390"/>
      <c r="CY316" s="390"/>
      <c r="CZ316" s="390"/>
      <c r="DA316" s="390"/>
      <c r="DB316" s="390"/>
      <c r="DC316" s="390"/>
    </row>
    <row r="317" spans="1:107" s="317" customFormat="1" ht="56.25">
      <c r="A317" s="37"/>
      <c r="B317" s="464" t="s">
        <v>23</v>
      </c>
      <c r="C317" s="465" t="s">
        <v>1143</v>
      </c>
      <c r="D317" s="348" t="s">
        <v>1220</v>
      </c>
      <c r="E317" s="467">
        <f>'Ref-ComSources'!$AB$8*('Ref-ComSources'!$D$63+'Ref-ComSources'!$E$63)</f>
        <v>446.00405151407574</v>
      </c>
      <c r="F317" s="465" t="s">
        <v>27</v>
      </c>
      <c r="G317" s="468">
        <f>'Ref-2013CSSsaturationsINT'!$F$78</f>
        <v>0.90317050049758907</v>
      </c>
      <c r="H317" s="465" t="s">
        <v>66</v>
      </c>
      <c r="I317" s="469">
        <f>'Ref-2013CSSsaturationsINT'!$J$78</f>
        <v>0.77184852779052782</v>
      </c>
      <c r="J317" s="465" t="s">
        <v>1097</v>
      </c>
      <c r="K317" s="465" t="s">
        <v>1012</v>
      </c>
      <c r="L317" s="465" t="s">
        <v>15</v>
      </c>
      <c r="M317" s="465" t="s">
        <v>92</v>
      </c>
      <c r="N317" s="470">
        <f>E317*G317*'Ref-Savings Calculations'!$E$39*Applicability</f>
        <v>82.481720021364652</v>
      </c>
      <c r="O317" s="470">
        <f>E317*G317*'Ref-Savings Calculations'!$C$99*Applicability*ControlShare</f>
        <v>89.543304169487115</v>
      </c>
      <c r="P317" s="470">
        <f>E317*G317*'Ref-Savings Calculations'!$E$40*Applicability</f>
        <v>70.493097925236057</v>
      </c>
      <c r="Q317" s="470">
        <f>E317*G317*('Ref-Savings Calculations'!$C$99-'Ref-Savings Calculations'!$C$124)*Applicability*ControlShare</f>
        <v>39.797024075327592</v>
      </c>
      <c r="R317" s="37"/>
      <c r="S317" s="344" t="s">
        <v>44</v>
      </c>
      <c r="T317" s="344" t="s">
        <v>63</v>
      </c>
      <c r="U317" s="344" t="s">
        <v>69</v>
      </c>
      <c r="V317" s="344" t="s">
        <v>69</v>
      </c>
      <c r="W317" s="344" t="s">
        <v>103</v>
      </c>
      <c r="X317" s="37"/>
      <c r="Y317" s="37"/>
      <c r="Z317" s="465" t="s">
        <v>78</v>
      </c>
      <c r="AA317" s="465" t="s">
        <v>78</v>
      </c>
      <c r="AB317" s="37"/>
      <c r="AC317" s="474">
        <f>'Ref-ComHOU'!$G$34</f>
        <v>14.227397260273975</v>
      </c>
      <c r="AD317" s="470" t="s">
        <v>72</v>
      </c>
      <c r="AE317" s="465" t="s">
        <v>73</v>
      </c>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c r="CA317" s="393"/>
      <c r="CB317" s="393"/>
      <c r="CC317" s="393"/>
      <c r="CD317" s="393"/>
      <c r="CE317" s="393"/>
      <c r="CF317" s="393"/>
      <c r="CG317" s="393"/>
      <c r="CH317" s="393"/>
      <c r="CI317" s="393"/>
      <c r="CJ317" s="390"/>
      <c r="CK317" s="390"/>
      <c r="CL317" s="390"/>
      <c r="CM317" s="390"/>
      <c r="CN317" s="390"/>
      <c r="CO317" s="390"/>
      <c r="CP317" s="390"/>
      <c r="CQ317" s="390"/>
      <c r="CR317" s="390"/>
      <c r="CS317" s="390"/>
      <c r="CT317" s="390"/>
      <c r="CU317" s="390"/>
      <c r="CV317" s="390"/>
      <c r="CW317" s="390"/>
      <c r="CX317" s="390"/>
      <c r="CY317" s="390"/>
      <c r="CZ317" s="390"/>
      <c r="DA317" s="390"/>
      <c r="DB317" s="390"/>
      <c r="DC317" s="390"/>
    </row>
    <row r="318" spans="1:107" s="317" customFormat="1" ht="56.25">
      <c r="A318" s="37"/>
      <c r="B318" s="464" t="s">
        <v>23</v>
      </c>
      <c r="C318" s="465" t="s">
        <v>1143</v>
      </c>
      <c r="D318" s="348" t="s">
        <v>1220</v>
      </c>
      <c r="E318" s="467">
        <f>'Ref-ComSources'!$AB$8*('Ref-ComSources'!$D$63+'Ref-ComSources'!$E$63)</f>
        <v>446.00405151407574</v>
      </c>
      <c r="F318" s="465" t="s">
        <v>27</v>
      </c>
      <c r="G318" s="468">
        <f>'Ref-2013CSSsaturationsINT'!$F$78</f>
        <v>0.90317050049758907</v>
      </c>
      <c r="H318" s="465" t="s">
        <v>66</v>
      </c>
      <c r="I318" s="469">
        <f>'Ref-2013CSSsaturationsINT'!$J$78</f>
        <v>0.77184852779052782</v>
      </c>
      <c r="J318" s="465" t="s">
        <v>1097</v>
      </c>
      <c r="K318" s="465" t="s">
        <v>1012</v>
      </c>
      <c r="L318" s="465" t="s">
        <v>15</v>
      </c>
      <c r="M318" s="465" t="s">
        <v>93</v>
      </c>
      <c r="N318" s="470">
        <f>E318*G318*'Ref-Savings Calculations'!$E$39*Applicability</f>
        <v>82.481720021364652</v>
      </c>
      <c r="O318" s="470">
        <f>E318*G318*'Ref-Savings Calculations'!$C$109*Applicability*ControlShare</f>
        <v>94.517932178903052</v>
      </c>
      <c r="P318" s="470">
        <f>E318*G318*'Ref-Savings Calculations'!$E$40*Applicability</f>
        <v>70.493097925236057</v>
      </c>
      <c r="Q318" s="470">
        <f>E318*G318*('Ref-Savings Calculations'!$C$109-'Ref-Savings Calculations'!$C$124)*Applicability*ControlShare</f>
        <v>44.771652084743558</v>
      </c>
      <c r="R318" s="37"/>
      <c r="S318" s="344" t="s">
        <v>44</v>
      </c>
      <c r="T318" s="344" t="s">
        <v>63</v>
      </c>
      <c r="U318" s="344" t="s">
        <v>44</v>
      </c>
      <c r="V318" s="344" t="s">
        <v>75</v>
      </c>
      <c r="W318" s="344" t="s">
        <v>103</v>
      </c>
      <c r="X318" s="37"/>
      <c r="Y318" s="37"/>
      <c r="Z318" s="465" t="s">
        <v>78</v>
      </c>
      <c r="AA318" s="465" t="s">
        <v>78</v>
      </c>
      <c r="AB318" s="37"/>
      <c r="AC318" s="474">
        <f>'Ref-ComHOU'!$G$34</f>
        <v>14.227397260273975</v>
      </c>
      <c r="AD318" s="470" t="s">
        <v>72</v>
      </c>
      <c r="AE318" s="465" t="s">
        <v>73</v>
      </c>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c r="CA318" s="393"/>
      <c r="CB318" s="393"/>
      <c r="CC318" s="393"/>
      <c r="CD318" s="393"/>
      <c r="CE318" s="393"/>
      <c r="CF318" s="393"/>
      <c r="CG318" s="393"/>
      <c r="CH318" s="393"/>
      <c r="CI318" s="393"/>
      <c r="CJ318" s="390"/>
      <c r="CK318" s="390"/>
      <c r="CL318" s="390"/>
      <c r="CM318" s="390"/>
      <c r="CN318" s="390"/>
      <c r="CO318" s="390"/>
      <c r="CP318" s="390"/>
      <c r="CQ318" s="390"/>
      <c r="CR318" s="390"/>
      <c r="CS318" s="390"/>
      <c r="CT318" s="390"/>
      <c r="CU318" s="390"/>
      <c r="CV318" s="390"/>
      <c r="CW318" s="390"/>
      <c r="CX318" s="390"/>
      <c r="CY318" s="390"/>
      <c r="CZ318" s="390"/>
      <c r="DA318" s="390"/>
      <c r="DB318" s="390"/>
      <c r="DC318" s="390"/>
    </row>
    <row r="319" spans="1:107" s="317" customFormat="1" ht="33.75">
      <c r="A319" s="37"/>
      <c r="B319" s="464" t="s">
        <v>23</v>
      </c>
      <c r="C319" s="465" t="s">
        <v>1143</v>
      </c>
      <c r="D319" s="348" t="s">
        <v>1220</v>
      </c>
      <c r="E319" s="467">
        <f>'Ref-ComSources'!$AB$8*('Ref-ComSources'!$D$63+'Ref-ComSources'!$E$63)</f>
        <v>446.00405151407574</v>
      </c>
      <c r="F319" s="465" t="s">
        <v>24</v>
      </c>
      <c r="G319" s="468">
        <f>'Ref-2013CSSsaturationsINT'!$F$81</f>
        <v>5.3571042663613136E-2</v>
      </c>
      <c r="H319" s="465" t="s">
        <v>66</v>
      </c>
      <c r="I319" s="469">
        <f>'Ref-2013CSSsaturationsINT'!$J$81</f>
        <v>0.9936372702650047</v>
      </c>
      <c r="J319" s="465" t="s">
        <v>25</v>
      </c>
      <c r="K319" s="465" t="s">
        <v>1012</v>
      </c>
      <c r="L319" s="465" t="s">
        <v>95</v>
      </c>
      <c r="M319" s="465" t="s">
        <v>88</v>
      </c>
      <c r="N319" s="470">
        <f>E319*G319*'Ref-Savings Calculations'!$E$11*Applicability</f>
        <v>15.928601381203244</v>
      </c>
      <c r="O319" s="470">
        <f>E319*G319*'Ref-Savings Calculations'!$C$54*Applicability*ControlShare</f>
        <v>4.5582485747207535</v>
      </c>
      <c r="P319" s="470">
        <f>rMarketSolutions[[#This Row],[Lighting Savings
(lamp and/or ballast)]]</f>
        <v>15.928601381203244</v>
      </c>
      <c r="Q319" s="470">
        <f>E319*G319*('Ref-Savings Calculations'!$C$54-'Ref-Savings Calculations'!$C$124)*Applicability*ControlShare</f>
        <v>0.75970809578679188</v>
      </c>
      <c r="R319" s="37"/>
      <c r="S319" s="344" t="s">
        <v>44</v>
      </c>
      <c r="T319" s="344" t="s">
        <v>63</v>
      </c>
      <c r="U319" s="344" t="s">
        <v>69</v>
      </c>
      <c r="V319" s="344" t="s">
        <v>69</v>
      </c>
      <c r="W319" s="344" t="s">
        <v>103</v>
      </c>
      <c r="X319" s="37"/>
      <c r="Y319" s="37"/>
      <c r="Z319" s="465" t="s">
        <v>78</v>
      </c>
      <c r="AA319" s="465" t="s">
        <v>78</v>
      </c>
      <c r="AB319" s="37"/>
      <c r="AC319" s="474">
        <f>'Ref-ComHOU'!$G$34</f>
        <v>14.227397260273975</v>
      </c>
      <c r="AD319" s="470" t="s">
        <v>72</v>
      </c>
      <c r="AE319" s="465" t="s">
        <v>73</v>
      </c>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c r="CA319" s="393"/>
      <c r="CB319" s="393"/>
      <c r="CC319" s="393"/>
      <c r="CD319" s="393"/>
      <c r="CE319" s="393"/>
      <c r="CF319" s="393"/>
      <c r="CG319" s="393"/>
      <c r="CH319" s="393"/>
      <c r="CI319" s="393"/>
      <c r="CJ319" s="390"/>
      <c r="CK319" s="390"/>
      <c r="CL319" s="390"/>
      <c r="CM319" s="390"/>
      <c r="CN319" s="390"/>
      <c r="CO319" s="390"/>
      <c r="CP319" s="390"/>
      <c r="CQ319" s="390"/>
      <c r="CR319" s="390"/>
      <c r="CS319" s="390"/>
      <c r="CT319" s="390"/>
      <c r="CU319" s="390"/>
      <c r="CV319" s="390"/>
      <c r="CW319" s="390"/>
      <c r="CX319" s="390"/>
      <c r="CY319" s="390"/>
      <c r="CZ319" s="390"/>
      <c r="DA319" s="390"/>
      <c r="DB319" s="390"/>
      <c r="DC319" s="390"/>
    </row>
    <row r="320" spans="1:107" s="317" customFormat="1" ht="33.75">
      <c r="A320" s="37"/>
      <c r="B320" s="464" t="s">
        <v>23</v>
      </c>
      <c r="C320" s="465" t="s">
        <v>1143</v>
      </c>
      <c r="D320" s="348" t="s">
        <v>1220</v>
      </c>
      <c r="E320" s="467">
        <f>'Ref-ComSources'!$AB$8*('Ref-ComSources'!$D$63+'Ref-ComSources'!$E$63)</f>
        <v>446.00405151407574</v>
      </c>
      <c r="F320" s="465" t="s">
        <v>24</v>
      </c>
      <c r="G320" s="468">
        <f>'Ref-2013CSSsaturationsINT'!$F$81</f>
        <v>5.3571042663613136E-2</v>
      </c>
      <c r="H320" s="465" t="s">
        <v>66</v>
      </c>
      <c r="I320" s="469">
        <f>'Ref-2013CSSsaturationsINT'!$J$81</f>
        <v>0.9936372702650047</v>
      </c>
      <c r="J320" s="465" t="s">
        <v>25</v>
      </c>
      <c r="K320" s="465" t="s">
        <v>1012</v>
      </c>
      <c r="L320" s="465" t="s">
        <v>95</v>
      </c>
      <c r="M320" s="465" t="s">
        <v>90</v>
      </c>
      <c r="N320" s="470">
        <f>E320*G320*'Ref-Savings Calculations'!$E$11*Applicability</f>
        <v>15.928601381203244</v>
      </c>
      <c r="O320" s="470">
        <f>E319*G319*'Ref-Savings Calculations'!$C$77*Applicability*ControlShare</f>
        <v>5.3179566705075469</v>
      </c>
      <c r="P320" s="470">
        <f>rMarketSolutions[[#This Row],[Lighting Savings
(lamp and/or ballast)]]</f>
        <v>15.928601381203244</v>
      </c>
      <c r="Q320" s="470">
        <f>E319*G319*('Ref-Savings Calculations'!$C$77-'Ref-Savings Calculations'!$C$124)*Applicability*ControlShare</f>
        <v>1.5194161915735849</v>
      </c>
      <c r="R320" s="37"/>
      <c r="S320" s="344" t="s">
        <v>44</v>
      </c>
      <c r="T320" s="344" t="s">
        <v>63</v>
      </c>
      <c r="U320" s="344" t="s">
        <v>69</v>
      </c>
      <c r="V320" s="344" t="s">
        <v>69</v>
      </c>
      <c r="W320" s="344" t="s">
        <v>103</v>
      </c>
      <c r="X320" s="37"/>
      <c r="Y320" s="37"/>
      <c r="Z320" s="465" t="s">
        <v>78</v>
      </c>
      <c r="AA320" s="465" t="s">
        <v>78</v>
      </c>
      <c r="AB320" s="37"/>
      <c r="AC320" s="474">
        <f>'Ref-ComHOU'!$G$34</f>
        <v>14.227397260273975</v>
      </c>
      <c r="AD320" s="470" t="s">
        <v>72</v>
      </c>
      <c r="AE320" s="465" t="s">
        <v>73</v>
      </c>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c r="CA320" s="393"/>
      <c r="CB320" s="393"/>
      <c r="CC320" s="393"/>
      <c r="CD320" s="393"/>
      <c r="CE320" s="393"/>
      <c r="CF320" s="393"/>
      <c r="CG320" s="393"/>
      <c r="CH320" s="393"/>
      <c r="CI320" s="393"/>
      <c r="CJ320" s="390"/>
      <c r="CK320" s="390"/>
      <c r="CL320" s="390"/>
      <c r="CM320" s="390"/>
      <c r="CN320" s="390"/>
      <c r="CO320" s="390"/>
      <c r="CP320" s="390"/>
      <c r="CQ320" s="390"/>
      <c r="CR320" s="390"/>
      <c r="CS320" s="390"/>
      <c r="CT320" s="390"/>
      <c r="CU320" s="390"/>
      <c r="CV320" s="390"/>
      <c r="CW320" s="390"/>
      <c r="CX320" s="390"/>
      <c r="CY320" s="390"/>
      <c r="CZ320" s="390"/>
      <c r="DA320" s="390"/>
      <c r="DB320" s="390"/>
      <c r="DC320" s="390"/>
    </row>
    <row r="321" spans="1:107" s="317" customFormat="1" ht="33.75">
      <c r="A321" s="37"/>
      <c r="B321" s="464" t="s">
        <v>23</v>
      </c>
      <c r="C321" s="465" t="s">
        <v>1143</v>
      </c>
      <c r="D321" s="348" t="s">
        <v>1220</v>
      </c>
      <c r="E321" s="467">
        <f>'Ref-ComSources'!$AB$8*('Ref-ComSources'!$D$63+'Ref-ComSources'!$E$63)</f>
        <v>446.00405151407574</v>
      </c>
      <c r="F321" s="465" t="s">
        <v>24</v>
      </c>
      <c r="G321" s="468">
        <f>'Ref-2013CSSsaturationsINT'!$F$81</f>
        <v>5.3571042663613136E-2</v>
      </c>
      <c r="H321" s="465" t="s">
        <v>66</v>
      </c>
      <c r="I321" s="469">
        <f>'Ref-2013CSSsaturationsINT'!$J$81</f>
        <v>0.9936372702650047</v>
      </c>
      <c r="J321" s="465" t="s">
        <v>25</v>
      </c>
      <c r="K321" s="465" t="s">
        <v>1012</v>
      </c>
      <c r="L321" s="465" t="s">
        <v>95</v>
      </c>
      <c r="M321" s="465" t="s">
        <v>91</v>
      </c>
      <c r="N321" s="470">
        <f>E321*G321*'Ref-Savings Calculations'!$E$11*Applicability</f>
        <v>15.928601381203244</v>
      </c>
      <c r="O321" s="470" t="s">
        <v>870</v>
      </c>
      <c r="P321" s="470">
        <f>rMarketSolutions[[#This Row],[Lighting Savings
(lamp and/or ballast)]]</f>
        <v>15.928601381203244</v>
      </c>
      <c r="Q321" s="470" t="s">
        <v>870</v>
      </c>
      <c r="R321" s="37"/>
      <c r="S321" s="344" t="s">
        <v>44</v>
      </c>
      <c r="T321" s="344" t="s">
        <v>63</v>
      </c>
      <c r="U321" s="344" t="s">
        <v>870</v>
      </c>
      <c r="V321" s="344" t="s">
        <v>870</v>
      </c>
      <c r="W321" s="344" t="s">
        <v>103</v>
      </c>
      <c r="X321" s="37"/>
      <c r="Y321" s="37"/>
      <c r="Z321" s="465" t="s">
        <v>78</v>
      </c>
      <c r="AA321" s="465" t="s">
        <v>78</v>
      </c>
      <c r="AB321" s="37"/>
      <c r="AC321" s="474">
        <f>'Ref-ComHOU'!$G$34</f>
        <v>14.227397260273975</v>
      </c>
      <c r="AD321" s="470" t="s">
        <v>72</v>
      </c>
      <c r="AE321" s="465" t="s">
        <v>73</v>
      </c>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c r="CA321" s="393"/>
      <c r="CB321" s="393"/>
      <c r="CC321" s="393"/>
      <c r="CD321" s="393"/>
      <c r="CE321" s="393"/>
      <c r="CF321" s="393"/>
      <c r="CG321" s="393"/>
      <c r="CH321" s="393"/>
      <c r="CI321" s="393"/>
      <c r="CJ321" s="390"/>
      <c r="CK321" s="390"/>
      <c r="CL321" s="390"/>
      <c r="CM321" s="390"/>
      <c r="CN321" s="390"/>
      <c r="CO321" s="390"/>
      <c r="CP321" s="390"/>
      <c r="CQ321" s="390"/>
      <c r="CR321" s="390"/>
      <c r="CS321" s="390"/>
      <c r="CT321" s="390"/>
      <c r="CU321" s="390"/>
      <c r="CV321" s="390"/>
      <c r="CW321" s="390"/>
      <c r="CX321" s="390"/>
      <c r="CY321" s="390"/>
      <c r="CZ321" s="390"/>
      <c r="DA321" s="390"/>
      <c r="DB321" s="390"/>
      <c r="DC321" s="390"/>
    </row>
    <row r="322" spans="1:107" s="317" customFormat="1" ht="33.75">
      <c r="A322" s="37"/>
      <c r="B322" s="464" t="s">
        <v>23</v>
      </c>
      <c r="C322" s="465" t="s">
        <v>1143</v>
      </c>
      <c r="D322" s="348" t="s">
        <v>1220</v>
      </c>
      <c r="E322" s="467">
        <f>'Ref-ComSources'!$AB$8*('Ref-ComSources'!$D$63+'Ref-ComSources'!$E$63)</f>
        <v>446.00405151407574</v>
      </c>
      <c r="F322" s="465" t="s">
        <v>24</v>
      </c>
      <c r="G322" s="468">
        <f>'Ref-2013CSSsaturationsINT'!$F$81</f>
        <v>5.3571042663613136E-2</v>
      </c>
      <c r="H322" s="465" t="s">
        <v>66</v>
      </c>
      <c r="I322" s="469">
        <f>'Ref-2013CSSsaturationsINT'!$J$81</f>
        <v>0.9936372702650047</v>
      </c>
      <c r="J322" s="465" t="s">
        <v>25</v>
      </c>
      <c r="K322" s="465" t="s">
        <v>1012</v>
      </c>
      <c r="L322" s="465" t="s">
        <v>95</v>
      </c>
      <c r="M322" s="465" t="s">
        <v>92</v>
      </c>
      <c r="N322" s="470">
        <f>E322*G322*'Ref-Savings Calculations'!$E$11*Applicability</f>
        <v>15.928601381203244</v>
      </c>
      <c r="O322" s="470">
        <f>E321*G321*'Ref-Savings Calculations'!$C$99*Applicability*ControlShare</f>
        <v>6.8373728620811312</v>
      </c>
      <c r="P322" s="470">
        <f>rMarketSolutions[[#This Row],[Lighting Savings
(lamp and/or ballast)]]</f>
        <v>15.928601381203244</v>
      </c>
      <c r="Q322" s="470">
        <f>E321*G321*('Ref-Savings Calculations'!$C$99-'Ref-Savings Calculations'!$C$124)*Applicability*ControlShare</f>
        <v>3.0388323831471689</v>
      </c>
      <c r="R322" s="37"/>
      <c r="S322" s="344" t="s">
        <v>44</v>
      </c>
      <c r="T322" s="344" t="s">
        <v>63</v>
      </c>
      <c r="U322" s="344" t="s">
        <v>69</v>
      </c>
      <c r="V322" s="344" t="s">
        <v>69</v>
      </c>
      <c r="W322" s="344" t="s">
        <v>103</v>
      </c>
      <c r="X322" s="37"/>
      <c r="Y322" s="37"/>
      <c r="Z322" s="465" t="s">
        <v>78</v>
      </c>
      <c r="AA322" s="465" t="s">
        <v>78</v>
      </c>
      <c r="AB322" s="37"/>
      <c r="AC322" s="474">
        <f>'Ref-ComHOU'!$G$34</f>
        <v>14.227397260273975</v>
      </c>
      <c r="AD322" s="470" t="s">
        <v>72</v>
      </c>
      <c r="AE322" s="465" t="s">
        <v>73</v>
      </c>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c r="CA322" s="393"/>
      <c r="CB322" s="393"/>
      <c r="CC322" s="393"/>
      <c r="CD322" s="393"/>
      <c r="CE322" s="393"/>
      <c r="CF322" s="393"/>
      <c r="CG322" s="393"/>
      <c r="CH322" s="393"/>
      <c r="CI322" s="393"/>
      <c r="CJ322" s="390"/>
      <c r="CK322" s="390"/>
      <c r="CL322" s="390"/>
      <c r="CM322" s="390"/>
      <c r="CN322" s="390"/>
      <c r="CO322" s="390"/>
      <c r="CP322" s="390"/>
      <c r="CQ322" s="390"/>
      <c r="CR322" s="390"/>
      <c r="CS322" s="390"/>
      <c r="CT322" s="390"/>
      <c r="CU322" s="390"/>
      <c r="CV322" s="390"/>
      <c r="CW322" s="390"/>
      <c r="CX322" s="390"/>
      <c r="CY322" s="390"/>
      <c r="CZ322" s="390"/>
      <c r="DA322" s="390"/>
      <c r="DB322" s="390"/>
      <c r="DC322" s="390"/>
    </row>
    <row r="323" spans="1:107" s="317" customFormat="1" ht="33.75">
      <c r="A323" s="37"/>
      <c r="B323" s="464" t="s">
        <v>23</v>
      </c>
      <c r="C323" s="465" t="s">
        <v>1143</v>
      </c>
      <c r="D323" s="348" t="s">
        <v>1220</v>
      </c>
      <c r="E323" s="467">
        <f>'Ref-ComSources'!$AB$8*('Ref-ComSources'!$D$63+'Ref-ComSources'!$E$63)</f>
        <v>446.00405151407574</v>
      </c>
      <c r="F323" s="465" t="s">
        <v>24</v>
      </c>
      <c r="G323" s="468">
        <f>'Ref-2013CSSsaturationsINT'!$F$81</f>
        <v>5.3571042663613136E-2</v>
      </c>
      <c r="H323" s="465" t="s">
        <v>66</v>
      </c>
      <c r="I323" s="469">
        <f>'Ref-2013CSSsaturationsINT'!$J$81</f>
        <v>0.9936372702650047</v>
      </c>
      <c r="J323" s="465" t="s">
        <v>25</v>
      </c>
      <c r="K323" s="465" t="s">
        <v>1012</v>
      </c>
      <c r="L323" s="465" t="s">
        <v>95</v>
      </c>
      <c r="M323" s="465" t="s">
        <v>93</v>
      </c>
      <c r="N323" s="470">
        <f>E323*G323*'Ref-Savings Calculations'!$E$11*Applicability</f>
        <v>15.928601381203244</v>
      </c>
      <c r="O323" s="470">
        <f>E322*G322*'Ref-Savings Calculations'!$C$109*Applicability*ControlShare</f>
        <v>7.217226909974527</v>
      </c>
      <c r="P323" s="470">
        <f>rMarketSolutions[[#This Row],[Lighting Savings
(lamp and/or ballast)]]</f>
        <v>15.928601381203244</v>
      </c>
      <c r="Q323" s="470">
        <f>E322*G322*('Ref-Savings Calculations'!$C$109-'Ref-Savings Calculations'!$C$124)*Applicability*ControlShare</f>
        <v>3.4186864310405656</v>
      </c>
      <c r="R323" s="37"/>
      <c r="S323" s="344" t="s">
        <v>44</v>
      </c>
      <c r="T323" s="344" t="s">
        <v>63</v>
      </c>
      <c r="U323" s="344" t="s">
        <v>44</v>
      </c>
      <c r="V323" s="344" t="s">
        <v>75</v>
      </c>
      <c r="W323" s="344" t="s">
        <v>103</v>
      </c>
      <c r="X323" s="37"/>
      <c r="Y323" s="37"/>
      <c r="Z323" s="465" t="s">
        <v>78</v>
      </c>
      <c r="AA323" s="465" t="s">
        <v>78</v>
      </c>
      <c r="AB323" s="37"/>
      <c r="AC323" s="474">
        <f>'Ref-ComHOU'!$G$34</f>
        <v>14.227397260273975</v>
      </c>
      <c r="AD323" s="470" t="s">
        <v>72</v>
      </c>
      <c r="AE323" s="465" t="s">
        <v>73</v>
      </c>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c r="CA323" s="393"/>
      <c r="CB323" s="393"/>
      <c r="CC323" s="393"/>
      <c r="CD323" s="393"/>
      <c r="CE323" s="393"/>
      <c r="CF323" s="393"/>
      <c r="CG323" s="393"/>
      <c r="CH323" s="393"/>
      <c r="CI323" s="393"/>
      <c r="CJ323" s="390"/>
      <c r="CK323" s="390"/>
      <c r="CL323" s="390"/>
      <c r="CM323" s="390"/>
      <c r="CN323" s="390"/>
      <c r="CO323" s="390"/>
      <c r="CP323" s="390"/>
      <c r="CQ323" s="390"/>
      <c r="CR323" s="390"/>
      <c r="CS323" s="390"/>
      <c r="CT323" s="390"/>
      <c r="CU323" s="390"/>
      <c r="CV323" s="390"/>
      <c r="CW323" s="390"/>
      <c r="CX323" s="390"/>
      <c r="CY323" s="390"/>
      <c r="CZ323" s="390"/>
      <c r="DA323" s="390"/>
      <c r="DB323" s="390"/>
      <c r="DC323" s="390"/>
    </row>
    <row r="324" spans="1:107" s="303" customFormat="1" ht="33.75">
      <c r="A324" s="37"/>
      <c r="B324" s="318" t="s">
        <v>23</v>
      </c>
      <c r="C324" s="329" t="s">
        <v>1223</v>
      </c>
      <c r="D324" s="329" t="s">
        <v>1220</v>
      </c>
      <c r="E324" s="330">
        <f>'Ref-ComSources'!$AB$16</f>
        <v>847.73737352200237</v>
      </c>
      <c r="F324" s="329" t="s">
        <v>24</v>
      </c>
      <c r="G324" s="385">
        <f>1-('Ref-ComSources'!$D$62/SUM('Ref-ComSources'!$D$62:$E$62))</f>
        <v>9.7207859358841797E-2</v>
      </c>
      <c r="H324" s="329" t="s">
        <v>66</v>
      </c>
      <c r="I324" s="385">
        <f>AVERAGE('Ref-BaselineControls'!$J$17:$J$18)</f>
        <v>0.85000000000000009</v>
      </c>
      <c r="J324" s="329" t="s">
        <v>25</v>
      </c>
      <c r="K324" s="329" t="s">
        <v>1012</v>
      </c>
      <c r="L324" s="329" t="s">
        <v>95</v>
      </c>
      <c r="M324" s="329" t="s">
        <v>88</v>
      </c>
      <c r="N324" s="327">
        <f>E324*G324*'Ref-Savings Calculations'!$E$7*Applicability</f>
        <v>15.213551146811216</v>
      </c>
      <c r="O324" s="327">
        <f>E324*G324*'Ref-Savings Calculations'!$C$54*Applicability*ControlShare</f>
        <v>13.448779213781114</v>
      </c>
      <c r="P324" s="327">
        <f>rMarketSolutions[[#This Row],[Lighting Savings
(lamp and/or ballast)]]</f>
        <v>15.213551146811216</v>
      </c>
      <c r="Q324" s="327">
        <f>E324*G324*('Ref-Savings Calculations'!$C$54-'Ref-Savings Calculations'!$C$124)*Applicability*ControlShare</f>
        <v>2.2414632022968513</v>
      </c>
      <c r="R324" s="37"/>
      <c r="S324" s="328" t="s">
        <v>80</v>
      </c>
      <c r="T324" s="328" t="s">
        <v>44</v>
      </c>
      <c r="U324" s="328" t="s">
        <v>69</v>
      </c>
      <c r="V324" s="328" t="s">
        <v>69</v>
      </c>
      <c r="W324" s="328" t="s">
        <v>103</v>
      </c>
      <c r="X324" s="37"/>
      <c r="Y324" s="37"/>
      <c r="Z324" s="328" t="s">
        <v>78</v>
      </c>
      <c r="AA324" s="328" t="s">
        <v>78</v>
      </c>
      <c r="AB324" s="37"/>
      <c r="AC324" s="331">
        <f>'Ref-ComHOU'!$G$34</f>
        <v>14.227397260273975</v>
      </c>
      <c r="AD324" s="331" t="s">
        <v>72</v>
      </c>
      <c r="AE324" s="328" t="s">
        <v>73</v>
      </c>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c r="CA324" s="393"/>
      <c r="CB324" s="393"/>
      <c r="CC324" s="393"/>
      <c r="CD324" s="393"/>
      <c r="CE324" s="393"/>
      <c r="CF324" s="393"/>
      <c r="CG324" s="393"/>
      <c r="CH324" s="393"/>
      <c r="CI324" s="393"/>
      <c r="CJ324" s="390"/>
      <c r="CK324" s="390"/>
      <c r="CL324" s="390"/>
      <c r="CM324" s="390"/>
      <c r="CN324" s="390"/>
      <c r="CO324" s="390"/>
      <c r="CP324" s="390"/>
      <c r="CQ324" s="390"/>
      <c r="CR324" s="390"/>
      <c r="CS324" s="390"/>
      <c r="CT324" s="390"/>
      <c r="CU324" s="390"/>
      <c r="CV324" s="390"/>
      <c r="CW324" s="390"/>
      <c r="CX324" s="390"/>
      <c r="CY324" s="390"/>
      <c r="CZ324" s="390"/>
      <c r="DA324" s="390"/>
      <c r="DB324" s="390"/>
      <c r="DC324" s="390"/>
    </row>
    <row r="325" spans="1:107" s="303" customFormat="1" ht="33.75">
      <c r="A325" s="37"/>
      <c r="B325" s="318" t="s">
        <v>23</v>
      </c>
      <c r="C325" s="329" t="s">
        <v>1223</v>
      </c>
      <c r="D325" s="329" t="s">
        <v>1220</v>
      </c>
      <c r="E325" s="330">
        <f>'Ref-ComSources'!$AB$16</f>
        <v>847.73737352200237</v>
      </c>
      <c r="F325" s="329" t="s">
        <v>24</v>
      </c>
      <c r="G325" s="385">
        <f>1-('Ref-ComSources'!$D$62/SUM('Ref-ComSources'!$D$62:$E$62))</f>
        <v>9.7207859358841797E-2</v>
      </c>
      <c r="H325" s="329" t="s">
        <v>66</v>
      </c>
      <c r="I325" s="385">
        <f>AVERAGE('Ref-BaselineControls'!$J$17:$J$18)</f>
        <v>0.85000000000000009</v>
      </c>
      <c r="J325" s="329" t="s">
        <v>25</v>
      </c>
      <c r="K325" s="329" t="s">
        <v>1012</v>
      </c>
      <c r="L325" s="329" t="s">
        <v>95</v>
      </c>
      <c r="M325" s="329" t="s">
        <v>90</v>
      </c>
      <c r="N325" s="327">
        <f>E325*G325*'Ref-Savings Calculations'!$E$7*Applicability</f>
        <v>15.213551146811216</v>
      </c>
      <c r="O325" s="327">
        <f>E325*G325*'Ref-Savings Calculations'!$C$77*Applicability*ControlShare</f>
        <v>15.69024241607797</v>
      </c>
      <c r="P325" s="327">
        <f>rMarketSolutions[[#This Row],[Lighting Savings
(lamp and/or ballast)]]</f>
        <v>15.213551146811216</v>
      </c>
      <c r="Q325" s="327">
        <f>E325*G325*('Ref-Savings Calculations'!$C$77-'Ref-Savings Calculations'!$C$124)*Applicability*ControlShare</f>
        <v>4.4829264045937061</v>
      </c>
      <c r="R325" s="37"/>
      <c r="S325" s="328" t="s">
        <v>80</v>
      </c>
      <c r="T325" s="328" t="s">
        <v>44</v>
      </c>
      <c r="U325" s="328" t="s">
        <v>69</v>
      </c>
      <c r="V325" s="328" t="s">
        <v>69</v>
      </c>
      <c r="W325" s="328" t="s">
        <v>103</v>
      </c>
      <c r="X325" s="37"/>
      <c r="Y325" s="37"/>
      <c r="Z325" s="328" t="s">
        <v>78</v>
      </c>
      <c r="AA325" s="328" t="s">
        <v>78</v>
      </c>
      <c r="AB325" s="37"/>
      <c r="AC325" s="331">
        <f>'Ref-ComHOU'!$G$34</f>
        <v>14.227397260273975</v>
      </c>
      <c r="AD325" s="331" t="s">
        <v>72</v>
      </c>
      <c r="AE325" s="328" t="s">
        <v>73</v>
      </c>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c r="CA325" s="393"/>
      <c r="CB325" s="393"/>
      <c r="CC325" s="393"/>
      <c r="CD325" s="393"/>
      <c r="CE325" s="393"/>
      <c r="CF325" s="393"/>
      <c r="CG325" s="393"/>
      <c r="CH325" s="393"/>
      <c r="CI325" s="393"/>
      <c r="CJ325" s="390"/>
      <c r="CK325" s="390"/>
      <c r="CL325" s="390"/>
      <c r="CM325" s="390"/>
      <c r="CN325" s="390"/>
      <c r="CO325" s="390"/>
      <c r="CP325" s="390"/>
      <c r="CQ325" s="390"/>
      <c r="CR325" s="390"/>
      <c r="CS325" s="390"/>
      <c r="CT325" s="390"/>
      <c r="CU325" s="390"/>
      <c r="CV325" s="390"/>
      <c r="CW325" s="390"/>
      <c r="CX325" s="390"/>
      <c r="CY325" s="390"/>
      <c r="CZ325" s="390"/>
      <c r="DA325" s="390"/>
      <c r="DB325" s="390"/>
      <c r="DC325" s="390"/>
    </row>
    <row r="326" spans="1:107" s="303" customFormat="1" ht="33.75">
      <c r="A326" s="37"/>
      <c r="B326" s="318" t="s">
        <v>23</v>
      </c>
      <c r="C326" s="329" t="s">
        <v>1223</v>
      </c>
      <c r="D326" s="329" t="s">
        <v>1220</v>
      </c>
      <c r="E326" s="330">
        <f>'Ref-ComSources'!$AB$16</f>
        <v>847.73737352200237</v>
      </c>
      <c r="F326" s="329" t="s">
        <v>24</v>
      </c>
      <c r="G326" s="385">
        <f>1-('Ref-ComSources'!$D$62/SUM('Ref-ComSources'!$D$62:$E$62))</f>
        <v>9.7207859358841797E-2</v>
      </c>
      <c r="H326" s="329" t="s">
        <v>66</v>
      </c>
      <c r="I326" s="385">
        <f>AVERAGE('Ref-BaselineControls'!$J$17:$J$18)</f>
        <v>0.85000000000000009</v>
      </c>
      <c r="J326" s="329" t="s">
        <v>25</v>
      </c>
      <c r="K326" s="329" t="s">
        <v>1012</v>
      </c>
      <c r="L326" s="329" t="s">
        <v>95</v>
      </c>
      <c r="M326" s="329" t="s">
        <v>91</v>
      </c>
      <c r="N326" s="327">
        <f>E326*G326*'Ref-Savings Calculations'!$E$7*Applicability</f>
        <v>15.213551146811216</v>
      </c>
      <c r="O326" s="327" t="s">
        <v>870</v>
      </c>
      <c r="P326" s="327">
        <f>rMarketSolutions[[#This Row],[Lighting Savings
(lamp and/or ballast)]]</f>
        <v>15.213551146811216</v>
      </c>
      <c r="Q326" s="327" t="s">
        <v>870</v>
      </c>
      <c r="R326" s="37"/>
      <c r="S326" s="328" t="s">
        <v>80</v>
      </c>
      <c r="T326" s="328" t="s">
        <v>44</v>
      </c>
      <c r="U326" s="328" t="s">
        <v>69</v>
      </c>
      <c r="V326" s="328" t="s">
        <v>69</v>
      </c>
      <c r="W326" s="328" t="s">
        <v>103</v>
      </c>
      <c r="X326" s="37"/>
      <c r="Y326" s="37"/>
      <c r="Z326" s="328" t="s">
        <v>78</v>
      </c>
      <c r="AA326" s="328" t="s">
        <v>78</v>
      </c>
      <c r="AB326" s="37"/>
      <c r="AC326" s="331">
        <f>'Ref-ComHOU'!$G$34</f>
        <v>14.227397260273975</v>
      </c>
      <c r="AD326" s="331" t="s">
        <v>72</v>
      </c>
      <c r="AE326" s="328" t="s">
        <v>73</v>
      </c>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c r="CA326" s="393"/>
      <c r="CB326" s="393"/>
      <c r="CC326" s="393"/>
      <c r="CD326" s="393"/>
      <c r="CE326" s="393"/>
      <c r="CF326" s="393"/>
      <c r="CG326" s="393"/>
      <c r="CH326" s="393"/>
      <c r="CI326" s="393"/>
      <c r="CJ326" s="390"/>
      <c r="CK326" s="390"/>
      <c r="CL326" s="390"/>
      <c r="CM326" s="390"/>
      <c r="CN326" s="390"/>
      <c r="CO326" s="390"/>
      <c r="CP326" s="390"/>
      <c r="CQ326" s="390"/>
      <c r="CR326" s="390"/>
      <c r="CS326" s="390"/>
      <c r="CT326" s="390"/>
      <c r="CU326" s="390"/>
      <c r="CV326" s="390"/>
      <c r="CW326" s="390"/>
      <c r="CX326" s="390"/>
      <c r="CY326" s="390"/>
      <c r="CZ326" s="390"/>
      <c r="DA326" s="390"/>
      <c r="DB326" s="390"/>
      <c r="DC326" s="390"/>
    </row>
    <row r="327" spans="1:107" s="303" customFormat="1" ht="33.75">
      <c r="A327" s="37"/>
      <c r="B327" s="318" t="s">
        <v>23</v>
      </c>
      <c r="C327" s="329" t="s">
        <v>1223</v>
      </c>
      <c r="D327" s="329" t="s">
        <v>1220</v>
      </c>
      <c r="E327" s="330">
        <f>'Ref-ComSources'!$AB$16</f>
        <v>847.73737352200237</v>
      </c>
      <c r="F327" s="329" t="s">
        <v>24</v>
      </c>
      <c r="G327" s="385">
        <f>1-('Ref-ComSources'!$D$62/SUM('Ref-ComSources'!$D$62:$E$62))</f>
        <v>9.7207859358841797E-2</v>
      </c>
      <c r="H327" s="329" t="s">
        <v>66</v>
      </c>
      <c r="I327" s="385">
        <f>AVERAGE('Ref-BaselineControls'!$J$17:$J$18)</f>
        <v>0.85000000000000009</v>
      </c>
      <c r="J327" s="329" t="s">
        <v>25</v>
      </c>
      <c r="K327" s="329" t="s">
        <v>1012</v>
      </c>
      <c r="L327" s="329" t="s">
        <v>95</v>
      </c>
      <c r="M327" s="329" t="s">
        <v>92</v>
      </c>
      <c r="N327" s="327">
        <f>E327*G327*'Ref-Savings Calculations'!$E$7*Applicability</f>
        <v>15.213551146811216</v>
      </c>
      <c r="O327" s="327">
        <f>E327*G327*'Ref-Savings Calculations'!$C$99*Applicability*ControlShare</f>
        <v>20.17316882067167</v>
      </c>
      <c r="P327" s="327">
        <f>rMarketSolutions[[#This Row],[Lighting Savings
(lamp and/or ballast)]]</f>
        <v>15.213551146811216</v>
      </c>
      <c r="Q327" s="327">
        <f>E327*G327*('Ref-Savings Calculations'!$C$99-'Ref-Savings Calculations'!$C$124)*Applicability*ControlShare</f>
        <v>8.9658528091874086</v>
      </c>
      <c r="R327" s="37"/>
      <c r="S327" s="328" t="s">
        <v>80</v>
      </c>
      <c r="T327" s="328" t="s">
        <v>44</v>
      </c>
      <c r="U327" s="328" t="s">
        <v>69</v>
      </c>
      <c r="V327" s="328" t="s">
        <v>69</v>
      </c>
      <c r="W327" s="328" t="s">
        <v>103</v>
      </c>
      <c r="X327" s="37"/>
      <c r="Y327" s="37"/>
      <c r="Z327" s="328" t="s">
        <v>78</v>
      </c>
      <c r="AA327" s="328" t="s">
        <v>78</v>
      </c>
      <c r="AB327" s="37"/>
      <c r="AC327" s="331">
        <f>'Ref-ComHOU'!$G$34</f>
        <v>14.227397260273975</v>
      </c>
      <c r="AD327" s="331" t="s">
        <v>72</v>
      </c>
      <c r="AE327" s="328" t="s">
        <v>73</v>
      </c>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c r="CA327" s="393"/>
      <c r="CB327" s="393"/>
      <c r="CC327" s="393"/>
      <c r="CD327" s="393"/>
      <c r="CE327" s="393"/>
      <c r="CF327" s="393"/>
      <c r="CG327" s="393"/>
      <c r="CH327" s="393"/>
      <c r="CI327" s="393"/>
      <c r="CJ327" s="390"/>
      <c r="CK327" s="390"/>
      <c r="CL327" s="390"/>
      <c r="CM327" s="390"/>
      <c r="CN327" s="390"/>
      <c r="CO327" s="390"/>
      <c r="CP327" s="390"/>
      <c r="CQ327" s="390"/>
      <c r="CR327" s="390"/>
      <c r="CS327" s="390"/>
      <c r="CT327" s="390"/>
      <c r="CU327" s="390"/>
      <c r="CV327" s="390"/>
      <c r="CW327" s="390"/>
      <c r="CX327" s="390"/>
      <c r="CY327" s="390"/>
      <c r="CZ327" s="390"/>
      <c r="DA327" s="390"/>
      <c r="DB327" s="390"/>
      <c r="DC327" s="390"/>
    </row>
    <row r="328" spans="1:107" s="303" customFormat="1" ht="33.75">
      <c r="A328" s="37"/>
      <c r="B328" s="318" t="s">
        <v>23</v>
      </c>
      <c r="C328" s="329" t="s">
        <v>1223</v>
      </c>
      <c r="D328" s="329" t="s">
        <v>1220</v>
      </c>
      <c r="E328" s="330">
        <f>'Ref-ComSources'!$AB$16</f>
        <v>847.73737352200237</v>
      </c>
      <c r="F328" s="329" t="s">
        <v>24</v>
      </c>
      <c r="G328" s="385">
        <f>1-('Ref-ComSources'!$D$62/SUM('Ref-ComSources'!$D$62:$E$62))</f>
        <v>9.7207859358841797E-2</v>
      </c>
      <c r="H328" s="329" t="s">
        <v>66</v>
      </c>
      <c r="I328" s="385">
        <f>AVERAGE('Ref-BaselineControls'!$J$17:$J$18)</f>
        <v>0.85000000000000009</v>
      </c>
      <c r="J328" s="329" t="s">
        <v>25</v>
      </c>
      <c r="K328" s="329" t="s">
        <v>1012</v>
      </c>
      <c r="L328" s="329" t="s">
        <v>95</v>
      </c>
      <c r="M328" s="329" t="s">
        <v>93</v>
      </c>
      <c r="N328" s="327">
        <f>E328*G328*'Ref-Savings Calculations'!$E$7*Applicability</f>
        <v>15.213551146811216</v>
      </c>
      <c r="O328" s="327">
        <f>E328*G328*'Ref-Savings Calculations'!$C$109*Applicability*ControlShare</f>
        <v>21.293900421820101</v>
      </c>
      <c r="P328" s="327">
        <f>rMarketSolutions[[#This Row],[Lighting Savings
(lamp and/or ballast)]]</f>
        <v>15.213551146811216</v>
      </c>
      <c r="Q328" s="327">
        <f>E328*G328*('Ref-Savings Calculations'!$C$109-'Ref-Savings Calculations'!$C$124)*Applicability*ControlShare</f>
        <v>10.086584410335835</v>
      </c>
      <c r="R328" s="37"/>
      <c r="S328" s="328" t="s">
        <v>80</v>
      </c>
      <c r="T328" s="328" t="s">
        <v>44</v>
      </c>
      <c r="U328" s="328" t="s">
        <v>44</v>
      </c>
      <c r="V328" s="328" t="s">
        <v>75</v>
      </c>
      <c r="W328" s="328" t="s">
        <v>103</v>
      </c>
      <c r="X328" s="37"/>
      <c r="Y328" s="37"/>
      <c r="Z328" s="328" t="s">
        <v>78</v>
      </c>
      <c r="AA328" s="328" t="s">
        <v>78</v>
      </c>
      <c r="AB328" s="37"/>
      <c r="AC328" s="331">
        <f>'Ref-ComHOU'!$G$34</f>
        <v>14.227397260273975</v>
      </c>
      <c r="AD328" s="331" t="s">
        <v>72</v>
      </c>
      <c r="AE328" s="328" t="s">
        <v>73</v>
      </c>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c r="CA328" s="393"/>
      <c r="CB328" s="393"/>
      <c r="CC328" s="393"/>
      <c r="CD328" s="393"/>
      <c r="CE328" s="393"/>
      <c r="CF328" s="393"/>
      <c r="CG328" s="393"/>
      <c r="CH328" s="393"/>
      <c r="CI328" s="393"/>
      <c r="CJ328" s="390"/>
      <c r="CK328" s="390"/>
      <c r="CL328" s="390"/>
      <c r="CM328" s="390"/>
      <c r="CN328" s="390"/>
      <c r="CO328" s="390"/>
      <c r="CP328" s="390"/>
      <c r="CQ328" s="390"/>
      <c r="CR328" s="390"/>
      <c r="CS328" s="390"/>
      <c r="CT328" s="390"/>
      <c r="CU328" s="390"/>
      <c r="CV328" s="390"/>
      <c r="CW328" s="390"/>
      <c r="CX328" s="390"/>
      <c r="CY328" s="390"/>
      <c r="CZ328" s="390"/>
      <c r="DA328" s="390"/>
      <c r="DB328" s="390"/>
      <c r="DC328" s="390"/>
    </row>
    <row r="329" spans="1:107" s="303" customFormat="1" ht="56.25">
      <c r="A329" s="37"/>
      <c r="B329" s="318" t="s">
        <v>23</v>
      </c>
      <c r="C329" s="329" t="s">
        <v>1223</v>
      </c>
      <c r="D329" s="329" t="s">
        <v>1220</v>
      </c>
      <c r="E329" s="330">
        <f>'Ref-ComSources'!$AB$16</f>
        <v>847.73737352200237</v>
      </c>
      <c r="F329" s="329" t="s">
        <v>27</v>
      </c>
      <c r="G329" s="340">
        <f>'Ref-ComSources'!$D$62/SUM('Ref-ComSources'!$D$62:$E$62)</f>
        <v>0.9027921406411582</v>
      </c>
      <c r="H329" s="329" t="s">
        <v>66</v>
      </c>
      <c r="I329" s="385">
        <f>AVERAGE('Ref-BaselineControls'!$J$17:$J$18)</f>
        <v>0.85000000000000009</v>
      </c>
      <c r="J329" s="329" t="s">
        <v>1097</v>
      </c>
      <c r="K329" s="329" t="s">
        <v>1012</v>
      </c>
      <c r="L329" s="329" t="s">
        <v>960</v>
      </c>
      <c r="M329" s="329" t="s">
        <v>88</v>
      </c>
      <c r="N329" s="327">
        <f>E329*G329*'Ref-Savings Calculations'!$E$33*Applicability</f>
        <v>113.03344809503142</v>
      </c>
      <c r="O329" s="327">
        <f>E329*G329*'Ref-Savings Calculations'!$C$54*Applicability*ControlShare</f>
        <v>124.9019601450097</v>
      </c>
      <c r="P329" s="327">
        <f>E329*G329*'Ref-Savings Calculations'!$E$34*Applicability</f>
        <v>97.962321682360525</v>
      </c>
      <c r="Q329" s="327">
        <f>E329*G329*('Ref-Savings Calculations'!$C$54-'Ref-Savings Calculations'!$C$124)*Applicability*ControlShare</f>
        <v>20.816993357501605</v>
      </c>
      <c r="R329" s="37"/>
      <c r="S329" s="328" t="s">
        <v>80</v>
      </c>
      <c r="T329" s="328" t="s">
        <v>69</v>
      </c>
      <c r="U329" s="328" t="s">
        <v>69</v>
      </c>
      <c r="V329" s="328" t="s">
        <v>69</v>
      </c>
      <c r="W329" s="328" t="s">
        <v>104</v>
      </c>
      <c r="X329" s="37"/>
      <c r="Y329" s="37"/>
      <c r="Z329" s="328" t="s">
        <v>78</v>
      </c>
      <c r="AA329" s="328" t="s">
        <v>78</v>
      </c>
      <c r="AB329" s="37"/>
      <c r="AC329" s="331">
        <f>'Ref-ComHOU'!$G$34</f>
        <v>14.227397260273975</v>
      </c>
      <c r="AD329" s="331" t="s">
        <v>72</v>
      </c>
      <c r="AE329" s="328" t="s">
        <v>73</v>
      </c>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c r="CA329" s="393"/>
      <c r="CB329" s="393"/>
      <c r="CC329" s="393"/>
      <c r="CD329" s="393"/>
      <c r="CE329" s="393"/>
      <c r="CF329" s="393"/>
      <c r="CG329" s="393"/>
      <c r="CH329" s="393"/>
      <c r="CI329" s="393"/>
      <c r="CJ329" s="390"/>
      <c r="CK329" s="390"/>
      <c r="CL329" s="390"/>
      <c r="CM329" s="390"/>
      <c r="CN329" s="390"/>
      <c r="CO329" s="390"/>
      <c r="CP329" s="390"/>
      <c r="CQ329" s="390"/>
      <c r="CR329" s="390"/>
      <c r="CS329" s="390"/>
      <c r="CT329" s="390"/>
      <c r="CU329" s="390"/>
      <c r="CV329" s="390"/>
      <c r="CW329" s="390"/>
      <c r="CX329" s="390"/>
      <c r="CY329" s="390"/>
      <c r="CZ329" s="390"/>
      <c r="DA329" s="390"/>
      <c r="DB329" s="390"/>
      <c r="DC329" s="390"/>
    </row>
    <row r="330" spans="1:107" s="303" customFormat="1" ht="56.25">
      <c r="A330" s="37"/>
      <c r="B330" s="318" t="s">
        <v>23</v>
      </c>
      <c r="C330" s="329" t="s">
        <v>1223</v>
      </c>
      <c r="D330" s="329" t="s">
        <v>1220</v>
      </c>
      <c r="E330" s="330">
        <f>'Ref-ComSources'!$AB$16</f>
        <v>847.73737352200237</v>
      </c>
      <c r="F330" s="329" t="s">
        <v>27</v>
      </c>
      <c r="G330" s="340">
        <f>'Ref-ComSources'!$D$62/SUM('Ref-ComSources'!$D$62:$E$62)</f>
        <v>0.9027921406411582</v>
      </c>
      <c r="H330" s="329" t="s">
        <v>66</v>
      </c>
      <c r="I330" s="385">
        <f>AVERAGE('Ref-BaselineControls'!$J$17:$J$18)</f>
        <v>0.85000000000000009</v>
      </c>
      <c r="J330" s="329" t="s">
        <v>1097</v>
      </c>
      <c r="K330" s="329" t="s">
        <v>1012</v>
      </c>
      <c r="L330" s="329" t="s">
        <v>960</v>
      </c>
      <c r="M330" s="329" t="s">
        <v>90</v>
      </c>
      <c r="N330" s="327">
        <f>E330*G330*'Ref-Savings Calculations'!$E$33*Applicability</f>
        <v>113.03344809503142</v>
      </c>
      <c r="O330" s="327">
        <f>E330*G330*'Ref-Savings Calculations'!$C$77*Applicability*ControlShare</f>
        <v>145.71895350251131</v>
      </c>
      <c r="P330" s="327">
        <f>E330*G330*'Ref-Savings Calculations'!$E$34*Applicability</f>
        <v>97.962321682360525</v>
      </c>
      <c r="Q330" s="327">
        <f>E330*G330*('Ref-Savings Calculations'!$C$77-'Ref-Savings Calculations'!$C$124)*Applicability*ControlShare</f>
        <v>41.633986715003239</v>
      </c>
      <c r="R330" s="37"/>
      <c r="S330" s="328" t="s">
        <v>80</v>
      </c>
      <c r="T330" s="328" t="s">
        <v>69</v>
      </c>
      <c r="U330" s="328" t="s">
        <v>69</v>
      </c>
      <c r="V330" s="328" t="s">
        <v>69</v>
      </c>
      <c r="W330" s="328" t="s">
        <v>104</v>
      </c>
      <c r="X330" s="37"/>
      <c r="Y330" s="37"/>
      <c r="Z330" s="328" t="s">
        <v>78</v>
      </c>
      <c r="AA330" s="328" t="s">
        <v>78</v>
      </c>
      <c r="AB330" s="37"/>
      <c r="AC330" s="331">
        <f>'Ref-ComHOU'!$G$34</f>
        <v>14.227397260273975</v>
      </c>
      <c r="AD330" s="331" t="s">
        <v>72</v>
      </c>
      <c r="AE330" s="328" t="s">
        <v>73</v>
      </c>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c r="CA330" s="393"/>
      <c r="CB330" s="393"/>
      <c r="CC330" s="393"/>
      <c r="CD330" s="393"/>
      <c r="CE330" s="393"/>
      <c r="CF330" s="393"/>
      <c r="CG330" s="393"/>
      <c r="CH330" s="393"/>
      <c r="CI330" s="393"/>
      <c r="CJ330" s="390"/>
      <c r="CK330" s="390"/>
      <c r="CL330" s="390"/>
      <c r="CM330" s="390"/>
      <c r="CN330" s="390"/>
      <c r="CO330" s="390"/>
      <c r="CP330" s="390"/>
      <c r="CQ330" s="390"/>
      <c r="CR330" s="390"/>
      <c r="CS330" s="390"/>
      <c r="CT330" s="390"/>
      <c r="CU330" s="390"/>
      <c r="CV330" s="390"/>
      <c r="CW330" s="390"/>
      <c r="CX330" s="390"/>
      <c r="CY330" s="390"/>
      <c r="CZ330" s="390"/>
      <c r="DA330" s="390"/>
      <c r="DB330" s="390"/>
      <c r="DC330" s="390"/>
    </row>
    <row r="331" spans="1:107" s="303" customFormat="1" ht="56.25">
      <c r="A331" s="37"/>
      <c r="B331" s="318" t="s">
        <v>23</v>
      </c>
      <c r="C331" s="329" t="s">
        <v>1223</v>
      </c>
      <c r="D331" s="329" t="s">
        <v>1220</v>
      </c>
      <c r="E331" s="330">
        <f>'Ref-ComSources'!$AB$16</f>
        <v>847.73737352200237</v>
      </c>
      <c r="F331" s="329" t="s">
        <v>27</v>
      </c>
      <c r="G331" s="340">
        <f>'Ref-ComSources'!$D$62/SUM('Ref-ComSources'!$D$62:$E$62)</f>
        <v>0.9027921406411582</v>
      </c>
      <c r="H331" s="329" t="s">
        <v>66</v>
      </c>
      <c r="I331" s="385">
        <f>AVERAGE('Ref-BaselineControls'!$J$17:$J$18)</f>
        <v>0.85000000000000009</v>
      </c>
      <c r="J331" s="329" t="s">
        <v>1097</v>
      </c>
      <c r="K331" s="329" t="s">
        <v>1012</v>
      </c>
      <c r="L331" s="329" t="s">
        <v>960</v>
      </c>
      <c r="M331" s="329" t="s">
        <v>91</v>
      </c>
      <c r="N331" s="327">
        <f>E331*G331*'Ref-Savings Calculations'!$E$33*Applicability</f>
        <v>113.03344809503142</v>
      </c>
      <c r="O331" s="327" t="s">
        <v>870</v>
      </c>
      <c r="P331" s="327">
        <f>E331*G331*'Ref-Savings Calculations'!$E$34*Applicability</f>
        <v>97.962321682360525</v>
      </c>
      <c r="Q331" s="327" t="s">
        <v>870</v>
      </c>
      <c r="R331" s="37"/>
      <c r="S331" s="328" t="s">
        <v>80</v>
      </c>
      <c r="T331" s="328" t="s">
        <v>69</v>
      </c>
      <c r="U331" s="328" t="s">
        <v>69</v>
      </c>
      <c r="V331" s="328" t="s">
        <v>69</v>
      </c>
      <c r="W331" s="328" t="s">
        <v>104</v>
      </c>
      <c r="X331" s="37"/>
      <c r="Y331" s="37"/>
      <c r="Z331" s="328" t="s">
        <v>78</v>
      </c>
      <c r="AA331" s="328" t="s">
        <v>78</v>
      </c>
      <c r="AB331" s="37"/>
      <c r="AC331" s="331">
        <f>'Ref-ComHOU'!$G$34</f>
        <v>14.227397260273975</v>
      </c>
      <c r="AD331" s="331" t="s">
        <v>72</v>
      </c>
      <c r="AE331" s="328" t="s">
        <v>73</v>
      </c>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c r="CA331" s="393"/>
      <c r="CB331" s="393"/>
      <c r="CC331" s="393"/>
      <c r="CD331" s="393"/>
      <c r="CE331" s="393"/>
      <c r="CF331" s="393"/>
      <c r="CG331" s="393"/>
      <c r="CH331" s="393"/>
      <c r="CI331" s="393"/>
      <c r="CJ331" s="390"/>
      <c r="CK331" s="390"/>
      <c r="CL331" s="390"/>
      <c r="CM331" s="390"/>
      <c r="CN331" s="390"/>
      <c r="CO331" s="390"/>
      <c r="CP331" s="390"/>
      <c r="CQ331" s="390"/>
      <c r="CR331" s="390"/>
      <c r="CS331" s="390"/>
      <c r="CT331" s="390"/>
      <c r="CU331" s="390"/>
      <c r="CV331" s="390"/>
      <c r="CW331" s="390"/>
      <c r="CX331" s="390"/>
      <c r="CY331" s="390"/>
      <c r="CZ331" s="390"/>
      <c r="DA331" s="390"/>
      <c r="DB331" s="390"/>
      <c r="DC331" s="390"/>
    </row>
    <row r="332" spans="1:107" s="303" customFormat="1" ht="56.25">
      <c r="A332" s="37"/>
      <c r="B332" s="318" t="s">
        <v>23</v>
      </c>
      <c r="C332" s="329" t="s">
        <v>1223</v>
      </c>
      <c r="D332" s="329" t="s">
        <v>1220</v>
      </c>
      <c r="E332" s="330">
        <f>'Ref-ComSources'!$AB$16</f>
        <v>847.73737352200237</v>
      </c>
      <c r="F332" s="329" t="s">
        <v>27</v>
      </c>
      <c r="G332" s="340">
        <f>'Ref-ComSources'!$D$62/SUM('Ref-ComSources'!$D$62:$E$62)</f>
        <v>0.9027921406411582</v>
      </c>
      <c r="H332" s="329" t="s">
        <v>66</v>
      </c>
      <c r="I332" s="385">
        <f>AVERAGE('Ref-BaselineControls'!$J$17:$J$18)</f>
        <v>0.85000000000000009</v>
      </c>
      <c r="J332" s="329" t="s">
        <v>1097</v>
      </c>
      <c r="K332" s="329" t="s">
        <v>1012</v>
      </c>
      <c r="L332" s="329" t="s">
        <v>960</v>
      </c>
      <c r="M332" s="329" t="s">
        <v>92</v>
      </c>
      <c r="N332" s="327">
        <f>E332*G332*'Ref-Savings Calculations'!$E$33*Applicability</f>
        <v>113.03344809503142</v>
      </c>
      <c r="O332" s="327">
        <f>E332*G332*'Ref-Savings Calculations'!$C$99*Applicability*ControlShare</f>
        <v>187.35294021751452</v>
      </c>
      <c r="P332" s="327">
        <f>E332*G332*'Ref-Savings Calculations'!$E$34*Applicability</f>
        <v>97.962321682360525</v>
      </c>
      <c r="Q332" s="327">
        <f>E332*G332*('Ref-Savings Calculations'!$C$99-'Ref-Savings Calculations'!$C$124)*Applicability*ControlShare</f>
        <v>83.26797343000645</v>
      </c>
      <c r="R332" s="37"/>
      <c r="S332" s="328" t="s">
        <v>80</v>
      </c>
      <c r="T332" s="328" t="s">
        <v>69</v>
      </c>
      <c r="U332" s="328" t="s">
        <v>69</v>
      </c>
      <c r="V332" s="328" t="s">
        <v>69</v>
      </c>
      <c r="W332" s="328" t="s">
        <v>104</v>
      </c>
      <c r="X332" s="37"/>
      <c r="Y332" s="37"/>
      <c r="Z332" s="328" t="s">
        <v>78</v>
      </c>
      <c r="AA332" s="328" t="s">
        <v>78</v>
      </c>
      <c r="AB332" s="37"/>
      <c r="AC332" s="331">
        <f>'Ref-ComHOU'!$G$34</f>
        <v>14.227397260273975</v>
      </c>
      <c r="AD332" s="331" t="s">
        <v>72</v>
      </c>
      <c r="AE332" s="328" t="s">
        <v>73</v>
      </c>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c r="CA332" s="393"/>
      <c r="CB332" s="393"/>
      <c r="CC332" s="393"/>
      <c r="CD332" s="393"/>
      <c r="CE332" s="393"/>
      <c r="CF332" s="393"/>
      <c r="CG332" s="393"/>
      <c r="CH332" s="393"/>
      <c r="CI332" s="393"/>
      <c r="CJ332" s="390"/>
      <c r="CK332" s="390"/>
      <c r="CL332" s="390"/>
      <c r="CM332" s="390"/>
      <c r="CN332" s="390"/>
      <c r="CO332" s="390"/>
      <c r="CP332" s="390"/>
      <c r="CQ332" s="390"/>
      <c r="CR332" s="390"/>
      <c r="CS332" s="390"/>
      <c r="CT332" s="390"/>
      <c r="CU332" s="390"/>
      <c r="CV332" s="390"/>
      <c r="CW332" s="390"/>
      <c r="CX332" s="390"/>
      <c r="CY332" s="390"/>
      <c r="CZ332" s="390"/>
      <c r="DA332" s="390"/>
      <c r="DB332" s="390"/>
      <c r="DC332" s="390"/>
    </row>
    <row r="333" spans="1:107" s="303" customFormat="1" ht="56.25">
      <c r="A333" s="37"/>
      <c r="B333" s="318" t="s">
        <v>23</v>
      </c>
      <c r="C333" s="329" t="s">
        <v>1223</v>
      </c>
      <c r="D333" s="329" t="s">
        <v>1220</v>
      </c>
      <c r="E333" s="330">
        <f>'Ref-ComSources'!$AB$16</f>
        <v>847.73737352200237</v>
      </c>
      <c r="F333" s="329" t="s">
        <v>27</v>
      </c>
      <c r="G333" s="340">
        <f>'Ref-ComSources'!$D$62/SUM('Ref-ComSources'!$D$62:$E$62)</f>
        <v>0.9027921406411582</v>
      </c>
      <c r="H333" s="329" t="s">
        <v>66</v>
      </c>
      <c r="I333" s="385">
        <f>AVERAGE('Ref-BaselineControls'!$J$17:$J$18)</f>
        <v>0.85000000000000009</v>
      </c>
      <c r="J333" s="329" t="s">
        <v>1097</v>
      </c>
      <c r="K333" s="329" t="s">
        <v>1012</v>
      </c>
      <c r="L333" s="329" t="s">
        <v>960</v>
      </c>
      <c r="M333" s="329" t="s">
        <v>93</v>
      </c>
      <c r="N333" s="327">
        <f>E333*G333*'Ref-Savings Calculations'!$E$33*Applicability</f>
        <v>113.03344809503142</v>
      </c>
      <c r="O333" s="327">
        <f>E333*G333*'Ref-Savings Calculations'!$C$109*Applicability*ControlShare</f>
        <v>197.76143689626537</v>
      </c>
      <c r="P333" s="327">
        <f>E333*G333*'Ref-Savings Calculations'!$E$34*Applicability</f>
        <v>97.962321682360525</v>
      </c>
      <c r="Q333" s="327">
        <f>E333*G333*('Ref-Savings Calculations'!$C$109-'Ref-Savings Calculations'!$C$124)*Applicability*ControlShare</f>
        <v>93.676470108757258</v>
      </c>
      <c r="R333" s="37"/>
      <c r="S333" s="328" t="s">
        <v>80</v>
      </c>
      <c r="T333" s="328" t="s">
        <v>69</v>
      </c>
      <c r="U333" s="328" t="s">
        <v>44</v>
      </c>
      <c r="V333" s="328" t="s">
        <v>75</v>
      </c>
      <c r="W333" s="328" t="s">
        <v>104</v>
      </c>
      <c r="X333" s="37"/>
      <c r="Y333" s="37"/>
      <c r="Z333" s="328" t="s">
        <v>78</v>
      </c>
      <c r="AA333" s="328" t="s">
        <v>78</v>
      </c>
      <c r="AB333" s="37"/>
      <c r="AC333" s="331">
        <f>'Ref-ComHOU'!$G$34</f>
        <v>14.227397260273975</v>
      </c>
      <c r="AD333" s="331" t="s">
        <v>72</v>
      </c>
      <c r="AE333" s="328" t="s">
        <v>73</v>
      </c>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c r="CA333" s="393"/>
      <c r="CB333" s="393"/>
      <c r="CC333" s="393"/>
      <c r="CD333" s="393"/>
      <c r="CE333" s="393"/>
      <c r="CF333" s="393"/>
      <c r="CG333" s="393"/>
      <c r="CH333" s="393"/>
      <c r="CI333" s="393"/>
      <c r="CJ333" s="390"/>
      <c r="CK333" s="390"/>
      <c r="CL333" s="390"/>
      <c r="CM333" s="390"/>
      <c r="CN333" s="390"/>
      <c r="CO333" s="390"/>
      <c r="CP333" s="390"/>
      <c r="CQ333" s="390"/>
      <c r="CR333" s="390"/>
      <c r="CS333" s="390"/>
      <c r="CT333" s="390"/>
      <c r="CU333" s="390"/>
      <c r="CV333" s="390"/>
      <c r="CW333" s="390"/>
      <c r="CX333" s="390"/>
      <c r="CY333" s="390"/>
      <c r="CZ333" s="390"/>
      <c r="DA333" s="390"/>
      <c r="DB333" s="390"/>
      <c r="DC333" s="390"/>
    </row>
    <row r="334" spans="1:107" s="303" customFormat="1" ht="56.25">
      <c r="A334" s="37"/>
      <c r="B334" s="318" t="s">
        <v>23</v>
      </c>
      <c r="C334" s="329" t="s">
        <v>1223</v>
      </c>
      <c r="D334" s="329" t="s">
        <v>1220</v>
      </c>
      <c r="E334" s="330">
        <f>'Ref-ComSources'!$AB$16</f>
        <v>847.73737352200237</v>
      </c>
      <c r="F334" s="329" t="s">
        <v>27</v>
      </c>
      <c r="G334" s="340">
        <f>'Ref-ComSources'!$D$62/SUM('Ref-ComSources'!$D$62:$E$62)</f>
        <v>0.9027921406411582</v>
      </c>
      <c r="H334" s="329" t="s">
        <v>66</v>
      </c>
      <c r="I334" s="385">
        <f>AVERAGE('Ref-BaselineControls'!$J$17:$J$18)</f>
        <v>0.85000000000000009</v>
      </c>
      <c r="J334" s="329" t="s">
        <v>1097</v>
      </c>
      <c r="K334" s="329" t="s">
        <v>1012</v>
      </c>
      <c r="L334" s="329" t="s">
        <v>15</v>
      </c>
      <c r="M334" s="329" t="s">
        <v>88</v>
      </c>
      <c r="N334" s="327">
        <f>E334*G334*'Ref-Savings Calculations'!$E$39*Applicability</f>
        <v>156.71055923889523</v>
      </c>
      <c r="O334" s="327">
        <f>E334*G334*'Ref-Savings Calculations'!$C$54*Applicability*ControlShare</f>
        <v>124.9019601450097</v>
      </c>
      <c r="P334" s="327">
        <f>E334*G334*'Ref-Savings Calculations'!$E$40*Applicability</f>
        <v>133.93286167510232</v>
      </c>
      <c r="Q334" s="327">
        <f>E334*G334*('Ref-Savings Calculations'!$C$54-'Ref-Savings Calculations'!$C$124)*Applicability*ControlShare</f>
        <v>20.816993357501605</v>
      </c>
      <c r="R334" s="37"/>
      <c r="S334" s="328" t="s">
        <v>80</v>
      </c>
      <c r="T334" s="328" t="s">
        <v>44</v>
      </c>
      <c r="U334" s="328" t="s">
        <v>69</v>
      </c>
      <c r="V334" s="328" t="s">
        <v>69</v>
      </c>
      <c r="W334" s="328" t="s">
        <v>103</v>
      </c>
      <c r="X334" s="37"/>
      <c r="Y334" s="37"/>
      <c r="Z334" s="328" t="s">
        <v>78</v>
      </c>
      <c r="AA334" s="328" t="s">
        <v>78</v>
      </c>
      <c r="AB334" s="37"/>
      <c r="AC334" s="331">
        <f>'Ref-ComHOU'!$G$34</f>
        <v>14.227397260273975</v>
      </c>
      <c r="AD334" s="331" t="s">
        <v>72</v>
      </c>
      <c r="AE334" s="328" t="s">
        <v>73</v>
      </c>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c r="CA334" s="393"/>
      <c r="CB334" s="393"/>
      <c r="CC334" s="393"/>
      <c r="CD334" s="393"/>
      <c r="CE334" s="393"/>
      <c r="CF334" s="393"/>
      <c r="CG334" s="393"/>
      <c r="CH334" s="393"/>
      <c r="CI334" s="393"/>
      <c r="CJ334" s="390"/>
      <c r="CK334" s="390"/>
      <c r="CL334" s="390"/>
      <c r="CM334" s="390"/>
      <c r="CN334" s="390"/>
      <c r="CO334" s="390"/>
      <c r="CP334" s="390"/>
      <c r="CQ334" s="390"/>
      <c r="CR334" s="390"/>
      <c r="CS334" s="390"/>
      <c r="CT334" s="390"/>
      <c r="CU334" s="390"/>
      <c r="CV334" s="390"/>
      <c r="CW334" s="390"/>
      <c r="CX334" s="390"/>
      <c r="CY334" s="390"/>
      <c r="CZ334" s="390"/>
      <c r="DA334" s="390"/>
      <c r="DB334" s="390"/>
      <c r="DC334" s="390"/>
    </row>
    <row r="335" spans="1:107" s="303" customFormat="1" ht="56.25">
      <c r="A335" s="37"/>
      <c r="B335" s="318" t="s">
        <v>23</v>
      </c>
      <c r="C335" s="329" t="s">
        <v>1223</v>
      </c>
      <c r="D335" s="329" t="s">
        <v>1220</v>
      </c>
      <c r="E335" s="330">
        <f>'Ref-ComSources'!$AB$16</f>
        <v>847.73737352200237</v>
      </c>
      <c r="F335" s="329" t="s">
        <v>27</v>
      </c>
      <c r="G335" s="340">
        <f>'Ref-ComSources'!$D$62/SUM('Ref-ComSources'!$D$62:$E$62)</f>
        <v>0.9027921406411582</v>
      </c>
      <c r="H335" s="329" t="s">
        <v>66</v>
      </c>
      <c r="I335" s="385">
        <f>AVERAGE('Ref-BaselineControls'!$J$17:$J$18)</f>
        <v>0.85000000000000009</v>
      </c>
      <c r="J335" s="329" t="s">
        <v>1097</v>
      </c>
      <c r="K335" s="329" t="s">
        <v>1012</v>
      </c>
      <c r="L335" s="329" t="s">
        <v>15</v>
      </c>
      <c r="M335" s="329" t="s">
        <v>90</v>
      </c>
      <c r="N335" s="327">
        <f>E335*G335*'Ref-Savings Calculations'!$E$39*Applicability</f>
        <v>156.71055923889523</v>
      </c>
      <c r="O335" s="327">
        <f>E335*G335*'Ref-Savings Calculations'!$C$77*Applicability*ControlShare</f>
        <v>145.71895350251131</v>
      </c>
      <c r="P335" s="327">
        <f>E335*G335*'Ref-Savings Calculations'!$E$40*Applicability</f>
        <v>133.93286167510232</v>
      </c>
      <c r="Q335" s="327">
        <f>E335*G335*('Ref-Savings Calculations'!$C$77-'Ref-Savings Calculations'!$C$124)*Applicability*ControlShare</f>
        <v>41.633986715003239</v>
      </c>
      <c r="R335" s="37"/>
      <c r="S335" s="328" t="s">
        <v>80</v>
      </c>
      <c r="T335" s="328" t="s">
        <v>44</v>
      </c>
      <c r="U335" s="328" t="s">
        <v>69</v>
      </c>
      <c r="V335" s="328" t="s">
        <v>69</v>
      </c>
      <c r="W335" s="328" t="s">
        <v>103</v>
      </c>
      <c r="X335" s="37"/>
      <c r="Y335" s="37"/>
      <c r="Z335" s="328" t="s">
        <v>78</v>
      </c>
      <c r="AA335" s="328" t="s">
        <v>78</v>
      </c>
      <c r="AB335" s="37"/>
      <c r="AC335" s="331">
        <f>'Ref-ComHOU'!$G$34</f>
        <v>14.227397260273975</v>
      </c>
      <c r="AD335" s="331" t="s">
        <v>72</v>
      </c>
      <c r="AE335" s="328" t="s">
        <v>73</v>
      </c>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c r="CA335" s="393"/>
      <c r="CB335" s="393"/>
      <c r="CC335" s="393"/>
      <c r="CD335" s="393"/>
      <c r="CE335" s="393"/>
      <c r="CF335" s="393"/>
      <c r="CG335" s="393"/>
      <c r="CH335" s="393"/>
      <c r="CI335" s="393"/>
      <c r="CJ335" s="390"/>
      <c r="CK335" s="390"/>
      <c r="CL335" s="390"/>
      <c r="CM335" s="390"/>
      <c r="CN335" s="390"/>
      <c r="CO335" s="390"/>
      <c r="CP335" s="390"/>
      <c r="CQ335" s="390"/>
      <c r="CR335" s="390"/>
      <c r="CS335" s="390"/>
      <c r="CT335" s="390"/>
      <c r="CU335" s="390"/>
      <c r="CV335" s="390"/>
      <c r="CW335" s="390"/>
      <c r="CX335" s="390"/>
      <c r="CY335" s="390"/>
      <c r="CZ335" s="390"/>
      <c r="DA335" s="390"/>
      <c r="DB335" s="390"/>
      <c r="DC335" s="390"/>
    </row>
    <row r="336" spans="1:107" s="303" customFormat="1" ht="56.25">
      <c r="A336" s="37"/>
      <c r="B336" s="318" t="s">
        <v>23</v>
      </c>
      <c r="C336" s="329" t="s">
        <v>1223</v>
      </c>
      <c r="D336" s="329" t="s">
        <v>1220</v>
      </c>
      <c r="E336" s="330">
        <f>'Ref-ComSources'!$AB$16</f>
        <v>847.73737352200237</v>
      </c>
      <c r="F336" s="329" t="s">
        <v>27</v>
      </c>
      <c r="G336" s="340">
        <f>'Ref-ComSources'!$D$62/SUM('Ref-ComSources'!$D$62:$E$62)</f>
        <v>0.9027921406411582</v>
      </c>
      <c r="H336" s="329" t="s">
        <v>66</v>
      </c>
      <c r="I336" s="385">
        <f>AVERAGE('Ref-BaselineControls'!$J$17:$J$18)</f>
        <v>0.85000000000000009</v>
      </c>
      <c r="J336" s="329" t="s">
        <v>1097</v>
      </c>
      <c r="K336" s="329" t="s">
        <v>1012</v>
      </c>
      <c r="L336" s="329" t="s">
        <v>15</v>
      </c>
      <c r="M336" s="329" t="s">
        <v>91</v>
      </c>
      <c r="N336" s="327">
        <f>E336*G336*'Ref-Savings Calculations'!$E$39*Applicability</f>
        <v>156.71055923889523</v>
      </c>
      <c r="O336" s="327" t="s">
        <v>870</v>
      </c>
      <c r="P336" s="327">
        <f>E336*G336*'Ref-Savings Calculations'!$E$40*Applicability</f>
        <v>133.93286167510232</v>
      </c>
      <c r="Q336" s="327" t="s">
        <v>870</v>
      </c>
      <c r="R336" s="37"/>
      <c r="S336" s="328" t="s">
        <v>80</v>
      </c>
      <c r="T336" s="328" t="s">
        <v>44</v>
      </c>
      <c r="U336" s="328" t="s">
        <v>69</v>
      </c>
      <c r="V336" s="328" t="s">
        <v>69</v>
      </c>
      <c r="W336" s="328" t="s">
        <v>103</v>
      </c>
      <c r="X336" s="37"/>
      <c r="Y336" s="37"/>
      <c r="Z336" s="328" t="s">
        <v>78</v>
      </c>
      <c r="AA336" s="328" t="s">
        <v>78</v>
      </c>
      <c r="AB336" s="37"/>
      <c r="AC336" s="331">
        <f>'Ref-ComHOU'!$G$34</f>
        <v>14.227397260273975</v>
      </c>
      <c r="AD336" s="331" t="s">
        <v>72</v>
      </c>
      <c r="AE336" s="328" t="s">
        <v>73</v>
      </c>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c r="CA336" s="393"/>
      <c r="CB336" s="393"/>
      <c r="CC336" s="393"/>
      <c r="CD336" s="393"/>
      <c r="CE336" s="393"/>
      <c r="CF336" s="393"/>
      <c r="CG336" s="393"/>
      <c r="CH336" s="393"/>
      <c r="CI336" s="393"/>
      <c r="CJ336" s="390"/>
      <c r="CK336" s="390"/>
      <c r="CL336" s="390"/>
      <c r="CM336" s="390"/>
      <c r="CN336" s="390"/>
      <c r="CO336" s="390"/>
      <c r="CP336" s="390"/>
      <c r="CQ336" s="390"/>
      <c r="CR336" s="390"/>
      <c r="CS336" s="390"/>
      <c r="CT336" s="390"/>
      <c r="CU336" s="390"/>
      <c r="CV336" s="390"/>
      <c r="CW336" s="390"/>
      <c r="CX336" s="390"/>
      <c r="CY336" s="390"/>
      <c r="CZ336" s="390"/>
      <c r="DA336" s="390"/>
      <c r="DB336" s="390"/>
      <c r="DC336" s="390"/>
    </row>
    <row r="337" spans="1:107" s="303" customFormat="1" ht="56.25">
      <c r="A337" s="37"/>
      <c r="B337" s="318" t="s">
        <v>23</v>
      </c>
      <c r="C337" s="329" t="s">
        <v>1223</v>
      </c>
      <c r="D337" s="329" t="s">
        <v>1220</v>
      </c>
      <c r="E337" s="330">
        <f>'Ref-ComSources'!$AB$16</f>
        <v>847.73737352200237</v>
      </c>
      <c r="F337" s="329" t="s">
        <v>27</v>
      </c>
      <c r="G337" s="340">
        <f>'Ref-ComSources'!$D$62/SUM('Ref-ComSources'!$D$62:$E$62)</f>
        <v>0.9027921406411582</v>
      </c>
      <c r="H337" s="329" t="s">
        <v>66</v>
      </c>
      <c r="I337" s="385">
        <f>AVERAGE('Ref-BaselineControls'!$J$17:$J$18)</f>
        <v>0.85000000000000009</v>
      </c>
      <c r="J337" s="329" t="s">
        <v>1097</v>
      </c>
      <c r="K337" s="329" t="s">
        <v>1012</v>
      </c>
      <c r="L337" s="329" t="s">
        <v>15</v>
      </c>
      <c r="M337" s="329" t="s">
        <v>92</v>
      </c>
      <c r="N337" s="327">
        <f>E337*G337*'Ref-Savings Calculations'!$E$39*Applicability</f>
        <v>156.71055923889523</v>
      </c>
      <c r="O337" s="327">
        <f>E337*G337*'Ref-Savings Calculations'!$C$99*Applicability*ControlShare</f>
        <v>187.35294021751452</v>
      </c>
      <c r="P337" s="327">
        <f>E337*G337*'Ref-Savings Calculations'!$E$40*Applicability</f>
        <v>133.93286167510232</v>
      </c>
      <c r="Q337" s="327">
        <f>E337*G337*('Ref-Savings Calculations'!$C$99-'Ref-Savings Calculations'!$C$124)*Applicability*ControlShare</f>
        <v>83.26797343000645</v>
      </c>
      <c r="R337" s="37"/>
      <c r="S337" s="328" t="s">
        <v>80</v>
      </c>
      <c r="T337" s="328" t="s">
        <v>44</v>
      </c>
      <c r="U337" s="328" t="s">
        <v>69</v>
      </c>
      <c r="V337" s="328" t="s">
        <v>69</v>
      </c>
      <c r="W337" s="328" t="s">
        <v>103</v>
      </c>
      <c r="X337" s="37"/>
      <c r="Y337" s="37"/>
      <c r="Z337" s="328" t="s">
        <v>78</v>
      </c>
      <c r="AA337" s="328" t="s">
        <v>78</v>
      </c>
      <c r="AB337" s="37"/>
      <c r="AC337" s="331">
        <f>'Ref-ComHOU'!$G$34</f>
        <v>14.227397260273975</v>
      </c>
      <c r="AD337" s="331" t="s">
        <v>72</v>
      </c>
      <c r="AE337" s="328" t="s">
        <v>73</v>
      </c>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c r="CA337" s="393"/>
      <c r="CB337" s="393"/>
      <c r="CC337" s="393"/>
      <c r="CD337" s="393"/>
      <c r="CE337" s="393"/>
      <c r="CF337" s="393"/>
      <c r="CG337" s="393"/>
      <c r="CH337" s="393"/>
      <c r="CI337" s="393"/>
      <c r="CJ337" s="390"/>
      <c r="CK337" s="390"/>
      <c r="CL337" s="390"/>
      <c r="CM337" s="390"/>
      <c r="CN337" s="390"/>
      <c r="CO337" s="390"/>
      <c r="CP337" s="390"/>
      <c r="CQ337" s="390"/>
      <c r="CR337" s="390"/>
      <c r="CS337" s="390"/>
      <c r="CT337" s="390"/>
      <c r="CU337" s="390"/>
      <c r="CV337" s="390"/>
      <c r="CW337" s="390"/>
      <c r="CX337" s="390"/>
      <c r="CY337" s="390"/>
      <c r="CZ337" s="390"/>
      <c r="DA337" s="390"/>
      <c r="DB337" s="390"/>
      <c r="DC337" s="390"/>
    </row>
    <row r="338" spans="1:107" s="317" customFormat="1" ht="56.25">
      <c r="A338" s="37"/>
      <c r="B338" s="338" t="s">
        <v>23</v>
      </c>
      <c r="C338" s="329" t="s">
        <v>1223</v>
      </c>
      <c r="D338" s="329" t="s">
        <v>1220</v>
      </c>
      <c r="E338" s="330">
        <f>'Ref-ComSources'!$AB$16</f>
        <v>847.73737352200237</v>
      </c>
      <c r="F338" s="339" t="s">
        <v>27</v>
      </c>
      <c r="G338" s="340">
        <f>'Ref-ComSources'!$D$62/SUM('Ref-ComSources'!$D$62:$E$62)</f>
        <v>0.9027921406411582</v>
      </c>
      <c r="H338" s="329" t="s">
        <v>66</v>
      </c>
      <c r="I338" s="385">
        <f>AVERAGE('Ref-BaselineControls'!$J$17:$J$18)</f>
        <v>0.85000000000000009</v>
      </c>
      <c r="J338" s="329" t="s">
        <v>1097</v>
      </c>
      <c r="K338" s="329" t="s">
        <v>1012</v>
      </c>
      <c r="L338" s="339" t="s">
        <v>15</v>
      </c>
      <c r="M338" s="339" t="s">
        <v>93</v>
      </c>
      <c r="N338" s="327">
        <f>E338*G338*'Ref-Savings Calculations'!$E$39*Applicability</f>
        <v>156.71055923889523</v>
      </c>
      <c r="O338" s="341">
        <f>E338*G338*'Ref-Savings Calculations'!$C$109*Applicability*ControlShare</f>
        <v>197.76143689626537</v>
      </c>
      <c r="P338" s="327">
        <f>E338*G338*'Ref-Savings Calculations'!$E$40*Applicability</f>
        <v>133.93286167510232</v>
      </c>
      <c r="Q338" s="327">
        <f>E338*G338*('Ref-Savings Calculations'!$C$109-'Ref-Savings Calculations'!$C$124)*Applicability*ControlShare</f>
        <v>93.676470108757258</v>
      </c>
      <c r="R338" s="37"/>
      <c r="S338" s="342" t="s">
        <v>80</v>
      </c>
      <c r="T338" s="342" t="s">
        <v>44</v>
      </c>
      <c r="U338" s="328" t="s">
        <v>44</v>
      </c>
      <c r="V338" s="328" t="s">
        <v>75</v>
      </c>
      <c r="W338" s="342" t="s">
        <v>103</v>
      </c>
      <c r="X338" s="37"/>
      <c r="Y338" s="37"/>
      <c r="Z338" s="342" t="s">
        <v>78</v>
      </c>
      <c r="AA338" s="342" t="s">
        <v>78</v>
      </c>
      <c r="AB338" s="37"/>
      <c r="AC338" s="343">
        <f>'Ref-ComHOU'!$G$34</f>
        <v>14.227397260273975</v>
      </c>
      <c r="AD338" s="343" t="s">
        <v>72</v>
      </c>
      <c r="AE338" s="342" t="s">
        <v>73</v>
      </c>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c r="CA338" s="393"/>
      <c r="CB338" s="393"/>
      <c r="CC338" s="393"/>
      <c r="CD338" s="393"/>
      <c r="CE338" s="393"/>
      <c r="CF338" s="393"/>
      <c r="CG338" s="393"/>
      <c r="CH338" s="393"/>
      <c r="CI338" s="393"/>
      <c r="CJ338" s="390"/>
      <c r="CK338" s="390"/>
      <c r="CL338" s="390"/>
      <c r="CM338" s="390"/>
      <c r="CN338" s="390"/>
      <c r="CO338" s="390"/>
      <c r="CP338" s="390"/>
      <c r="CQ338" s="390"/>
      <c r="CR338" s="390"/>
      <c r="CS338" s="390"/>
      <c r="CT338" s="390"/>
      <c r="CU338" s="390"/>
      <c r="CV338" s="390"/>
      <c r="CW338" s="390"/>
      <c r="CX338" s="390"/>
      <c r="CY338" s="390"/>
      <c r="CZ338" s="390"/>
      <c r="DA338" s="390"/>
      <c r="DB338" s="390"/>
      <c r="DC338" s="390"/>
    </row>
    <row r="339" spans="1:107" s="317" customFormat="1" ht="56.25">
      <c r="A339" s="37"/>
      <c r="B339" s="591" t="s">
        <v>23</v>
      </c>
      <c r="C339" s="592" t="s">
        <v>502</v>
      </c>
      <c r="D339" s="593" t="s">
        <v>1220</v>
      </c>
      <c r="E339" s="594">
        <f>'Ref-ComSources'!$AB$11*'Ref-ComSources'!$E$229</f>
        <v>476.27033903997773</v>
      </c>
      <c r="F339" s="592" t="s">
        <v>27</v>
      </c>
      <c r="G339" s="595">
        <f>'Ref-2013CSSsaturationsINT'!$F$140</f>
        <v>0.55172730052875429</v>
      </c>
      <c r="H339" s="592" t="s">
        <v>66</v>
      </c>
      <c r="I339" s="596">
        <f>'Ref-2013CSSsaturationsINT'!$J$140</f>
        <v>0.98347899853086229</v>
      </c>
      <c r="J339" s="592" t="s">
        <v>1097</v>
      </c>
      <c r="K339" s="592" t="s">
        <v>1012</v>
      </c>
      <c r="L339" s="592" t="s">
        <v>960</v>
      </c>
      <c r="M339" s="592" t="s">
        <v>88</v>
      </c>
      <c r="N339" s="678">
        <f>E339*G339*'Ref-Savings Calculations'!$E$33*Applicability</f>
        <v>38.809306852495979</v>
      </c>
      <c r="O339" s="678">
        <f>E339*G339*'Ref-Savings Calculations'!$C$54*Applicability*ControlShare</f>
        <v>49.618579708060572</v>
      </c>
      <c r="P339" s="678">
        <f>E339*G339*'Ref-Savings Calculations'!$E$34*Applicability</f>
        <v>33.634732605496502</v>
      </c>
      <c r="Q339" s="678">
        <f>E339*G339*('Ref-Savings Calculations'!$C$54-'Ref-Savings Calculations'!$C$124)*Applicability*ControlShare</f>
        <v>8.2697632846767579</v>
      </c>
      <c r="R339" s="37"/>
      <c r="S339" s="592" t="s">
        <v>69</v>
      </c>
      <c r="T339" s="592" t="s">
        <v>69</v>
      </c>
      <c r="U339" s="592" t="s">
        <v>69</v>
      </c>
      <c r="V339" s="592" t="s">
        <v>69</v>
      </c>
      <c r="W339" s="592" t="s">
        <v>76</v>
      </c>
      <c r="X339" s="37"/>
      <c r="Y339" s="37"/>
      <c r="Z339" s="592" t="s">
        <v>78</v>
      </c>
      <c r="AA339" s="592" t="s">
        <v>78</v>
      </c>
      <c r="AB339" s="37"/>
      <c r="AC339" s="679">
        <f>'Ref-ComHOU'!$G$85</f>
        <v>13.287671232876711</v>
      </c>
      <c r="AD339" s="678" t="s">
        <v>72</v>
      </c>
      <c r="AE339" s="592" t="s">
        <v>73</v>
      </c>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c r="CA339" s="393"/>
      <c r="CB339" s="393"/>
      <c r="CC339" s="393"/>
      <c r="CD339" s="393"/>
      <c r="CE339" s="393"/>
      <c r="CF339" s="393"/>
      <c r="CG339" s="393"/>
      <c r="CH339" s="393"/>
      <c r="CI339" s="393"/>
      <c r="CJ339" s="390"/>
      <c r="CK339" s="390"/>
      <c r="CL339" s="390"/>
      <c r="CM339" s="390"/>
      <c r="CN339" s="390"/>
      <c r="CO339" s="390"/>
      <c r="CP339" s="390"/>
      <c r="CQ339" s="390"/>
      <c r="CR339" s="390"/>
      <c r="CS339" s="390"/>
      <c r="CT339" s="390"/>
      <c r="CU339" s="390"/>
      <c r="CV339" s="390"/>
      <c r="CW339" s="390"/>
      <c r="CX339" s="390"/>
      <c r="CY339" s="390"/>
      <c r="CZ339" s="390"/>
      <c r="DA339" s="390"/>
      <c r="DB339" s="390"/>
      <c r="DC339" s="390"/>
    </row>
    <row r="340" spans="1:107" s="317" customFormat="1" ht="56.25">
      <c r="A340" s="37"/>
      <c r="B340" s="591" t="s">
        <v>23</v>
      </c>
      <c r="C340" s="592" t="s">
        <v>502</v>
      </c>
      <c r="D340" s="593" t="s">
        <v>1220</v>
      </c>
      <c r="E340" s="594">
        <f>'Ref-ComSources'!$AB$11*'Ref-ComSources'!$E$229</f>
        <v>476.27033903997773</v>
      </c>
      <c r="F340" s="592" t="s">
        <v>27</v>
      </c>
      <c r="G340" s="595">
        <f>'Ref-2013CSSsaturationsINT'!$F$140</f>
        <v>0.55172730052875429</v>
      </c>
      <c r="H340" s="592" t="s">
        <v>66</v>
      </c>
      <c r="I340" s="596">
        <f>'Ref-2013CSSsaturationsINT'!$J$140</f>
        <v>0.98347899853086229</v>
      </c>
      <c r="J340" s="592" t="s">
        <v>1097</v>
      </c>
      <c r="K340" s="592" t="s">
        <v>1012</v>
      </c>
      <c r="L340" s="592" t="s">
        <v>960</v>
      </c>
      <c r="M340" s="592" t="s">
        <v>90</v>
      </c>
      <c r="N340" s="678">
        <f>E340*G340*'Ref-Savings Calculations'!$E$33*Applicability</f>
        <v>38.809306852495979</v>
      </c>
      <c r="O340" s="678">
        <f>E340*G340*'Ref-Savings Calculations'!$C$77*Applicability*ControlShare</f>
        <v>57.888342992737343</v>
      </c>
      <c r="P340" s="678">
        <f>E340*G340*'Ref-Savings Calculations'!$E$34*Applicability</f>
        <v>33.634732605496502</v>
      </c>
      <c r="Q340" s="678">
        <f>E340*G340*('Ref-Savings Calculations'!$C$77-'Ref-Savings Calculations'!$C$124)*Applicability*ControlShare</f>
        <v>16.539526569353526</v>
      </c>
      <c r="R340" s="37"/>
      <c r="S340" s="592" t="s">
        <v>69</v>
      </c>
      <c r="T340" s="592" t="s">
        <v>69</v>
      </c>
      <c r="U340" s="592" t="s">
        <v>69</v>
      </c>
      <c r="V340" s="592" t="s">
        <v>69</v>
      </c>
      <c r="W340" s="592" t="s">
        <v>76</v>
      </c>
      <c r="X340" s="37"/>
      <c r="Y340" s="37"/>
      <c r="Z340" s="592" t="s">
        <v>78</v>
      </c>
      <c r="AA340" s="592" t="s">
        <v>78</v>
      </c>
      <c r="AB340" s="37"/>
      <c r="AC340" s="679">
        <f>'Ref-ComHOU'!$G$85</f>
        <v>13.287671232876711</v>
      </c>
      <c r="AD340" s="678" t="s">
        <v>72</v>
      </c>
      <c r="AE340" s="592" t="s">
        <v>73</v>
      </c>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c r="CA340" s="393"/>
      <c r="CB340" s="393"/>
      <c r="CC340" s="393"/>
      <c r="CD340" s="393"/>
      <c r="CE340" s="393"/>
      <c r="CF340" s="393"/>
      <c r="CG340" s="393"/>
      <c r="CH340" s="393"/>
      <c r="CI340" s="393"/>
      <c r="CJ340" s="390"/>
      <c r="CK340" s="390"/>
      <c r="CL340" s="390"/>
      <c r="CM340" s="390"/>
      <c r="CN340" s="390"/>
      <c r="CO340" s="390"/>
      <c r="CP340" s="390"/>
      <c r="CQ340" s="390"/>
      <c r="CR340" s="390"/>
      <c r="CS340" s="390"/>
      <c r="CT340" s="390"/>
      <c r="CU340" s="390"/>
      <c r="CV340" s="390"/>
      <c r="CW340" s="390"/>
      <c r="CX340" s="390"/>
      <c r="CY340" s="390"/>
      <c r="CZ340" s="390"/>
      <c r="DA340" s="390"/>
      <c r="DB340" s="390"/>
      <c r="DC340" s="390"/>
    </row>
    <row r="341" spans="1:107" s="317" customFormat="1" ht="56.25">
      <c r="A341" s="37"/>
      <c r="B341" s="591" t="s">
        <v>23</v>
      </c>
      <c r="C341" s="592" t="s">
        <v>502</v>
      </c>
      <c r="D341" s="593" t="s">
        <v>1220</v>
      </c>
      <c r="E341" s="594">
        <f>'Ref-ComSources'!$AB$11*'Ref-ComSources'!$E$229</f>
        <v>476.27033903997773</v>
      </c>
      <c r="F341" s="592" t="s">
        <v>27</v>
      </c>
      <c r="G341" s="595">
        <f>'Ref-2013CSSsaturationsINT'!$F$140</f>
        <v>0.55172730052875429</v>
      </c>
      <c r="H341" s="592" t="s">
        <v>66</v>
      </c>
      <c r="I341" s="596">
        <f>'Ref-2013CSSsaturationsINT'!$J$140</f>
        <v>0.98347899853086229</v>
      </c>
      <c r="J341" s="592" t="s">
        <v>1097</v>
      </c>
      <c r="K341" s="592" t="s">
        <v>1012</v>
      </c>
      <c r="L341" s="592" t="s">
        <v>960</v>
      </c>
      <c r="M341" s="592" t="s">
        <v>91</v>
      </c>
      <c r="N341" s="678">
        <f>E341*G341*'Ref-Savings Calculations'!$E$33*Applicability</f>
        <v>38.809306852495979</v>
      </c>
      <c r="O341" s="678" t="s">
        <v>870</v>
      </c>
      <c r="P341" s="678">
        <f>E341*G341*'Ref-Savings Calculations'!$E$34*Applicability</f>
        <v>33.634732605496502</v>
      </c>
      <c r="Q341" s="678" t="s">
        <v>870</v>
      </c>
      <c r="R341" s="37"/>
      <c r="S341" s="592" t="s">
        <v>69</v>
      </c>
      <c r="T341" s="592" t="s">
        <v>69</v>
      </c>
      <c r="U341" s="592" t="s">
        <v>69</v>
      </c>
      <c r="V341" s="592" t="s">
        <v>69</v>
      </c>
      <c r="W341" s="592" t="s">
        <v>76</v>
      </c>
      <c r="X341" s="37"/>
      <c r="Y341" s="37"/>
      <c r="Z341" s="592" t="s">
        <v>78</v>
      </c>
      <c r="AA341" s="592" t="s">
        <v>78</v>
      </c>
      <c r="AB341" s="37"/>
      <c r="AC341" s="679">
        <f>'Ref-ComHOU'!$G$85</f>
        <v>13.287671232876711</v>
      </c>
      <c r="AD341" s="678" t="s">
        <v>72</v>
      </c>
      <c r="AE341" s="592" t="s">
        <v>73</v>
      </c>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c r="CA341" s="393"/>
      <c r="CB341" s="393"/>
      <c r="CC341" s="393"/>
      <c r="CD341" s="393"/>
      <c r="CE341" s="393"/>
      <c r="CF341" s="393"/>
      <c r="CG341" s="393"/>
      <c r="CH341" s="393"/>
      <c r="CI341" s="393"/>
      <c r="CJ341" s="390"/>
      <c r="CK341" s="390"/>
      <c r="CL341" s="390"/>
      <c r="CM341" s="390"/>
      <c r="CN341" s="390"/>
      <c r="CO341" s="390"/>
      <c r="CP341" s="390"/>
      <c r="CQ341" s="390"/>
      <c r="CR341" s="390"/>
      <c r="CS341" s="390"/>
      <c r="CT341" s="390"/>
      <c r="CU341" s="390"/>
      <c r="CV341" s="390"/>
      <c r="CW341" s="390"/>
      <c r="CX341" s="390"/>
      <c r="CY341" s="390"/>
      <c r="CZ341" s="390"/>
      <c r="DA341" s="390"/>
      <c r="DB341" s="390"/>
      <c r="DC341" s="390"/>
    </row>
    <row r="342" spans="1:107" s="317" customFormat="1" ht="56.25">
      <c r="A342" s="37"/>
      <c r="B342" s="591" t="s">
        <v>23</v>
      </c>
      <c r="C342" s="592" t="s">
        <v>502</v>
      </c>
      <c r="D342" s="593" t="s">
        <v>1220</v>
      </c>
      <c r="E342" s="594">
        <f>'Ref-ComSources'!$AB$11*'Ref-ComSources'!$E$229</f>
        <v>476.27033903997773</v>
      </c>
      <c r="F342" s="592" t="s">
        <v>27</v>
      </c>
      <c r="G342" s="595">
        <f>'Ref-2013CSSsaturationsINT'!$F$140</f>
        <v>0.55172730052875429</v>
      </c>
      <c r="H342" s="592" t="s">
        <v>66</v>
      </c>
      <c r="I342" s="596">
        <f>'Ref-2013CSSsaturationsINT'!$J$140</f>
        <v>0.98347899853086229</v>
      </c>
      <c r="J342" s="592" t="s">
        <v>1097</v>
      </c>
      <c r="K342" s="592" t="s">
        <v>1012</v>
      </c>
      <c r="L342" s="592" t="s">
        <v>960</v>
      </c>
      <c r="M342" s="592" t="s">
        <v>92</v>
      </c>
      <c r="N342" s="678">
        <f>E342*G342*'Ref-Savings Calculations'!$E$33*Applicability</f>
        <v>38.809306852495979</v>
      </c>
      <c r="O342" s="678">
        <f>E342*G342*'Ref-Savings Calculations'!$C$99*Applicability*ControlShare</f>
        <v>74.427869562090848</v>
      </c>
      <c r="P342" s="678">
        <f>E342*G342*'Ref-Savings Calculations'!$E$34*Applicability</f>
        <v>33.634732605496502</v>
      </c>
      <c r="Q342" s="678">
        <f>E342*G342*('Ref-Savings Calculations'!$C$99-'Ref-Savings Calculations'!$C$124)*Applicability*ControlShare</f>
        <v>33.079053138707039</v>
      </c>
      <c r="R342" s="37"/>
      <c r="S342" s="592" t="s">
        <v>69</v>
      </c>
      <c r="T342" s="592" t="s">
        <v>69</v>
      </c>
      <c r="U342" s="592" t="s">
        <v>69</v>
      </c>
      <c r="V342" s="592" t="s">
        <v>69</v>
      </c>
      <c r="W342" s="592" t="s">
        <v>76</v>
      </c>
      <c r="X342" s="37"/>
      <c r="Y342" s="37"/>
      <c r="Z342" s="592" t="s">
        <v>78</v>
      </c>
      <c r="AA342" s="592" t="s">
        <v>78</v>
      </c>
      <c r="AB342" s="37"/>
      <c r="AC342" s="679">
        <f>'Ref-ComHOU'!$G$85</f>
        <v>13.287671232876711</v>
      </c>
      <c r="AD342" s="678" t="s">
        <v>72</v>
      </c>
      <c r="AE342" s="592" t="s">
        <v>73</v>
      </c>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c r="CA342" s="393"/>
      <c r="CB342" s="393"/>
      <c r="CC342" s="393"/>
      <c r="CD342" s="393"/>
      <c r="CE342" s="393"/>
      <c r="CF342" s="393"/>
      <c r="CG342" s="393"/>
      <c r="CH342" s="393"/>
      <c r="CI342" s="393"/>
      <c r="CJ342" s="390"/>
      <c r="CK342" s="390"/>
      <c r="CL342" s="390"/>
      <c r="CM342" s="390"/>
      <c r="CN342" s="390"/>
      <c r="CO342" s="390"/>
      <c r="CP342" s="390"/>
      <c r="CQ342" s="390"/>
      <c r="CR342" s="390"/>
      <c r="CS342" s="390"/>
      <c r="CT342" s="390"/>
      <c r="CU342" s="390"/>
      <c r="CV342" s="390"/>
      <c r="CW342" s="390"/>
      <c r="CX342" s="390"/>
      <c r="CY342" s="390"/>
      <c r="CZ342" s="390"/>
      <c r="DA342" s="390"/>
      <c r="DB342" s="390"/>
      <c r="DC342" s="390"/>
    </row>
    <row r="343" spans="1:107" s="317" customFormat="1" ht="56.25">
      <c r="A343" s="37"/>
      <c r="B343" s="591" t="s">
        <v>23</v>
      </c>
      <c r="C343" s="592" t="s">
        <v>502</v>
      </c>
      <c r="D343" s="593" t="s">
        <v>1220</v>
      </c>
      <c r="E343" s="594">
        <f>'Ref-ComSources'!$AB$11*'Ref-ComSources'!$E$229</f>
        <v>476.27033903997773</v>
      </c>
      <c r="F343" s="592" t="s">
        <v>27</v>
      </c>
      <c r="G343" s="595">
        <f>'Ref-2013CSSsaturationsINT'!$F$140</f>
        <v>0.55172730052875429</v>
      </c>
      <c r="H343" s="592" t="s">
        <v>66</v>
      </c>
      <c r="I343" s="596">
        <f>'Ref-2013CSSsaturationsINT'!$J$140</f>
        <v>0.98347899853086229</v>
      </c>
      <c r="J343" s="592" t="s">
        <v>1097</v>
      </c>
      <c r="K343" s="592" t="s">
        <v>1012</v>
      </c>
      <c r="L343" s="592" t="s">
        <v>960</v>
      </c>
      <c r="M343" s="592" t="s">
        <v>93</v>
      </c>
      <c r="N343" s="678">
        <f>E343*G343*'Ref-Savings Calculations'!$E$33*Applicability</f>
        <v>38.809306852495979</v>
      </c>
      <c r="O343" s="678">
        <f>E343*G343*'Ref-Savings Calculations'!$C$109*Applicability*ControlShare</f>
        <v>78.562751204429247</v>
      </c>
      <c r="P343" s="678">
        <f>E343*G343*'Ref-Savings Calculations'!$E$34*Applicability</f>
        <v>33.634732605496502</v>
      </c>
      <c r="Q343" s="678">
        <f>E343*G343*('Ref-Savings Calculations'!$C$109-'Ref-Savings Calculations'!$C$124)*Applicability*ControlShare</f>
        <v>37.213934781045424</v>
      </c>
      <c r="R343" s="37"/>
      <c r="S343" s="592" t="s">
        <v>69</v>
      </c>
      <c r="T343" s="592" t="s">
        <v>69</v>
      </c>
      <c r="U343" s="598" t="s">
        <v>44</v>
      </c>
      <c r="V343" s="598" t="s">
        <v>75</v>
      </c>
      <c r="W343" s="592" t="s">
        <v>76</v>
      </c>
      <c r="X343" s="37"/>
      <c r="Y343" s="37"/>
      <c r="Z343" s="592" t="s">
        <v>78</v>
      </c>
      <c r="AA343" s="592" t="s">
        <v>78</v>
      </c>
      <c r="AB343" s="37"/>
      <c r="AC343" s="679">
        <f>'Ref-ComHOU'!$G$85</f>
        <v>13.287671232876711</v>
      </c>
      <c r="AD343" s="678" t="s">
        <v>72</v>
      </c>
      <c r="AE343" s="592" t="s">
        <v>73</v>
      </c>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c r="CA343" s="393"/>
      <c r="CB343" s="393"/>
      <c r="CC343" s="393"/>
      <c r="CD343" s="393"/>
      <c r="CE343" s="393"/>
      <c r="CF343" s="393"/>
      <c r="CG343" s="393"/>
      <c r="CH343" s="393"/>
      <c r="CI343" s="393"/>
      <c r="CJ343" s="390"/>
      <c r="CK343" s="390"/>
      <c r="CL343" s="390"/>
      <c r="CM343" s="390"/>
      <c r="CN343" s="390"/>
      <c r="CO343" s="390"/>
      <c r="CP343" s="390"/>
      <c r="CQ343" s="390"/>
      <c r="CR343" s="390"/>
      <c r="CS343" s="390"/>
      <c r="CT343" s="390"/>
      <c r="CU343" s="390"/>
      <c r="CV343" s="390"/>
      <c r="CW343" s="390"/>
      <c r="CX343" s="390"/>
      <c r="CY343" s="390"/>
      <c r="CZ343" s="390"/>
      <c r="DA343" s="390"/>
      <c r="DB343" s="390"/>
      <c r="DC343" s="390"/>
    </row>
    <row r="344" spans="1:107" s="317" customFormat="1" ht="56.25">
      <c r="A344" s="37"/>
      <c r="B344" s="591" t="s">
        <v>23</v>
      </c>
      <c r="C344" s="592" t="s">
        <v>502</v>
      </c>
      <c r="D344" s="593" t="s">
        <v>1220</v>
      </c>
      <c r="E344" s="594">
        <f>'Ref-ComSources'!$AB$11*'Ref-ComSources'!$E$229</f>
        <v>476.27033903997773</v>
      </c>
      <c r="F344" s="592" t="s">
        <v>27</v>
      </c>
      <c r="G344" s="595">
        <f>'Ref-2013CSSsaturationsINT'!$F$140</f>
        <v>0.55172730052875429</v>
      </c>
      <c r="H344" s="592" t="s">
        <v>66</v>
      </c>
      <c r="I344" s="596">
        <f>'Ref-2013CSSsaturationsINT'!$J$140</f>
        <v>0.98347899853086229</v>
      </c>
      <c r="J344" s="592" t="s">
        <v>1097</v>
      </c>
      <c r="K344" s="592" t="s">
        <v>1012</v>
      </c>
      <c r="L344" s="592" t="s">
        <v>15</v>
      </c>
      <c r="M344" s="592" t="s">
        <v>88</v>
      </c>
      <c r="N344" s="678">
        <f>E344*G344*'Ref-Savings Calculations'!$E$39*Applicability</f>
        <v>53.805561831709454</v>
      </c>
      <c r="O344" s="678">
        <f>E344*G344*'Ref-Savings Calculations'!$C$54*Applicability*ControlShare</f>
        <v>49.618579708060572</v>
      </c>
      <c r="P344" s="678">
        <f>E344*G344*'Ref-Savings Calculations'!$E$40*Applicability</f>
        <v>45.984985984077262</v>
      </c>
      <c r="Q344" s="678">
        <f>E344*G344*('Ref-Savings Calculations'!$C$54-'Ref-Savings Calculations'!$C$124)*Applicability*ControlShare</f>
        <v>8.2697632846767579</v>
      </c>
      <c r="R344" s="37"/>
      <c r="S344" s="592" t="s">
        <v>44</v>
      </c>
      <c r="T344" s="598" t="s">
        <v>63</v>
      </c>
      <c r="U344" s="592" t="s">
        <v>69</v>
      </c>
      <c r="V344" s="592" t="s">
        <v>69</v>
      </c>
      <c r="W344" s="592" t="s">
        <v>76</v>
      </c>
      <c r="X344" s="37"/>
      <c r="Y344" s="37"/>
      <c r="Z344" s="592" t="s">
        <v>78</v>
      </c>
      <c r="AA344" s="592" t="s">
        <v>78</v>
      </c>
      <c r="AB344" s="37"/>
      <c r="AC344" s="679">
        <f>'Ref-ComHOU'!$G$85</f>
        <v>13.287671232876711</v>
      </c>
      <c r="AD344" s="678" t="s">
        <v>72</v>
      </c>
      <c r="AE344" s="592" t="s">
        <v>73</v>
      </c>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c r="CA344" s="393"/>
      <c r="CB344" s="393"/>
      <c r="CC344" s="393"/>
      <c r="CD344" s="393"/>
      <c r="CE344" s="393"/>
      <c r="CF344" s="393"/>
      <c r="CG344" s="393"/>
      <c r="CH344" s="393"/>
      <c r="CI344" s="393"/>
      <c r="CJ344" s="390"/>
      <c r="CK344" s="390"/>
      <c r="CL344" s="390"/>
      <c r="CM344" s="390"/>
      <c r="CN344" s="390"/>
      <c r="CO344" s="390"/>
      <c r="CP344" s="390"/>
      <c r="CQ344" s="390"/>
      <c r="CR344" s="390"/>
      <c r="CS344" s="390"/>
      <c r="CT344" s="390"/>
      <c r="CU344" s="390"/>
      <c r="CV344" s="390"/>
      <c r="CW344" s="390"/>
      <c r="CX344" s="390"/>
      <c r="CY344" s="390"/>
      <c r="CZ344" s="390"/>
      <c r="DA344" s="390"/>
      <c r="DB344" s="390"/>
      <c r="DC344" s="390"/>
    </row>
    <row r="345" spans="1:107" s="317" customFormat="1" ht="56.25">
      <c r="A345" s="37"/>
      <c r="B345" s="591" t="s">
        <v>23</v>
      </c>
      <c r="C345" s="592" t="s">
        <v>502</v>
      </c>
      <c r="D345" s="593" t="s">
        <v>1220</v>
      </c>
      <c r="E345" s="594">
        <f>'Ref-ComSources'!$AB$11*'Ref-ComSources'!$E$229</f>
        <v>476.27033903997773</v>
      </c>
      <c r="F345" s="592" t="s">
        <v>27</v>
      </c>
      <c r="G345" s="595">
        <f>'Ref-2013CSSsaturationsINT'!$F$140</f>
        <v>0.55172730052875429</v>
      </c>
      <c r="H345" s="592" t="s">
        <v>66</v>
      </c>
      <c r="I345" s="596">
        <f>'Ref-2013CSSsaturationsINT'!$J$140</f>
        <v>0.98347899853086229</v>
      </c>
      <c r="J345" s="592" t="s">
        <v>1097</v>
      </c>
      <c r="K345" s="592" t="s">
        <v>1012</v>
      </c>
      <c r="L345" s="592" t="s">
        <v>15</v>
      </c>
      <c r="M345" s="592" t="s">
        <v>90</v>
      </c>
      <c r="N345" s="678">
        <f>E345*G345*'Ref-Savings Calculations'!$E$39*Applicability</f>
        <v>53.805561831709454</v>
      </c>
      <c r="O345" s="678">
        <f>E345*G345*'Ref-Savings Calculations'!$C$77*Applicability*ControlShare</f>
        <v>57.888342992737343</v>
      </c>
      <c r="P345" s="678">
        <f>E345*G345*'Ref-Savings Calculations'!$E$40*Applicability</f>
        <v>45.984985984077262</v>
      </c>
      <c r="Q345" s="678">
        <f>E345*G345*('Ref-Savings Calculations'!$C$77-'Ref-Savings Calculations'!$C$124)*Applicability*ControlShare</f>
        <v>16.539526569353526</v>
      </c>
      <c r="R345" s="37"/>
      <c r="S345" s="592" t="s">
        <v>44</v>
      </c>
      <c r="T345" s="598" t="s">
        <v>63</v>
      </c>
      <c r="U345" s="592" t="s">
        <v>69</v>
      </c>
      <c r="V345" s="592" t="s">
        <v>69</v>
      </c>
      <c r="W345" s="592" t="s">
        <v>76</v>
      </c>
      <c r="X345" s="37"/>
      <c r="Y345" s="37"/>
      <c r="Z345" s="592" t="s">
        <v>78</v>
      </c>
      <c r="AA345" s="592" t="s">
        <v>78</v>
      </c>
      <c r="AB345" s="37"/>
      <c r="AC345" s="679">
        <f>'Ref-ComHOU'!$G$85</f>
        <v>13.287671232876711</v>
      </c>
      <c r="AD345" s="678" t="s">
        <v>72</v>
      </c>
      <c r="AE345" s="592" t="s">
        <v>73</v>
      </c>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c r="CA345" s="393"/>
      <c r="CB345" s="393"/>
      <c r="CC345" s="393"/>
      <c r="CD345" s="393"/>
      <c r="CE345" s="393"/>
      <c r="CF345" s="393"/>
      <c r="CG345" s="393"/>
      <c r="CH345" s="393"/>
      <c r="CI345" s="393"/>
      <c r="CJ345" s="390"/>
      <c r="CK345" s="390"/>
      <c r="CL345" s="390"/>
      <c r="CM345" s="390"/>
      <c r="CN345" s="390"/>
      <c r="CO345" s="390"/>
      <c r="CP345" s="390"/>
      <c r="CQ345" s="390"/>
      <c r="CR345" s="390"/>
      <c r="CS345" s="390"/>
      <c r="CT345" s="390"/>
      <c r="CU345" s="390"/>
      <c r="CV345" s="390"/>
      <c r="CW345" s="390"/>
      <c r="CX345" s="390"/>
      <c r="CY345" s="390"/>
      <c r="CZ345" s="390"/>
      <c r="DA345" s="390"/>
      <c r="DB345" s="390"/>
      <c r="DC345" s="390"/>
    </row>
    <row r="346" spans="1:107" s="317" customFormat="1" ht="56.25">
      <c r="A346" s="37"/>
      <c r="B346" s="591" t="s">
        <v>23</v>
      </c>
      <c r="C346" s="592" t="s">
        <v>502</v>
      </c>
      <c r="D346" s="593" t="s">
        <v>1220</v>
      </c>
      <c r="E346" s="594">
        <f>'Ref-ComSources'!$AB$11*'Ref-ComSources'!$E$229</f>
        <v>476.27033903997773</v>
      </c>
      <c r="F346" s="592" t="s">
        <v>27</v>
      </c>
      <c r="G346" s="595">
        <f>'Ref-2013CSSsaturationsINT'!$F$140</f>
        <v>0.55172730052875429</v>
      </c>
      <c r="H346" s="592" t="s">
        <v>66</v>
      </c>
      <c r="I346" s="596">
        <f>'Ref-2013CSSsaturationsINT'!$J$140</f>
        <v>0.98347899853086229</v>
      </c>
      <c r="J346" s="592" t="s">
        <v>1097</v>
      </c>
      <c r="K346" s="592" t="s">
        <v>1012</v>
      </c>
      <c r="L346" s="592" t="s">
        <v>15</v>
      </c>
      <c r="M346" s="592" t="s">
        <v>91</v>
      </c>
      <c r="N346" s="678">
        <f>E346*G346*'Ref-Savings Calculations'!$E$39*Applicability</f>
        <v>53.805561831709454</v>
      </c>
      <c r="O346" s="678" t="s">
        <v>870</v>
      </c>
      <c r="P346" s="678">
        <f>E346*G346*'Ref-Savings Calculations'!$E$40*Applicability</f>
        <v>45.984985984077262</v>
      </c>
      <c r="Q346" s="678" t="s">
        <v>870</v>
      </c>
      <c r="R346" s="37"/>
      <c r="S346" s="592" t="s">
        <v>44</v>
      </c>
      <c r="T346" s="598" t="s">
        <v>63</v>
      </c>
      <c r="U346" s="592" t="s">
        <v>69</v>
      </c>
      <c r="V346" s="592" t="s">
        <v>69</v>
      </c>
      <c r="W346" s="592" t="s">
        <v>76</v>
      </c>
      <c r="X346" s="37"/>
      <c r="Y346" s="37"/>
      <c r="Z346" s="592" t="s">
        <v>78</v>
      </c>
      <c r="AA346" s="592" t="s">
        <v>78</v>
      </c>
      <c r="AB346" s="37"/>
      <c r="AC346" s="679">
        <f>'Ref-ComHOU'!$G$85</f>
        <v>13.287671232876711</v>
      </c>
      <c r="AD346" s="678" t="s">
        <v>72</v>
      </c>
      <c r="AE346" s="592" t="s">
        <v>73</v>
      </c>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c r="CA346" s="393"/>
      <c r="CB346" s="393"/>
      <c r="CC346" s="393"/>
      <c r="CD346" s="393"/>
      <c r="CE346" s="393"/>
      <c r="CF346" s="393"/>
      <c r="CG346" s="393"/>
      <c r="CH346" s="393"/>
      <c r="CI346" s="393"/>
      <c r="CJ346" s="390"/>
      <c r="CK346" s="390"/>
      <c r="CL346" s="390"/>
      <c r="CM346" s="390"/>
      <c r="CN346" s="390"/>
      <c r="CO346" s="390"/>
      <c r="CP346" s="390"/>
      <c r="CQ346" s="390"/>
      <c r="CR346" s="390"/>
      <c r="CS346" s="390"/>
      <c r="CT346" s="390"/>
      <c r="CU346" s="390"/>
      <c r="CV346" s="390"/>
      <c r="CW346" s="390"/>
      <c r="CX346" s="390"/>
      <c r="CY346" s="390"/>
      <c r="CZ346" s="390"/>
      <c r="DA346" s="390"/>
      <c r="DB346" s="390"/>
      <c r="DC346" s="390"/>
    </row>
    <row r="347" spans="1:107" s="317" customFormat="1" ht="56.25">
      <c r="A347" s="37"/>
      <c r="B347" s="591" t="s">
        <v>23</v>
      </c>
      <c r="C347" s="592" t="s">
        <v>502</v>
      </c>
      <c r="D347" s="593" t="s">
        <v>1220</v>
      </c>
      <c r="E347" s="594">
        <f>'Ref-ComSources'!$AB$11*'Ref-ComSources'!$E$229</f>
        <v>476.27033903997773</v>
      </c>
      <c r="F347" s="592" t="s">
        <v>27</v>
      </c>
      <c r="G347" s="595">
        <f>'Ref-2013CSSsaturationsINT'!$F$140</f>
        <v>0.55172730052875429</v>
      </c>
      <c r="H347" s="592" t="s">
        <v>66</v>
      </c>
      <c r="I347" s="596">
        <f>'Ref-2013CSSsaturationsINT'!$J$140</f>
        <v>0.98347899853086229</v>
      </c>
      <c r="J347" s="592" t="s">
        <v>1097</v>
      </c>
      <c r="K347" s="592" t="s">
        <v>1012</v>
      </c>
      <c r="L347" s="592" t="s">
        <v>15</v>
      </c>
      <c r="M347" s="592" t="s">
        <v>92</v>
      </c>
      <c r="N347" s="678">
        <f>E347*G347*'Ref-Savings Calculations'!$E$39*Applicability</f>
        <v>53.805561831709454</v>
      </c>
      <c r="O347" s="678">
        <f>E347*G347*'Ref-Savings Calculations'!$C$99*Applicability*ControlShare</f>
        <v>74.427869562090848</v>
      </c>
      <c r="P347" s="678">
        <f>E347*G347*'Ref-Savings Calculations'!$E$40*Applicability</f>
        <v>45.984985984077262</v>
      </c>
      <c r="Q347" s="678">
        <f>E347*G347*('Ref-Savings Calculations'!$C$99-'Ref-Savings Calculations'!$C$124)*Applicability*ControlShare</f>
        <v>33.079053138707039</v>
      </c>
      <c r="R347" s="37"/>
      <c r="S347" s="592" t="s">
        <v>44</v>
      </c>
      <c r="T347" s="598" t="s">
        <v>63</v>
      </c>
      <c r="U347" s="592" t="s">
        <v>69</v>
      </c>
      <c r="V347" s="592" t="s">
        <v>69</v>
      </c>
      <c r="W347" s="592" t="s">
        <v>76</v>
      </c>
      <c r="X347" s="37"/>
      <c r="Y347" s="37"/>
      <c r="Z347" s="592" t="s">
        <v>78</v>
      </c>
      <c r="AA347" s="592" t="s">
        <v>78</v>
      </c>
      <c r="AB347" s="37"/>
      <c r="AC347" s="679">
        <f>'Ref-ComHOU'!$G$85</f>
        <v>13.287671232876711</v>
      </c>
      <c r="AD347" s="678" t="s">
        <v>72</v>
      </c>
      <c r="AE347" s="592" t="s">
        <v>73</v>
      </c>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c r="CA347" s="393"/>
      <c r="CB347" s="393"/>
      <c r="CC347" s="393"/>
      <c r="CD347" s="393"/>
      <c r="CE347" s="393"/>
      <c r="CF347" s="393"/>
      <c r="CG347" s="393"/>
      <c r="CH347" s="393"/>
      <c r="CI347" s="393"/>
      <c r="CJ347" s="390"/>
      <c r="CK347" s="390"/>
      <c r="CL347" s="390"/>
      <c r="CM347" s="390"/>
      <c r="CN347" s="390"/>
      <c r="CO347" s="390"/>
      <c r="CP347" s="390"/>
      <c r="CQ347" s="390"/>
      <c r="CR347" s="390"/>
      <c r="CS347" s="390"/>
      <c r="CT347" s="390"/>
      <c r="CU347" s="390"/>
      <c r="CV347" s="390"/>
      <c r="CW347" s="390"/>
      <c r="CX347" s="390"/>
      <c r="CY347" s="390"/>
      <c r="CZ347" s="390"/>
      <c r="DA347" s="390"/>
      <c r="DB347" s="390"/>
      <c r="DC347" s="390"/>
    </row>
    <row r="348" spans="1:107" s="317" customFormat="1" ht="56.25">
      <c r="A348" s="37"/>
      <c r="B348" s="591" t="s">
        <v>23</v>
      </c>
      <c r="C348" s="592" t="s">
        <v>502</v>
      </c>
      <c r="D348" s="593" t="s">
        <v>1220</v>
      </c>
      <c r="E348" s="594">
        <f>'Ref-ComSources'!$AB$11*'Ref-ComSources'!$E$229</f>
        <v>476.27033903997773</v>
      </c>
      <c r="F348" s="592" t="s">
        <v>27</v>
      </c>
      <c r="G348" s="595">
        <f>'Ref-2013CSSsaturationsINT'!$F$140</f>
        <v>0.55172730052875429</v>
      </c>
      <c r="H348" s="592" t="s">
        <v>66</v>
      </c>
      <c r="I348" s="596">
        <f>'Ref-2013CSSsaturationsINT'!$J$140</f>
        <v>0.98347899853086229</v>
      </c>
      <c r="J348" s="592" t="s">
        <v>1097</v>
      </c>
      <c r="K348" s="592" t="s">
        <v>1012</v>
      </c>
      <c r="L348" s="592" t="s">
        <v>15</v>
      </c>
      <c r="M348" s="592" t="s">
        <v>93</v>
      </c>
      <c r="N348" s="678">
        <f>E348*G348*'Ref-Savings Calculations'!$E$39*Applicability</f>
        <v>53.805561831709454</v>
      </c>
      <c r="O348" s="678">
        <f>E348*G348*'Ref-Savings Calculations'!$C$109*Applicability*ControlShare</f>
        <v>78.562751204429247</v>
      </c>
      <c r="P348" s="678">
        <f>E348*G348*'Ref-Savings Calculations'!$E$40*Applicability</f>
        <v>45.984985984077262</v>
      </c>
      <c r="Q348" s="678">
        <f>E348*G348*('Ref-Savings Calculations'!$C$109-'Ref-Savings Calculations'!$C$124)*Applicability*ControlShare</f>
        <v>37.213934781045424</v>
      </c>
      <c r="R348" s="37"/>
      <c r="S348" s="592" t="s">
        <v>44</v>
      </c>
      <c r="T348" s="598" t="s">
        <v>63</v>
      </c>
      <c r="U348" s="598" t="s">
        <v>44</v>
      </c>
      <c r="V348" s="598" t="s">
        <v>75</v>
      </c>
      <c r="W348" s="592" t="s">
        <v>76</v>
      </c>
      <c r="X348" s="37"/>
      <c r="Y348" s="37"/>
      <c r="Z348" s="592" t="s">
        <v>78</v>
      </c>
      <c r="AA348" s="592" t="s">
        <v>78</v>
      </c>
      <c r="AB348" s="37"/>
      <c r="AC348" s="679">
        <f>'Ref-ComHOU'!$G$85</f>
        <v>13.287671232876711</v>
      </c>
      <c r="AD348" s="678" t="s">
        <v>72</v>
      </c>
      <c r="AE348" s="592" t="s">
        <v>73</v>
      </c>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c r="CA348" s="393"/>
      <c r="CB348" s="393"/>
      <c r="CC348" s="393"/>
      <c r="CD348" s="393"/>
      <c r="CE348" s="393"/>
      <c r="CF348" s="393"/>
      <c r="CG348" s="393"/>
      <c r="CH348" s="393"/>
      <c r="CI348" s="393"/>
      <c r="CJ348" s="390"/>
      <c r="CK348" s="390"/>
      <c r="CL348" s="390"/>
      <c r="CM348" s="390"/>
      <c r="CN348" s="390"/>
      <c r="CO348" s="390"/>
      <c r="CP348" s="390"/>
      <c r="CQ348" s="390"/>
      <c r="CR348" s="390"/>
      <c r="CS348" s="390"/>
      <c r="CT348" s="390"/>
      <c r="CU348" s="390"/>
      <c r="CV348" s="390"/>
      <c r="CW348" s="390"/>
      <c r="CX348" s="390"/>
      <c r="CY348" s="390"/>
      <c r="CZ348" s="390"/>
      <c r="DA348" s="390"/>
      <c r="DB348" s="390"/>
      <c r="DC348" s="390"/>
    </row>
    <row r="349" spans="1:107" s="317" customFormat="1" ht="24">
      <c r="A349" s="37"/>
      <c r="B349" s="591" t="s">
        <v>23</v>
      </c>
      <c r="C349" s="592" t="s">
        <v>502</v>
      </c>
      <c r="D349" s="593" t="s">
        <v>1220</v>
      </c>
      <c r="E349" s="594">
        <f>'Ref-ComSources'!$AB$11*'Ref-ComSources'!$E$229</f>
        <v>476.27033903997773</v>
      </c>
      <c r="F349" s="592" t="s">
        <v>846</v>
      </c>
      <c r="G349" s="595">
        <f>'Ref-2013CSSsaturationsINT'!$F$141</f>
        <v>6.1204122446344586E-2</v>
      </c>
      <c r="H349" s="592" t="s">
        <v>66</v>
      </c>
      <c r="I349" s="596">
        <f>'Ref-2013CSSsaturationsINT'!$J$141</f>
        <v>0.99648613992654811</v>
      </c>
      <c r="J349" s="592" t="s">
        <v>25</v>
      </c>
      <c r="K349" s="592" t="s">
        <v>1012</v>
      </c>
      <c r="L349" s="592" t="s">
        <v>95</v>
      </c>
      <c r="M349" s="592" t="s">
        <v>88</v>
      </c>
      <c r="N349" s="678">
        <f>E354*G354*'Ref-Savings Calculations'!$E$9*Applicability</f>
        <v>18.46148182717107</v>
      </c>
      <c r="O349" s="678">
        <f>E349*G349*'Ref-Savings Calculations'!$C$54*Applicability*ControlShare</f>
        <v>5.5770777892896453</v>
      </c>
      <c r="P349" s="678">
        <f>E349*G349*'Ref-Savings Calculations'!$E$9*Applicability</f>
        <v>18.46148182717107</v>
      </c>
      <c r="Q349" s="678">
        <f>E349*G349*('Ref-Savings Calculations'!$C$54-'Ref-Savings Calculations'!$C$124)*Applicability*ControlShare</f>
        <v>0.92951296488160717</v>
      </c>
      <c r="R349" s="37"/>
      <c r="S349" s="592" t="s">
        <v>44</v>
      </c>
      <c r="T349" s="598" t="s">
        <v>63</v>
      </c>
      <c r="U349" s="592" t="s">
        <v>69</v>
      </c>
      <c r="V349" s="592" t="s">
        <v>69</v>
      </c>
      <c r="W349" s="592" t="s">
        <v>76</v>
      </c>
      <c r="X349" s="37"/>
      <c r="Y349" s="37"/>
      <c r="Z349" s="592" t="s">
        <v>78</v>
      </c>
      <c r="AA349" s="592" t="s">
        <v>78</v>
      </c>
      <c r="AB349" s="37"/>
      <c r="AC349" s="679">
        <f>'Ref-ComHOU'!$G$85</f>
        <v>13.287671232876711</v>
      </c>
      <c r="AD349" s="678" t="s">
        <v>72</v>
      </c>
      <c r="AE349" s="592" t="s">
        <v>73</v>
      </c>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c r="CA349" s="393"/>
      <c r="CB349" s="393"/>
      <c r="CC349" s="393"/>
      <c r="CD349" s="393"/>
      <c r="CE349" s="393"/>
      <c r="CF349" s="393"/>
      <c r="CG349" s="393"/>
      <c r="CH349" s="393"/>
      <c r="CI349" s="393"/>
      <c r="CJ349" s="390"/>
      <c r="CK349" s="390"/>
      <c r="CL349" s="390"/>
      <c r="CM349" s="390"/>
      <c r="CN349" s="390"/>
      <c r="CO349" s="390"/>
      <c r="CP349" s="390"/>
      <c r="CQ349" s="390"/>
      <c r="CR349" s="390"/>
      <c r="CS349" s="390"/>
      <c r="CT349" s="390"/>
      <c r="CU349" s="390"/>
      <c r="CV349" s="390"/>
      <c r="CW349" s="390"/>
      <c r="CX349" s="390"/>
      <c r="CY349" s="390"/>
      <c r="CZ349" s="390"/>
      <c r="DA349" s="390"/>
      <c r="DB349" s="390"/>
      <c r="DC349" s="390"/>
    </row>
    <row r="350" spans="1:107" s="317" customFormat="1" ht="24">
      <c r="A350" s="37"/>
      <c r="B350" s="591" t="s">
        <v>23</v>
      </c>
      <c r="C350" s="592" t="s">
        <v>502</v>
      </c>
      <c r="D350" s="593" t="s">
        <v>1220</v>
      </c>
      <c r="E350" s="594">
        <f>'Ref-ComSources'!$AB$11*'Ref-ComSources'!$E$229</f>
        <v>476.27033903997773</v>
      </c>
      <c r="F350" s="592" t="s">
        <v>846</v>
      </c>
      <c r="G350" s="595">
        <f>'Ref-2013CSSsaturationsINT'!$F$141</f>
        <v>6.1204122446344586E-2</v>
      </c>
      <c r="H350" s="592" t="s">
        <v>66</v>
      </c>
      <c r="I350" s="596">
        <f>'Ref-2013CSSsaturationsINT'!$J$141</f>
        <v>0.99648613992654811</v>
      </c>
      <c r="J350" s="592" t="s">
        <v>25</v>
      </c>
      <c r="K350" s="592" t="s">
        <v>1012</v>
      </c>
      <c r="L350" s="592" t="s">
        <v>95</v>
      </c>
      <c r="M350" s="592" t="s">
        <v>90</v>
      </c>
      <c r="N350" s="678">
        <f>E355*G355*'Ref-Savings Calculations'!$E$9*Applicability</f>
        <v>18.46148182717107</v>
      </c>
      <c r="O350" s="678">
        <f>E350*G350*'Ref-Savings Calculations'!$C$77*Applicability*ControlShare</f>
        <v>6.5065907541712544</v>
      </c>
      <c r="P350" s="678">
        <f>E350*G350*'Ref-Savings Calculations'!$E$9*Applicability</f>
        <v>18.46148182717107</v>
      </c>
      <c r="Q350" s="678">
        <f>E350*G350*('Ref-Savings Calculations'!$C$77-'Ref-Savings Calculations'!$C$124)*Applicability*ControlShare</f>
        <v>1.8590259297632157</v>
      </c>
      <c r="R350" s="37"/>
      <c r="S350" s="592" t="s">
        <v>44</v>
      </c>
      <c r="T350" s="598" t="s">
        <v>63</v>
      </c>
      <c r="U350" s="592" t="s">
        <v>69</v>
      </c>
      <c r="V350" s="592" t="s">
        <v>69</v>
      </c>
      <c r="W350" s="592" t="s">
        <v>76</v>
      </c>
      <c r="X350" s="37"/>
      <c r="Y350" s="37"/>
      <c r="Z350" s="592" t="s">
        <v>78</v>
      </c>
      <c r="AA350" s="592" t="s">
        <v>78</v>
      </c>
      <c r="AB350" s="37"/>
      <c r="AC350" s="679">
        <f>'Ref-ComHOU'!$G$85</f>
        <v>13.287671232876711</v>
      </c>
      <c r="AD350" s="678" t="s">
        <v>72</v>
      </c>
      <c r="AE350" s="592" t="s">
        <v>73</v>
      </c>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c r="CA350" s="393"/>
      <c r="CB350" s="393"/>
      <c r="CC350" s="393"/>
      <c r="CD350" s="393"/>
      <c r="CE350" s="393"/>
      <c r="CF350" s="393"/>
      <c r="CG350" s="393"/>
      <c r="CH350" s="393"/>
      <c r="CI350" s="393"/>
      <c r="CJ350" s="390"/>
      <c r="CK350" s="390"/>
      <c r="CL350" s="390"/>
      <c r="CM350" s="390"/>
      <c r="CN350" s="390"/>
      <c r="CO350" s="390"/>
      <c r="CP350" s="390"/>
      <c r="CQ350" s="390"/>
      <c r="CR350" s="390"/>
      <c r="CS350" s="390"/>
      <c r="CT350" s="390"/>
      <c r="CU350" s="390"/>
      <c r="CV350" s="390"/>
      <c r="CW350" s="390"/>
      <c r="CX350" s="390"/>
      <c r="CY350" s="390"/>
      <c r="CZ350" s="390"/>
      <c r="DA350" s="390"/>
      <c r="DB350" s="390"/>
      <c r="DC350" s="390"/>
    </row>
    <row r="351" spans="1:107" s="317" customFormat="1" ht="24">
      <c r="A351" s="37"/>
      <c r="B351" s="591" t="s">
        <v>23</v>
      </c>
      <c r="C351" s="592" t="s">
        <v>502</v>
      </c>
      <c r="D351" s="593" t="s">
        <v>1220</v>
      </c>
      <c r="E351" s="594">
        <f>'Ref-ComSources'!$AB$11*'Ref-ComSources'!$E$229</f>
        <v>476.27033903997773</v>
      </c>
      <c r="F351" s="592" t="s">
        <v>846</v>
      </c>
      <c r="G351" s="595">
        <f>'Ref-2013CSSsaturationsINT'!$F$141</f>
        <v>6.1204122446344586E-2</v>
      </c>
      <c r="H351" s="592" t="s">
        <v>66</v>
      </c>
      <c r="I351" s="596">
        <f>'Ref-2013CSSsaturationsINT'!$J$141</f>
        <v>0.99648613992654811</v>
      </c>
      <c r="J351" s="592" t="s">
        <v>25</v>
      </c>
      <c r="K351" s="592" t="s">
        <v>1012</v>
      </c>
      <c r="L351" s="592" t="s">
        <v>95</v>
      </c>
      <c r="M351" s="592" t="s">
        <v>91</v>
      </c>
      <c r="N351" s="678">
        <f>E356*G356*'Ref-Savings Calculations'!$E$9*Applicability</f>
        <v>18.46148182717107</v>
      </c>
      <c r="O351" s="678" t="s">
        <v>870</v>
      </c>
      <c r="P351" s="678">
        <f>E351*G351*'Ref-Savings Calculations'!$E$9*Applicability</f>
        <v>18.46148182717107</v>
      </c>
      <c r="Q351" s="678" t="s">
        <v>870</v>
      </c>
      <c r="R351" s="37"/>
      <c r="S351" s="592" t="s">
        <v>44</v>
      </c>
      <c r="T351" s="598" t="s">
        <v>63</v>
      </c>
      <c r="U351" s="598" t="s">
        <v>870</v>
      </c>
      <c r="V351" s="598" t="s">
        <v>870</v>
      </c>
      <c r="W351" s="592" t="s">
        <v>76</v>
      </c>
      <c r="X351" s="37"/>
      <c r="Y351" s="37"/>
      <c r="Z351" s="592" t="s">
        <v>78</v>
      </c>
      <c r="AA351" s="592" t="s">
        <v>78</v>
      </c>
      <c r="AB351" s="37"/>
      <c r="AC351" s="679">
        <f>'Ref-ComHOU'!$G$85</f>
        <v>13.287671232876711</v>
      </c>
      <c r="AD351" s="678" t="s">
        <v>72</v>
      </c>
      <c r="AE351" s="592" t="s">
        <v>73</v>
      </c>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c r="CA351" s="393"/>
      <c r="CB351" s="393"/>
      <c r="CC351" s="393"/>
      <c r="CD351" s="393"/>
      <c r="CE351" s="393"/>
      <c r="CF351" s="393"/>
      <c r="CG351" s="393"/>
      <c r="CH351" s="393"/>
      <c r="CI351" s="393"/>
      <c r="CJ351" s="390"/>
      <c r="CK351" s="390"/>
      <c r="CL351" s="390"/>
      <c r="CM351" s="390"/>
      <c r="CN351" s="390"/>
      <c r="CO351" s="390"/>
      <c r="CP351" s="390"/>
      <c r="CQ351" s="390"/>
      <c r="CR351" s="390"/>
      <c r="CS351" s="390"/>
      <c r="CT351" s="390"/>
      <c r="CU351" s="390"/>
      <c r="CV351" s="390"/>
      <c r="CW351" s="390"/>
      <c r="CX351" s="390"/>
      <c r="CY351" s="390"/>
      <c r="CZ351" s="390"/>
      <c r="DA351" s="390"/>
      <c r="DB351" s="390"/>
      <c r="DC351" s="390"/>
    </row>
    <row r="352" spans="1:107" s="317" customFormat="1" ht="24">
      <c r="A352" s="37"/>
      <c r="B352" s="591" t="s">
        <v>23</v>
      </c>
      <c r="C352" s="592" t="s">
        <v>502</v>
      </c>
      <c r="D352" s="593" t="s">
        <v>1220</v>
      </c>
      <c r="E352" s="594">
        <f>'Ref-ComSources'!$AB$11*'Ref-ComSources'!$E$229</f>
        <v>476.27033903997773</v>
      </c>
      <c r="F352" s="592" t="s">
        <v>846</v>
      </c>
      <c r="G352" s="595">
        <f>'Ref-2013CSSsaturationsINT'!$F$141</f>
        <v>6.1204122446344586E-2</v>
      </c>
      <c r="H352" s="592" t="s">
        <v>66</v>
      </c>
      <c r="I352" s="596">
        <f>'Ref-2013CSSsaturationsINT'!$J$141</f>
        <v>0.99648613992654811</v>
      </c>
      <c r="J352" s="592" t="s">
        <v>25</v>
      </c>
      <c r="K352" s="592" t="s">
        <v>1012</v>
      </c>
      <c r="L352" s="592" t="s">
        <v>95</v>
      </c>
      <c r="M352" s="592" t="s">
        <v>92</v>
      </c>
      <c r="N352" s="678">
        <f>E357*G357*'Ref-Savings Calculations'!$E$9*Applicability</f>
        <v>18.46148182717107</v>
      </c>
      <c r="O352" s="678">
        <f>E352*G352*'Ref-Savings Calculations'!$C$99*Applicability*ControlShare</f>
        <v>8.3656166839344674</v>
      </c>
      <c r="P352" s="678">
        <f>E352*G352*'Ref-Savings Calculations'!$E$9*Applicability</f>
        <v>18.46148182717107</v>
      </c>
      <c r="Q352" s="678">
        <f>E352*G352*('Ref-Savings Calculations'!$C$99-'Ref-Savings Calculations'!$C$124)*Applicability*ControlShare</f>
        <v>3.71805185952643</v>
      </c>
      <c r="R352" s="37"/>
      <c r="S352" s="592" t="s">
        <v>44</v>
      </c>
      <c r="T352" s="598" t="s">
        <v>63</v>
      </c>
      <c r="U352" s="592" t="s">
        <v>69</v>
      </c>
      <c r="V352" s="592" t="s">
        <v>69</v>
      </c>
      <c r="W352" s="592" t="s">
        <v>76</v>
      </c>
      <c r="X352" s="37"/>
      <c r="Y352" s="37"/>
      <c r="Z352" s="592" t="s">
        <v>78</v>
      </c>
      <c r="AA352" s="592" t="s">
        <v>78</v>
      </c>
      <c r="AB352" s="37"/>
      <c r="AC352" s="679">
        <f>'Ref-ComHOU'!$G$85</f>
        <v>13.287671232876711</v>
      </c>
      <c r="AD352" s="678" t="s">
        <v>72</v>
      </c>
      <c r="AE352" s="592" t="s">
        <v>73</v>
      </c>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c r="CA352" s="393"/>
      <c r="CB352" s="393"/>
      <c r="CC352" s="393"/>
      <c r="CD352" s="393"/>
      <c r="CE352" s="393"/>
      <c r="CF352" s="393"/>
      <c r="CG352" s="393"/>
      <c r="CH352" s="393"/>
      <c r="CI352" s="393"/>
      <c r="CJ352" s="390"/>
      <c r="CK352" s="390"/>
      <c r="CL352" s="390"/>
      <c r="CM352" s="390"/>
      <c r="CN352" s="390"/>
      <c r="CO352" s="390"/>
      <c r="CP352" s="390"/>
      <c r="CQ352" s="390"/>
      <c r="CR352" s="390"/>
      <c r="CS352" s="390"/>
      <c r="CT352" s="390"/>
      <c r="CU352" s="390"/>
      <c r="CV352" s="390"/>
      <c r="CW352" s="390"/>
      <c r="CX352" s="390"/>
      <c r="CY352" s="390"/>
      <c r="CZ352" s="390"/>
      <c r="DA352" s="390"/>
      <c r="DB352" s="390"/>
      <c r="DC352" s="390"/>
    </row>
    <row r="353" spans="1:107" s="317" customFormat="1" ht="24">
      <c r="A353" s="37"/>
      <c r="B353" s="591" t="s">
        <v>23</v>
      </c>
      <c r="C353" s="592" t="s">
        <v>502</v>
      </c>
      <c r="D353" s="593" t="s">
        <v>1220</v>
      </c>
      <c r="E353" s="594">
        <f>'Ref-ComSources'!$AB$11*'Ref-ComSources'!$E$229</f>
        <v>476.27033903997773</v>
      </c>
      <c r="F353" s="592" t="s">
        <v>846</v>
      </c>
      <c r="G353" s="595">
        <f>'Ref-2013CSSsaturationsINT'!$F$141</f>
        <v>6.1204122446344586E-2</v>
      </c>
      <c r="H353" s="592" t="s">
        <v>66</v>
      </c>
      <c r="I353" s="596">
        <f>'Ref-2013CSSsaturationsINT'!$J$141</f>
        <v>0.99648613992654811</v>
      </c>
      <c r="J353" s="592" t="s">
        <v>25</v>
      </c>
      <c r="K353" s="592" t="s">
        <v>1012</v>
      </c>
      <c r="L353" s="592" t="s">
        <v>95</v>
      </c>
      <c r="M353" s="592" t="s">
        <v>93</v>
      </c>
      <c r="N353" s="678">
        <f>E358*G358*'Ref-Savings Calculations'!$E$9*Applicability</f>
        <v>18.46148182717107</v>
      </c>
      <c r="O353" s="678">
        <f>E353*G353*'Ref-Savings Calculations'!$C$109*Applicability*ControlShare</f>
        <v>8.8303731663752725</v>
      </c>
      <c r="P353" s="678">
        <f>E353*G353*'Ref-Savings Calculations'!$E$9*Applicability</f>
        <v>18.46148182717107</v>
      </c>
      <c r="Q353" s="678">
        <f>E353*G353*('Ref-Savings Calculations'!$C$109-'Ref-Savings Calculations'!$C$124)*Applicability*ControlShare</f>
        <v>4.1828083419672337</v>
      </c>
      <c r="R353" s="37"/>
      <c r="S353" s="592" t="s">
        <v>44</v>
      </c>
      <c r="T353" s="598" t="s">
        <v>63</v>
      </c>
      <c r="U353" s="598" t="s">
        <v>44</v>
      </c>
      <c r="V353" s="598" t="s">
        <v>75</v>
      </c>
      <c r="W353" s="592" t="s">
        <v>76</v>
      </c>
      <c r="X353" s="37"/>
      <c r="Y353" s="37"/>
      <c r="Z353" s="592" t="s">
        <v>78</v>
      </c>
      <c r="AA353" s="592" t="s">
        <v>78</v>
      </c>
      <c r="AB353" s="37"/>
      <c r="AC353" s="679">
        <f>'Ref-ComHOU'!$G$85</f>
        <v>13.287671232876711</v>
      </c>
      <c r="AD353" s="678" t="s">
        <v>72</v>
      </c>
      <c r="AE353" s="592" t="s">
        <v>73</v>
      </c>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c r="CA353" s="393"/>
      <c r="CB353" s="393"/>
      <c r="CC353" s="393"/>
      <c r="CD353" s="393"/>
      <c r="CE353" s="393"/>
      <c r="CF353" s="393"/>
      <c r="CG353" s="393"/>
      <c r="CH353" s="393"/>
      <c r="CI353" s="393"/>
      <c r="CJ353" s="390"/>
      <c r="CK353" s="390"/>
      <c r="CL353" s="390"/>
      <c r="CM353" s="390"/>
      <c r="CN353" s="390"/>
      <c r="CO353" s="390"/>
      <c r="CP353" s="390"/>
      <c r="CQ353" s="390"/>
      <c r="CR353" s="390"/>
      <c r="CS353" s="390"/>
      <c r="CT353" s="390"/>
      <c r="CU353" s="390"/>
      <c r="CV353" s="390"/>
      <c r="CW353" s="390"/>
      <c r="CX353" s="390"/>
      <c r="CY353" s="390"/>
      <c r="CZ353" s="390"/>
      <c r="DA353" s="390"/>
      <c r="DB353" s="390"/>
      <c r="DC353" s="390"/>
    </row>
    <row r="354" spans="1:107" s="317" customFormat="1" ht="24">
      <c r="A354" s="37"/>
      <c r="B354" s="591" t="s">
        <v>23</v>
      </c>
      <c r="C354" s="592" t="s">
        <v>502</v>
      </c>
      <c r="D354" s="593" t="s">
        <v>1220</v>
      </c>
      <c r="E354" s="594">
        <f>'Ref-ComSources'!$AB$11*'Ref-ComSources'!$E$229</f>
        <v>476.27033903997773</v>
      </c>
      <c r="F354" s="592" t="s">
        <v>846</v>
      </c>
      <c r="G354" s="595">
        <f>'Ref-2013CSSsaturationsINT'!$F$141</f>
        <v>6.1204122446344586E-2</v>
      </c>
      <c r="H354" s="592" t="s">
        <v>66</v>
      </c>
      <c r="I354" s="596">
        <f>'Ref-2013CSSsaturationsINT'!$J$141</f>
        <v>0.99648613992654811</v>
      </c>
      <c r="J354" s="592" t="s">
        <v>25</v>
      </c>
      <c r="K354" s="592" t="s">
        <v>1012</v>
      </c>
      <c r="L354" s="592" t="s">
        <v>24</v>
      </c>
      <c r="M354" s="592" t="s">
        <v>88</v>
      </c>
      <c r="N354" s="678">
        <f>E354*G354*'Ref-Savings Calculations'!$E$8*Applicability</f>
        <v>17.003996419762828</v>
      </c>
      <c r="O354" s="678">
        <f>E354*G354*'Ref-Savings Calculations'!$C$54*Applicability*ControlShare</f>
        <v>5.5770777892896453</v>
      </c>
      <c r="P354" s="678">
        <f>E354*G354*'Ref-Savings Calculations'!$E$8*Applicability</f>
        <v>17.003996419762828</v>
      </c>
      <c r="Q354" s="678">
        <f>E354*G354*('Ref-Savings Calculations'!$C$54-'Ref-Savings Calculations'!$C$124)*Applicability*ControlShare</f>
        <v>0.92951296488160717</v>
      </c>
      <c r="R354" s="37"/>
      <c r="S354" s="592" t="s">
        <v>68</v>
      </c>
      <c r="T354" s="592" t="s">
        <v>63</v>
      </c>
      <c r="U354" s="592" t="s">
        <v>69</v>
      </c>
      <c r="V354" s="592" t="s">
        <v>69</v>
      </c>
      <c r="W354" s="592" t="s">
        <v>70</v>
      </c>
      <c r="X354" s="37"/>
      <c r="Y354" s="37"/>
      <c r="Z354" s="592" t="s">
        <v>78</v>
      </c>
      <c r="AA354" s="592" t="s">
        <v>78</v>
      </c>
      <c r="AB354" s="37"/>
      <c r="AC354" s="679">
        <f>'Ref-ComHOU'!$G$85</f>
        <v>13.287671232876711</v>
      </c>
      <c r="AD354" s="678" t="s">
        <v>72</v>
      </c>
      <c r="AE354" s="592" t="s">
        <v>73</v>
      </c>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c r="CA354" s="393"/>
      <c r="CB354" s="393"/>
      <c r="CC354" s="393"/>
      <c r="CD354" s="393"/>
      <c r="CE354" s="393"/>
      <c r="CF354" s="393"/>
      <c r="CG354" s="393"/>
      <c r="CH354" s="393"/>
      <c r="CI354" s="393"/>
      <c r="CJ354" s="390"/>
      <c r="CK354" s="390"/>
      <c r="CL354" s="390"/>
      <c r="CM354" s="390"/>
      <c r="CN354" s="390"/>
      <c r="CO354" s="390"/>
      <c r="CP354" s="390"/>
      <c r="CQ354" s="390"/>
      <c r="CR354" s="390"/>
      <c r="CS354" s="390"/>
      <c r="CT354" s="390"/>
      <c r="CU354" s="390"/>
      <c r="CV354" s="390"/>
      <c r="CW354" s="390"/>
      <c r="CX354" s="390"/>
      <c r="CY354" s="390"/>
      <c r="CZ354" s="390"/>
      <c r="DA354" s="390"/>
      <c r="DB354" s="390"/>
      <c r="DC354" s="390"/>
    </row>
    <row r="355" spans="1:107" s="317" customFormat="1" ht="24">
      <c r="A355" s="37"/>
      <c r="B355" s="591" t="s">
        <v>23</v>
      </c>
      <c r="C355" s="592" t="s">
        <v>502</v>
      </c>
      <c r="D355" s="593" t="s">
        <v>1220</v>
      </c>
      <c r="E355" s="594">
        <f>'Ref-ComSources'!$AB$11*'Ref-ComSources'!$E$229</f>
        <v>476.27033903997773</v>
      </c>
      <c r="F355" s="592" t="s">
        <v>846</v>
      </c>
      <c r="G355" s="595">
        <f>'Ref-2013CSSsaturationsINT'!$F$141</f>
        <v>6.1204122446344586E-2</v>
      </c>
      <c r="H355" s="592" t="s">
        <v>66</v>
      </c>
      <c r="I355" s="596">
        <f>'Ref-2013CSSsaturationsINT'!$J$141</f>
        <v>0.99648613992654811</v>
      </c>
      <c r="J355" s="592" t="s">
        <v>25</v>
      </c>
      <c r="K355" s="592" t="s">
        <v>1012</v>
      </c>
      <c r="L355" s="592" t="s">
        <v>24</v>
      </c>
      <c r="M355" s="592" t="s">
        <v>90</v>
      </c>
      <c r="N355" s="678">
        <f>E355*G355*'Ref-Savings Calculations'!$E$8*Applicability</f>
        <v>17.003996419762828</v>
      </c>
      <c r="O355" s="678">
        <f>E355*G355*'Ref-Savings Calculations'!$C$77*Applicability*ControlShare</f>
        <v>6.5065907541712544</v>
      </c>
      <c r="P355" s="678">
        <f>E355*G355*'Ref-Savings Calculations'!$E$8*Applicability</f>
        <v>17.003996419762828</v>
      </c>
      <c r="Q355" s="678">
        <f>E355*G355*('Ref-Savings Calculations'!$C$77-'Ref-Savings Calculations'!$C$124)*Applicability*ControlShare</f>
        <v>1.8590259297632157</v>
      </c>
      <c r="R355" s="37"/>
      <c r="S355" s="592" t="s">
        <v>68</v>
      </c>
      <c r="T355" s="592" t="s">
        <v>63</v>
      </c>
      <c r="U355" s="592" t="s">
        <v>69</v>
      </c>
      <c r="V355" s="592" t="s">
        <v>69</v>
      </c>
      <c r="W355" s="592" t="s">
        <v>70</v>
      </c>
      <c r="X355" s="37"/>
      <c r="Y355" s="37"/>
      <c r="Z355" s="592" t="s">
        <v>78</v>
      </c>
      <c r="AA355" s="592" t="s">
        <v>78</v>
      </c>
      <c r="AB355" s="37"/>
      <c r="AC355" s="679">
        <f>'Ref-ComHOU'!$G$85</f>
        <v>13.287671232876711</v>
      </c>
      <c r="AD355" s="678" t="s">
        <v>72</v>
      </c>
      <c r="AE355" s="592" t="s">
        <v>73</v>
      </c>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c r="CA355" s="393"/>
      <c r="CB355" s="393"/>
      <c r="CC355" s="393"/>
      <c r="CD355" s="393"/>
      <c r="CE355" s="393"/>
      <c r="CF355" s="393"/>
      <c r="CG355" s="393"/>
      <c r="CH355" s="393"/>
      <c r="CI355" s="393"/>
      <c r="CJ355" s="390"/>
      <c r="CK355" s="390"/>
      <c r="CL355" s="390"/>
      <c r="CM355" s="390"/>
      <c r="CN355" s="390"/>
      <c r="CO355" s="390"/>
      <c r="CP355" s="390"/>
      <c r="CQ355" s="390"/>
      <c r="CR355" s="390"/>
      <c r="CS355" s="390"/>
      <c r="CT355" s="390"/>
      <c r="CU355" s="390"/>
      <c r="CV355" s="390"/>
      <c r="CW355" s="390"/>
      <c r="CX355" s="390"/>
      <c r="CY355" s="390"/>
      <c r="CZ355" s="390"/>
      <c r="DA355" s="390"/>
      <c r="DB355" s="390"/>
      <c r="DC355" s="390"/>
    </row>
    <row r="356" spans="1:107" s="317" customFormat="1" ht="24">
      <c r="A356" s="37"/>
      <c r="B356" s="591" t="s">
        <v>23</v>
      </c>
      <c r="C356" s="592" t="s">
        <v>502</v>
      </c>
      <c r="D356" s="593" t="s">
        <v>1220</v>
      </c>
      <c r="E356" s="594">
        <f>'Ref-ComSources'!$AB$11*'Ref-ComSources'!$E$229</f>
        <v>476.27033903997773</v>
      </c>
      <c r="F356" s="592" t="s">
        <v>846</v>
      </c>
      <c r="G356" s="595">
        <f>'Ref-2013CSSsaturationsINT'!$F$141</f>
        <v>6.1204122446344586E-2</v>
      </c>
      <c r="H356" s="592" t="s">
        <v>66</v>
      </c>
      <c r="I356" s="596">
        <f>'Ref-2013CSSsaturationsINT'!$J$141</f>
        <v>0.99648613992654811</v>
      </c>
      <c r="J356" s="592" t="s">
        <v>25</v>
      </c>
      <c r="K356" s="592" t="s">
        <v>1012</v>
      </c>
      <c r="L356" s="592" t="s">
        <v>24</v>
      </c>
      <c r="M356" s="592" t="s">
        <v>91</v>
      </c>
      <c r="N356" s="678">
        <f>E356*G356*'Ref-Savings Calculations'!$E$8*Applicability</f>
        <v>17.003996419762828</v>
      </c>
      <c r="O356" s="678" t="s">
        <v>870</v>
      </c>
      <c r="P356" s="678">
        <f>E356*G356*'Ref-Savings Calculations'!$E$8*Applicability</f>
        <v>17.003996419762828</v>
      </c>
      <c r="Q356" s="678" t="s">
        <v>870</v>
      </c>
      <c r="R356" s="37"/>
      <c r="S356" s="592" t="s">
        <v>68</v>
      </c>
      <c r="T356" s="592" t="s">
        <v>63</v>
      </c>
      <c r="U356" s="598" t="s">
        <v>69</v>
      </c>
      <c r="V356" s="598" t="s">
        <v>69</v>
      </c>
      <c r="W356" s="592" t="s">
        <v>70</v>
      </c>
      <c r="X356" s="37"/>
      <c r="Y356" s="37"/>
      <c r="Z356" s="592" t="s">
        <v>78</v>
      </c>
      <c r="AA356" s="592" t="s">
        <v>78</v>
      </c>
      <c r="AB356" s="37"/>
      <c r="AC356" s="679">
        <f>'Ref-ComHOU'!$G$85</f>
        <v>13.287671232876711</v>
      </c>
      <c r="AD356" s="678" t="s">
        <v>72</v>
      </c>
      <c r="AE356" s="592" t="s">
        <v>73</v>
      </c>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c r="CA356" s="393"/>
      <c r="CB356" s="393"/>
      <c r="CC356" s="393"/>
      <c r="CD356" s="393"/>
      <c r="CE356" s="393"/>
      <c r="CF356" s="393"/>
      <c r="CG356" s="393"/>
      <c r="CH356" s="393"/>
      <c r="CI356" s="393"/>
      <c r="CJ356" s="390"/>
      <c r="CK356" s="390"/>
      <c r="CL356" s="390"/>
      <c r="CM356" s="390"/>
      <c r="CN356" s="390"/>
      <c r="CO356" s="390"/>
      <c r="CP356" s="390"/>
      <c r="CQ356" s="390"/>
      <c r="CR356" s="390"/>
      <c r="CS356" s="390"/>
      <c r="CT356" s="390"/>
      <c r="CU356" s="390"/>
      <c r="CV356" s="390"/>
      <c r="CW356" s="390"/>
      <c r="CX356" s="390"/>
      <c r="CY356" s="390"/>
      <c r="CZ356" s="390"/>
      <c r="DA356" s="390"/>
      <c r="DB356" s="390"/>
      <c r="DC356" s="390"/>
    </row>
    <row r="357" spans="1:107" s="317" customFormat="1" ht="24">
      <c r="A357" s="37"/>
      <c r="B357" s="591" t="s">
        <v>23</v>
      </c>
      <c r="C357" s="592" t="s">
        <v>502</v>
      </c>
      <c r="D357" s="593" t="s">
        <v>1220</v>
      </c>
      <c r="E357" s="594">
        <f>'Ref-ComSources'!$AB$11*'Ref-ComSources'!$E$229</f>
        <v>476.27033903997773</v>
      </c>
      <c r="F357" s="592" t="s">
        <v>846</v>
      </c>
      <c r="G357" s="595">
        <f>'Ref-2013CSSsaturationsINT'!$F$141</f>
        <v>6.1204122446344586E-2</v>
      </c>
      <c r="H357" s="592" t="s">
        <v>66</v>
      </c>
      <c r="I357" s="596">
        <f>'Ref-2013CSSsaturationsINT'!$J$141</f>
        <v>0.99648613992654811</v>
      </c>
      <c r="J357" s="592" t="s">
        <v>25</v>
      </c>
      <c r="K357" s="592" t="s">
        <v>1012</v>
      </c>
      <c r="L357" s="592" t="s">
        <v>24</v>
      </c>
      <c r="M357" s="592" t="s">
        <v>92</v>
      </c>
      <c r="N357" s="678">
        <f>E357*G357*'Ref-Savings Calculations'!$E$8*Applicability</f>
        <v>17.003996419762828</v>
      </c>
      <c r="O357" s="678">
        <f>E357*G357*'Ref-Savings Calculations'!$C$99*Applicability*ControlShare</f>
        <v>8.3656166839344674</v>
      </c>
      <c r="P357" s="678">
        <f>E357*G357*'Ref-Savings Calculations'!$E$8*Applicability</f>
        <v>17.003996419762828</v>
      </c>
      <c r="Q357" s="678">
        <f>E357*G357*('Ref-Savings Calculations'!$C$99-'Ref-Savings Calculations'!$C$124)*Applicability*ControlShare</f>
        <v>3.71805185952643</v>
      </c>
      <c r="R357" s="37"/>
      <c r="S357" s="592" t="s">
        <v>68</v>
      </c>
      <c r="T357" s="592" t="s">
        <v>63</v>
      </c>
      <c r="U357" s="592" t="s">
        <v>69</v>
      </c>
      <c r="V357" s="592" t="s">
        <v>69</v>
      </c>
      <c r="W357" s="592" t="s">
        <v>70</v>
      </c>
      <c r="X357" s="37"/>
      <c r="Y357" s="37"/>
      <c r="Z357" s="592" t="s">
        <v>78</v>
      </c>
      <c r="AA357" s="592" t="s">
        <v>78</v>
      </c>
      <c r="AB357" s="37"/>
      <c r="AC357" s="679">
        <f>'Ref-ComHOU'!$G$85</f>
        <v>13.287671232876711</v>
      </c>
      <c r="AD357" s="678" t="s">
        <v>72</v>
      </c>
      <c r="AE357" s="592" t="s">
        <v>73</v>
      </c>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c r="CA357" s="393"/>
      <c r="CB357" s="393"/>
      <c r="CC357" s="393"/>
      <c r="CD357" s="393"/>
      <c r="CE357" s="393"/>
      <c r="CF357" s="393"/>
      <c r="CG357" s="393"/>
      <c r="CH357" s="393"/>
      <c r="CI357" s="393"/>
      <c r="CJ357" s="390"/>
      <c r="CK357" s="390"/>
      <c r="CL357" s="390"/>
      <c r="CM357" s="390"/>
      <c r="CN357" s="390"/>
      <c r="CO357" s="390"/>
      <c r="CP357" s="390"/>
      <c r="CQ357" s="390"/>
      <c r="CR357" s="390"/>
      <c r="CS357" s="390"/>
      <c r="CT357" s="390"/>
      <c r="CU357" s="390"/>
      <c r="CV357" s="390"/>
      <c r="CW357" s="390"/>
      <c r="CX357" s="390"/>
      <c r="CY357" s="390"/>
      <c r="CZ357" s="390"/>
      <c r="DA357" s="390"/>
      <c r="DB357" s="390"/>
      <c r="DC357" s="390"/>
    </row>
    <row r="358" spans="1:107" s="317" customFormat="1" ht="24">
      <c r="A358" s="37"/>
      <c r="B358" s="591" t="s">
        <v>23</v>
      </c>
      <c r="C358" s="592" t="s">
        <v>502</v>
      </c>
      <c r="D358" s="593" t="s">
        <v>1220</v>
      </c>
      <c r="E358" s="594">
        <f>'Ref-ComSources'!$AB$11*'Ref-ComSources'!$E$229</f>
        <v>476.27033903997773</v>
      </c>
      <c r="F358" s="592" t="s">
        <v>846</v>
      </c>
      <c r="G358" s="595">
        <f>'Ref-2013CSSsaturationsINT'!$F$141</f>
        <v>6.1204122446344586E-2</v>
      </c>
      <c r="H358" s="592" t="s">
        <v>66</v>
      </c>
      <c r="I358" s="596">
        <f>'Ref-2013CSSsaturationsINT'!$J$141</f>
        <v>0.99648613992654811</v>
      </c>
      <c r="J358" s="592" t="s">
        <v>25</v>
      </c>
      <c r="K358" s="592" t="s">
        <v>1012</v>
      </c>
      <c r="L358" s="592" t="s">
        <v>24</v>
      </c>
      <c r="M358" s="592" t="s">
        <v>93</v>
      </c>
      <c r="N358" s="678">
        <f>E358*G358*'Ref-Savings Calculations'!$E$8*Applicability</f>
        <v>17.003996419762828</v>
      </c>
      <c r="O358" s="678">
        <f>E358*G358*'Ref-Savings Calculations'!$C$109*Applicability*ControlShare</f>
        <v>8.8303731663752725</v>
      </c>
      <c r="P358" s="678">
        <f>E358*G358*'Ref-Savings Calculations'!$E$8*Applicability</f>
        <v>17.003996419762828</v>
      </c>
      <c r="Q358" s="678">
        <f>E358*G358*('Ref-Savings Calculations'!$C$109-'Ref-Savings Calculations'!$C$124)*Applicability*ControlShare</f>
        <v>4.1828083419672337</v>
      </c>
      <c r="R358" s="37"/>
      <c r="S358" s="592" t="s">
        <v>68</v>
      </c>
      <c r="T358" s="592" t="s">
        <v>63</v>
      </c>
      <c r="U358" s="598" t="s">
        <v>44</v>
      </c>
      <c r="V358" s="598" t="s">
        <v>75</v>
      </c>
      <c r="W358" s="592" t="s">
        <v>70</v>
      </c>
      <c r="X358" s="37"/>
      <c r="Y358" s="37"/>
      <c r="Z358" s="592" t="s">
        <v>78</v>
      </c>
      <c r="AA358" s="592" t="s">
        <v>78</v>
      </c>
      <c r="AB358" s="37"/>
      <c r="AC358" s="679">
        <f>'Ref-ComHOU'!$G$85</f>
        <v>13.287671232876711</v>
      </c>
      <c r="AD358" s="678" t="s">
        <v>72</v>
      </c>
      <c r="AE358" s="592" t="s">
        <v>73</v>
      </c>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c r="CA358" s="393"/>
      <c r="CB358" s="393"/>
      <c r="CC358" s="393"/>
      <c r="CD358" s="393"/>
      <c r="CE358" s="393"/>
      <c r="CF358" s="393"/>
      <c r="CG358" s="393"/>
      <c r="CH358" s="393"/>
      <c r="CI358" s="393"/>
      <c r="CJ358" s="390"/>
      <c r="CK358" s="390"/>
      <c r="CL358" s="390"/>
      <c r="CM358" s="390"/>
      <c r="CN358" s="390"/>
      <c r="CO358" s="390"/>
      <c r="CP358" s="390"/>
      <c r="CQ358" s="390"/>
      <c r="CR358" s="390"/>
      <c r="CS358" s="390"/>
      <c r="CT358" s="390"/>
      <c r="CU358" s="390"/>
      <c r="CV358" s="390"/>
      <c r="CW358" s="390"/>
      <c r="CX358" s="390"/>
      <c r="CY358" s="390"/>
      <c r="CZ358" s="390"/>
      <c r="DA358" s="390"/>
      <c r="DB358" s="390"/>
      <c r="DC358" s="390"/>
    </row>
    <row r="359" spans="1:107" s="317" customFormat="1" ht="24">
      <c r="A359" s="37"/>
      <c r="B359" s="591" t="s">
        <v>23</v>
      </c>
      <c r="C359" s="592" t="s">
        <v>502</v>
      </c>
      <c r="D359" s="593" t="s">
        <v>1220</v>
      </c>
      <c r="E359" s="594">
        <f>'Ref-ComSources'!$AB$11*'Ref-ComSources'!$E$229</f>
        <v>476.27033903997773</v>
      </c>
      <c r="F359" s="592" t="s">
        <v>24</v>
      </c>
      <c r="G359" s="595">
        <f>'Ref-2013CSSsaturationsINT'!$F$143</f>
        <v>0.12730402308783406</v>
      </c>
      <c r="H359" s="592" t="s">
        <v>66</v>
      </c>
      <c r="I359" s="596">
        <f>'Ref-2013CSSsaturationsINT'!$J$143</f>
        <v>0.98020259659279285</v>
      </c>
      <c r="J359" s="592" t="s">
        <v>25</v>
      </c>
      <c r="K359" s="592" t="s">
        <v>1012</v>
      </c>
      <c r="L359" s="592" t="s">
        <v>95</v>
      </c>
      <c r="M359" s="592" t="s">
        <v>88</v>
      </c>
      <c r="N359" s="678">
        <f>E359*G359*'Ref-Savings Calculations'!$E$7*Applicability</f>
        <v>11.193439428405396</v>
      </c>
      <c r="O359" s="678">
        <f>E359*G359*'Ref-Savings Calculations'!$C$54*Applicability*ControlShare</f>
        <v>11.410711928228197</v>
      </c>
      <c r="P359" s="678">
        <f>rMarketSolutions[[#This Row],[Lighting Savings
(lamp and/or ballast)]]</f>
        <v>11.193439428405396</v>
      </c>
      <c r="Q359" s="678">
        <f>E359*G359*('Ref-Savings Calculations'!$C$54-'Ref-Savings Calculations'!$C$124)*Applicability*ControlShare</f>
        <v>1.9017853213713654</v>
      </c>
      <c r="R359" s="37"/>
      <c r="S359" s="592" t="s">
        <v>44</v>
      </c>
      <c r="T359" s="598" t="s">
        <v>63</v>
      </c>
      <c r="U359" s="592" t="s">
        <v>69</v>
      </c>
      <c r="V359" s="592" t="s">
        <v>69</v>
      </c>
      <c r="W359" s="592" t="s">
        <v>76</v>
      </c>
      <c r="X359" s="37"/>
      <c r="Y359" s="37"/>
      <c r="Z359" s="592" t="s">
        <v>78</v>
      </c>
      <c r="AA359" s="592" t="s">
        <v>78</v>
      </c>
      <c r="AB359" s="37"/>
      <c r="AC359" s="679">
        <f>'Ref-ComHOU'!$G$85</f>
        <v>13.287671232876711</v>
      </c>
      <c r="AD359" s="678" t="s">
        <v>72</v>
      </c>
      <c r="AE359" s="592" t="s">
        <v>73</v>
      </c>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c r="CA359" s="393"/>
      <c r="CB359" s="393"/>
      <c r="CC359" s="393"/>
      <c r="CD359" s="393"/>
      <c r="CE359" s="393"/>
      <c r="CF359" s="393"/>
      <c r="CG359" s="393"/>
      <c r="CH359" s="393"/>
      <c r="CI359" s="393"/>
      <c r="CJ359" s="390"/>
      <c r="CK359" s="390"/>
      <c r="CL359" s="390"/>
      <c r="CM359" s="390"/>
      <c r="CN359" s="390"/>
      <c r="CO359" s="390"/>
      <c r="CP359" s="390"/>
      <c r="CQ359" s="390"/>
      <c r="CR359" s="390"/>
      <c r="CS359" s="390"/>
      <c r="CT359" s="390"/>
      <c r="CU359" s="390"/>
      <c r="CV359" s="390"/>
      <c r="CW359" s="390"/>
      <c r="CX359" s="390"/>
      <c r="CY359" s="390"/>
      <c r="CZ359" s="390"/>
      <c r="DA359" s="390"/>
      <c r="DB359" s="390"/>
      <c r="DC359" s="390"/>
    </row>
    <row r="360" spans="1:107" s="317" customFormat="1" ht="24">
      <c r="A360" s="37"/>
      <c r="B360" s="591" t="s">
        <v>23</v>
      </c>
      <c r="C360" s="592" t="s">
        <v>502</v>
      </c>
      <c r="D360" s="593" t="s">
        <v>1220</v>
      </c>
      <c r="E360" s="594">
        <f>'Ref-ComSources'!$AB$11*'Ref-ComSources'!$E$229</f>
        <v>476.27033903997773</v>
      </c>
      <c r="F360" s="592" t="s">
        <v>24</v>
      </c>
      <c r="G360" s="595">
        <f>'Ref-2013CSSsaturationsINT'!$F$143</f>
        <v>0.12730402308783406</v>
      </c>
      <c r="H360" s="592" t="s">
        <v>66</v>
      </c>
      <c r="I360" s="596">
        <f>'Ref-2013CSSsaturationsINT'!$J$143</f>
        <v>0.98020259659279285</v>
      </c>
      <c r="J360" s="592" t="s">
        <v>25</v>
      </c>
      <c r="K360" s="592" t="s">
        <v>1012</v>
      </c>
      <c r="L360" s="592" t="s">
        <v>95</v>
      </c>
      <c r="M360" s="592" t="s">
        <v>90</v>
      </c>
      <c r="N360" s="678">
        <f>E360*G360*'Ref-Savings Calculations'!$E$7*Applicability</f>
        <v>11.193439428405396</v>
      </c>
      <c r="O360" s="678">
        <f>E360*G360*'Ref-Savings Calculations'!$C$77*Applicability*ControlShare</f>
        <v>13.312497249599566</v>
      </c>
      <c r="P360" s="678">
        <f>rMarketSolutions[[#This Row],[Lighting Savings
(lamp and/or ballast)]]</f>
        <v>11.193439428405396</v>
      </c>
      <c r="Q360" s="678">
        <f>E360*G360*('Ref-Savings Calculations'!$C$77-'Ref-Savings Calculations'!$C$124)*Applicability*ControlShare</f>
        <v>3.8035706427427338</v>
      </c>
      <c r="R360" s="37"/>
      <c r="S360" s="592" t="s">
        <v>44</v>
      </c>
      <c r="T360" s="598" t="s">
        <v>63</v>
      </c>
      <c r="U360" s="592" t="s">
        <v>69</v>
      </c>
      <c r="V360" s="592" t="s">
        <v>69</v>
      </c>
      <c r="W360" s="592" t="s">
        <v>76</v>
      </c>
      <c r="X360" s="37"/>
      <c r="Y360" s="37"/>
      <c r="Z360" s="592" t="s">
        <v>78</v>
      </c>
      <c r="AA360" s="592" t="s">
        <v>78</v>
      </c>
      <c r="AB360" s="37"/>
      <c r="AC360" s="679">
        <f>'Ref-ComHOU'!$G$85</f>
        <v>13.287671232876711</v>
      </c>
      <c r="AD360" s="678" t="s">
        <v>72</v>
      </c>
      <c r="AE360" s="592" t="s">
        <v>73</v>
      </c>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c r="CA360" s="393"/>
      <c r="CB360" s="393"/>
      <c r="CC360" s="393"/>
      <c r="CD360" s="393"/>
      <c r="CE360" s="393"/>
      <c r="CF360" s="393"/>
      <c r="CG360" s="393"/>
      <c r="CH360" s="393"/>
      <c r="CI360" s="393"/>
      <c r="CJ360" s="390"/>
      <c r="CK360" s="390"/>
      <c r="CL360" s="390"/>
      <c r="CM360" s="390"/>
      <c r="CN360" s="390"/>
      <c r="CO360" s="390"/>
      <c r="CP360" s="390"/>
      <c r="CQ360" s="390"/>
      <c r="CR360" s="390"/>
      <c r="CS360" s="390"/>
      <c r="CT360" s="390"/>
      <c r="CU360" s="390"/>
      <c r="CV360" s="390"/>
      <c r="CW360" s="390"/>
      <c r="CX360" s="390"/>
      <c r="CY360" s="390"/>
      <c r="CZ360" s="390"/>
      <c r="DA360" s="390"/>
      <c r="DB360" s="390"/>
      <c r="DC360" s="390"/>
    </row>
    <row r="361" spans="1:107" s="317" customFormat="1" ht="24">
      <c r="A361" s="37"/>
      <c r="B361" s="591" t="s">
        <v>23</v>
      </c>
      <c r="C361" s="592" t="s">
        <v>502</v>
      </c>
      <c r="D361" s="593" t="s">
        <v>1220</v>
      </c>
      <c r="E361" s="594">
        <f>'Ref-ComSources'!$AB$11*'Ref-ComSources'!$E$229</f>
        <v>476.27033903997773</v>
      </c>
      <c r="F361" s="592" t="s">
        <v>24</v>
      </c>
      <c r="G361" s="595">
        <f>'Ref-2013CSSsaturationsINT'!$F$143</f>
        <v>0.12730402308783406</v>
      </c>
      <c r="H361" s="592" t="s">
        <v>66</v>
      </c>
      <c r="I361" s="596">
        <f>'Ref-2013CSSsaturationsINT'!$J$143</f>
        <v>0.98020259659279285</v>
      </c>
      <c r="J361" s="592" t="s">
        <v>25</v>
      </c>
      <c r="K361" s="592" t="s">
        <v>1012</v>
      </c>
      <c r="L361" s="592" t="s">
        <v>95</v>
      </c>
      <c r="M361" s="592" t="s">
        <v>91</v>
      </c>
      <c r="N361" s="678">
        <f>E361*G361*'Ref-Savings Calculations'!$E$7*Applicability</f>
        <v>11.193439428405396</v>
      </c>
      <c r="O361" s="678" t="s">
        <v>870</v>
      </c>
      <c r="P361" s="678">
        <f>rMarketSolutions[[#This Row],[Lighting Savings
(lamp and/or ballast)]]</f>
        <v>11.193439428405396</v>
      </c>
      <c r="Q361" s="678" t="s">
        <v>870</v>
      </c>
      <c r="R361" s="37"/>
      <c r="S361" s="592" t="s">
        <v>44</v>
      </c>
      <c r="T361" s="598" t="s">
        <v>63</v>
      </c>
      <c r="U361" s="598" t="s">
        <v>870</v>
      </c>
      <c r="V361" s="598" t="s">
        <v>870</v>
      </c>
      <c r="W361" s="592" t="s">
        <v>76</v>
      </c>
      <c r="X361" s="37"/>
      <c r="Y361" s="37"/>
      <c r="Z361" s="592" t="s">
        <v>78</v>
      </c>
      <c r="AA361" s="592" t="s">
        <v>78</v>
      </c>
      <c r="AB361" s="37"/>
      <c r="AC361" s="679">
        <f>'Ref-ComHOU'!$G$85</f>
        <v>13.287671232876711</v>
      </c>
      <c r="AD361" s="678" t="s">
        <v>72</v>
      </c>
      <c r="AE361" s="592" t="s">
        <v>73</v>
      </c>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c r="CA361" s="393"/>
      <c r="CB361" s="393"/>
      <c r="CC361" s="393"/>
      <c r="CD361" s="393"/>
      <c r="CE361" s="393"/>
      <c r="CF361" s="393"/>
      <c r="CG361" s="393"/>
      <c r="CH361" s="393"/>
      <c r="CI361" s="393"/>
      <c r="CJ361" s="390"/>
      <c r="CK361" s="390"/>
      <c r="CL361" s="390"/>
      <c r="CM361" s="390"/>
      <c r="CN361" s="390"/>
      <c r="CO361" s="390"/>
      <c r="CP361" s="390"/>
      <c r="CQ361" s="390"/>
      <c r="CR361" s="390"/>
      <c r="CS361" s="390"/>
      <c r="CT361" s="390"/>
      <c r="CU361" s="390"/>
      <c r="CV361" s="390"/>
      <c r="CW361" s="390"/>
      <c r="CX361" s="390"/>
      <c r="CY361" s="390"/>
      <c r="CZ361" s="390"/>
      <c r="DA361" s="390"/>
      <c r="DB361" s="390"/>
      <c r="DC361" s="390"/>
    </row>
    <row r="362" spans="1:107" s="317" customFormat="1" ht="24">
      <c r="A362" s="37"/>
      <c r="B362" s="591" t="s">
        <v>23</v>
      </c>
      <c r="C362" s="592" t="s">
        <v>502</v>
      </c>
      <c r="D362" s="593" t="s">
        <v>1220</v>
      </c>
      <c r="E362" s="594">
        <f>'Ref-ComSources'!$AB$11*'Ref-ComSources'!$E$229</f>
        <v>476.27033903997773</v>
      </c>
      <c r="F362" s="592" t="s">
        <v>24</v>
      </c>
      <c r="G362" s="595">
        <f>'Ref-2013CSSsaturationsINT'!$F$143</f>
        <v>0.12730402308783406</v>
      </c>
      <c r="H362" s="592" t="s">
        <v>66</v>
      </c>
      <c r="I362" s="596">
        <f>'Ref-2013CSSsaturationsINT'!$J$143</f>
        <v>0.98020259659279285</v>
      </c>
      <c r="J362" s="592" t="s">
        <v>25</v>
      </c>
      <c r="K362" s="592" t="s">
        <v>1012</v>
      </c>
      <c r="L362" s="592" t="s">
        <v>95</v>
      </c>
      <c r="M362" s="592" t="s">
        <v>92</v>
      </c>
      <c r="N362" s="678">
        <f>E362*G362*'Ref-Savings Calculations'!$E$7*Applicability</f>
        <v>11.193439428405396</v>
      </c>
      <c r="O362" s="678">
        <f>E362*G362*'Ref-Savings Calculations'!$C$99*Applicability*ControlShare</f>
        <v>17.116067892342297</v>
      </c>
      <c r="P362" s="678">
        <f>rMarketSolutions[[#This Row],[Lighting Savings
(lamp and/or ballast)]]</f>
        <v>11.193439428405396</v>
      </c>
      <c r="Q362" s="678">
        <f>E362*G362*('Ref-Savings Calculations'!$C$99-'Ref-Savings Calculations'!$C$124)*Applicability*ControlShare</f>
        <v>7.607141285485465</v>
      </c>
      <c r="R362" s="37"/>
      <c r="S362" s="592" t="s">
        <v>44</v>
      </c>
      <c r="T362" s="598" t="s">
        <v>63</v>
      </c>
      <c r="U362" s="592" t="s">
        <v>69</v>
      </c>
      <c r="V362" s="592" t="s">
        <v>69</v>
      </c>
      <c r="W362" s="592" t="s">
        <v>76</v>
      </c>
      <c r="X362" s="37"/>
      <c r="Y362" s="37"/>
      <c r="Z362" s="592" t="s">
        <v>78</v>
      </c>
      <c r="AA362" s="592" t="s">
        <v>78</v>
      </c>
      <c r="AB362" s="37"/>
      <c r="AC362" s="679">
        <f>'Ref-ComHOU'!$G$85</f>
        <v>13.287671232876711</v>
      </c>
      <c r="AD362" s="678" t="s">
        <v>72</v>
      </c>
      <c r="AE362" s="592" t="s">
        <v>73</v>
      </c>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c r="CA362" s="393"/>
      <c r="CB362" s="393"/>
      <c r="CC362" s="393"/>
      <c r="CD362" s="393"/>
      <c r="CE362" s="393"/>
      <c r="CF362" s="393"/>
      <c r="CG362" s="393"/>
      <c r="CH362" s="393"/>
      <c r="CI362" s="393"/>
      <c r="CJ362" s="390"/>
      <c r="CK362" s="390"/>
      <c r="CL362" s="390"/>
      <c r="CM362" s="390"/>
      <c r="CN362" s="390"/>
      <c r="CO362" s="390"/>
      <c r="CP362" s="390"/>
      <c r="CQ362" s="390"/>
      <c r="CR362" s="390"/>
      <c r="CS362" s="390"/>
      <c r="CT362" s="390"/>
      <c r="CU362" s="390"/>
      <c r="CV362" s="390"/>
      <c r="CW362" s="390"/>
      <c r="CX362" s="390"/>
      <c r="CY362" s="390"/>
      <c r="CZ362" s="390"/>
      <c r="DA362" s="390"/>
      <c r="DB362" s="390"/>
      <c r="DC362" s="390"/>
    </row>
    <row r="363" spans="1:107" s="317" customFormat="1" ht="24">
      <c r="A363" s="37"/>
      <c r="B363" s="591" t="s">
        <v>23</v>
      </c>
      <c r="C363" s="592" t="s">
        <v>502</v>
      </c>
      <c r="D363" s="593" t="s">
        <v>1220</v>
      </c>
      <c r="E363" s="594">
        <f>'Ref-ComSources'!$AB$11*'Ref-ComSources'!$E$229</f>
        <v>476.27033903997773</v>
      </c>
      <c r="F363" s="592" t="s">
        <v>24</v>
      </c>
      <c r="G363" s="595">
        <f>'Ref-2013CSSsaturationsINT'!$F$143</f>
        <v>0.12730402308783406</v>
      </c>
      <c r="H363" s="592" t="s">
        <v>66</v>
      </c>
      <c r="I363" s="596">
        <f>'Ref-2013CSSsaturationsINT'!$J$143</f>
        <v>0.98020259659279285</v>
      </c>
      <c r="J363" s="592" t="s">
        <v>25</v>
      </c>
      <c r="K363" s="592" t="s">
        <v>1012</v>
      </c>
      <c r="L363" s="592" t="s">
        <v>95</v>
      </c>
      <c r="M363" s="592" t="s">
        <v>93</v>
      </c>
      <c r="N363" s="678">
        <f>E363*G363*'Ref-Savings Calculations'!$E$7*Applicability</f>
        <v>11.193439428405396</v>
      </c>
      <c r="O363" s="678">
        <f>E363*G363*'Ref-Savings Calculations'!$C$109*Applicability*ControlShare</f>
        <v>18.066960553027982</v>
      </c>
      <c r="P363" s="678">
        <f>rMarketSolutions[[#This Row],[Lighting Savings
(lamp and/or ballast)]]</f>
        <v>11.193439428405396</v>
      </c>
      <c r="Q363" s="678">
        <f>E363*G363*('Ref-Savings Calculations'!$C$109-'Ref-Savings Calculations'!$C$124)*Applicability*ControlShare</f>
        <v>8.5580339461711485</v>
      </c>
      <c r="R363" s="37"/>
      <c r="S363" s="592" t="s">
        <v>44</v>
      </c>
      <c r="T363" s="598" t="s">
        <v>63</v>
      </c>
      <c r="U363" s="598" t="s">
        <v>44</v>
      </c>
      <c r="V363" s="598" t="s">
        <v>75</v>
      </c>
      <c r="W363" s="592" t="s">
        <v>76</v>
      </c>
      <c r="X363" s="37"/>
      <c r="Y363" s="37"/>
      <c r="Z363" s="592" t="s">
        <v>78</v>
      </c>
      <c r="AA363" s="592" t="s">
        <v>78</v>
      </c>
      <c r="AB363" s="37"/>
      <c r="AC363" s="679">
        <f>'Ref-ComHOU'!$G$85</f>
        <v>13.287671232876711</v>
      </c>
      <c r="AD363" s="678" t="s">
        <v>72</v>
      </c>
      <c r="AE363" s="592" t="s">
        <v>73</v>
      </c>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c r="CA363" s="393"/>
      <c r="CB363" s="393"/>
      <c r="CC363" s="393"/>
      <c r="CD363" s="393"/>
      <c r="CE363" s="393"/>
      <c r="CF363" s="393"/>
      <c r="CG363" s="393"/>
      <c r="CH363" s="393"/>
      <c r="CI363" s="393"/>
      <c r="CJ363" s="390"/>
      <c r="CK363" s="390"/>
      <c r="CL363" s="390"/>
      <c r="CM363" s="390"/>
      <c r="CN363" s="390"/>
      <c r="CO363" s="390"/>
      <c r="CP363" s="390"/>
      <c r="CQ363" s="390"/>
      <c r="CR363" s="390"/>
      <c r="CS363" s="390"/>
      <c r="CT363" s="390"/>
      <c r="CU363" s="390"/>
      <c r="CV363" s="390"/>
      <c r="CW363" s="390"/>
      <c r="CX363" s="390"/>
      <c r="CY363" s="390"/>
      <c r="CZ363" s="390"/>
      <c r="DA363" s="390"/>
      <c r="DB363" s="390"/>
      <c r="DC363" s="390"/>
    </row>
    <row r="364" spans="1:107" s="317" customFormat="1" ht="24">
      <c r="A364" s="37"/>
      <c r="B364" s="591" t="s">
        <v>23</v>
      </c>
      <c r="C364" s="592" t="s">
        <v>502</v>
      </c>
      <c r="D364" s="593" t="s">
        <v>1220</v>
      </c>
      <c r="E364" s="594">
        <f>'Ref-ComSources'!$AB$11*'Ref-ComSources'!$E$229</f>
        <v>476.27033903997773</v>
      </c>
      <c r="F364" s="592" t="s">
        <v>26</v>
      </c>
      <c r="G364" s="595">
        <f>'Ref-2013CSSsaturationsINT'!$F$144</f>
        <v>0.25371011831724088</v>
      </c>
      <c r="H364" s="592" t="s">
        <v>66</v>
      </c>
      <c r="I364" s="596">
        <f>'Ref-2013CSSsaturationsINT'!$J$144</f>
        <v>0.94869483209185579</v>
      </c>
      <c r="J364" s="592" t="s">
        <v>25</v>
      </c>
      <c r="K364" s="592" t="s">
        <v>1012</v>
      </c>
      <c r="L364" s="592" t="s">
        <v>24</v>
      </c>
      <c r="M364" s="592" t="s">
        <v>88</v>
      </c>
      <c r="N364" s="678">
        <f>E364*G364*'Ref-Savings Calculations'!$E$10*Applicability</f>
        <v>75.723018549797118</v>
      </c>
      <c r="O364" s="678">
        <f>E364*G364*'Ref-Savings Calculations'!$C$54*Applicability*ControlShare</f>
        <v>22.009951568248319</v>
      </c>
      <c r="P364" s="678">
        <f>E364*G364*'Ref-Savings Calculations'!$E$8*Applicability</f>
        <v>70.486852373481355</v>
      </c>
      <c r="Q364" s="678">
        <f>E364*G364*('Ref-Savings Calculations'!$C$54-'Ref-Savings Calculations'!$C$124)*Applicability*ControlShare</f>
        <v>3.6683252613747181</v>
      </c>
      <c r="R364" s="37"/>
      <c r="S364" s="592" t="s">
        <v>68</v>
      </c>
      <c r="T364" s="592" t="s">
        <v>63</v>
      </c>
      <c r="U364" s="592" t="s">
        <v>69</v>
      </c>
      <c r="V364" s="592" t="s">
        <v>69</v>
      </c>
      <c r="W364" s="592" t="s">
        <v>70</v>
      </c>
      <c r="X364" s="37"/>
      <c r="Y364" s="37"/>
      <c r="Z364" s="592" t="s">
        <v>78</v>
      </c>
      <c r="AA364" s="592" t="s">
        <v>78</v>
      </c>
      <c r="AB364" s="37"/>
      <c r="AC364" s="679">
        <f>'Ref-ComHOU'!$G$85</f>
        <v>13.287671232876711</v>
      </c>
      <c r="AD364" s="678" t="s">
        <v>72</v>
      </c>
      <c r="AE364" s="592" t="s">
        <v>73</v>
      </c>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c r="CA364" s="393"/>
      <c r="CB364" s="393"/>
      <c r="CC364" s="393"/>
      <c r="CD364" s="393"/>
      <c r="CE364" s="393"/>
      <c r="CF364" s="393"/>
      <c r="CG364" s="393"/>
      <c r="CH364" s="393"/>
      <c r="CI364" s="393"/>
      <c r="CJ364" s="390"/>
      <c r="CK364" s="390"/>
      <c r="CL364" s="390"/>
      <c r="CM364" s="390"/>
      <c r="CN364" s="390"/>
      <c r="CO364" s="390"/>
      <c r="CP364" s="390"/>
      <c r="CQ364" s="390"/>
      <c r="CR364" s="390"/>
      <c r="CS364" s="390"/>
      <c r="CT364" s="390"/>
      <c r="CU364" s="390"/>
      <c r="CV364" s="390"/>
      <c r="CW364" s="390"/>
      <c r="CX364" s="390"/>
      <c r="CY364" s="390"/>
      <c r="CZ364" s="390"/>
      <c r="DA364" s="390"/>
      <c r="DB364" s="390"/>
      <c r="DC364" s="390"/>
    </row>
    <row r="365" spans="1:107" s="317" customFormat="1" ht="24">
      <c r="A365" s="37"/>
      <c r="B365" s="591" t="s">
        <v>23</v>
      </c>
      <c r="C365" s="592" t="s">
        <v>502</v>
      </c>
      <c r="D365" s="593" t="s">
        <v>1220</v>
      </c>
      <c r="E365" s="594">
        <f>'Ref-ComSources'!$AB$11*'Ref-ComSources'!$E$229</f>
        <v>476.27033903997773</v>
      </c>
      <c r="F365" s="592" t="s">
        <v>26</v>
      </c>
      <c r="G365" s="595">
        <f>'Ref-2013CSSsaturationsINT'!$F$144</f>
        <v>0.25371011831724088</v>
      </c>
      <c r="H365" s="592" t="s">
        <v>66</v>
      </c>
      <c r="I365" s="596">
        <f>'Ref-2013CSSsaturationsINT'!$J$144</f>
        <v>0.94869483209185579</v>
      </c>
      <c r="J365" s="592" t="s">
        <v>25</v>
      </c>
      <c r="K365" s="592" t="s">
        <v>1012</v>
      </c>
      <c r="L365" s="592" t="s">
        <v>24</v>
      </c>
      <c r="M365" s="592" t="s">
        <v>90</v>
      </c>
      <c r="N365" s="678">
        <f>E365*G365*'Ref-Savings Calculations'!$E$10*Applicability</f>
        <v>75.723018549797118</v>
      </c>
      <c r="O365" s="678">
        <f>E365*G365*'Ref-Savings Calculations'!$C$77*Applicability*ControlShare</f>
        <v>25.678276829623041</v>
      </c>
      <c r="P365" s="678">
        <f>E365*G365*'Ref-Savings Calculations'!$E$8*Applicability</f>
        <v>70.486852373481355</v>
      </c>
      <c r="Q365" s="678">
        <f>E365*G365*('Ref-Savings Calculations'!$C$77-'Ref-Savings Calculations'!$C$124)*Applicability*ControlShare</f>
        <v>7.3366505227494407</v>
      </c>
      <c r="R365" s="37"/>
      <c r="S365" s="592" t="s">
        <v>68</v>
      </c>
      <c r="T365" s="592" t="s">
        <v>63</v>
      </c>
      <c r="U365" s="592" t="s">
        <v>69</v>
      </c>
      <c r="V365" s="592" t="s">
        <v>69</v>
      </c>
      <c r="W365" s="592" t="s">
        <v>70</v>
      </c>
      <c r="X365" s="37"/>
      <c r="Y365" s="37"/>
      <c r="Z365" s="592" t="s">
        <v>78</v>
      </c>
      <c r="AA365" s="592" t="s">
        <v>78</v>
      </c>
      <c r="AB365" s="37"/>
      <c r="AC365" s="679">
        <f>'Ref-ComHOU'!$G$85</f>
        <v>13.287671232876711</v>
      </c>
      <c r="AD365" s="678" t="s">
        <v>72</v>
      </c>
      <c r="AE365" s="592" t="s">
        <v>73</v>
      </c>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c r="CA365" s="393"/>
      <c r="CB365" s="393"/>
      <c r="CC365" s="393"/>
      <c r="CD365" s="393"/>
      <c r="CE365" s="393"/>
      <c r="CF365" s="393"/>
      <c r="CG365" s="393"/>
      <c r="CH365" s="393"/>
      <c r="CI365" s="393"/>
      <c r="CJ365" s="390"/>
      <c r="CK365" s="390"/>
      <c r="CL365" s="390"/>
      <c r="CM365" s="390"/>
      <c r="CN365" s="390"/>
      <c r="CO365" s="390"/>
      <c r="CP365" s="390"/>
      <c r="CQ365" s="390"/>
      <c r="CR365" s="390"/>
      <c r="CS365" s="390"/>
      <c r="CT365" s="390"/>
      <c r="CU365" s="390"/>
      <c r="CV365" s="390"/>
      <c r="CW365" s="390"/>
      <c r="CX365" s="390"/>
      <c r="CY365" s="390"/>
      <c r="CZ365" s="390"/>
      <c r="DA365" s="390"/>
      <c r="DB365" s="390"/>
      <c r="DC365" s="390"/>
    </row>
    <row r="366" spans="1:107" s="317" customFormat="1" ht="24">
      <c r="A366" s="37"/>
      <c r="B366" s="591" t="s">
        <v>23</v>
      </c>
      <c r="C366" s="592" t="s">
        <v>502</v>
      </c>
      <c r="D366" s="593" t="s">
        <v>1220</v>
      </c>
      <c r="E366" s="594">
        <f>'Ref-ComSources'!$AB$11*'Ref-ComSources'!$E$229</f>
        <v>476.27033903997773</v>
      </c>
      <c r="F366" s="592" t="s">
        <v>26</v>
      </c>
      <c r="G366" s="595">
        <f>'Ref-2013CSSsaturationsINT'!$F$144</f>
        <v>0.25371011831724088</v>
      </c>
      <c r="H366" s="592" t="s">
        <v>66</v>
      </c>
      <c r="I366" s="596">
        <f>'Ref-2013CSSsaturationsINT'!$J$144</f>
        <v>0.94869483209185579</v>
      </c>
      <c r="J366" s="592" t="s">
        <v>25</v>
      </c>
      <c r="K366" s="592" t="s">
        <v>1012</v>
      </c>
      <c r="L366" s="592" t="s">
        <v>24</v>
      </c>
      <c r="M366" s="592" t="s">
        <v>91</v>
      </c>
      <c r="N366" s="678">
        <f>E366*G366*'Ref-Savings Calculations'!$E$10*Applicability</f>
        <v>75.723018549797118</v>
      </c>
      <c r="O366" s="678" t="s">
        <v>870</v>
      </c>
      <c r="P366" s="678">
        <f>E366*G366*'Ref-Savings Calculations'!$E$8*Applicability</f>
        <v>70.486852373481355</v>
      </c>
      <c r="Q366" s="678" t="s">
        <v>870</v>
      </c>
      <c r="R366" s="37"/>
      <c r="S366" s="592" t="s">
        <v>68</v>
      </c>
      <c r="T366" s="592" t="s">
        <v>63</v>
      </c>
      <c r="U366" s="598" t="s">
        <v>69</v>
      </c>
      <c r="V366" s="598" t="s">
        <v>69</v>
      </c>
      <c r="W366" s="592" t="s">
        <v>70</v>
      </c>
      <c r="X366" s="37"/>
      <c r="Y366" s="37"/>
      <c r="Z366" s="592" t="s">
        <v>78</v>
      </c>
      <c r="AA366" s="592" t="s">
        <v>78</v>
      </c>
      <c r="AB366" s="37"/>
      <c r="AC366" s="679">
        <f>'Ref-ComHOU'!$G$85</f>
        <v>13.287671232876711</v>
      </c>
      <c r="AD366" s="678" t="s">
        <v>72</v>
      </c>
      <c r="AE366" s="592" t="s">
        <v>73</v>
      </c>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c r="CA366" s="393"/>
      <c r="CB366" s="393"/>
      <c r="CC366" s="393"/>
      <c r="CD366" s="393"/>
      <c r="CE366" s="393"/>
      <c r="CF366" s="393"/>
      <c r="CG366" s="393"/>
      <c r="CH366" s="393"/>
      <c r="CI366" s="393"/>
      <c r="CJ366" s="390"/>
      <c r="CK366" s="390"/>
      <c r="CL366" s="390"/>
      <c r="CM366" s="390"/>
      <c r="CN366" s="390"/>
      <c r="CO366" s="390"/>
      <c r="CP366" s="390"/>
      <c r="CQ366" s="390"/>
      <c r="CR366" s="390"/>
      <c r="CS366" s="390"/>
      <c r="CT366" s="390"/>
      <c r="CU366" s="390"/>
      <c r="CV366" s="390"/>
      <c r="CW366" s="390"/>
      <c r="CX366" s="390"/>
      <c r="CY366" s="390"/>
      <c r="CZ366" s="390"/>
      <c r="DA366" s="390"/>
      <c r="DB366" s="390"/>
      <c r="DC366" s="390"/>
    </row>
    <row r="367" spans="1:107" s="317" customFormat="1" ht="24">
      <c r="A367" s="37"/>
      <c r="B367" s="591" t="s">
        <v>23</v>
      </c>
      <c r="C367" s="592" t="s">
        <v>502</v>
      </c>
      <c r="D367" s="593" t="s">
        <v>1220</v>
      </c>
      <c r="E367" s="594">
        <f>'Ref-ComSources'!$AB$11*'Ref-ComSources'!$E$229</f>
        <v>476.27033903997773</v>
      </c>
      <c r="F367" s="592" t="s">
        <v>26</v>
      </c>
      <c r="G367" s="595">
        <f>'Ref-2013CSSsaturationsINT'!$F$144</f>
        <v>0.25371011831724088</v>
      </c>
      <c r="H367" s="592" t="s">
        <v>66</v>
      </c>
      <c r="I367" s="596">
        <f>'Ref-2013CSSsaturationsINT'!$J$144</f>
        <v>0.94869483209185579</v>
      </c>
      <c r="J367" s="592" t="s">
        <v>25</v>
      </c>
      <c r="K367" s="592" t="s">
        <v>1012</v>
      </c>
      <c r="L367" s="592" t="s">
        <v>24</v>
      </c>
      <c r="M367" s="592" t="s">
        <v>92</v>
      </c>
      <c r="N367" s="678">
        <f>E367*G367*'Ref-Savings Calculations'!$E$10*Applicability</f>
        <v>75.723018549797118</v>
      </c>
      <c r="O367" s="678">
        <f>E367*G367*'Ref-Savings Calculations'!$C$99*Applicability*ControlShare</f>
        <v>33.014927352372474</v>
      </c>
      <c r="P367" s="678">
        <f>E367*G367*'Ref-Savings Calculations'!$E$8*Applicability</f>
        <v>70.486852373481355</v>
      </c>
      <c r="Q367" s="678">
        <f>E367*G367*('Ref-Savings Calculations'!$C$99-'Ref-Savings Calculations'!$C$124)*Applicability*ControlShare</f>
        <v>14.673301045498876</v>
      </c>
      <c r="R367" s="37"/>
      <c r="S367" s="592" t="s">
        <v>68</v>
      </c>
      <c r="T367" s="592" t="s">
        <v>63</v>
      </c>
      <c r="U367" s="592" t="s">
        <v>69</v>
      </c>
      <c r="V367" s="592" t="s">
        <v>69</v>
      </c>
      <c r="W367" s="592" t="s">
        <v>70</v>
      </c>
      <c r="X367" s="37"/>
      <c r="Y367" s="37"/>
      <c r="Z367" s="592" t="s">
        <v>78</v>
      </c>
      <c r="AA367" s="592" t="s">
        <v>78</v>
      </c>
      <c r="AB367" s="37"/>
      <c r="AC367" s="679">
        <f>'Ref-ComHOU'!$G$85</f>
        <v>13.287671232876711</v>
      </c>
      <c r="AD367" s="678" t="s">
        <v>72</v>
      </c>
      <c r="AE367" s="592" t="s">
        <v>73</v>
      </c>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c r="CA367" s="393"/>
      <c r="CB367" s="393"/>
      <c r="CC367" s="393"/>
      <c r="CD367" s="393"/>
      <c r="CE367" s="393"/>
      <c r="CF367" s="393"/>
      <c r="CG367" s="393"/>
      <c r="CH367" s="393"/>
      <c r="CI367" s="393"/>
      <c r="CJ367" s="390"/>
      <c r="CK367" s="390"/>
      <c r="CL367" s="390"/>
      <c r="CM367" s="390"/>
      <c r="CN367" s="390"/>
      <c r="CO367" s="390"/>
      <c r="CP367" s="390"/>
      <c r="CQ367" s="390"/>
      <c r="CR367" s="390"/>
      <c r="CS367" s="390"/>
      <c r="CT367" s="390"/>
      <c r="CU367" s="390"/>
      <c r="CV367" s="390"/>
      <c r="CW367" s="390"/>
      <c r="CX367" s="390"/>
      <c r="CY367" s="390"/>
      <c r="CZ367" s="390"/>
      <c r="DA367" s="390"/>
      <c r="DB367" s="390"/>
      <c r="DC367" s="390"/>
    </row>
    <row r="368" spans="1:107" s="317" customFormat="1" ht="24">
      <c r="A368" s="37"/>
      <c r="B368" s="591" t="s">
        <v>23</v>
      </c>
      <c r="C368" s="592" t="s">
        <v>502</v>
      </c>
      <c r="D368" s="593" t="s">
        <v>1220</v>
      </c>
      <c r="E368" s="594">
        <f>'Ref-ComSources'!$AB$11*'Ref-ComSources'!$E$229</f>
        <v>476.27033903997773</v>
      </c>
      <c r="F368" s="592" t="s">
        <v>26</v>
      </c>
      <c r="G368" s="595">
        <f>'Ref-2013CSSsaturationsINT'!$F$144</f>
        <v>0.25371011831724088</v>
      </c>
      <c r="H368" s="592" t="s">
        <v>66</v>
      </c>
      <c r="I368" s="596">
        <f>'Ref-2013CSSsaturationsINT'!$J$144</f>
        <v>0.94869483209185579</v>
      </c>
      <c r="J368" s="592" t="s">
        <v>25</v>
      </c>
      <c r="K368" s="592" t="s">
        <v>1012</v>
      </c>
      <c r="L368" s="592" t="s">
        <v>24</v>
      </c>
      <c r="M368" s="592" t="s">
        <v>93</v>
      </c>
      <c r="N368" s="678">
        <f>E368*G368*'Ref-Savings Calculations'!$E$10*Applicability</f>
        <v>75.723018549797118</v>
      </c>
      <c r="O368" s="678">
        <f>E368*G368*'Ref-Savings Calculations'!$C$109*Applicability*ControlShare</f>
        <v>34.849089983059841</v>
      </c>
      <c r="P368" s="678">
        <f>E368*G368*'Ref-Savings Calculations'!$E$8*Applicability</f>
        <v>70.486852373481355</v>
      </c>
      <c r="Q368" s="678">
        <f>E368*G368*('Ref-Savings Calculations'!$C$109-'Ref-Savings Calculations'!$C$124)*Applicability*ControlShare</f>
        <v>16.507463676186237</v>
      </c>
      <c r="R368" s="37"/>
      <c r="S368" s="592" t="s">
        <v>68</v>
      </c>
      <c r="T368" s="592" t="s">
        <v>63</v>
      </c>
      <c r="U368" s="598" t="s">
        <v>44</v>
      </c>
      <c r="V368" s="598" t="s">
        <v>75</v>
      </c>
      <c r="W368" s="592" t="s">
        <v>70</v>
      </c>
      <c r="X368" s="37"/>
      <c r="Y368" s="37"/>
      <c r="Z368" s="592" t="s">
        <v>78</v>
      </c>
      <c r="AA368" s="592" t="s">
        <v>78</v>
      </c>
      <c r="AB368" s="37"/>
      <c r="AC368" s="679">
        <f>'Ref-ComHOU'!$G$85</f>
        <v>13.287671232876711</v>
      </c>
      <c r="AD368" s="678" t="s">
        <v>72</v>
      </c>
      <c r="AE368" s="592" t="s">
        <v>73</v>
      </c>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c r="CA368" s="393"/>
      <c r="CB368" s="393"/>
      <c r="CC368" s="393"/>
      <c r="CD368" s="393"/>
      <c r="CE368" s="393"/>
      <c r="CF368" s="393"/>
      <c r="CG368" s="393"/>
      <c r="CH368" s="393"/>
      <c r="CI368" s="393"/>
      <c r="CJ368" s="390"/>
      <c r="CK368" s="390"/>
      <c r="CL368" s="390"/>
      <c r="CM368" s="390"/>
      <c r="CN368" s="390"/>
      <c r="CO368" s="390"/>
      <c r="CP368" s="390"/>
      <c r="CQ368" s="390"/>
      <c r="CR368" s="390"/>
      <c r="CS368" s="390"/>
      <c r="CT368" s="390"/>
      <c r="CU368" s="390"/>
      <c r="CV368" s="390"/>
      <c r="CW368" s="390"/>
      <c r="CX368" s="390"/>
      <c r="CY368" s="390"/>
      <c r="CZ368" s="390"/>
      <c r="DA368" s="390"/>
      <c r="DB368" s="390"/>
      <c r="DC368" s="390"/>
    </row>
    <row r="369" spans="1:107" s="317" customFormat="1" ht="24">
      <c r="A369" s="37"/>
      <c r="B369" s="591" t="s">
        <v>23</v>
      </c>
      <c r="C369" s="592" t="s">
        <v>502</v>
      </c>
      <c r="D369" s="593" t="s">
        <v>1220</v>
      </c>
      <c r="E369" s="594">
        <f>'Ref-ComSources'!$AB$11*'Ref-ComSources'!$E$229</f>
        <v>476.27033903997773</v>
      </c>
      <c r="F369" s="592" t="s">
        <v>26</v>
      </c>
      <c r="G369" s="595">
        <f>'Ref-2013CSSsaturationsINT'!$F$144</f>
        <v>0.25371011831724088</v>
      </c>
      <c r="H369" s="592" t="s">
        <v>66</v>
      </c>
      <c r="I369" s="596">
        <f>'Ref-2013CSSsaturationsINT'!$J$144</f>
        <v>0.94869483209185579</v>
      </c>
      <c r="J369" s="592" t="s">
        <v>25</v>
      </c>
      <c r="K369" s="592" t="s">
        <v>1012</v>
      </c>
      <c r="L369" s="592" t="s">
        <v>95</v>
      </c>
      <c r="M369" s="592" t="s">
        <v>88</v>
      </c>
      <c r="N369" s="678">
        <f>E369*G369*'Ref-Savings Calculations'!$E$11*Applicability</f>
        <v>80.556402712550138</v>
      </c>
      <c r="O369" s="678">
        <f>E369*G369*'Ref-Savings Calculations'!$C$54*Applicability*ControlShare</f>
        <v>22.009951568248319</v>
      </c>
      <c r="P369" s="678">
        <f>E369*G369*'Ref-Savings Calculations'!$E$9*Applicability</f>
        <v>76.528582576922616</v>
      </c>
      <c r="Q369" s="678">
        <f>E369*G369*('Ref-Savings Calculations'!$C$54-'Ref-Savings Calculations'!$C$124)*Applicability*ControlShare</f>
        <v>3.6683252613747181</v>
      </c>
      <c r="R369" s="37"/>
      <c r="S369" s="592" t="s">
        <v>44</v>
      </c>
      <c r="T369" s="598" t="s">
        <v>63</v>
      </c>
      <c r="U369" s="592" t="s">
        <v>69</v>
      </c>
      <c r="V369" s="592" t="s">
        <v>69</v>
      </c>
      <c r="W369" s="592" t="s">
        <v>76</v>
      </c>
      <c r="X369" s="37"/>
      <c r="Y369" s="37"/>
      <c r="Z369" s="592" t="s">
        <v>78</v>
      </c>
      <c r="AA369" s="592" t="s">
        <v>78</v>
      </c>
      <c r="AB369" s="37"/>
      <c r="AC369" s="679">
        <f>'Ref-ComHOU'!$G$85</f>
        <v>13.287671232876711</v>
      </c>
      <c r="AD369" s="678" t="s">
        <v>72</v>
      </c>
      <c r="AE369" s="592" t="s">
        <v>73</v>
      </c>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c r="CA369" s="393"/>
      <c r="CB369" s="393"/>
      <c r="CC369" s="393"/>
      <c r="CD369" s="393"/>
      <c r="CE369" s="393"/>
      <c r="CF369" s="393"/>
      <c r="CG369" s="393"/>
      <c r="CH369" s="393"/>
      <c r="CI369" s="393"/>
      <c r="CJ369" s="390"/>
      <c r="CK369" s="390"/>
      <c r="CL369" s="390"/>
      <c r="CM369" s="390"/>
      <c r="CN369" s="390"/>
      <c r="CO369" s="390"/>
      <c r="CP369" s="390"/>
      <c r="CQ369" s="390"/>
      <c r="CR369" s="390"/>
      <c r="CS369" s="390"/>
      <c r="CT369" s="390"/>
      <c r="CU369" s="390"/>
      <c r="CV369" s="390"/>
      <c r="CW369" s="390"/>
      <c r="CX369" s="390"/>
      <c r="CY369" s="390"/>
      <c r="CZ369" s="390"/>
      <c r="DA369" s="390"/>
      <c r="DB369" s="390"/>
      <c r="DC369" s="390"/>
    </row>
    <row r="370" spans="1:107" s="317" customFormat="1" ht="24">
      <c r="A370" s="37"/>
      <c r="B370" s="591" t="s">
        <v>23</v>
      </c>
      <c r="C370" s="592" t="s">
        <v>502</v>
      </c>
      <c r="D370" s="593" t="s">
        <v>1220</v>
      </c>
      <c r="E370" s="594">
        <f>'Ref-ComSources'!$AB$11*'Ref-ComSources'!$E$229</f>
        <v>476.27033903997773</v>
      </c>
      <c r="F370" s="592" t="s">
        <v>26</v>
      </c>
      <c r="G370" s="595">
        <f>'Ref-2013CSSsaturationsINT'!$F$144</f>
        <v>0.25371011831724088</v>
      </c>
      <c r="H370" s="592" t="s">
        <v>66</v>
      </c>
      <c r="I370" s="596">
        <f>'Ref-2013CSSsaturationsINT'!$J$144</f>
        <v>0.94869483209185579</v>
      </c>
      <c r="J370" s="592" t="s">
        <v>25</v>
      </c>
      <c r="K370" s="592" t="s">
        <v>1012</v>
      </c>
      <c r="L370" s="592" t="s">
        <v>95</v>
      </c>
      <c r="M370" s="592" t="s">
        <v>90</v>
      </c>
      <c r="N370" s="678">
        <f>E370*G370*'Ref-Savings Calculations'!$E$11*Applicability</f>
        <v>80.556402712550138</v>
      </c>
      <c r="O370" s="678">
        <f>E370*G370*'Ref-Savings Calculations'!$C$77*Applicability*ControlShare</f>
        <v>25.678276829623041</v>
      </c>
      <c r="P370" s="678">
        <f>E370*G370*'Ref-Savings Calculations'!$E$9*Applicability</f>
        <v>76.528582576922616</v>
      </c>
      <c r="Q370" s="678">
        <f>E370*G370*('Ref-Savings Calculations'!$C$77-'Ref-Savings Calculations'!$C$124)*Applicability*ControlShare</f>
        <v>7.3366505227494407</v>
      </c>
      <c r="R370" s="37"/>
      <c r="S370" s="592" t="s">
        <v>44</v>
      </c>
      <c r="T370" s="598" t="s">
        <v>63</v>
      </c>
      <c r="U370" s="592" t="s">
        <v>69</v>
      </c>
      <c r="V370" s="592" t="s">
        <v>69</v>
      </c>
      <c r="W370" s="592" t="s">
        <v>76</v>
      </c>
      <c r="X370" s="37"/>
      <c r="Y370" s="37"/>
      <c r="Z370" s="592" t="s">
        <v>78</v>
      </c>
      <c r="AA370" s="592" t="s">
        <v>78</v>
      </c>
      <c r="AB370" s="37"/>
      <c r="AC370" s="679">
        <f>'Ref-ComHOU'!$G$85</f>
        <v>13.287671232876711</v>
      </c>
      <c r="AD370" s="678" t="s">
        <v>72</v>
      </c>
      <c r="AE370" s="592" t="s">
        <v>73</v>
      </c>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c r="CA370" s="393"/>
      <c r="CB370" s="393"/>
      <c r="CC370" s="393"/>
      <c r="CD370" s="393"/>
      <c r="CE370" s="393"/>
      <c r="CF370" s="393"/>
      <c r="CG370" s="393"/>
      <c r="CH370" s="393"/>
      <c r="CI370" s="393"/>
      <c r="CJ370" s="390"/>
      <c r="CK370" s="390"/>
      <c r="CL370" s="390"/>
      <c r="CM370" s="390"/>
      <c r="CN370" s="390"/>
      <c r="CO370" s="390"/>
      <c r="CP370" s="390"/>
      <c r="CQ370" s="390"/>
      <c r="CR370" s="390"/>
      <c r="CS370" s="390"/>
      <c r="CT370" s="390"/>
      <c r="CU370" s="390"/>
      <c r="CV370" s="390"/>
      <c r="CW370" s="390"/>
      <c r="CX370" s="390"/>
      <c r="CY370" s="390"/>
      <c r="CZ370" s="390"/>
      <c r="DA370" s="390"/>
      <c r="DB370" s="390"/>
      <c r="DC370" s="390"/>
    </row>
    <row r="371" spans="1:107" s="317" customFormat="1" ht="24">
      <c r="A371" s="37"/>
      <c r="B371" s="591" t="s">
        <v>23</v>
      </c>
      <c r="C371" s="592" t="s">
        <v>502</v>
      </c>
      <c r="D371" s="593" t="s">
        <v>1220</v>
      </c>
      <c r="E371" s="594">
        <f>'Ref-ComSources'!$AB$11*'Ref-ComSources'!$E$229</f>
        <v>476.27033903997773</v>
      </c>
      <c r="F371" s="592" t="s">
        <v>26</v>
      </c>
      <c r="G371" s="595">
        <f>'Ref-2013CSSsaturationsINT'!$F$144</f>
        <v>0.25371011831724088</v>
      </c>
      <c r="H371" s="592" t="s">
        <v>66</v>
      </c>
      <c r="I371" s="596">
        <f>'Ref-2013CSSsaturationsINT'!$J$144</f>
        <v>0.94869483209185579</v>
      </c>
      <c r="J371" s="592" t="s">
        <v>25</v>
      </c>
      <c r="K371" s="592" t="s">
        <v>1012</v>
      </c>
      <c r="L371" s="592" t="s">
        <v>95</v>
      </c>
      <c r="M371" s="592" t="s">
        <v>91</v>
      </c>
      <c r="N371" s="678">
        <f>E371*G371*'Ref-Savings Calculations'!$E$11*Applicability</f>
        <v>80.556402712550138</v>
      </c>
      <c r="O371" s="678" t="s">
        <v>870</v>
      </c>
      <c r="P371" s="678">
        <f>E371*G371*'Ref-Savings Calculations'!$E$9*Applicability</f>
        <v>76.528582576922616</v>
      </c>
      <c r="Q371" s="678" t="s">
        <v>870</v>
      </c>
      <c r="R371" s="37"/>
      <c r="S371" s="592" t="s">
        <v>44</v>
      </c>
      <c r="T371" s="598" t="s">
        <v>63</v>
      </c>
      <c r="U371" s="598" t="s">
        <v>870</v>
      </c>
      <c r="V371" s="598" t="s">
        <v>870</v>
      </c>
      <c r="W371" s="592" t="s">
        <v>76</v>
      </c>
      <c r="X371" s="37"/>
      <c r="Y371" s="37"/>
      <c r="Z371" s="592" t="s">
        <v>78</v>
      </c>
      <c r="AA371" s="592" t="s">
        <v>78</v>
      </c>
      <c r="AB371" s="37"/>
      <c r="AC371" s="679">
        <f>'Ref-ComHOU'!$G$85</f>
        <v>13.287671232876711</v>
      </c>
      <c r="AD371" s="678" t="s">
        <v>72</v>
      </c>
      <c r="AE371" s="592" t="s">
        <v>73</v>
      </c>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c r="CA371" s="393"/>
      <c r="CB371" s="393"/>
      <c r="CC371" s="393"/>
      <c r="CD371" s="393"/>
      <c r="CE371" s="393"/>
      <c r="CF371" s="393"/>
      <c r="CG371" s="393"/>
      <c r="CH371" s="393"/>
      <c r="CI371" s="393"/>
      <c r="CJ371" s="390"/>
      <c r="CK371" s="390"/>
      <c r="CL371" s="390"/>
      <c r="CM371" s="390"/>
      <c r="CN371" s="390"/>
      <c r="CO371" s="390"/>
      <c r="CP371" s="390"/>
      <c r="CQ371" s="390"/>
      <c r="CR371" s="390"/>
      <c r="CS371" s="390"/>
      <c r="CT371" s="390"/>
      <c r="CU371" s="390"/>
      <c r="CV371" s="390"/>
      <c r="CW371" s="390"/>
      <c r="CX371" s="390"/>
      <c r="CY371" s="390"/>
      <c r="CZ371" s="390"/>
      <c r="DA371" s="390"/>
      <c r="DB371" s="390"/>
      <c r="DC371" s="390"/>
    </row>
    <row r="372" spans="1:107" s="317" customFormat="1" ht="24">
      <c r="A372" s="37"/>
      <c r="B372" s="591" t="s">
        <v>23</v>
      </c>
      <c r="C372" s="592" t="s">
        <v>502</v>
      </c>
      <c r="D372" s="593" t="s">
        <v>1220</v>
      </c>
      <c r="E372" s="594">
        <f>'Ref-ComSources'!$AB$11*'Ref-ComSources'!$E$229</f>
        <v>476.27033903997773</v>
      </c>
      <c r="F372" s="592" t="s">
        <v>26</v>
      </c>
      <c r="G372" s="595">
        <f>'Ref-2013CSSsaturationsINT'!$F$144</f>
        <v>0.25371011831724088</v>
      </c>
      <c r="H372" s="592" t="s">
        <v>66</v>
      </c>
      <c r="I372" s="596">
        <f>'Ref-2013CSSsaturationsINT'!$J$144</f>
        <v>0.94869483209185579</v>
      </c>
      <c r="J372" s="592" t="s">
        <v>25</v>
      </c>
      <c r="K372" s="592" t="s">
        <v>1012</v>
      </c>
      <c r="L372" s="592" t="s">
        <v>95</v>
      </c>
      <c r="M372" s="592" t="s">
        <v>92</v>
      </c>
      <c r="N372" s="678">
        <f>E372*G372*'Ref-Savings Calculations'!$E$11*Applicability</f>
        <v>80.556402712550138</v>
      </c>
      <c r="O372" s="678">
        <f>E372*G372*'Ref-Savings Calculations'!$C$99*Applicability*ControlShare</f>
        <v>33.014927352372474</v>
      </c>
      <c r="P372" s="678">
        <f>E372*G372*'Ref-Savings Calculations'!$E$9*Applicability</f>
        <v>76.528582576922616</v>
      </c>
      <c r="Q372" s="678">
        <f>E372*G372*('Ref-Savings Calculations'!$C$99-'Ref-Savings Calculations'!$C$124)*Applicability*ControlShare</f>
        <v>14.673301045498876</v>
      </c>
      <c r="R372" s="37"/>
      <c r="S372" s="592" t="s">
        <v>44</v>
      </c>
      <c r="T372" s="598" t="s">
        <v>63</v>
      </c>
      <c r="U372" s="592" t="s">
        <v>69</v>
      </c>
      <c r="V372" s="592" t="s">
        <v>69</v>
      </c>
      <c r="W372" s="592" t="s">
        <v>76</v>
      </c>
      <c r="X372" s="37"/>
      <c r="Y372" s="37"/>
      <c r="Z372" s="592" t="s">
        <v>78</v>
      </c>
      <c r="AA372" s="592" t="s">
        <v>78</v>
      </c>
      <c r="AB372" s="37"/>
      <c r="AC372" s="679">
        <f>'Ref-ComHOU'!$G$85</f>
        <v>13.287671232876711</v>
      </c>
      <c r="AD372" s="678" t="s">
        <v>72</v>
      </c>
      <c r="AE372" s="592" t="s">
        <v>73</v>
      </c>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c r="CA372" s="393"/>
      <c r="CB372" s="393"/>
      <c r="CC372" s="393"/>
      <c r="CD372" s="393"/>
      <c r="CE372" s="393"/>
      <c r="CF372" s="393"/>
      <c r="CG372" s="393"/>
      <c r="CH372" s="393"/>
      <c r="CI372" s="393"/>
      <c r="CJ372" s="390"/>
      <c r="CK372" s="390"/>
      <c r="CL372" s="390"/>
      <c r="CM372" s="390"/>
      <c r="CN372" s="390"/>
      <c r="CO372" s="390"/>
      <c r="CP372" s="390"/>
      <c r="CQ372" s="390"/>
      <c r="CR372" s="390"/>
      <c r="CS372" s="390"/>
      <c r="CT372" s="390"/>
      <c r="CU372" s="390"/>
      <c r="CV372" s="390"/>
      <c r="CW372" s="390"/>
      <c r="CX372" s="390"/>
      <c r="CY372" s="390"/>
      <c r="CZ372" s="390"/>
      <c r="DA372" s="390"/>
      <c r="DB372" s="390"/>
      <c r="DC372" s="390"/>
    </row>
    <row r="373" spans="1:107" s="317" customFormat="1" ht="24">
      <c r="A373" s="37"/>
      <c r="B373" s="591" t="s">
        <v>23</v>
      </c>
      <c r="C373" s="592" t="s">
        <v>502</v>
      </c>
      <c r="D373" s="593" t="s">
        <v>1220</v>
      </c>
      <c r="E373" s="594">
        <f>'Ref-ComSources'!$AB$11*'Ref-ComSources'!$E$229</f>
        <v>476.27033903997773</v>
      </c>
      <c r="F373" s="592" t="s">
        <v>26</v>
      </c>
      <c r="G373" s="595">
        <f>'Ref-2013CSSsaturationsINT'!$F$144</f>
        <v>0.25371011831724088</v>
      </c>
      <c r="H373" s="592" t="s">
        <v>66</v>
      </c>
      <c r="I373" s="596">
        <f>'Ref-2013CSSsaturationsINT'!$J$144</f>
        <v>0.94869483209185579</v>
      </c>
      <c r="J373" s="592" t="s">
        <v>25</v>
      </c>
      <c r="K373" s="592" t="s">
        <v>1012</v>
      </c>
      <c r="L373" s="592" t="s">
        <v>95</v>
      </c>
      <c r="M373" s="592" t="s">
        <v>93</v>
      </c>
      <c r="N373" s="678">
        <f>E373*G373*'Ref-Savings Calculations'!$E$11*Applicability</f>
        <v>80.556402712550138</v>
      </c>
      <c r="O373" s="678">
        <f>E373*G373*'Ref-Savings Calculations'!$C$109*Applicability*ControlShare</f>
        <v>34.849089983059841</v>
      </c>
      <c r="P373" s="678">
        <f>E373*G373*'Ref-Savings Calculations'!$E$9*Applicability</f>
        <v>76.528582576922616</v>
      </c>
      <c r="Q373" s="678">
        <f>E373*G373*('Ref-Savings Calculations'!$C$109-'Ref-Savings Calculations'!$C$124)*Applicability*ControlShare</f>
        <v>16.507463676186237</v>
      </c>
      <c r="R373" s="37"/>
      <c r="S373" s="592" t="s">
        <v>44</v>
      </c>
      <c r="T373" s="598" t="s">
        <v>63</v>
      </c>
      <c r="U373" s="598" t="s">
        <v>44</v>
      </c>
      <c r="V373" s="598" t="s">
        <v>75</v>
      </c>
      <c r="W373" s="592" t="s">
        <v>76</v>
      </c>
      <c r="X373" s="37"/>
      <c r="Y373" s="37"/>
      <c r="Z373" s="592" t="s">
        <v>78</v>
      </c>
      <c r="AA373" s="592" t="s">
        <v>78</v>
      </c>
      <c r="AB373" s="37"/>
      <c r="AC373" s="679">
        <f>'Ref-ComHOU'!$G$85</f>
        <v>13.287671232876711</v>
      </c>
      <c r="AD373" s="678" t="s">
        <v>72</v>
      </c>
      <c r="AE373" s="592" t="s">
        <v>73</v>
      </c>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c r="CA373" s="393"/>
      <c r="CB373" s="393"/>
      <c r="CC373" s="393"/>
      <c r="CD373" s="393"/>
      <c r="CE373" s="393"/>
      <c r="CF373" s="393"/>
      <c r="CG373" s="393"/>
      <c r="CH373" s="393"/>
      <c r="CI373" s="393"/>
      <c r="CJ373" s="390"/>
      <c r="CK373" s="390"/>
      <c r="CL373" s="390"/>
      <c r="CM373" s="390"/>
      <c r="CN373" s="390"/>
      <c r="CO373" s="390"/>
      <c r="CP373" s="390"/>
      <c r="CQ373" s="390"/>
      <c r="CR373" s="390"/>
      <c r="CS373" s="390"/>
      <c r="CT373" s="390"/>
      <c r="CU373" s="390"/>
      <c r="CV373" s="390"/>
      <c r="CW373" s="390"/>
      <c r="CX373" s="390"/>
      <c r="CY373" s="390"/>
      <c r="CZ373" s="390"/>
      <c r="DA373" s="390"/>
      <c r="DB373" s="390"/>
      <c r="DC373" s="390"/>
    </row>
    <row r="374" spans="1:107" s="317" customFormat="1" ht="24">
      <c r="A374" s="37"/>
      <c r="B374" s="604" t="s">
        <v>23</v>
      </c>
      <c r="C374" s="605" t="s">
        <v>502</v>
      </c>
      <c r="D374" s="615" t="s">
        <v>1147</v>
      </c>
      <c r="E374" s="607">
        <f>'Ref-ComSources'!$AB$11*'Ref-ComSources'!$E$231</f>
        <v>611.35212104600316</v>
      </c>
      <c r="F374" s="605" t="s">
        <v>846</v>
      </c>
      <c r="G374" s="608">
        <f>'Ref-2013CSSsaturationsINT'!$F$148</f>
        <v>0.50957050486537259</v>
      </c>
      <c r="H374" s="605" t="s">
        <v>66</v>
      </c>
      <c r="I374" s="609">
        <f>'Ref-2013CSSsaturationsINT'!$J$148</f>
        <v>0.93461250994110145</v>
      </c>
      <c r="J374" s="605" t="s">
        <v>25</v>
      </c>
      <c r="K374" s="605" t="s">
        <v>1012</v>
      </c>
      <c r="L374" s="605" t="s">
        <v>94</v>
      </c>
      <c r="M374" s="605" t="s">
        <v>88</v>
      </c>
      <c r="N374" s="614">
        <f>E379*G379*'Ref-Savings Calculations'!$E$9*Applicability</f>
        <v>197.3004390155545</v>
      </c>
      <c r="O374" s="614">
        <f>E374*G374*'Ref-Savings Calculations'!$C$54*Applicability*ControlShare</f>
        <v>55.902151635781976</v>
      </c>
      <c r="P374" s="614">
        <f>E374*G374*'Ref-Savings Calculations'!$E$9*Applicability</f>
        <v>197.3004390155545</v>
      </c>
      <c r="Q374" s="614">
        <f>E374*G374*('Ref-Savings Calculations'!$C$54-'Ref-Savings Calculations'!$C$124)*Applicability*ControlShare</f>
        <v>9.3170252726303264</v>
      </c>
      <c r="R374" s="37"/>
      <c r="S374" s="605" t="s">
        <v>44</v>
      </c>
      <c r="T374" s="610" t="s">
        <v>63</v>
      </c>
      <c r="U374" s="605" t="s">
        <v>69</v>
      </c>
      <c r="V374" s="605" t="s">
        <v>69</v>
      </c>
      <c r="W374" s="605" t="s">
        <v>76</v>
      </c>
      <c r="X374" s="37"/>
      <c r="Y374" s="37"/>
      <c r="Z374" s="605" t="s">
        <v>78</v>
      </c>
      <c r="AA374" s="605" t="s">
        <v>78</v>
      </c>
      <c r="AB374" s="37"/>
      <c r="AC374" s="681">
        <f>'Ref-ComHOU'!$G$85</f>
        <v>13.287671232876711</v>
      </c>
      <c r="AD374" s="614" t="s">
        <v>72</v>
      </c>
      <c r="AE374" s="605" t="s">
        <v>73</v>
      </c>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c r="CA374" s="393"/>
      <c r="CB374" s="393"/>
      <c r="CC374" s="393"/>
      <c r="CD374" s="393"/>
      <c r="CE374" s="393"/>
      <c r="CF374" s="393"/>
      <c r="CG374" s="393"/>
      <c r="CH374" s="393"/>
      <c r="CI374" s="393"/>
      <c r="CJ374" s="390"/>
      <c r="CK374" s="390"/>
      <c r="CL374" s="390"/>
      <c r="CM374" s="390"/>
      <c r="CN374" s="390"/>
      <c r="CO374" s="390"/>
      <c r="CP374" s="390"/>
      <c r="CQ374" s="390"/>
      <c r="CR374" s="390"/>
      <c r="CS374" s="390"/>
      <c r="CT374" s="390"/>
      <c r="CU374" s="390"/>
      <c r="CV374" s="390"/>
      <c r="CW374" s="390"/>
      <c r="CX374" s="390"/>
      <c r="CY374" s="390"/>
      <c r="CZ374" s="390"/>
      <c r="DA374" s="390"/>
      <c r="DB374" s="390"/>
      <c r="DC374" s="390"/>
    </row>
    <row r="375" spans="1:107" s="317" customFormat="1" ht="24">
      <c r="A375" s="37"/>
      <c r="B375" s="604" t="s">
        <v>23</v>
      </c>
      <c r="C375" s="605" t="s">
        <v>502</v>
      </c>
      <c r="D375" s="615" t="s">
        <v>1147</v>
      </c>
      <c r="E375" s="607">
        <f>'Ref-ComSources'!$AB$11*'Ref-ComSources'!$E$231</f>
        <v>611.35212104600316</v>
      </c>
      <c r="F375" s="605" t="s">
        <v>846</v>
      </c>
      <c r="G375" s="608">
        <f>'Ref-2013CSSsaturationsINT'!$F$148</f>
        <v>0.50957050486537259</v>
      </c>
      <c r="H375" s="605" t="s">
        <v>66</v>
      </c>
      <c r="I375" s="609">
        <f>'Ref-2013CSSsaturationsINT'!$J$148</f>
        <v>0.93461250994110145</v>
      </c>
      <c r="J375" s="605" t="s">
        <v>25</v>
      </c>
      <c r="K375" s="605" t="s">
        <v>1012</v>
      </c>
      <c r="L375" s="605" t="s">
        <v>94</v>
      </c>
      <c r="M375" s="605" t="s">
        <v>90</v>
      </c>
      <c r="N375" s="614">
        <f>E380*G380*'Ref-Savings Calculations'!$E$9*Applicability</f>
        <v>197.3004390155545</v>
      </c>
      <c r="O375" s="614">
        <f>E375*G375*'Ref-Savings Calculations'!$C$77*Applicability*ControlShare</f>
        <v>65.219176908412322</v>
      </c>
      <c r="P375" s="614">
        <f>E375*G375*'Ref-Savings Calculations'!$E$9*Applicability</f>
        <v>197.3004390155545</v>
      </c>
      <c r="Q375" s="614">
        <f>E375*G375*('Ref-Savings Calculations'!$C$77-'Ref-Savings Calculations'!$C$124)*Applicability*ControlShare</f>
        <v>18.634050545260667</v>
      </c>
      <c r="R375" s="37"/>
      <c r="S375" s="605" t="s">
        <v>44</v>
      </c>
      <c r="T375" s="610" t="s">
        <v>63</v>
      </c>
      <c r="U375" s="605" t="s">
        <v>69</v>
      </c>
      <c r="V375" s="605" t="s">
        <v>69</v>
      </c>
      <c r="W375" s="605" t="s">
        <v>76</v>
      </c>
      <c r="X375" s="37"/>
      <c r="Y375" s="37"/>
      <c r="Z375" s="605" t="s">
        <v>78</v>
      </c>
      <c r="AA375" s="605" t="s">
        <v>78</v>
      </c>
      <c r="AB375" s="37"/>
      <c r="AC375" s="681">
        <f>'Ref-ComHOU'!$G$85</f>
        <v>13.287671232876711</v>
      </c>
      <c r="AD375" s="614" t="s">
        <v>72</v>
      </c>
      <c r="AE375" s="605" t="s">
        <v>73</v>
      </c>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c r="CA375" s="393"/>
      <c r="CB375" s="393"/>
      <c r="CC375" s="393"/>
      <c r="CD375" s="393"/>
      <c r="CE375" s="393"/>
      <c r="CF375" s="393"/>
      <c r="CG375" s="393"/>
      <c r="CH375" s="393"/>
      <c r="CI375" s="393"/>
      <c r="CJ375" s="390"/>
      <c r="CK375" s="390"/>
      <c r="CL375" s="390"/>
      <c r="CM375" s="390"/>
      <c r="CN375" s="390"/>
      <c r="CO375" s="390"/>
      <c r="CP375" s="390"/>
      <c r="CQ375" s="390"/>
      <c r="CR375" s="390"/>
      <c r="CS375" s="390"/>
      <c r="CT375" s="390"/>
      <c r="CU375" s="390"/>
      <c r="CV375" s="390"/>
      <c r="CW375" s="390"/>
      <c r="CX375" s="390"/>
      <c r="CY375" s="390"/>
      <c r="CZ375" s="390"/>
      <c r="DA375" s="390"/>
      <c r="DB375" s="390"/>
      <c r="DC375" s="390"/>
    </row>
    <row r="376" spans="1:107" s="317" customFormat="1" ht="24">
      <c r="A376" s="37"/>
      <c r="B376" s="604" t="s">
        <v>23</v>
      </c>
      <c r="C376" s="605" t="s">
        <v>502</v>
      </c>
      <c r="D376" s="615" t="s">
        <v>1147</v>
      </c>
      <c r="E376" s="607">
        <f>'Ref-ComSources'!$AB$11*'Ref-ComSources'!$E$231</f>
        <v>611.35212104600316</v>
      </c>
      <c r="F376" s="605" t="s">
        <v>846</v>
      </c>
      <c r="G376" s="608">
        <f>'Ref-2013CSSsaturationsINT'!$F$148</f>
        <v>0.50957050486537259</v>
      </c>
      <c r="H376" s="605" t="s">
        <v>66</v>
      </c>
      <c r="I376" s="609">
        <f>'Ref-2013CSSsaturationsINT'!$J$148</f>
        <v>0.93461250994110145</v>
      </c>
      <c r="J376" s="605" t="s">
        <v>25</v>
      </c>
      <c r="K376" s="605" t="s">
        <v>1012</v>
      </c>
      <c r="L376" s="605" t="s">
        <v>94</v>
      </c>
      <c r="M376" s="605" t="s">
        <v>91</v>
      </c>
      <c r="N376" s="614">
        <f>E381*G381*'Ref-Savings Calculations'!$E$9*Applicability</f>
        <v>197.3004390155545</v>
      </c>
      <c r="O376" s="614" t="s">
        <v>870</v>
      </c>
      <c r="P376" s="614">
        <f>E376*G376*'Ref-Savings Calculations'!$E$9*Applicability</f>
        <v>197.3004390155545</v>
      </c>
      <c r="Q376" s="614" t="s">
        <v>870</v>
      </c>
      <c r="R376" s="37"/>
      <c r="S376" s="605" t="s">
        <v>44</v>
      </c>
      <c r="T376" s="610" t="s">
        <v>63</v>
      </c>
      <c r="U376" s="610" t="s">
        <v>870</v>
      </c>
      <c r="V376" s="610" t="s">
        <v>870</v>
      </c>
      <c r="W376" s="605" t="s">
        <v>76</v>
      </c>
      <c r="X376" s="37"/>
      <c r="Y376" s="37"/>
      <c r="Z376" s="605" t="s">
        <v>78</v>
      </c>
      <c r="AA376" s="605" t="s">
        <v>78</v>
      </c>
      <c r="AB376" s="37"/>
      <c r="AC376" s="681">
        <f>'Ref-ComHOU'!$G$85</f>
        <v>13.287671232876711</v>
      </c>
      <c r="AD376" s="614" t="s">
        <v>72</v>
      </c>
      <c r="AE376" s="605" t="s">
        <v>73</v>
      </c>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c r="CA376" s="393"/>
      <c r="CB376" s="393"/>
      <c r="CC376" s="393"/>
      <c r="CD376" s="393"/>
      <c r="CE376" s="393"/>
      <c r="CF376" s="393"/>
      <c r="CG376" s="393"/>
      <c r="CH376" s="393"/>
      <c r="CI376" s="393"/>
      <c r="CJ376" s="390"/>
      <c r="CK376" s="390"/>
      <c r="CL376" s="390"/>
      <c r="CM376" s="390"/>
      <c r="CN376" s="390"/>
      <c r="CO376" s="390"/>
      <c r="CP376" s="390"/>
      <c r="CQ376" s="390"/>
      <c r="CR376" s="390"/>
      <c r="CS376" s="390"/>
      <c r="CT376" s="390"/>
      <c r="CU376" s="390"/>
      <c r="CV376" s="390"/>
      <c r="CW376" s="390"/>
      <c r="CX376" s="390"/>
      <c r="CY376" s="390"/>
      <c r="CZ376" s="390"/>
      <c r="DA376" s="390"/>
      <c r="DB376" s="390"/>
      <c r="DC376" s="390"/>
    </row>
    <row r="377" spans="1:107" s="317" customFormat="1" ht="24">
      <c r="A377" s="37"/>
      <c r="B377" s="604" t="s">
        <v>23</v>
      </c>
      <c r="C377" s="605" t="s">
        <v>502</v>
      </c>
      <c r="D377" s="615" t="s">
        <v>1147</v>
      </c>
      <c r="E377" s="607">
        <f>'Ref-ComSources'!$AB$11*'Ref-ComSources'!$E$231</f>
        <v>611.35212104600316</v>
      </c>
      <c r="F377" s="605" t="s">
        <v>846</v>
      </c>
      <c r="G377" s="608">
        <f>'Ref-2013CSSsaturationsINT'!$F$148</f>
        <v>0.50957050486537259</v>
      </c>
      <c r="H377" s="605" t="s">
        <v>66</v>
      </c>
      <c r="I377" s="609">
        <f>'Ref-2013CSSsaturationsINT'!$J$148</f>
        <v>0.93461250994110145</v>
      </c>
      <c r="J377" s="605" t="s">
        <v>25</v>
      </c>
      <c r="K377" s="605" t="s">
        <v>1012</v>
      </c>
      <c r="L377" s="605" t="s">
        <v>94</v>
      </c>
      <c r="M377" s="605" t="s">
        <v>92</v>
      </c>
      <c r="N377" s="614">
        <f>E382*G382*'Ref-Savings Calculations'!$E$9*Applicability</f>
        <v>197.3004390155545</v>
      </c>
      <c r="O377" s="614">
        <f>E377*G377*'Ref-Savings Calculations'!$C$99*Applicability*ControlShare</f>
        <v>83.853227453672972</v>
      </c>
      <c r="P377" s="614">
        <f>E377*G377*'Ref-Savings Calculations'!$E$9*Applicability</f>
        <v>197.3004390155545</v>
      </c>
      <c r="Q377" s="614">
        <f>E377*G377*('Ref-Savings Calculations'!$C$99-'Ref-Savings Calculations'!$C$124)*Applicability*ControlShare</f>
        <v>37.268101090521327</v>
      </c>
      <c r="R377" s="37"/>
      <c r="S377" s="605" t="s">
        <v>44</v>
      </c>
      <c r="T377" s="610" t="s">
        <v>63</v>
      </c>
      <c r="U377" s="605" t="s">
        <v>69</v>
      </c>
      <c r="V377" s="605" t="s">
        <v>69</v>
      </c>
      <c r="W377" s="605" t="s">
        <v>76</v>
      </c>
      <c r="X377" s="37"/>
      <c r="Y377" s="37"/>
      <c r="Z377" s="605" t="s">
        <v>78</v>
      </c>
      <c r="AA377" s="605" t="s">
        <v>78</v>
      </c>
      <c r="AB377" s="37"/>
      <c r="AC377" s="681">
        <f>'Ref-ComHOU'!$G$85</f>
        <v>13.287671232876711</v>
      </c>
      <c r="AD377" s="614" t="s">
        <v>72</v>
      </c>
      <c r="AE377" s="605" t="s">
        <v>73</v>
      </c>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c r="CA377" s="393"/>
      <c r="CB377" s="393"/>
      <c r="CC377" s="393"/>
      <c r="CD377" s="393"/>
      <c r="CE377" s="393"/>
      <c r="CF377" s="393"/>
      <c r="CG377" s="393"/>
      <c r="CH377" s="393"/>
      <c r="CI377" s="393"/>
      <c r="CJ377" s="390"/>
      <c r="CK377" s="390"/>
      <c r="CL377" s="390"/>
      <c r="CM377" s="390"/>
      <c r="CN377" s="390"/>
      <c r="CO377" s="390"/>
      <c r="CP377" s="390"/>
      <c r="CQ377" s="390"/>
      <c r="CR377" s="390"/>
      <c r="CS377" s="390"/>
      <c r="CT377" s="390"/>
      <c r="CU377" s="390"/>
      <c r="CV377" s="390"/>
      <c r="CW377" s="390"/>
      <c r="CX377" s="390"/>
      <c r="CY377" s="390"/>
      <c r="CZ377" s="390"/>
      <c r="DA377" s="390"/>
      <c r="DB377" s="390"/>
      <c r="DC377" s="390"/>
    </row>
    <row r="378" spans="1:107" s="317" customFormat="1" ht="24">
      <c r="A378" s="37"/>
      <c r="B378" s="604" t="s">
        <v>23</v>
      </c>
      <c r="C378" s="605" t="s">
        <v>502</v>
      </c>
      <c r="D378" s="615" t="s">
        <v>1147</v>
      </c>
      <c r="E378" s="607">
        <f>'Ref-ComSources'!$AB$11*'Ref-ComSources'!$E$231</f>
        <v>611.35212104600316</v>
      </c>
      <c r="F378" s="605" t="s">
        <v>846</v>
      </c>
      <c r="G378" s="608">
        <f>'Ref-2013CSSsaturationsINT'!$F$148</f>
        <v>0.50957050486537259</v>
      </c>
      <c r="H378" s="605" t="s">
        <v>66</v>
      </c>
      <c r="I378" s="609">
        <f>'Ref-2013CSSsaturationsINT'!$J$148</f>
        <v>0.93461250994110145</v>
      </c>
      <c r="J378" s="605" t="s">
        <v>25</v>
      </c>
      <c r="K378" s="605" t="s">
        <v>1012</v>
      </c>
      <c r="L378" s="605" t="s">
        <v>94</v>
      </c>
      <c r="M378" s="605" t="s">
        <v>93</v>
      </c>
      <c r="N378" s="614">
        <f>E383*G383*'Ref-Savings Calculations'!$E$9*Applicability</f>
        <v>197.3004390155545</v>
      </c>
      <c r="O378" s="614">
        <f>E378*G378*'Ref-Savings Calculations'!$C$109*Applicability*ControlShare</f>
        <v>88.511740089988152</v>
      </c>
      <c r="P378" s="614">
        <f>E378*G378*'Ref-Savings Calculations'!$E$9*Applicability</f>
        <v>197.3004390155545</v>
      </c>
      <c r="Q378" s="614">
        <f>E378*G378*('Ref-Savings Calculations'!$C$109-'Ref-Savings Calculations'!$C$124)*Applicability*ControlShare</f>
        <v>41.926613726836486</v>
      </c>
      <c r="R378" s="37"/>
      <c r="S378" s="605" t="s">
        <v>44</v>
      </c>
      <c r="T378" s="610" t="s">
        <v>63</v>
      </c>
      <c r="U378" s="610" t="s">
        <v>44</v>
      </c>
      <c r="V378" s="610" t="s">
        <v>75</v>
      </c>
      <c r="W378" s="605" t="s">
        <v>76</v>
      </c>
      <c r="X378" s="37"/>
      <c r="Y378" s="37"/>
      <c r="Z378" s="605" t="s">
        <v>78</v>
      </c>
      <c r="AA378" s="605" t="s">
        <v>78</v>
      </c>
      <c r="AB378" s="37"/>
      <c r="AC378" s="681">
        <f>'Ref-ComHOU'!$G$85</f>
        <v>13.287671232876711</v>
      </c>
      <c r="AD378" s="614" t="s">
        <v>72</v>
      </c>
      <c r="AE378" s="605" t="s">
        <v>73</v>
      </c>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c r="CA378" s="393"/>
      <c r="CB378" s="393"/>
      <c r="CC378" s="393"/>
      <c r="CD378" s="393"/>
      <c r="CE378" s="393"/>
      <c r="CF378" s="393"/>
      <c r="CG378" s="393"/>
      <c r="CH378" s="393"/>
      <c r="CI378" s="393"/>
      <c r="CJ378" s="390"/>
      <c r="CK378" s="390"/>
      <c r="CL378" s="390"/>
      <c r="CM378" s="390"/>
      <c r="CN378" s="390"/>
      <c r="CO378" s="390"/>
      <c r="CP378" s="390"/>
      <c r="CQ378" s="390"/>
      <c r="CR378" s="390"/>
      <c r="CS378" s="390"/>
      <c r="CT378" s="390"/>
      <c r="CU378" s="390"/>
      <c r="CV378" s="390"/>
      <c r="CW378" s="390"/>
      <c r="CX378" s="390"/>
      <c r="CY378" s="390"/>
      <c r="CZ378" s="390"/>
      <c r="DA378" s="390"/>
      <c r="DB378" s="390"/>
      <c r="DC378" s="390"/>
    </row>
    <row r="379" spans="1:107" s="317" customFormat="1" ht="24">
      <c r="A379" s="37"/>
      <c r="B379" s="604" t="s">
        <v>23</v>
      </c>
      <c r="C379" s="605" t="s">
        <v>502</v>
      </c>
      <c r="D379" s="615" t="s">
        <v>1147</v>
      </c>
      <c r="E379" s="607">
        <f>'Ref-ComSources'!$AB$11*'Ref-ComSources'!$E$231</f>
        <v>611.35212104600316</v>
      </c>
      <c r="F379" s="605" t="s">
        <v>846</v>
      </c>
      <c r="G379" s="608">
        <f>'Ref-2013CSSsaturationsINT'!$F$148</f>
        <v>0.50957050486537259</v>
      </c>
      <c r="H379" s="605" t="s">
        <v>66</v>
      </c>
      <c r="I379" s="609">
        <f>'Ref-2013CSSsaturationsINT'!$J$148</f>
        <v>0.93461250994110145</v>
      </c>
      <c r="J379" s="605" t="s">
        <v>25</v>
      </c>
      <c r="K379" s="605" t="s">
        <v>1012</v>
      </c>
      <c r="L379" s="610" t="s">
        <v>1384</v>
      </c>
      <c r="M379" s="605" t="s">
        <v>88</v>
      </c>
      <c r="N379" s="614">
        <f>E379*G379*'Ref-Savings Calculations'!$E$8*Applicability</f>
        <v>181.72408856695813</v>
      </c>
      <c r="O379" s="614">
        <f>E379*G379*'Ref-Savings Calculations'!$C$54*Applicability*ControlShare</f>
        <v>55.902151635781976</v>
      </c>
      <c r="P379" s="614">
        <f>E379*G379*'Ref-Savings Calculations'!$E$8*Applicability</f>
        <v>181.72408856695813</v>
      </c>
      <c r="Q379" s="614">
        <f>E379*G379*('Ref-Savings Calculations'!$C$54-'Ref-Savings Calculations'!$C$124)*Applicability*ControlShare</f>
        <v>9.3170252726303264</v>
      </c>
      <c r="R379" s="37"/>
      <c r="S379" s="605" t="s">
        <v>68</v>
      </c>
      <c r="T379" s="605" t="s">
        <v>63</v>
      </c>
      <c r="U379" s="605" t="s">
        <v>69</v>
      </c>
      <c r="V379" s="605" t="s">
        <v>69</v>
      </c>
      <c r="W379" s="605" t="s">
        <v>70</v>
      </c>
      <c r="X379" s="37"/>
      <c r="Y379" s="37"/>
      <c r="Z379" s="605" t="s">
        <v>78</v>
      </c>
      <c r="AA379" s="605" t="s">
        <v>78</v>
      </c>
      <c r="AB379" s="37"/>
      <c r="AC379" s="681">
        <f>'Ref-ComHOU'!$G$85</f>
        <v>13.287671232876711</v>
      </c>
      <c r="AD379" s="614" t="s">
        <v>72</v>
      </c>
      <c r="AE379" s="605" t="s">
        <v>73</v>
      </c>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c r="CA379" s="393"/>
      <c r="CB379" s="393"/>
      <c r="CC379" s="393"/>
      <c r="CD379" s="393"/>
      <c r="CE379" s="393"/>
      <c r="CF379" s="393"/>
      <c r="CG379" s="393"/>
      <c r="CH379" s="393"/>
      <c r="CI379" s="393"/>
      <c r="CJ379" s="390"/>
      <c r="CK379" s="390"/>
      <c r="CL379" s="390"/>
      <c r="CM379" s="390"/>
      <c r="CN379" s="390"/>
      <c r="CO379" s="390"/>
      <c r="CP379" s="390"/>
      <c r="CQ379" s="390"/>
      <c r="CR379" s="390"/>
      <c r="CS379" s="390"/>
      <c r="CT379" s="390"/>
      <c r="CU379" s="390"/>
      <c r="CV379" s="390"/>
      <c r="CW379" s="390"/>
      <c r="CX379" s="390"/>
      <c r="CY379" s="390"/>
      <c r="CZ379" s="390"/>
      <c r="DA379" s="390"/>
      <c r="DB379" s="390"/>
      <c r="DC379" s="390"/>
    </row>
    <row r="380" spans="1:107" s="317" customFormat="1" ht="24">
      <c r="A380" s="37"/>
      <c r="B380" s="604" t="s">
        <v>23</v>
      </c>
      <c r="C380" s="605" t="s">
        <v>502</v>
      </c>
      <c r="D380" s="615" t="s">
        <v>1147</v>
      </c>
      <c r="E380" s="607">
        <f>'Ref-ComSources'!$AB$11*'Ref-ComSources'!$E$231</f>
        <v>611.35212104600316</v>
      </c>
      <c r="F380" s="605" t="s">
        <v>846</v>
      </c>
      <c r="G380" s="608">
        <f>'Ref-2013CSSsaturationsINT'!$F$148</f>
        <v>0.50957050486537259</v>
      </c>
      <c r="H380" s="605" t="s">
        <v>66</v>
      </c>
      <c r="I380" s="609">
        <f>'Ref-2013CSSsaturationsINT'!$J$148</f>
        <v>0.93461250994110145</v>
      </c>
      <c r="J380" s="605" t="s">
        <v>25</v>
      </c>
      <c r="K380" s="605" t="s">
        <v>1012</v>
      </c>
      <c r="L380" s="610" t="s">
        <v>1384</v>
      </c>
      <c r="M380" s="605" t="s">
        <v>90</v>
      </c>
      <c r="N380" s="614">
        <f>E380*G380*'Ref-Savings Calculations'!$E$8*Applicability</f>
        <v>181.72408856695813</v>
      </c>
      <c r="O380" s="614">
        <f>E380*G380*'Ref-Savings Calculations'!$C$77*Applicability*ControlShare</f>
        <v>65.219176908412322</v>
      </c>
      <c r="P380" s="614">
        <f>E380*G380*'Ref-Savings Calculations'!$E$8*Applicability</f>
        <v>181.72408856695813</v>
      </c>
      <c r="Q380" s="614">
        <f>E380*G380*('Ref-Savings Calculations'!$C$77-'Ref-Savings Calculations'!$C$124)*Applicability*ControlShare</f>
        <v>18.634050545260667</v>
      </c>
      <c r="R380" s="37"/>
      <c r="S380" s="605" t="s">
        <v>68</v>
      </c>
      <c r="T380" s="605" t="s">
        <v>63</v>
      </c>
      <c r="U380" s="605" t="s">
        <v>69</v>
      </c>
      <c r="V380" s="605" t="s">
        <v>69</v>
      </c>
      <c r="W380" s="605" t="s">
        <v>70</v>
      </c>
      <c r="X380" s="37"/>
      <c r="Y380" s="37"/>
      <c r="Z380" s="605" t="s">
        <v>78</v>
      </c>
      <c r="AA380" s="605" t="s">
        <v>78</v>
      </c>
      <c r="AB380" s="37"/>
      <c r="AC380" s="681">
        <f>'Ref-ComHOU'!$G$85</f>
        <v>13.287671232876711</v>
      </c>
      <c r="AD380" s="614" t="s">
        <v>72</v>
      </c>
      <c r="AE380" s="605" t="s">
        <v>73</v>
      </c>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c r="CA380" s="393"/>
      <c r="CB380" s="393"/>
      <c r="CC380" s="393"/>
      <c r="CD380" s="393"/>
      <c r="CE380" s="393"/>
      <c r="CF380" s="393"/>
      <c r="CG380" s="393"/>
      <c r="CH380" s="393"/>
      <c r="CI380" s="393"/>
      <c r="CJ380" s="390"/>
      <c r="CK380" s="390"/>
      <c r="CL380" s="390"/>
      <c r="CM380" s="390"/>
      <c r="CN380" s="390"/>
      <c r="CO380" s="390"/>
      <c r="CP380" s="390"/>
      <c r="CQ380" s="390"/>
      <c r="CR380" s="390"/>
      <c r="CS380" s="390"/>
      <c r="CT380" s="390"/>
      <c r="CU380" s="390"/>
      <c r="CV380" s="390"/>
      <c r="CW380" s="390"/>
      <c r="CX380" s="390"/>
      <c r="CY380" s="390"/>
      <c r="CZ380" s="390"/>
      <c r="DA380" s="390"/>
      <c r="DB380" s="390"/>
      <c r="DC380" s="390"/>
    </row>
    <row r="381" spans="1:107" s="317" customFormat="1" ht="24">
      <c r="A381" s="37"/>
      <c r="B381" s="604" t="s">
        <v>23</v>
      </c>
      <c r="C381" s="605" t="s">
        <v>502</v>
      </c>
      <c r="D381" s="615" t="s">
        <v>1147</v>
      </c>
      <c r="E381" s="607">
        <f>'Ref-ComSources'!$AB$11*'Ref-ComSources'!$E$231</f>
        <v>611.35212104600316</v>
      </c>
      <c r="F381" s="605" t="s">
        <v>846</v>
      </c>
      <c r="G381" s="608">
        <f>'Ref-2013CSSsaturationsINT'!$F$148</f>
        <v>0.50957050486537259</v>
      </c>
      <c r="H381" s="605" t="s">
        <v>66</v>
      </c>
      <c r="I381" s="609">
        <f>'Ref-2013CSSsaturationsINT'!$J$148</f>
        <v>0.93461250994110145</v>
      </c>
      <c r="J381" s="605" t="s">
        <v>25</v>
      </c>
      <c r="K381" s="605" t="s">
        <v>1012</v>
      </c>
      <c r="L381" s="610" t="s">
        <v>1384</v>
      </c>
      <c r="M381" s="605" t="s">
        <v>91</v>
      </c>
      <c r="N381" s="614">
        <f>E381*G381*'Ref-Savings Calculations'!$E$8*Applicability</f>
        <v>181.72408856695813</v>
      </c>
      <c r="O381" s="614" t="s">
        <v>870</v>
      </c>
      <c r="P381" s="614">
        <f>E381*G381*'Ref-Savings Calculations'!$E$8*Applicability</f>
        <v>181.72408856695813</v>
      </c>
      <c r="Q381" s="614" t="s">
        <v>870</v>
      </c>
      <c r="R381" s="37"/>
      <c r="S381" s="605" t="s">
        <v>68</v>
      </c>
      <c r="T381" s="605" t="s">
        <v>63</v>
      </c>
      <c r="U381" s="610" t="s">
        <v>69</v>
      </c>
      <c r="V381" s="610" t="s">
        <v>69</v>
      </c>
      <c r="W381" s="605" t="s">
        <v>70</v>
      </c>
      <c r="X381" s="37"/>
      <c r="Y381" s="37"/>
      <c r="Z381" s="605" t="s">
        <v>78</v>
      </c>
      <c r="AA381" s="605" t="s">
        <v>78</v>
      </c>
      <c r="AB381" s="37"/>
      <c r="AC381" s="681">
        <f>'Ref-ComHOU'!$G$85</f>
        <v>13.287671232876711</v>
      </c>
      <c r="AD381" s="614" t="s">
        <v>72</v>
      </c>
      <c r="AE381" s="605" t="s">
        <v>73</v>
      </c>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c r="CA381" s="393"/>
      <c r="CB381" s="393"/>
      <c r="CC381" s="393"/>
      <c r="CD381" s="393"/>
      <c r="CE381" s="393"/>
      <c r="CF381" s="393"/>
      <c r="CG381" s="393"/>
      <c r="CH381" s="393"/>
      <c r="CI381" s="393"/>
      <c r="CJ381" s="390"/>
      <c r="CK381" s="390"/>
      <c r="CL381" s="390"/>
      <c r="CM381" s="390"/>
      <c r="CN381" s="390"/>
      <c r="CO381" s="390"/>
      <c r="CP381" s="390"/>
      <c r="CQ381" s="390"/>
      <c r="CR381" s="390"/>
      <c r="CS381" s="390"/>
      <c r="CT381" s="390"/>
      <c r="CU381" s="390"/>
      <c r="CV381" s="390"/>
      <c r="CW381" s="390"/>
      <c r="CX381" s="390"/>
      <c r="CY381" s="390"/>
      <c r="CZ381" s="390"/>
      <c r="DA381" s="390"/>
      <c r="DB381" s="390"/>
      <c r="DC381" s="390"/>
    </row>
    <row r="382" spans="1:107" s="317" customFormat="1" ht="24">
      <c r="A382" s="37"/>
      <c r="B382" s="604" t="s">
        <v>23</v>
      </c>
      <c r="C382" s="605" t="s">
        <v>502</v>
      </c>
      <c r="D382" s="615" t="s">
        <v>1147</v>
      </c>
      <c r="E382" s="607">
        <f>'Ref-ComSources'!$AB$11*'Ref-ComSources'!$E$231</f>
        <v>611.35212104600316</v>
      </c>
      <c r="F382" s="605" t="s">
        <v>846</v>
      </c>
      <c r="G382" s="608">
        <f>'Ref-2013CSSsaturationsINT'!$F$148</f>
        <v>0.50957050486537259</v>
      </c>
      <c r="H382" s="605" t="s">
        <v>66</v>
      </c>
      <c r="I382" s="609">
        <f>'Ref-2013CSSsaturationsINT'!$J$148</f>
        <v>0.93461250994110145</v>
      </c>
      <c r="J382" s="605" t="s">
        <v>25</v>
      </c>
      <c r="K382" s="605" t="s">
        <v>1012</v>
      </c>
      <c r="L382" s="610" t="s">
        <v>1384</v>
      </c>
      <c r="M382" s="605" t="s">
        <v>92</v>
      </c>
      <c r="N382" s="614">
        <f>E382*G382*'Ref-Savings Calculations'!$E$8*Applicability</f>
        <v>181.72408856695813</v>
      </c>
      <c r="O382" s="614">
        <f>E382*G382*'Ref-Savings Calculations'!$C$99*Applicability*ControlShare</f>
        <v>83.853227453672972</v>
      </c>
      <c r="P382" s="614">
        <f>E382*G382*'Ref-Savings Calculations'!$E$8*Applicability</f>
        <v>181.72408856695813</v>
      </c>
      <c r="Q382" s="614">
        <f>E382*G382*('Ref-Savings Calculations'!$C$99-'Ref-Savings Calculations'!$C$124)*Applicability*ControlShare</f>
        <v>37.268101090521327</v>
      </c>
      <c r="R382" s="37"/>
      <c r="S382" s="605" t="s">
        <v>68</v>
      </c>
      <c r="T382" s="605" t="s">
        <v>63</v>
      </c>
      <c r="U382" s="605" t="s">
        <v>69</v>
      </c>
      <c r="V382" s="605" t="s">
        <v>69</v>
      </c>
      <c r="W382" s="605" t="s">
        <v>70</v>
      </c>
      <c r="X382" s="37"/>
      <c r="Y382" s="37"/>
      <c r="Z382" s="605" t="s">
        <v>78</v>
      </c>
      <c r="AA382" s="605" t="s">
        <v>78</v>
      </c>
      <c r="AB382" s="37"/>
      <c r="AC382" s="681">
        <f>'Ref-ComHOU'!$G$85</f>
        <v>13.287671232876711</v>
      </c>
      <c r="AD382" s="614" t="s">
        <v>72</v>
      </c>
      <c r="AE382" s="605" t="s">
        <v>73</v>
      </c>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c r="CA382" s="393"/>
      <c r="CB382" s="393"/>
      <c r="CC382" s="393"/>
      <c r="CD382" s="393"/>
      <c r="CE382" s="393"/>
      <c r="CF382" s="393"/>
      <c r="CG382" s="393"/>
      <c r="CH382" s="393"/>
      <c r="CI382" s="393"/>
      <c r="CJ382" s="390"/>
      <c r="CK382" s="390"/>
      <c r="CL382" s="390"/>
      <c r="CM382" s="390"/>
      <c r="CN382" s="390"/>
      <c r="CO382" s="390"/>
      <c r="CP382" s="390"/>
      <c r="CQ382" s="390"/>
      <c r="CR382" s="390"/>
      <c r="CS382" s="390"/>
      <c r="CT382" s="390"/>
      <c r="CU382" s="390"/>
      <c r="CV382" s="390"/>
      <c r="CW382" s="390"/>
      <c r="CX382" s="390"/>
      <c r="CY382" s="390"/>
      <c r="CZ382" s="390"/>
      <c r="DA382" s="390"/>
      <c r="DB382" s="390"/>
      <c r="DC382" s="390"/>
    </row>
    <row r="383" spans="1:107" s="317" customFormat="1" ht="24">
      <c r="A383" s="37"/>
      <c r="B383" s="604" t="s">
        <v>23</v>
      </c>
      <c r="C383" s="605" t="s">
        <v>502</v>
      </c>
      <c r="D383" s="615" t="s">
        <v>1147</v>
      </c>
      <c r="E383" s="607">
        <f>'Ref-ComSources'!$AB$11*'Ref-ComSources'!$E$231</f>
        <v>611.35212104600316</v>
      </c>
      <c r="F383" s="605" t="s">
        <v>846</v>
      </c>
      <c r="G383" s="608">
        <f>'Ref-2013CSSsaturationsINT'!$F$148</f>
        <v>0.50957050486537259</v>
      </c>
      <c r="H383" s="605" t="s">
        <v>66</v>
      </c>
      <c r="I383" s="609">
        <f>'Ref-2013CSSsaturationsINT'!$J$148</f>
        <v>0.93461250994110145</v>
      </c>
      <c r="J383" s="605" t="s">
        <v>25</v>
      </c>
      <c r="K383" s="605" t="s">
        <v>1012</v>
      </c>
      <c r="L383" s="610" t="s">
        <v>1384</v>
      </c>
      <c r="M383" s="605" t="s">
        <v>93</v>
      </c>
      <c r="N383" s="614">
        <f>E383*G383*'Ref-Savings Calculations'!$E$8*Applicability</f>
        <v>181.72408856695813</v>
      </c>
      <c r="O383" s="614">
        <f>E383*G383*'Ref-Savings Calculations'!$C$109*Applicability*ControlShare</f>
        <v>88.511740089988152</v>
      </c>
      <c r="P383" s="614">
        <f>E383*G383*'Ref-Savings Calculations'!$E$8*Applicability</f>
        <v>181.72408856695813</v>
      </c>
      <c r="Q383" s="614">
        <f>E383*G383*('Ref-Savings Calculations'!$C$109-'Ref-Savings Calculations'!$C$124)*Applicability*ControlShare</f>
        <v>41.926613726836486</v>
      </c>
      <c r="R383" s="37"/>
      <c r="S383" s="605" t="s">
        <v>68</v>
      </c>
      <c r="T383" s="605" t="s">
        <v>63</v>
      </c>
      <c r="U383" s="610" t="s">
        <v>44</v>
      </c>
      <c r="V383" s="610" t="s">
        <v>75</v>
      </c>
      <c r="W383" s="605" t="s">
        <v>70</v>
      </c>
      <c r="X383" s="37"/>
      <c r="Y383" s="37"/>
      <c r="Z383" s="605" t="s">
        <v>78</v>
      </c>
      <c r="AA383" s="605" t="s">
        <v>78</v>
      </c>
      <c r="AB383" s="37"/>
      <c r="AC383" s="681">
        <f>'Ref-ComHOU'!$G$85</f>
        <v>13.287671232876711</v>
      </c>
      <c r="AD383" s="614" t="s">
        <v>72</v>
      </c>
      <c r="AE383" s="605" t="s">
        <v>73</v>
      </c>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c r="CA383" s="393"/>
      <c r="CB383" s="393"/>
      <c r="CC383" s="393"/>
      <c r="CD383" s="393"/>
      <c r="CE383" s="393"/>
      <c r="CF383" s="393"/>
      <c r="CG383" s="393"/>
      <c r="CH383" s="393"/>
      <c r="CI383" s="393"/>
      <c r="CJ383" s="390"/>
      <c r="CK383" s="390"/>
      <c r="CL383" s="390"/>
      <c r="CM383" s="390"/>
      <c r="CN383" s="390"/>
      <c r="CO383" s="390"/>
      <c r="CP383" s="390"/>
      <c r="CQ383" s="390"/>
      <c r="CR383" s="390"/>
      <c r="CS383" s="390"/>
      <c r="CT383" s="390"/>
      <c r="CU383" s="390"/>
      <c r="CV383" s="390"/>
      <c r="CW383" s="390"/>
      <c r="CX383" s="390"/>
      <c r="CY383" s="390"/>
      <c r="CZ383" s="390"/>
      <c r="DA383" s="390"/>
      <c r="DB383" s="390"/>
      <c r="DC383" s="390"/>
    </row>
    <row r="384" spans="1:107" s="317" customFormat="1" ht="24">
      <c r="A384" s="37"/>
      <c r="B384" s="604" t="s">
        <v>23</v>
      </c>
      <c r="C384" s="605" t="s">
        <v>502</v>
      </c>
      <c r="D384" s="615" t="s">
        <v>1147</v>
      </c>
      <c r="E384" s="607">
        <f>'Ref-ComSources'!$AB$11*'Ref-ComSources'!$E$231</f>
        <v>611.35212104600316</v>
      </c>
      <c r="F384" s="605" t="s">
        <v>26</v>
      </c>
      <c r="G384" s="608">
        <f>'Ref-2013CSSsaturationsINT'!$F$151</f>
        <v>0.44226099007306308</v>
      </c>
      <c r="H384" s="605" t="s">
        <v>66</v>
      </c>
      <c r="I384" s="609">
        <f>'Ref-2013CSSsaturationsINT'!$J$148</f>
        <v>0.93461250994110145</v>
      </c>
      <c r="J384" s="605" t="s">
        <v>25</v>
      </c>
      <c r="K384" s="605" t="s">
        <v>1012</v>
      </c>
      <c r="L384" s="605" t="s">
        <v>94</v>
      </c>
      <c r="M384" s="605" t="s">
        <v>88</v>
      </c>
      <c r="N384" s="614">
        <f>E384*G384*'Ref-Savings Calculations'!$E$11*Applicability</f>
        <v>180.25146289138166</v>
      </c>
      <c r="O384" s="614">
        <f>E384*G384*'Ref-Savings Calculations'!$C$54*Applicability*ControlShare</f>
        <v>48.517998380199224</v>
      </c>
      <c r="P384" s="614">
        <f>E384*G384*'Ref-Savings Calculations'!$E$9*Applicability</f>
        <v>171.23888974681256</v>
      </c>
      <c r="Q384" s="614">
        <f>E384*G384*('Ref-Savings Calculations'!$C$54-'Ref-Savings Calculations'!$C$124)*Applicability*ControlShare</f>
        <v>8.0863330633665331</v>
      </c>
      <c r="R384" s="37"/>
      <c r="S384" s="605" t="s">
        <v>44</v>
      </c>
      <c r="T384" s="610" t="s">
        <v>63</v>
      </c>
      <c r="U384" s="605" t="s">
        <v>69</v>
      </c>
      <c r="V384" s="605" t="s">
        <v>69</v>
      </c>
      <c r="W384" s="605" t="s">
        <v>76</v>
      </c>
      <c r="X384" s="37"/>
      <c r="Y384" s="37"/>
      <c r="Z384" s="605" t="s">
        <v>78</v>
      </c>
      <c r="AA384" s="605" t="s">
        <v>78</v>
      </c>
      <c r="AB384" s="37"/>
      <c r="AC384" s="681">
        <f>'Ref-ComHOU'!$G$85</f>
        <v>13.287671232876711</v>
      </c>
      <c r="AD384" s="614" t="s">
        <v>72</v>
      </c>
      <c r="AE384" s="605" t="s">
        <v>73</v>
      </c>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c r="CA384" s="393"/>
      <c r="CB384" s="393"/>
      <c r="CC384" s="393"/>
      <c r="CD384" s="393"/>
      <c r="CE384" s="393"/>
      <c r="CF384" s="393"/>
      <c r="CG384" s="393"/>
      <c r="CH384" s="393"/>
      <c r="CI384" s="393"/>
      <c r="CJ384" s="390"/>
      <c r="CK384" s="390"/>
      <c r="CL384" s="390"/>
      <c r="CM384" s="390"/>
      <c r="CN384" s="390"/>
      <c r="CO384" s="390"/>
      <c r="CP384" s="390"/>
      <c r="CQ384" s="390"/>
      <c r="CR384" s="390"/>
      <c r="CS384" s="390"/>
      <c r="CT384" s="390"/>
      <c r="CU384" s="390"/>
      <c r="CV384" s="390"/>
      <c r="CW384" s="390"/>
      <c r="CX384" s="390"/>
      <c r="CY384" s="390"/>
      <c r="CZ384" s="390"/>
      <c r="DA384" s="390"/>
      <c r="DB384" s="390"/>
      <c r="DC384" s="390"/>
    </row>
    <row r="385" spans="1:107" s="317" customFormat="1" ht="24">
      <c r="A385" s="37"/>
      <c r="B385" s="604" t="s">
        <v>23</v>
      </c>
      <c r="C385" s="605" t="s">
        <v>502</v>
      </c>
      <c r="D385" s="615" t="s">
        <v>1147</v>
      </c>
      <c r="E385" s="607">
        <f>'Ref-ComSources'!$AB$11*'Ref-ComSources'!$E$231</f>
        <v>611.35212104600316</v>
      </c>
      <c r="F385" s="605" t="s">
        <v>26</v>
      </c>
      <c r="G385" s="608">
        <f>'Ref-2013CSSsaturationsINT'!$F$151</f>
        <v>0.44226099007306308</v>
      </c>
      <c r="H385" s="605" t="s">
        <v>66</v>
      </c>
      <c r="I385" s="609">
        <f>'Ref-2013CSSsaturationsINT'!$J$148</f>
        <v>0.93461250994110145</v>
      </c>
      <c r="J385" s="605" t="s">
        <v>25</v>
      </c>
      <c r="K385" s="605" t="s">
        <v>1012</v>
      </c>
      <c r="L385" s="605" t="s">
        <v>94</v>
      </c>
      <c r="M385" s="605" t="s">
        <v>90</v>
      </c>
      <c r="N385" s="614">
        <f>E385*G385*'Ref-Savings Calculations'!$E$11*Applicability</f>
        <v>180.25146289138166</v>
      </c>
      <c r="O385" s="614">
        <f>E385*G385*'Ref-Savings Calculations'!$C$77*Applicability*ControlShare</f>
        <v>56.604331443565762</v>
      </c>
      <c r="P385" s="614">
        <f>E385*G385*'Ref-Savings Calculations'!$E$9*Applicability</f>
        <v>171.23888974681256</v>
      </c>
      <c r="Q385" s="614">
        <f>E385*G385*('Ref-Savings Calculations'!$C$77-'Ref-Savings Calculations'!$C$124)*Applicability*ControlShare</f>
        <v>16.172666126733077</v>
      </c>
      <c r="R385" s="37"/>
      <c r="S385" s="605" t="s">
        <v>44</v>
      </c>
      <c r="T385" s="610" t="s">
        <v>63</v>
      </c>
      <c r="U385" s="605" t="s">
        <v>69</v>
      </c>
      <c r="V385" s="605" t="s">
        <v>69</v>
      </c>
      <c r="W385" s="605" t="s">
        <v>76</v>
      </c>
      <c r="X385" s="37"/>
      <c r="Y385" s="37"/>
      <c r="Z385" s="605" t="s">
        <v>78</v>
      </c>
      <c r="AA385" s="605" t="s">
        <v>78</v>
      </c>
      <c r="AB385" s="37"/>
      <c r="AC385" s="681">
        <f>'Ref-ComHOU'!$G$85</f>
        <v>13.287671232876711</v>
      </c>
      <c r="AD385" s="614" t="s">
        <v>72</v>
      </c>
      <c r="AE385" s="605" t="s">
        <v>73</v>
      </c>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c r="CA385" s="393"/>
      <c r="CB385" s="393"/>
      <c r="CC385" s="393"/>
      <c r="CD385" s="393"/>
      <c r="CE385" s="393"/>
      <c r="CF385" s="393"/>
      <c r="CG385" s="393"/>
      <c r="CH385" s="393"/>
      <c r="CI385" s="393"/>
      <c r="CJ385" s="390"/>
      <c r="CK385" s="390"/>
      <c r="CL385" s="390"/>
      <c r="CM385" s="390"/>
      <c r="CN385" s="390"/>
      <c r="CO385" s="390"/>
      <c r="CP385" s="390"/>
      <c r="CQ385" s="390"/>
      <c r="CR385" s="390"/>
      <c r="CS385" s="390"/>
      <c r="CT385" s="390"/>
      <c r="CU385" s="390"/>
      <c r="CV385" s="390"/>
      <c r="CW385" s="390"/>
      <c r="CX385" s="390"/>
      <c r="CY385" s="390"/>
      <c r="CZ385" s="390"/>
      <c r="DA385" s="390"/>
      <c r="DB385" s="390"/>
      <c r="DC385" s="390"/>
    </row>
    <row r="386" spans="1:107" s="317" customFormat="1" ht="24">
      <c r="A386" s="37"/>
      <c r="B386" s="604" t="s">
        <v>23</v>
      </c>
      <c r="C386" s="605" t="s">
        <v>502</v>
      </c>
      <c r="D386" s="615" t="s">
        <v>1147</v>
      </c>
      <c r="E386" s="607">
        <f>'Ref-ComSources'!$AB$11*'Ref-ComSources'!$E$231</f>
        <v>611.35212104600316</v>
      </c>
      <c r="F386" s="605" t="s">
        <v>26</v>
      </c>
      <c r="G386" s="608">
        <f>'Ref-2013CSSsaturationsINT'!$F$151</f>
        <v>0.44226099007306308</v>
      </c>
      <c r="H386" s="605" t="s">
        <v>66</v>
      </c>
      <c r="I386" s="609">
        <f>'Ref-2013CSSsaturationsINT'!$J$148</f>
        <v>0.93461250994110145</v>
      </c>
      <c r="J386" s="605" t="s">
        <v>25</v>
      </c>
      <c r="K386" s="605" t="s">
        <v>1012</v>
      </c>
      <c r="L386" s="605" t="s">
        <v>94</v>
      </c>
      <c r="M386" s="605" t="s">
        <v>91</v>
      </c>
      <c r="N386" s="614">
        <f>E386*G386*'Ref-Savings Calculations'!$E$11*Applicability</f>
        <v>180.25146289138166</v>
      </c>
      <c r="O386" s="614" t="s">
        <v>870</v>
      </c>
      <c r="P386" s="614">
        <f>E386*G386*'Ref-Savings Calculations'!$E$9*Applicability</f>
        <v>171.23888974681256</v>
      </c>
      <c r="Q386" s="614" t="s">
        <v>870</v>
      </c>
      <c r="R386" s="37"/>
      <c r="S386" s="605" t="s">
        <v>44</v>
      </c>
      <c r="T386" s="610" t="s">
        <v>63</v>
      </c>
      <c r="U386" s="610" t="s">
        <v>870</v>
      </c>
      <c r="V386" s="610" t="s">
        <v>870</v>
      </c>
      <c r="W386" s="605" t="s">
        <v>76</v>
      </c>
      <c r="X386" s="37"/>
      <c r="Y386" s="37"/>
      <c r="Z386" s="605" t="s">
        <v>78</v>
      </c>
      <c r="AA386" s="605" t="s">
        <v>78</v>
      </c>
      <c r="AB386" s="37"/>
      <c r="AC386" s="681">
        <f>'Ref-ComHOU'!$G$85</f>
        <v>13.287671232876711</v>
      </c>
      <c r="AD386" s="614" t="s">
        <v>72</v>
      </c>
      <c r="AE386" s="605" t="s">
        <v>73</v>
      </c>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c r="CA386" s="393"/>
      <c r="CB386" s="393"/>
      <c r="CC386" s="393"/>
      <c r="CD386" s="393"/>
      <c r="CE386" s="393"/>
      <c r="CF386" s="393"/>
      <c r="CG386" s="393"/>
      <c r="CH386" s="393"/>
      <c r="CI386" s="393"/>
      <c r="CJ386" s="390"/>
      <c r="CK386" s="390"/>
      <c r="CL386" s="390"/>
      <c r="CM386" s="390"/>
      <c r="CN386" s="390"/>
      <c r="CO386" s="390"/>
      <c r="CP386" s="390"/>
      <c r="CQ386" s="390"/>
      <c r="CR386" s="390"/>
      <c r="CS386" s="390"/>
      <c r="CT386" s="390"/>
      <c r="CU386" s="390"/>
      <c r="CV386" s="390"/>
      <c r="CW386" s="390"/>
      <c r="CX386" s="390"/>
      <c r="CY386" s="390"/>
      <c r="CZ386" s="390"/>
      <c r="DA386" s="390"/>
      <c r="DB386" s="390"/>
      <c r="DC386" s="390"/>
    </row>
    <row r="387" spans="1:107" s="317" customFormat="1" ht="24">
      <c r="A387" s="37"/>
      <c r="B387" s="604" t="s">
        <v>23</v>
      </c>
      <c r="C387" s="605" t="s">
        <v>502</v>
      </c>
      <c r="D387" s="615" t="s">
        <v>1147</v>
      </c>
      <c r="E387" s="607">
        <f>'Ref-ComSources'!$AB$11*'Ref-ComSources'!$E$231</f>
        <v>611.35212104600316</v>
      </c>
      <c r="F387" s="605" t="s">
        <v>26</v>
      </c>
      <c r="G387" s="608">
        <f>'Ref-2013CSSsaturationsINT'!$F$151</f>
        <v>0.44226099007306308</v>
      </c>
      <c r="H387" s="605" t="s">
        <v>66</v>
      </c>
      <c r="I387" s="609">
        <f>'Ref-2013CSSsaturationsINT'!$J$148</f>
        <v>0.93461250994110145</v>
      </c>
      <c r="J387" s="605" t="s">
        <v>25</v>
      </c>
      <c r="K387" s="605" t="s">
        <v>1012</v>
      </c>
      <c r="L387" s="605" t="s">
        <v>94</v>
      </c>
      <c r="M387" s="605" t="s">
        <v>92</v>
      </c>
      <c r="N387" s="614">
        <f>E387*G387*'Ref-Savings Calculations'!$E$11*Applicability</f>
        <v>180.25146289138166</v>
      </c>
      <c r="O387" s="614">
        <f>E387*G387*'Ref-Savings Calculations'!$C$99*Applicability*ControlShare</f>
        <v>72.776997570298832</v>
      </c>
      <c r="P387" s="614">
        <f>E387*G387*'Ref-Savings Calculations'!$E$9*Applicability</f>
        <v>171.23888974681256</v>
      </c>
      <c r="Q387" s="614">
        <f>E387*G387*('Ref-Savings Calculations'!$C$99-'Ref-Savings Calculations'!$C$124)*Applicability*ControlShare</f>
        <v>32.345332253466147</v>
      </c>
      <c r="R387" s="37"/>
      <c r="S387" s="605" t="s">
        <v>44</v>
      </c>
      <c r="T387" s="610" t="s">
        <v>63</v>
      </c>
      <c r="U387" s="605" t="s">
        <v>69</v>
      </c>
      <c r="V387" s="605" t="s">
        <v>69</v>
      </c>
      <c r="W387" s="605" t="s">
        <v>76</v>
      </c>
      <c r="X387" s="37"/>
      <c r="Y387" s="37"/>
      <c r="Z387" s="605" t="s">
        <v>78</v>
      </c>
      <c r="AA387" s="605" t="s">
        <v>78</v>
      </c>
      <c r="AB387" s="37"/>
      <c r="AC387" s="681">
        <f>'Ref-ComHOU'!$G$85</f>
        <v>13.287671232876711</v>
      </c>
      <c r="AD387" s="614" t="s">
        <v>72</v>
      </c>
      <c r="AE387" s="605" t="s">
        <v>73</v>
      </c>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c r="CA387" s="393"/>
      <c r="CB387" s="393"/>
      <c r="CC387" s="393"/>
      <c r="CD387" s="393"/>
      <c r="CE387" s="393"/>
      <c r="CF387" s="393"/>
      <c r="CG387" s="393"/>
      <c r="CH387" s="393"/>
      <c r="CI387" s="393"/>
      <c r="CJ387" s="390"/>
      <c r="CK387" s="390"/>
      <c r="CL387" s="390"/>
      <c r="CM387" s="390"/>
      <c r="CN387" s="390"/>
      <c r="CO387" s="390"/>
      <c r="CP387" s="390"/>
      <c r="CQ387" s="390"/>
      <c r="CR387" s="390"/>
      <c r="CS387" s="390"/>
      <c r="CT387" s="390"/>
      <c r="CU387" s="390"/>
      <c r="CV387" s="390"/>
      <c r="CW387" s="390"/>
      <c r="CX387" s="390"/>
      <c r="CY387" s="390"/>
      <c r="CZ387" s="390"/>
      <c r="DA387" s="390"/>
      <c r="DB387" s="390"/>
      <c r="DC387" s="390"/>
    </row>
    <row r="388" spans="1:107" s="317" customFormat="1" ht="24">
      <c r="A388" s="37"/>
      <c r="B388" s="604" t="s">
        <v>23</v>
      </c>
      <c r="C388" s="605" t="s">
        <v>502</v>
      </c>
      <c r="D388" s="615" t="s">
        <v>1147</v>
      </c>
      <c r="E388" s="607">
        <f>'Ref-ComSources'!$AB$11*'Ref-ComSources'!$E$231</f>
        <v>611.35212104600316</v>
      </c>
      <c r="F388" s="605" t="s">
        <v>26</v>
      </c>
      <c r="G388" s="608">
        <f>'Ref-2013CSSsaturationsINT'!$F$151</f>
        <v>0.44226099007306308</v>
      </c>
      <c r="H388" s="605" t="s">
        <v>66</v>
      </c>
      <c r="I388" s="609">
        <f>'Ref-2013CSSsaturationsINT'!$J$148</f>
        <v>0.93461250994110145</v>
      </c>
      <c r="J388" s="605" t="s">
        <v>25</v>
      </c>
      <c r="K388" s="605" t="s">
        <v>1012</v>
      </c>
      <c r="L388" s="605" t="s">
        <v>94</v>
      </c>
      <c r="M388" s="605" t="s">
        <v>93</v>
      </c>
      <c r="N388" s="614">
        <f>E388*G388*'Ref-Savings Calculations'!$E$11*Applicability</f>
        <v>180.25146289138166</v>
      </c>
      <c r="O388" s="614">
        <f>E388*G388*'Ref-Savings Calculations'!$C$109*Applicability*ControlShare</f>
        <v>76.820164101982115</v>
      </c>
      <c r="P388" s="614">
        <f>E388*G388*'Ref-Savings Calculations'!$E$9*Applicability</f>
        <v>171.23888974681256</v>
      </c>
      <c r="Q388" s="614">
        <f>E388*G388*('Ref-Savings Calculations'!$C$109-'Ref-Savings Calculations'!$C$124)*Applicability*ControlShare</f>
        <v>36.388498785149416</v>
      </c>
      <c r="R388" s="37"/>
      <c r="S388" s="605" t="s">
        <v>44</v>
      </c>
      <c r="T388" s="610" t="s">
        <v>63</v>
      </c>
      <c r="U388" s="610" t="s">
        <v>44</v>
      </c>
      <c r="V388" s="610" t="s">
        <v>75</v>
      </c>
      <c r="W388" s="605" t="s">
        <v>76</v>
      </c>
      <c r="X388" s="37"/>
      <c r="Y388" s="37"/>
      <c r="Z388" s="605" t="s">
        <v>78</v>
      </c>
      <c r="AA388" s="605" t="s">
        <v>78</v>
      </c>
      <c r="AB388" s="37"/>
      <c r="AC388" s="681">
        <f>'Ref-ComHOU'!$G$85</f>
        <v>13.287671232876711</v>
      </c>
      <c r="AD388" s="614" t="s">
        <v>72</v>
      </c>
      <c r="AE388" s="605" t="s">
        <v>73</v>
      </c>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c r="CA388" s="393"/>
      <c r="CB388" s="393"/>
      <c r="CC388" s="393"/>
      <c r="CD388" s="393"/>
      <c r="CE388" s="393"/>
      <c r="CF388" s="393"/>
      <c r="CG388" s="393"/>
      <c r="CH388" s="393"/>
      <c r="CI388" s="393"/>
      <c r="CJ388" s="390"/>
      <c r="CK388" s="390"/>
      <c r="CL388" s="390"/>
      <c r="CM388" s="390"/>
      <c r="CN388" s="390"/>
      <c r="CO388" s="390"/>
      <c r="CP388" s="390"/>
      <c r="CQ388" s="390"/>
      <c r="CR388" s="390"/>
      <c r="CS388" s="390"/>
      <c r="CT388" s="390"/>
      <c r="CU388" s="390"/>
      <c r="CV388" s="390"/>
      <c r="CW388" s="390"/>
      <c r="CX388" s="390"/>
      <c r="CY388" s="390"/>
      <c r="CZ388" s="390"/>
      <c r="DA388" s="390"/>
      <c r="DB388" s="390"/>
      <c r="DC388" s="390"/>
    </row>
    <row r="389" spans="1:107" s="317" customFormat="1" ht="56.25">
      <c r="A389" s="37"/>
      <c r="B389" s="464" t="s">
        <v>23</v>
      </c>
      <c r="C389" s="465" t="s">
        <v>502</v>
      </c>
      <c r="D389" s="348" t="s">
        <v>1224</v>
      </c>
      <c r="E389" s="467">
        <f>'Ref-ComSources'!$AB$11*'Ref-ComSources'!$E$230</f>
        <v>36.33310217997353</v>
      </c>
      <c r="F389" s="465" t="s">
        <v>27</v>
      </c>
      <c r="G389" s="468">
        <f>'Ref-2013CSSsaturationsINT'!$F$154</f>
        <v>0.34186101411524789</v>
      </c>
      <c r="H389" s="465" t="s">
        <v>66</v>
      </c>
      <c r="I389" s="469">
        <f>'Ref-2013CSSsaturationsINT'!$J$154</f>
        <v>1</v>
      </c>
      <c r="J389" s="465" t="s">
        <v>1097</v>
      </c>
      <c r="K389" s="465" t="s">
        <v>1035</v>
      </c>
      <c r="L389" s="465" t="s">
        <v>15</v>
      </c>
      <c r="M389" s="465" t="s">
        <v>88</v>
      </c>
      <c r="N389" s="470">
        <f>E389*G389*'Ref-Savings Calculations'!$E$39*Applicability</f>
        <v>2.5433212369502054</v>
      </c>
      <c r="O389" s="470" t="s">
        <v>870</v>
      </c>
      <c r="P389" s="470">
        <f>E389*G389*'Ref-Savings Calculations'!$E$40*Applicability</f>
        <v>2.1736524525097685</v>
      </c>
      <c r="Q389" s="470" t="s">
        <v>870</v>
      </c>
      <c r="R389" s="37"/>
      <c r="S389" s="465" t="s">
        <v>44</v>
      </c>
      <c r="T389" s="344" t="s">
        <v>63</v>
      </c>
      <c r="U389" s="344" t="s">
        <v>870</v>
      </c>
      <c r="V389" s="344" t="s">
        <v>870</v>
      </c>
      <c r="W389" s="344" t="s">
        <v>76</v>
      </c>
      <c r="X389" s="37"/>
      <c r="Y389" s="37"/>
      <c r="Z389" s="465" t="s">
        <v>78</v>
      </c>
      <c r="AA389" s="465" t="s">
        <v>78</v>
      </c>
      <c r="AB389" s="37"/>
      <c r="AC389" s="474">
        <f>'Ref-ComHOU'!$G$85</f>
        <v>13.287671232876711</v>
      </c>
      <c r="AD389" s="470" t="s">
        <v>72</v>
      </c>
      <c r="AE389" s="465" t="s">
        <v>73</v>
      </c>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c r="CA389" s="393"/>
      <c r="CB389" s="393"/>
      <c r="CC389" s="393"/>
      <c r="CD389" s="393"/>
      <c r="CE389" s="393"/>
      <c r="CF389" s="393"/>
      <c r="CG389" s="393"/>
      <c r="CH389" s="393"/>
      <c r="CI389" s="393"/>
      <c r="CJ389" s="390"/>
      <c r="CK389" s="390"/>
      <c r="CL389" s="390"/>
      <c r="CM389" s="390"/>
      <c r="CN389" s="390"/>
      <c r="CO389" s="390"/>
      <c r="CP389" s="390"/>
      <c r="CQ389" s="390"/>
      <c r="CR389" s="390"/>
      <c r="CS389" s="390"/>
      <c r="CT389" s="390"/>
      <c r="CU389" s="390"/>
      <c r="CV389" s="390"/>
      <c r="CW389" s="390"/>
      <c r="CX389" s="390"/>
      <c r="CY389" s="390"/>
      <c r="CZ389" s="390"/>
      <c r="DA389" s="390"/>
      <c r="DB389" s="390"/>
      <c r="DC389" s="390"/>
    </row>
    <row r="390" spans="1:107" s="317" customFormat="1" ht="56.25">
      <c r="A390" s="37"/>
      <c r="B390" s="464" t="s">
        <v>23</v>
      </c>
      <c r="C390" s="465" t="s">
        <v>502</v>
      </c>
      <c r="D390" s="348" t="s">
        <v>1224</v>
      </c>
      <c r="E390" s="467">
        <f>'Ref-ComSources'!$AB$11*'Ref-ComSources'!$E$230</f>
        <v>36.33310217997353</v>
      </c>
      <c r="F390" s="465" t="s">
        <v>27</v>
      </c>
      <c r="G390" s="468">
        <f>'Ref-2013CSSsaturationsINT'!$F$154</f>
        <v>0.34186101411524789</v>
      </c>
      <c r="H390" s="465" t="s">
        <v>66</v>
      </c>
      <c r="I390" s="469">
        <f>'Ref-2013CSSsaturationsINT'!$J$154</f>
        <v>1</v>
      </c>
      <c r="J390" s="465" t="s">
        <v>1097</v>
      </c>
      <c r="K390" s="465" t="s">
        <v>1035</v>
      </c>
      <c r="L390" s="465" t="s">
        <v>15</v>
      </c>
      <c r="M390" s="465" t="s">
        <v>90</v>
      </c>
      <c r="N390" s="470">
        <f>E390*G390*'Ref-Savings Calculations'!$E$39*Applicability</f>
        <v>2.5433212369502054</v>
      </c>
      <c r="O390" s="470" t="s">
        <v>870</v>
      </c>
      <c r="P390" s="470">
        <f>E390*G390*'Ref-Savings Calculations'!$E$40*Applicability</f>
        <v>2.1736524525097685</v>
      </c>
      <c r="Q390" s="470" t="s">
        <v>870</v>
      </c>
      <c r="R390" s="37"/>
      <c r="S390" s="465" t="s">
        <v>44</v>
      </c>
      <c r="T390" s="344" t="s">
        <v>63</v>
      </c>
      <c r="U390" s="344" t="s">
        <v>870</v>
      </c>
      <c r="V390" s="344" t="s">
        <v>870</v>
      </c>
      <c r="W390" s="344" t="s">
        <v>76</v>
      </c>
      <c r="X390" s="37"/>
      <c r="Y390" s="37"/>
      <c r="Z390" s="465" t="s">
        <v>78</v>
      </c>
      <c r="AA390" s="465" t="s">
        <v>78</v>
      </c>
      <c r="AB390" s="37"/>
      <c r="AC390" s="474">
        <f>'Ref-ComHOU'!$G$85</f>
        <v>13.287671232876711</v>
      </c>
      <c r="AD390" s="470" t="s">
        <v>72</v>
      </c>
      <c r="AE390" s="465" t="s">
        <v>73</v>
      </c>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c r="CA390" s="393"/>
      <c r="CB390" s="393"/>
      <c r="CC390" s="393"/>
      <c r="CD390" s="393"/>
      <c r="CE390" s="393"/>
      <c r="CF390" s="393"/>
      <c r="CG390" s="393"/>
      <c r="CH390" s="393"/>
      <c r="CI390" s="393"/>
      <c r="CJ390" s="390"/>
      <c r="CK390" s="390"/>
      <c r="CL390" s="390"/>
      <c r="CM390" s="390"/>
      <c r="CN390" s="390"/>
      <c r="CO390" s="390"/>
      <c r="CP390" s="390"/>
      <c r="CQ390" s="390"/>
      <c r="CR390" s="390"/>
      <c r="CS390" s="390"/>
      <c r="CT390" s="390"/>
      <c r="CU390" s="390"/>
      <c r="CV390" s="390"/>
      <c r="CW390" s="390"/>
      <c r="CX390" s="390"/>
      <c r="CY390" s="390"/>
      <c r="CZ390" s="390"/>
      <c r="DA390" s="390"/>
      <c r="DB390" s="390"/>
      <c r="DC390" s="390"/>
    </row>
    <row r="391" spans="1:107" s="317" customFormat="1" ht="56.25">
      <c r="A391" s="37"/>
      <c r="B391" s="464" t="s">
        <v>23</v>
      </c>
      <c r="C391" s="465" t="s">
        <v>502</v>
      </c>
      <c r="D391" s="348" t="s">
        <v>1224</v>
      </c>
      <c r="E391" s="467">
        <f>'Ref-ComSources'!$AB$11*'Ref-ComSources'!$E$230</f>
        <v>36.33310217997353</v>
      </c>
      <c r="F391" s="465" t="s">
        <v>27</v>
      </c>
      <c r="G391" s="468">
        <f>'Ref-2013CSSsaturationsINT'!$F$154</f>
        <v>0.34186101411524789</v>
      </c>
      <c r="H391" s="465" t="s">
        <v>66</v>
      </c>
      <c r="I391" s="469">
        <f>'Ref-2013CSSsaturationsINT'!$J$154</f>
        <v>1</v>
      </c>
      <c r="J391" s="465" t="s">
        <v>1097</v>
      </c>
      <c r="K391" s="465" t="s">
        <v>1035</v>
      </c>
      <c r="L391" s="465" t="s">
        <v>15</v>
      </c>
      <c r="M391" s="465" t="s">
        <v>91</v>
      </c>
      <c r="N391" s="470">
        <f>E391*G391*'Ref-Savings Calculations'!$E$39*Applicability</f>
        <v>2.5433212369502054</v>
      </c>
      <c r="O391" s="470" t="s">
        <v>870</v>
      </c>
      <c r="P391" s="470">
        <f>E391*G391*'Ref-Savings Calculations'!$E$40*Applicability</f>
        <v>2.1736524525097685</v>
      </c>
      <c r="Q391" s="470" t="s">
        <v>870</v>
      </c>
      <c r="R391" s="37"/>
      <c r="S391" s="465" t="s">
        <v>44</v>
      </c>
      <c r="T391" s="344" t="s">
        <v>63</v>
      </c>
      <c r="U391" s="344" t="s">
        <v>870</v>
      </c>
      <c r="V391" s="344" t="s">
        <v>870</v>
      </c>
      <c r="W391" s="344" t="s">
        <v>76</v>
      </c>
      <c r="X391" s="37"/>
      <c r="Y391" s="37"/>
      <c r="Z391" s="465" t="s">
        <v>78</v>
      </c>
      <c r="AA391" s="465" t="s">
        <v>78</v>
      </c>
      <c r="AB391" s="37"/>
      <c r="AC391" s="474">
        <f>'Ref-ComHOU'!$G$85</f>
        <v>13.287671232876711</v>
      </c>
      <c r="AD391" s="470" t="s">
        <v>72</v>
      </c>
      <c r="AE391" s="465" t="s">
        <v>73</v>
      </c>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c r="CA391" s="393"/>
      <c r="CB391" s="393"/>
      <c r="CC391" s="393"/>
      <c r="CD391" s="393"/>
      <c r="CE391" s="393"/>
      <c r="CF391" s="393"/>
      <c r="CG391" s="393"/>
      <c r="CH391" s="393"/>
      <c r="CI391" s="393"/>
      <c r="CJ391" s="390"/>
      <c r="CK391" s="390"/>
      <c r="CL391" s="390"/>
      <c r="CM391" s="390"/>
      <c r="CN391" s="390"/>
      <c r="CO391" s="390"/>
      <c r="CP391" s="390"/>
      <c r="CQ391" s="390"/>
      <c r="CR391" s="390"/>
      <c r="CS391" s="390"/>
      <c r="CT391" s="390"/>
      <c r="CU391" s="390"/>
      <c r="CV391" s="390"/>
      <c r="CW391" s="390"/>
      <c r="CX391" s="390"/>
      <c r="CY391" s="390"/>
      <c r="CZ391" s="390"/>
      <c r="DA391" s="390"/>
      <c r="DB391" s="390"/>
      <c r="DC391" s="390"/>
    </row>
    <row r="392" spans="1:107" s="317" customFormat="1" ht="56.25">
      <c r="A392" s="37"/>
      <c r="B392" s="464" t="s">
        <v>23</v>
      </c>
      <c r="C392" s="465" t="s">
        <v>502</v>
      </c>
      <c r="D392" s="348" t="s">
        <v>1224</v>
      </c>
      <c r="E392" s="467">
        <f>'Ref-ComSources'!$AB$11*'Ref-ComSources'!$E$230</f>
        <v>36.33310217997353</v>
      </c>
      <c r="F392" s="465" t="s">
        <v>27</v>
      </c>
      <c r="G392" s="468">
        <f>'Ref-2013CSSsaturationsINT'!$F$154</f>
        <v>0.34186101411524789</v>
      </c>
      <c r="H392" s="465" t="s">
        <v>66</v>
      </c>
      <c r="I392" s="469">
        <f>'Ref-2013CSSsaturationsINT'!$J$154</f>
        <v>1</v>
      </c>
      <c r="J392" s="465" t="s">
        <v>1097</v>
      </c>
      <c r="K392" s="465" t="s">
        <v>1035</v>
      </c>
      <c r="L392" s="465" t="s">
        <v>15</v>
      </c>
      <c r="M392" s="465" t="s">
        <v>92</v>
      </c>
      <c r="N392" s="470">
        <f>E392*G392*'Ref-Savings Calculations'!$E$39*Applicability</f>
        <v>2.5433212369502054</v>
      </c>
      <c r="O392" s="470">
        <f>E392*G392*'Ref-Savings Calculations'!$C$99*Applicability*ControlShare</f>
        <v>3.5772108932732181</v>
      </c>
      <c r="P392" s="470">
        <f>E392*G392*'Ref-Savings Calculations'!$E$40*Applicability</f>
        <v>2.1736524525097685</v>
      </c>
      <c r="Q392" s="470">
        <f>E392*G392*'Ref-Savings Calculations'!$C$99*Applicability*ControlShare</f>
        <v>3.5772108932732181</v>
      </c>
      <c r="R392" s="37"/>
      <c r="S392" s="465" t="s">
        <v>44</v>
      </c>
      <c r="T392" s="344" t="s">
        <v>63</v>
      </c>
      <c r="U392" s="465" t="s">
        <v>69</v>
      </c>
      <c r="V392" s="465" t="s">
        <v>69</v>
      </c>
      <c r="W392" s="344" t="s">
        <v>76</v>
      </c>
      <c r="X392" s="37"/>
      <c r="Y392" s="37"/>
      <c r="Z392" s="465" t="s">
        <v>78</v>
      </c>
      <c r="AA392" s="465" t="s">
        <v>78</v>
      </c>
      <c r="AB392" s="37"/>
      <c r="AC392" s="474">
        <f>'Ref-ComHOU'!$G$85</f>
        <v>13.287671232876711</v>
      </c>
      <c r="AD392" s="470" t="s">
        <v>72</v>
      </c>
      <c r="AE392" s="465" t="s">
        <v>73</v>
      </c>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c r="CA392" s="393"/>
      <c r="CB392" s="393"/>
      <c r="CC392" s="393"/>
      <c r="CD392" s="393"/>
      <c r="CE392" s="393"/>
      <c r="CF392" s="393"/>
      <c r="CG392" s="393"/>
      <c r="CH392" s="393"/>
      <c r="CI392" s="393"/>
      <c r="CJ392" s="390"/>
      <c r="CK392" s="390"/>
      <c r="CL392" s="390"/>
      <c r="CM392" s="390"/>
      <c r="CN392" s="390"/>
      <c r="CO392" s="390"/>
      <c r="CP392" s="390"/>
      <c r="CQ392" s="390"/>
      <c r="CR392" s="390"/>
      <c r="CS392" s="390"/>
      <c r="CT392" s="390"/>
      <c r="CU392" s="390"/>
      <c r="CV392" s="390"/>
      <c r="CW392" s="390"/>
      <c r="CX392" s="390"/>
      <c r="CY392" s="390"/>
      <c r="CZ392" s="390"/>
      <c r="DA392" s="390"/>
      <c r="DB392" s="390"/>
      <c r="DC392" s="390"/>
    </row>
    <row r="393" spans="1:107" s="317" customFormat="1" ht="56.25">
      <c r="A393" s="37"/>
      <c r="B393" s="464" t="s">
        <v>23</v>
      </c>
      <c r="C393" s="465" t="s">
        <v>502</v>
      </c>
      <c r="D393" s="348" t="s">
        <v>1224</v>
      </c>
      <c r="E393" s="467">
        <f>'Ref-ComSources'!$AB$11*'Ref-ComSources'!$E$230</f>
        <v>36.33310217997353</v>
      </c>
      <c r="F393" s="465" t="s">
        <v>27</v>
      </c>
      <c r="G393" s="468">
        <f>'Ref-2013CSSsaturationsINT'!$F$154</f>
        <v>0.34186101411524789</v>
      </c>
      <c r="H393" s="465" t="s">
        <v>66</v>
      </c>
      <c r="I393" s="469">
        <f>'Ref-2013CSSsaturationsINT'!$J$154</f>
        <v>1</v>
      </c>
      <c r="J393" s="465" t="s">
        <v>1097</v>
      </c>
      <c r="K393" s="465" t="s">
        <v>1035</v>
      </c>
      <c r="L393" s="465" t="s">
        <v>15</v>
      </c>
      <c r="M393" s="465" t="s">
        <v>93</v>
      </c>
      <c r="N393" s="470">
        <f>E393*G393*'Ref-Savings Calculations'!$E$39*Applicability</f>
        <v>2.5433212369502054</v>
      </c>
      <c r="O393" s="470" t="s">
        <v>870</v>
      </c>
      <c r="P393" s="470">
        <f>E393*G393*'Ref-Savings Calculations'!$E$40*Applicability</f>
        <v>2.1736524525097685</v>
      </c>
      <c r="Q393" s="470" t="s">
        <v>870</v>
      </c>
      <c r="R393" s="37"/>
      <c r="S393" s="465" t="s">
        <v>44</v>
      </c>
      <c r="T393" s="344" t="s">
        <v>63</v>
      </c>
      <c r="U393" s="344" t="s">
        <v>870</v>
      </c>
      <c r="V393" s="344" t="s">
        <v>870</v>
      </c>
      <c r="W393" s="344" t="s">
        <v>76</v>
      </c>
      <c r="X393" s="37"/>
      <c r="Y393" s="37"/>
      <c r="Z393" s="465" t="s">
        <v>78</v>
      </c>
      <c r="AA393" s="465" t="s">
        <v>78</v>
      </c>
      <c r="AB393" s="37"/>
      <c r="AC393" s="474">
        <f>'Ref-ComHOU'!$G$85</f>
        <v>13.287671232876711</v>
      </c>
      <c r="AD393" s="470" t="s">
        <v>72</v>
      </c>
      <c r="AE393" s="465" t="s">
        <v>73</v>
      </c>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c r="CA393" s="393"/>
      <c r="CB393" s="393"/>
      <c r="CC393" s="393"/>
      <c r="CD393" s="393"/>
      <c r="CE393" s="393"/>
      <c r="CF393" s="393"/>
      <c r="CG393" s="393"/>
      <c r="CH393" s="393"/>
      <c r="CI393" s="393"/>
      <c r="CJ393" s="390"/>
      <c r="CK393" s="390"/>
      <c r="CL393" s="390"/>
      <c r="CM393" s="390"/>
      <c r="CN393" s="390"/>
      <c r="CO393" s="390"/>
      <c r="CP393" s="390"/>
      <c r="CQ393" s="390"/>
      <c r="CR393" s="390"/>
      <c r="CS393" s="390"/>
      <c r="CT393" s="390"/>
      <c r="CU393" s="390"/>
      <c r="CV393" s="390"/>
      <c r="CW393" s="390"/>
      <c r="CX393" s="390"/>
      <c r="CY393" s="390"/>
      <c r="CZ393" s="390"/>
      <c r="DA393" s="390"/>
      <c r="DB393" s="390"/>
      <c r="DC393" s="390"/>
    </row>
    <row r="394" spans="1:107" s="317" customFormat="1" ht="56.25">
      <c r="A394" s="37"/>
      <c r="B394" s="464" t="s">
        <v>23</v>
      </c>
      <c r="C394" s="465" t="s">
        <v>502</v>
      </c>
      <c r="D394" s="348" t="s">
        <v>1224</v>
      </c>
      <c r="E394" s="467">
        <f>'Ref-ComSources'!$AB$11*'Ref-ComSources'!$E$230</f>
        <v>36.33310217997353</v>
      </c>
      <c r="F394" s="465" t="s">
        <v>27</v>
      </c>
      <c r="G394" s="468">
        <f>'Ref-2013CSSsaturationsINT'!$F$154</f>
        <v>0.34186101411524789</v>
      </c>
      <c r="H394" s="465" t="s">
        <v>66</v>
      </c>
      <c r="I394" s="469">
        <f>'Ref-2013CSSsaturationsINT'!$J$154</f>
        <v>1</v>
      </c>
      <c r="J394" s="465" t="s">
        <v>1097</v>
      </c>
      <c r="K394" s="465" t="s">
        <v>1035</v>
      </c>
      <c r="L394" s="465" t="s">
        <v>960</v>
      </c>
      <c r="M394" s="465" t="s">
        <v>88</v>
      </c>
      <c r="N394" s="470">
        <f>E394*G394*'Ref-Savings Calculations'!$E$33*Applicability</f>
        <v>1.8344671247554971</v>
      </c>
      <c r="O394" s="470" t="s">
        <v>870</v>
      </c>
      <c r="P394" s="470">
        <f>E394*G394*'Ref-Savings Calculations'!$E$34*Applicability</f>
        <v>1.5898715081214303</v>
      </c>
      <c r="Q394" s="470" t="s">
        <v>870</v>
      </c>
      <c r="R394" s="37"/>
      <c r="S394" s="465" t="s">
        <v>69</v>
      </c>
      <c r="T394" s="465" t="s">
        <v>69</v>
      </c>
      <c r="U394" s="344" t="s">
        <v>870</v>
      </c>
      <c r="V394" s="344" t="s">
        <v>870</v>
      </c>
      <c r="W394" s="344" t="s">
        <v>76</v>
      </c>
      <c r="X394" s="37"/>
      <c r="Y394" s="37"/>
      <c r="Z394" s="465" t="s">
        <v>78</v>
      </c>
      <c r="AA394" s="465" t="s">
        <v>78</v>
      </c>
      <c r="AB394" s="37"/>
      <c r="AC394" s="474">
        <f>'Ref-ComHOU'!$G$85</f>
        <v>13.287671232876711</v>
      </c>
      <c r="AD394" s="470" t="s">
        <v>72</v>
      </c>
      <c r="AE394" s="465" t="s">
        <v>73</v>
      </c>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c r="CA394" s="393"/>
      <c r="CB394" s="393"/>
      <c r="CC394" s="393"/>
      <c r="CD394" s="393"/>
      <c r="CE394" s="393"/>
      <c r="CF394" s="393"/>
      <c r="CG394" s="393"/>
      <c r="CH394" s="393"/>
      <c r="CI394" s="393"/>
      <c r="CJ394" s="390"/>
      <c r="CK394" s="390"/>
      <c r="CL394" s="390"/>
      <c r="CM394" s="390"/>
      <c r="CN394" s="390"/>
      <c r="CO394" s="390"/>
      <c r="CP394" s="390"/>
      <c r="CQ394" s="390"/>
      <c r="CR394" s="390"/>
      <c r="CS394" s="390"/>
      <c r="CT394" s="390"/>
      <c r="CU394" s="390"/>
      <c r="CV394" s="390"/>
      <c r="CW394" s="390"/>
      <c r="CX394" s="390"/>
      <c r="CY394" s="390"/>
      <c r="CZ394" s="390"/>
      <c r="DA394" s="390"/>
      <c r="DB394" s="390"/>
      <c r="DC394" s="390"/>
    </row>
    <row r="395" spans="1:107" s="317" customFormat="1" ht="56.25">
      <c r="A395" s="37"/>
      <c r="B395" s="464" t="s">
        <v>23</v>
      </c>
      <c r="C395" s="465" t="s">
        <v>502</v>
      </c>
      <c r="D395" s="348" t="s">
        <v>1224</v>
      </c>
      <c r="E395" s="467">
        <f>'Ref-ComSources'!$AB$11*'Ref-ComSources'!$E$230</f>
        <v>36.33310217997353</v>
      </c>
      <c r="F395" s="465" t="s">
        <v>27</v>
      </c>
      <c r="G395" s="468">
        <f>'Ref-2013CSSsaturationsINT'!$F$154</f>
        <v>0.34186101411524789</v>
      </c>
      <c r="H395" s="465" t="s">
        <v>66</v>
      </c>
      <c r="I395" s="469">
        <f>'Ref-2013CSSsaturationsINT'!$J$154</f>
        <v>1</v>
      </c>
      <c r="J395" s="465" t="s">
        <v>1097</v>
      </c>
      <c r="K395" s="465" t="s">
        <v>1035</v>
      </c>
      <c r="L395" s="465" t="s">
        <v>960</v>
      </c>
      <c r="M395" s="465" t="s">
        <v>90</v>
      </c>
      <c r="N395" s="470">
        <f>E395*G395*'Ref-Savings Calculations'!$E$33*Applicability</f>
        <v>1.8344671247554971</v>
      </c>
      <c r="O395" s="470" t="s">
        <v>870</v>
      </c>
      <c r="P395" s="470">
        <f>E395*G395*'Ref-Savings Calculations'!$E$34*Applicability</f>
        <v>1.5898715081214303</v>
      </c>
      <c r="Q395" s="470" t="s">
        <v>870</v>
      </c>
      <c r="R395" s="37"/>
      <c r="S395" s="465" t="s">
        <v>69</v>
      </c>
      <c r="T395" s="465" t="s">
        <v>69</v>
      </c>
      <c r="U395" s="344" t="s">
        <v>870</v>
      </c>
      <c r="V395" s="344" t="s">
        <v>870</v>
      </c>
      <c r="W395" s="344" t="s">
        <v>76</v>
      </c>
      <c r="X395" s="37"/>
      <c r="Y395" s="37"/>
      <c r="Z395" s="465" t="s">
        <v>78</v>
      </c>
      <c r="AA395" s="465" t="s">
        <v>78</v>
      </c>
      <c r="AB395" s="37"/>
      <c r="AC395" s="474">
        <f>'Ref-ComHOU'!$G$85</f>
        <v>13.287671232876711</v>
      </c>
      <c r="AD395" s="470" t="s">
        <v>72</v>
      </c>
      <c r="AE395" s="465" t="s">
        <v>73</v>
      </c>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c r="CA395" s="393"/>
      <c r="CB395" s="393"/>
      <c r="CC395" s="393"/>
      <c r="CD395" s="393"/>
      <c r="CE395" s="393"/>
      <c r="CF395" s="393"/>
      <c r="CG395" s="393"/>
      <c r="CH395" s="393"/>
      <c r="CI395" s="393"/>
      <c r="CJ395" s="390"/>
      <c r="CK395" s="390"/>
      <c r="CL395" s="390"/>
      <c r="CM395" s="390"/>
      <c r="CN395" s="390"/>
      <c r="CO395" s="390"/>
      <c r="CP395" s="390"/>
      <c r="CQ395" s="390"/>
      <c r="CR395" s="390"/>
      <c r="CS395" s="390"/>
      <c r="CT395" s="390"/>
      <c r="CU395" s="390"/>
      <c r="CV395" s="390"/>
      <c r="CW395" s="390"/>
      <c r="CX395" s="390"/>
      <c r="CY395" s="390"/>
      <c r="CZ395" s="390"/>
      <c r="DA395" s="390"/>
      <c r="DB395" s="390"/>
      <c r="DC395" s="390"/>
    </row>
    <row r="396" spans="1:107" s="317" customFormat="1" ht="56.25">
      <c r="A396" s="37"/>
      <c r="B396" s="464" t="s">
        <v>23</v>
      </c>
      <c r="C396" s="465" t="s">
        <v>502</v>
      </c>
      <c r="D396" s="348" t="s">
        <v>1224</v>
      </c>
      <c r="E396" s="467">
        <f>'Ref-ComSources'!$AB$11*'Ref-ComSources'!$E$230</f>
        <v>36.33310217997353</v>
      </c>
      <c r="F396" s="465" t="s">
        <v>27</v>
      </c>
      <c r="G396" s="468">
        <f>'Ref-2013CSSsaturationsINT'!$F$154</f>
        <v>0.34186101411524789</v>
      </c>
      <c r="H396" s="465" t="s">
        <v>66</v>
      </c>
      <c r="I396" s="469">
        <f>'Ref-2013CSSsaturationsINT'!$J$154</f>
        <v>1</v>
      </c>
      <c r="J396" s="465" t="s">
        <v>1097</v>
      </c>
      <c r="K396" s="465" t="s">
        <v>1035</v>
      </c>
      <c r="L396" s="465" t="s">
        <v>960</v>
      </c>
      <c r="M396" s="465" t="s">
        <v>91</v>
      </c>
      <c r="N396" s="470">
        <f>E396*G396*'Ref-Savings Calculations'!$E$33*Applicability</f>
        <v>1.8344671247554971</v>
      </c>
      <c r="O396" s="470" t="s">
        <v>870</v>
      </c>
      <c r="P396" s="470">
        <f>E396*G396*'Ref-Savings Calculations'!$E$34*Applicability</f>
        <v>1.5898715081214303</v>
      </c>
      <c r="Q396" s="470" t="s">
        <v>870</v>
      </c>
      <c r="R396" s="37"/>
      <c r="S396" s="465" t="s">
        <v>69</v>
      </c>
      <c r="T396" s="465" t="s">
        <v>69</v>
      </c>
      <c r="U396" s="344" t="s">
        <v>870</v>
      </c>
      <c r="V396" s="344" t="s">
        <v>870</v>
      </c>
      <c r="W396" s="344" t="s">
        <v>76</v>
      </c>
      <c r="X396" s="37"/>
      <c r="Y396" s="37"/>
      <c r="Z396" s="465" t="s">
        <v>78</v>
      </c>
      <c r="AA396" s="465" t="s">
        <v>78</v>
      </c>
      <c r="AB396" s="37"/>
      <c r="AC396" s="474">
        <f>'Ref-ComHOU'!$G$85</f>
        <v>13.287671232876711</v>
      </c>
      <c r="AD396" s="470" t="s">
        <v>72</v>
      </c>
      <c r="AE396" s="465" t="s">
        <v>73</v>
      </c>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c r="CA396" s="393"/>
      <c r="CB396" s="393"/>
      <c r="CC396" s="393"/>
      <c r="CD396" s="393"/>
      <c r="CE396" s="393"/>
      <c r="CF396" s="393"/>
      <c r="CG396" s="393"/>
      <c r="CH396" s="393"/>
      <c r="CI396" s="393"/>
      <c r="CJ396" s="390"/>
      <c r="CK396" s="390"/>
      <c r="CL396" s="390"/>
      <c r="CM396" s="390"/>
      <c r="CN396" s="390"/>
      <c r="CO396" s="390"/>
      <c r="CP396" s="390"/>
      <c r="CQ396" s="390"/>
      <c r="CR396" s="390"/>
      <c r="CS396" s="390"/>
      <c r="CT396" s="390"/>
      <c r="CU396" s="390"/>
      <c r="CV396" s="390"/>
      <c r="CW396" s="390"/>
      <c r="CX396" s="390"/>
      <c r="CY396" s="390"/>
      <c r="CZ396" s="390"/>
      <c r="DA396" s="390"/>
      <c r="DB396" s="390"/>
      <c r="DC396" s="390"/>
    </row>
    <row r="397" spans="1:107" s="317" customFormat="1" ht="56.25">
      <c r="A397" s="37"/>
      <c r="B397" s="464" t="s">
        <v>23</v>
      </c>
      <c r="C397" s="465" t="s">
        <v>502</v>
      </c>
      <c r="D397" s="348" t="s">
        <v>1224</v>
      </c>
      <c r="E397" s="467">
        <f>'Ref-ComSources'!$AB$11*'Ref-ComSources'!$E$230</f>
        <v>36.33310217997353</v>
      </c>
      <c r="F397" s="465" t="s">
        <v>27</v>
      </c>
      <c r="G397" s="468">
        <f>'Ref-2013CSSsaturationsINT'!$F$154</f>
        <v>0.34186101411524789</v>
      </c>
      <c r="H397" s="465" t="s">
        <v>66</v>
      </c>
      <c r="I397" s="469">
        <f>'Ref-2013CSSsaturationsINT'!$J$154</f>
        <v>1</v>
      </c>
      <c r="J397" s="465" t="s">
        <v>1097</v>
      </c>
      <c r="K397" s="465" t="s">
        <v>1035</v>
      </c>
      <c r="L397" s="465" t="s">
        <v>960</v>
      </c>
      <c r="M397" s="465" t="s">
        <v>92</v>
      </c>
      <c r="N397" s="470">
        <f>E397*G397*'Ref-Savings Calculations'!$E$33*Applicability</f>
        <v>1.8344671247554971</v>
      </c>
      <c r="O397" s="470">
        <f>E397*G397*'Ref-Savings Calculations'!$C$99*Applicability*ControlShare</f>
        <v>3.5772108932732181</v>
      </c>
      <c r="P397" s="470">
        <f>E397*G397*'Ref-Savings Calculations'!$E$34*Applicability</f>
        <v>1.5898715081214303</v>
      </c>
      <c r="Q397" s="470">
        <f>E397*G397*'Ref-Savings Calculations'!$C$99*Applicability*ControlShare</f>
        <v>3.5772108932732181</v>
      </c>
      <c r="R397" s="37"/>
      <c r="S397" s="465" t="s">
        <v>69</v>
      </c>
      <c r="T397" s="465" t="s">
        <v>69</v>
      </c>
      <c r="U397" s="465" t="s">
        <v>69</v>
      </c>
      <c r="V397" s="465" t="s">
        <v>69</v>
      </c>
      <c r="W397" s="344" t="s">
        <v>76</v>
      </c>
      <c r="X397" s="37"/>
      <c r="Y397" s="37"/>
      <c r="Z397" s="465" t="s">
        <v>78</v>
      </c>
      <c r="AA397" s="465" t="s">
        <v>78</v>
      </c>
      <c r="AB397" s="37"/>
      <c r="AC397" s="474">
        <f>'Ref-ComHOU'!$G$85</f>
        <v>13.287671232876711</v>
      </c>
      <c r="AD397" s="470" t="s">
        <v>72</v>
      </c>
      <c r="AE397" s="465" t="s">
        <v>73</v>
      </c>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c r="CA397" s="393"/>
      <c r="CB397" s="393"/>
      <c r="CC397" s="393"/>
      <c r="CD397" s="393"/>
      <c r="CE397" s="393"/>
      <c r="CF397" s="393"/>
      <c r="CG397" s="393"/>
      <c r="CH397" s="393"/>
      <c r="CI397" s="393"/>
      <c r="CJ397" s="390"/>
      <c r="CK397" s="390"/>
      <c r="CL397" s="390"/>
      <c r="CM397" s="390"/>
      <c r="CN397" s="390"/>
      <c r="CO397" s="390"/>
      <c r="CP397" s="390"/>
      <c r="CQ397" s="390"/>
      <c r="CR397" s="390"/>
      <c r="CS397" s="390"/>
      <c r="CT397" s="390"/>
      <c r="CU397" s="390"/>
      <c r="CV397" s="390"/>
      <c r="CW397" s="390"/>
      <c r="CX397" s="390"/>
      <c r="CY397" s="390"/>
      <c r="CZ397" s="390"/>
      <c r="DA397" s="390"/>
      <c r="DB397" s="390"/>
      <c r="DC397" s="390"/>
    </row>
    <row r="398" spans="1:107" s="317" customFormat="1" ht="56.25">
      <c r="A398" s="37"/>
      <c r="B398" s="464" t="s">
        <v>23</v>
      </c>
      <c r="C398" s="465" t="s">
        <v>502</v>
      </c>
      <c r="D398" s="348" t="s">
        <v>1224</v>
      </c>
      <c r="E398" s="467">
        <f>'Ref-ComSources'!$AB$11*'Ref-ComSources'!$E$230</f>
        <v>36.33310217997353</v>
      </c>
      <c r="F398" s="465" t="s">
        <v>27</v>
      </c>
      <c r="G398" s="468">
        <f>'Ref-2013CSSsaturationsINT'!$F$154</f>
        <v>0.34186101411524789</v>
      </c>
      <c r="H398" s="465" t="s">
        <v>66</v>
      </c>
      <c r="I398" s="469">
        <f>'Ref-2013CSSsaturationsINT'!$J$154</f>
        <v>1</v>
      </c>
      <c r="J398" s="465" t="s">
        <v>1097</v>
      </c>
      <c r="K398" s="465" t="s">
        <v>1035</v>
      </c>
      <c r="L398" s="465" t="s">
        <v>960</v>
      </c>
      <c r="M398" s="465" t="s">
        <v>93</v>
      </c>
      <c r="N398" s="470">
        <f>E398*G398*'Ref-Savings Calculations'!$E$33*Applicability</f>
        <v>1.8344671247554971</v>
      </c>
      <c r="O398" s="470" t="s">
        <v>870</v>
      </c>
      <c r="P398" s="470">
        <f>E398*G398*'Ref-Savings Calculations'!$E$34*Applicability</f>
        <v>1.5898715081214303</v>
      </c>
      <c r="Q398" s="470" t="s">
        <v>870</v>
      </c>
      <c r="R398" s="37"/>
      <c r="S398" s="465" t="s">
        <v>69</v>
      </c>
      <c r="T398" s="465" t="s">
        <v>69</v>
      </c>
      <c r="U398" s="344" t="s">
        <v>870</v>
      </c>
      <c r="V398" s="344" t="s">
        <v>870</v>
      </c>
      <c r="W398" s="344" t="s">
        <v>76</v>
      </c>
      <c r="X398" s="37"/>
      <c r="Y398" s="37"/>
      <c r="Z398" s="465" t="s">
        <v>78</v>
      </c>
      <c r="AA398" s="465" t="s">
        <v>78</v>
      </c>
      <c r="AB398" s="37"/>
      <c r="AC398" s="474">
        <f>'Ref-ComHOU'!$G$85</f>
        <v>13.287671232876711</v>
      </c>
      <c r="AD398" s="470" t="s">
        <v>72</v>
      </c>
      <c r="AE398" s="465" t="s">
        <v>73</v>
      </c>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c r="CA398" s="393"/>
      <c r="CB398" s="393"/>
      <c r="CC398" s="393"/>
      <c r="CD398" s="393"/>
      <c r="CE398" s="393"/>
      <c r="CF398" s="393"/>
      <c r="CG398" s="393"/>
      <c r="CH398" s="393"/>
      <c r="CI398" s="393"/>
      <c r="CJ398" s="390"/>
      <c r="CK398" s="390"/>
      <c r="CL398" s="390"/>
      <c r="CM398" s="390"/>
      <c r="CN398" s="390"/>
      <c r="CO398" s="390"/>
      <c r="CP398" s="390"/>
      <c r="CQ398" s="390"/>
      <c r="CR398" s="390"/>
      <c r="CS398" s="390"/>
      <c r="CT398" s="390"/>
      <c r="CU398" s="390"/>
      <c r="CV398" s="390"/>
      <c r="CW398" s="390"/>
      <c r="CX398" s="390"/>
      <c r="CY398" s="390"/>
      <c r="CZ398" s="390"/>
      <c r="DA398" s="390"/>
      <c r="DB398" s="390"/>
      <c r="DC398" s="390"/>
    </row>
    <row r="399" spans="1:107" s="317" customFormat="1" ht="24">
      <c r="A399" s="37"/>
      <c r="B399" s="464" t="s">
        <v>23</v>
      </c>
      <c r="C399" s="465" t="s">
        <v>502</v>
      </c>
      <c r="D399" s="348" t="s">
        <v>1224</v>
      </c>
      <c r="E399" s="467">
        <f>'Ref-ComSources'!$AB$11*'Ref-ComSources'!$E$230</f>
        <v>36.33310217997353</v>
      </c>
      <c r="F399" s="465" t="s">
        <v>846</v>
      </c>
      <c r="G399" s="468">
        <f>'Ref-2013CSSsaturationsINT'!$F$155</f>
        <v>0.132842857658061</v>
      </c>
      <c r="H399" s="465" t="s">
        <v>66</v>
      </c>
      <c r="I399" s="469">
        <f>'Ref-2013CSSsaturationsINT'!$J$155</f>
        <v>1</v>
      </c>
      <c r="J399" s="465" t="s">
        <v>25</v>
      </c>
      <c r="K399" s="465" t="s">
        <v>1035</v>
      </c>
      <c r="L399" s="465" t="s">
        <v>95</v>
      </c>
      <c r="M399" s="465" t="s">
        <v>88</v>
      </c>
      <c r="N399" s="470">
        <f>E404*G404*'Ref-Savings Calculations'!$E$9*Applicability</f>
        <v>3.0568423100743396</v>
      </c>
      <c r="O399" s="470" t="s">
        <v>870</v>
      </c>
      <c r="P399" s="470">
        <f>E399*G399*'Ref-Savings Calculations'!$E$9*Applicability</f>
        <v>3.0568423100743396</v>
      </c>
      <c r="Q399" s="470" t="s">
        <v>870</v>
      </c>
      <c r="R399" s="37"/>
      <c r="S399" s="465" t="s">
        <v>44</v>
      </c>
      <c r="T399" s="344" t="s">
        <v>63</v>
      </c>
      <c r="U399" s="344" t="s">
        <v>870</v>
      </c>
      <c r="V399" s="344" t="s">
        <v>870</v>
      </c>
      <c r="W399" s="344" t="s">
        <v>76</v>
      </c>
      <c r="X399" s="37"/>
      <c r="Y399" s="37"/>
      <c r="Z399" s="465" t="s">
        <v>78</v>
      </c>
      <c r="AA399" s="465" t="s">
        <v>78</v>
      </c>
      <c r="AB399" s="37"/>
      <c r="AC399" s="474">
        <f>'Ref-ComHOU'!$G$85</f>
        <v>13.287671232876711</v>
      </c>
      <c r="AD399" s="470" t="s">
        <v>72</v>
      </c>
      <c r="AE399" s="465" t="s">
        <v>73</v>
      </c>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c r="CA399" s="393"/>
      <c r="CB399" s="393"/>
      <c r="CC399" s="393"/>
      <c r="CD399" s="393"/>
      <c r="CE399" s="393"/>
      <c r="CF399" s="393"/>
      <c r="CG399" s="393"/>
      <c r="CH399" s="393"/>
      <c r="CI399" s="393"/>
      <c r="CJ399" s="390"/>
      <c r="CK399" s="390"/>
      <c r="CL399" s="390"/>
      <c r="CM399" s="390"/>
      <c r="CN399" s="390"/>
      <c r="CO399" s="390"/>
      <c r="CP399" s="390"/>
      <c r="CQ399" s="390"/>
      <c r="CR399" s="390"/>
      <c r="CS399" s="390"/>
      <c r="CT399" s="390"/>
      <c r="CU399" s="390"/>
      <c r="CV399" s="390"/>
      <c r="CW399" s="390"/>
      <c r="CX399" s="390"/>
      <c r="CY399" s="390"/>
      <c r="CZ399" s="390"/>
      <c r="DA399" s="390"/>
      <c r="DB399" s="390"/>
      <c r="DC399" s="390"/>
    </row>
    <row r="400" spans="1:107" s="317" customFormat="1" ht="24">
      <c r="A400" s="37"/>
      <c r="B400" s="464" t="s">
        <v>23</v>
      </c>
      <c r="C400" s="465" t="s">
        <v>502</v>
      </c>
      <c r="D400" s="348" t="s">
        <v>1224</v>
      </c>
      <c r="E400" s="467">
        <f>'Ref-ComSources'!$AB$11*'Ref-ComSources'!$E$230</f>
        <v>36.33310217997353</v>
      </c>
      <c r="F400" s="465" t="s">
        <v>846</v>
      </c>
      <c r="G400" s="468">
        <f>'Ref-2013CSSsaturationsINT'!$F$155</f>
        <v>0.132842857658061</v>
      </c>
      <c r="H400" s="465" t="s">
        <v>66</v>
      </c>
      <c r="I400" s="469">
        <f>'Ref-2013CSSsaturationsINT'!$J$155</f>
        <v>1</v>
      </c>
      <c r="J400" s="465" t="s">
        <v>25</v>
      </c>
      <c r="K400" s="465" t="s">
        <v>1035</v>
      </c>
      <c r="L400" s="465" t="s">
        <v>95</v>
      </c>
      <c r="M400" s="465" t="s">
        <v>90</v>
      </c>
      <c r="N400" s="470">
        <f>E405*G405*'Ref-Savings Calculations'!$E$9*Applicability</f>
        <v>3.0568423100743396</v>
      </c>
      <c r="O400" s="470" t="s">
        <v>870</v>
      </c>
      <c r="P400" s="470">
        <f>E400*G400*'Ref-Savings Calculations'!$E$9*Applicability</f>
        <v>3.0568423100743396</v>
      </c>
      <c r="Q400" s="470" t="s">
        <v>870</v>
      </c>
      <c r="R400" s="37"/>
      <c r="S400" s="465" t="s">
        <v>44</v>
      </c>
      <c r="T400" s="344" t="s">
        <v>63</v>
      </c>
      <c r="U400" s="344" t="s">
        <v>870</v>
      </c>
      <c r="V400" s="344" t="s">
        <v>870</v>
      </c>
      <c r="W400" s="344" t="s">
        <v>76</v>
      </c>
      <c r="X400" s="37"/>
      <c r="Y400" s="37"/>
      <c r="Z400" s="465" t="s">
        <v>78</v>
      </c>
      <c r="AA400" s="465" t="s">
        <v>78</v>
      </c>
      <c r="AB400" s="37"/>
      <c r="AC400" s="474">
        <f>'Ref-ComHOU'!$G$85</f>
        <v>13.287671232876711</v>
      </c>
      <c r="AD400" s="470" t="s">
        <v>72</v>
      </c>
      <c r="AE400" s="465" t="s">
        <v>73</v>
      </c>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c r="CA400" s="393"/>
      <c r="CB400" s="393"/>
      <c r="CC400" s="393"/>
      <c r="CD400" s="393"/>
      <c r="CE400" s="393"/>
      <c r="CF400" s="393"/>
      <c r="CG400" s="393"/>
      <c r="CH400" s="393"/>
      <c r="CI400" s="393"/>
      <c r="CJ400" s="390"/>
      <c r="CK400" s="390"/>
      <c r="CL400" s="390"/>
      <c r="CM400" s="390"/>
      <c r="CN400" s="390"/>
      <c r="CO400" s="390"/>
      <c r="CP400" s="390"/>
      <c r="CQ400" s="390"/>
      <c r="CR400" s="390"/>
      <c r="CS400" s="390"/>
      <c r="CT400" s="390"/>
      <c r="CU400" s="390"/>
      <c r="CV400" s="390"/>
      <c r="CW400" s="390"/>
      <c r="CX400" s="390"/>
      <c r="CY400" s="390"/>
      <c r="CZ400" s="390"/>
      <c r="DA400" s="390"/>
      <c r="DB400" s="390"/>
      <c r="DC400" s="390"/>
    </row>
    <row r="401" spans="1:107" s="317" customFormat="1" ht="24">
      <c r="A401" s="37"/>
      <c r="B401" s="464" t="s">
        <v>23</v>
      </c>
      <c r="C401" s="465" t="s">
        <v>502</v>
      </c>
      <c r="D401" s="348" t="s">
        <v>1224</v>
      </c>
      <c r="E401" s="467">
        <f>'Ref-ComSources'!$AB$11*'Ref-ComSources'!$E$230</f>
        <v>36.33310217997353</v>
      </c>
      <c r="F401" s="465" t="s">
        <v>846</v>
      </c>
      <c r="G401" s="468">
        <f>'Ref-2013CSSsaturationsINT'!$F$155</f>
        <v>0.132842857658061</v>
      </c>
      <c r="H401" s="465" t="s">
        <v>66</v>
      </c>
      <c r="I401" s="469">
        <f>'Ref-2013CSSsaturationsINT'!$J$155</f>
        <v>1</v>
      </c>
      <c r="J401" s="465" t="s">
        <v>25</v>
      </c>
      <c r="K401" s="465" t="s">
        <v>1035</v>
      </c>
      <c r="L401" s="465" t="s">
        <v>95</v>
      </c>
      <c r="M401" s="465" t="s">
        <v>91</v>
      </c>
      <c r="N401" s="470">
        <f>E406*G406*'Ref-Savings Calculations'!$E$9*Applicability</f>
        <v>3.0568423100743396</v>
      </c>
      <c r="O401" s="470" t="s">
        <v>870</v>
      </c>
      <c r="P401" s="470">
        <f>E401*G401*'Ref-Savings Calculations'!$E$9*Applicability</f>
        <v>3.0568423100743396</v>
      </c>
      <c r="Q401" s="470" t="s">
        <v>870</v>
      </c>
      <c r="R401" s="37"/>
      <c r="S401" s="465" t="s">
        <v>44</v>
      </c>
      <c r="T401" s="344" t="s">
        <v>63</v>
      </c>
      <c r="U401" s="344" t="s">
        <v>870</v>
      </c>
      <c r="V401" s="344" t="s">
        <v>870</v>
      </c>
      <c r="W401" s="344" t="s">
        <v>76</v>
      </c>
      <c r="X401" s="37"/>
      <c r="Y401" s="37"/>
      <c r="Z401" s="465" t="s">
        <v>78</v>
      </c>
      <c r="AA401" s="465" t="s">
        <v>78</v>
      </c>
      <c r="AB401" s="37"/>
      <c r="AC401" s="474">
        <f>'Ref-ComHOU'!$G$85</f>
        <v>13.287671232876711</v>
      </c>
      <c r="AD401" s="470" t="s">
        <v>72</v>
      </c>
      <c r="AE401" s="465" t="s">
        <v>73</v>
      </c>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c r="CA401" s="393"/>
      <c r="CB401" s="393"/>
      <c r="CC401" s="393"/>
      <c r="CD401" s="393"/>
      <c r="CE401" s="393"/>
      <c r="CF401" s="393"/>
      <c r="CG401" s="393"/>
      <c r="CH401" s="393"/>
      <c r="CI401" s="393"/>
      <c r="CJ401" s="390"/>
      <c r="CK401" s="390"/>
      <c r="CL401" s="390"/>
      <c r="CM401" s="390"/>
      <c r="CN401" s="390"/>
      <c r="CO401" s="390"/>
      <c r="CP401" s="390"/>
      <c r="CQ401" s="390"/>
      <c r="CR401" s="390"/>
      <c r="CS401" s="390"/>
      <c r="CT401" s="390"/>
      <c r="CU401" s="390"/>
      <c r="CV401" s="390"/>
      <c r="CW401" s="390"/>
      <c r="CX401" s="390"/>
      <c r="CY401" s="390"/>
      <c r="CZ401" s="390"/>
      <c r="DA401" s="390"/>
      <c r="DB401" s="390"/>
      <c r="DC401" s="390"/>
    </row>
    <row r="402" spans="1:107" s="317" customFormat="1" ht="24">
      <c r="A402" s="37"/>
      <c r="B402" s="464" t="s">
        <v>23</v>
      </c>
      <c r="C402" s="465" t="s">
        <v>502</v>
      </c>
      <c r="D402" s="348" t="s">
        <v>1224</v>
      </c>
      <c r="E402" s="467">
        <f>'Ref-ComSources'!$AB$11*'Ref-ComSources'!$E$230</f>
        <v>36.33310217997353</v>
      </c>
      <c r="F402" s="465" t="s">
        <v>846</v>
      </c>
      <c r="G402" s="468">
        <f>'Ref-2013CSSsaturationsINT'!$F$155</f>
        <v>0.132842857658061</v>
      </c>
      <c r="H402" s="465" t="s">
        <v>66</v>
      </c>
      <c r="I402" s="469">
        <f>'Ref-2013CSSsaturationsINT'!$J$155</f>
        <v>1</v>
      </c>
      <c r="J402" s="465" t="s">
        <v>25</v>
      </c>
      <c r="K402" s="465" t="s">
        <v>1035</v>
      </c>
      <c r="L402" s="465" t="s">
        <v>95</v>
      </c>
      <c r="M402" s="465" t="s">
        <v>92</v>
      </c>
      <c r="N402" s="470">
        <f>E407*G407*'Ref-Savings Calculations'!$E$9*Applicability</f>
        <v>3.0568423100743396</v>
      </c>
      <c r="O402" s="470">
        <f>E402*G402*'Ref-Savings Calculations'!$C$99*Applicability*ControlShare</f>
        <v>1.3900588188969629</v>
      </c>
      <c r="P402" s="470">
        <f>E402*G402*'Ref-Savings Calculations'!$E$9*Applicability</f>
        <v>3.0568423100743396</v>
      </c>
      <c r="Q402" s="470">
        <f>E402*G402*'Ref-Savings Calculations'!$C$99*Applicability*ControlShare</f>
        <v>1.3900588188969629</v>
      </c>
      <c r="R402" s="37"/>
      <c r="S402" s="465" t="s">
        <v>44</v>
      </c>
      <c r="T402" s="344" t="s">
        <v>63</v>
      </c>
      <c r="U402" s="465" t="s">
        <v>69</v>
      </c>
      <c r="V402" s="465" t="s">
        <v>69</v>
      </c>
      <c r="W402" s="344" t="s">
        <v>76</v>
      </c>
      <c r="X402" s="37"/>
      <c r="Y402" s="37"/>
      <c r="Z402" s="465" t="s">
        <v>78</v>
      </c>
      <c r="AA402" s="465" t="s">
        <v>78</v>
      </c>
      <c r="AB402" s="37"/>
      <c r="AC402" s="474">
        <f>'Ref-ComHOU'!$G$85</f>
        <v>13.287671232876711</v>
      </c>
      <c r="AD402" s="470" t="s">
        <v>72</v>
      </c>
      <c r="AE402" s="465" t="s">
        <v>73</v>
      </c>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c r="CA402" s="393"/>
      <c r="CB402" s="393"/>
      <c r="CC402" s="393"/>
      <c r="CD402" s="393"/>
      <c r="CE402" s="393"/>
      <c r="CF402" s="393"/>
      <c r="CG402" s="393"/>
      <c r="CH402" s="393"/>
      <c r="CI402" s="393"/>
      <c r="CJ402" s="390"/>
      <c r="CK402" s="390"/>
      <c r="CL402" s="390"/>
      <c r="CM402" s="390"/>
      <c r="CN402" s="390"/>
      <c r="CO402" s="390"/>
      <c r="CP402" s="390"/>
      <c r="CQ402" s="390"/>
      <c r="CR402" s="390"/>
      <c r="CS402" s="390"/>
      <c r="CT402" s="390"/>
      <c r="CU402" s="390"/>
      <c r="CV402" s="390"/>
      <c r="CW402" s="390"/>
      <c r="CX402" s="390"/>
      <c r="CY402" s="390"/>
      <c r="CZ402" s="390"/>
      <c r="DA402" s="390"/>
      <c r="DB402" s="390"/>
      <c r="DC402" s="390"/>
    </row>
    <row r="403" spans="1:107" s="317" customFormat="1" ht="24">
      <c r="A403" s="37"/>
      <c r="B403" s="464" t="s">
        <v>23</v>
      </c>
      <c r="C403" s="465" t="s">
        <v>502</v>
      </c>
      <c r="D403" s="348" t="s">
        <v>1224</v>
      </c>
      <c r="E403" s="467">
        <f>'Ref-ComSources'!$AB$11*'Ref-ComSources'!$E$230</f>
        <v>36.33310217997353</v>
      </c>
      <c r="F403" s="465" t="s">
        <v>846</v>
      </c>
      <c r="G403" s="468">
        <f>'Ref-2013CSSsaturationsINT'!$F$155</f>
        <v>0.132842857658061</v>
      </c>
      <c r="H403" s="465" t="s">
        <v>66</v>
      </c>
      <c r="I403" s="469">
        <f>'Ref-2013CSSsaturationsINT'!$J$155</f>
        <v>1</v>
      </c>
      <c r="J403" s="465" t="s">
        <v>25</v>
      </c>
      <c r="K403" s="465" t="s">
        <v>1035</v>
      </c>
      <c r="L403" s="465" t="s">
        <v>95</v>
      </c>
      <c r="M403" s="465" t="s">
        <v>93</v>
      </c>
      <c r="N403" s="470">
        <f>E408*G408*'Ref-Savings Calculations'!$E$9*Applicability</f>
        <v>3.0568423100743396</v>
      </c>
      <c r="O403" s="470" t="s">
        <v>870</v>
      </c>
      <c r="P403" s="470">
        <f>E403*G403*'Ref-Savings Calculations'!$E$9*Applicability</f>
        <v>3.0568423100743396</v>
      </c>
      <c r="Q403" s="470" t="s">
        <v>870</v>
      </c>
      <c r="R403" s="37"/>
      <c r="S403" s="465" t="s">
        <v>44</v>
      </c>
      <c r="T403" s="344" t="s">
        <v>63</v>
      </c>
      <c r="U403" s="344" t="s">
        <v>870</v>
      </c>
      <c r="V403" s="344" t="s">
        <v>870</v>
      </c>
      <c r="W403" s="344" t="s">
        <v>76</v>
      </c>
      <c r="X403" s="37"/>
      <c r="Y403" s="37"/>
      <c r="Z403" s="465" t="s">
        <v>78</v>
      </c>
      <c r="AA403" s="465" t="s">
        <v>78</v>
      </c>
      <c r="AB403" s="37"/>
      <c r="AC403" s="474">
        <f>'Ref-ComHOU'!$G$85</f>
        <v>13.287671232876711</v>
      </c>
      <c r="AD403" s="470" t="s">
        <v>72</v>
      </c>
      <c r="AE403" s="465" t="s">
        <v>73</v>
      </c>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c r="CA403" s="393"/>
      <c r="CB403" s="393"/>
      <c r="CC403" s="393"/>
      <c r="CD403" s="393"/>
      <c r="CE403" s="393"/>
      <c r="CF403" s="393"/>
      <c r="CG403" s="393"/>
      <c r="CH403" s="393"/>
      <c r="CI403" s="393"/>
      <c r="CJ403" s="390"/>
      <c r="CK403" s="390"/>
      <c r="CL403" s="390"/>
      <c r="CM403" s="390"/>
      <c r="CN403" s="390"/>
      <c r="CO403" s="390"/>
      <c r="CP403" s="390"/>
      <c r="CQ403" s="390"/>
      <c r="CR403" s="390"/>
      <c r="CS403" s="390"/>
      <c r="CT403" s="390"/>
      <c r="CU403" s="390"/>
      <c r="CV403" s="390"/>
      <c r="CW403" s="390"/>
      <c r="CX403" s="390"/>
      <c r="CY403" s="390"/>
      <c r="CZ403" s="390"/>
      <c r="DA403" s="390"/>
      <c r="DB403" s="390"/>
      <c r="DC403" s="390"/>
    </row>
    <row r="404" spans="1:107" s="317" customFormat="1" ht="24">
      <c r="A404" s="37"/>
      <c r="B404" s="464" t="s">
        <v>23</v>
      </c>
      <c r="C404" s="465" t="s">
        <v>502</v>
      </c>
      <c r="D404" s="348" t="s">
        <v>1224</v>
      </c>
      <c r="E404" s="467">
        <f>'Ref-ComSources'!$AB$11*'Ref-ComSources'!$E$230</f>
        <v>36.33310217997353</v>
      </c>
      <c r="F404" s="465" t="s">
        <v>846</v>
      </c>
      <c r="G404" s="468">
        <f>'Ref-2013CSSsaturationsINT'!$F$155</f>
        <v>0.132842857658061</v>
      </c>
      <c r="H404" s="465" t="s">
        <v>66</v>
      </c>
      <c r="I404" s="469">
        <f>'Ref-2013CSSsaturationsINT'!$J$155</f>
        <v>1</v>
      </c>
      <c r="J404" s="465" t="s">
        <v>25</v>
      </c>
      <c r="K404" s="465" t="s">
        <v>1035</v>
      </c>
      <c r="L404" s="465" t="s">
        <v>24</v>
      </c>
      <c r="M404" s="465" t="s">
        <v>88</v>
      </c>
      <c r="N404" s="470">
        <f>E404*G404*'Ref-Savings Calculations'!$E$8*Applicability</f>
        <v>2.8155126540158388</v>
      </c>
      <c r="O404" s="470" t="s">
        <v>870</v>
      </c>
      <c r="P404" s="470">
        <f>E404*G404*'Ref-Savings Calculations'!$E$8*Applicability</f>
        <v>2.8155126540158388</v>
      </c>
      <c r="Q404" s="470" t="s">
        <v>870</v>
      </c>
      <c r="R404" s="37"/>
      <c r="S404" s="465" t="s">
        <v>68</v>
      </c>
      <c r="T404" s="465" t="s">
        <v>63</v>
      </c>
      <c r="U404" s="344" t="s">
        <v>69</v>
      </c>
      <c r="V404" s="344" t="s">
        <v>69</v>
      </c>
      <c r="W404" s="465" t="s">
        <v>70</v>
      </c>
      <c r="X404" s="37"/>
      <c r="Y404" s="37"/>
      <c r="Z404" s="465" t="s">
        <v>78</v>
      </c>
      <c r="AA404" s="465" t="s">
        <v>78</v>
      </c>
      <c r="AB404" s="37"/>
      <c r="AC404" s="474">
        <f>'Ref-ComHOU'!$G$85</f>
        <v>13.287671232876711</v>
      </c>
      <c r="AD404" s="470" t="s">
        <v>72</v>
      </c>
      <c r="AE404" s="465" t="s">
        <v>73</v>
      </c>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c r="CA404" s="393"/>
      <c r="CB404" s="393"/>
      <c r="CC404" s="393"/>
      <c r="CD404" s="393"/>
      <c r="CE404" s="393"/>
      <c r="CF404" s="393"/>
      <c r="CG404" s="393"/>
      <c r="CH404" s="393"/>
      <c r="CI404" s="393"/>
      <c r="CJ404" s="390"/>
      <c r="CK404" s="390"/>
      <c r="CL404" s="390"/>
      <c r="CM404" s="390"/>
      <c r="CN404" s="390"/>
      <c r="CO404" s="390"/>
      <c r="CP404" s="390"/>
      <c r="CQ404" s="390"/>
      <c r="CR404" s="390"/>
      <c r="CS404" s="390"/>
      <c r="CT404" s="390"/>
      <c r="CU404" s="390"/>
      <c r="CV404" s="390"/>
      <c r="CW404" s="390"/>
      <c r="CX404" s="390"/>
      <c r="CY404" s="390"/>
      <c r="CZ404" s="390"/>
      <c r="DA404" s="390"/>
      <c r="DB404" s="390"/>
      <c r="DC404" s="390"/>
    </row>
    <row r="405" spans="1:107" s="317" customFormat="1" ht="24">
      <c r="A405" s="37"/>
      <c r="B405" s="464" t="s">
        <v>23</v>
      </c>
      <c r="C405" s="465" t="s">
        <v>502</v>
      </c>
      <c r="D405" s="348" t="s">
        <v>1224</v>
      </c>
      <c r="E405" s="467">
        <f>'Ref-ComSources'!$AB$11*'Ref-ComSources'!$E$230</f>
        <v>36.33310217997353</v>
      </c>
      <c r="F405" s="465" t="s">
        <v>846</v>
      </c>
      <c r="G405" s="468">
        <f>'Ref-2013CSSsaturationsINT'!$F$155</f>
        <v>0.132842857658061</v>
      </c>
      <c r="H405" s="465" t="s">
        <v>66</v>
      </c>
      <c r="I405" s="469">
        <f>'Ref-2013CSSsaturationsINT'!$J$155</f>
        <v>1</v>
      </c>
      <c r="J405" s="465" t="s">
        <v>25</v>
      </c>
      <c r="K405" s="465" t="s">
        <v>1035</v>
      </c>
      <c r="L405" s="465" t="s">
        <v>24</v>
      </c>
      <c r="M405" s="465" t="s">
        <v>90</v>
      </c>
      <c r="N405" s="470">
        <f>E405*G405*'Ref-Savings Calculations'!$E$8*Applicability</f>
        <v>2.8155126540158388</v>
      </c>
      <c r="O405" s="470" t="s">
        <v>870</v>
      </c>
      <c r="P405" s="470">
        <f>E405*G405*'Ref-Savings Calculations'!$E$8*Applicability</f>
        <v>2.8155126540158388</v>
      </c>
      <c r="Q405" s="470" t="s">
        <v>870</v>
      </c>
      <c r="R405" s="37"/>
      <c r="S405" s="465" t="s">
        <v>68</v>
      </c>
      <c r="T405" s="465" t="s">
        <v>63</v>
      </c>
      <c r="U405" s="344" t="s">
        <v>69</v>
      </c>
      <c r="V405" s="344" t="s">
        <v>69</v>
      </c>
      <c r="W405" s="465" t="s">
        <v>70</v>
      </c>
      <c r="X405" s="37"/>
      <c r="Y405" s="37"/>
      <c r="Z405" s="465" t="s">
        <v>78</v>
      </c>
      <c r="AA405" s="465" t="s">
        <v>78</v>
      </c>
      <c r="AB405" s="37"/>
      <c r="AC405" s="474">
        <f>'Ref-ComHOU'!$G$85</f>
        <v>13.287671232876711</v>
      </c>
      <c r="AD405" s="470" t="s">
        <v>72</v>
      </c>
      <c r="AE405" s="465" t="s">
        <v>73</v>
      </c>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c r="CA405" s="393"/>
      <c r="CB405" s="393"/>
      <c r="CC405" s="393"/>
      <c r="CD405" s="393"/>
      <c r="CE405" s="393"/>
      <c r="CF405" s="393"/>
      <c r="CG405" s="393"/>
      <c r="CH405" s="393"/>
      <c r="CI405" s="393"/>
      <c r="CJ405" s="390"/>
      <c r="CK405" s="390"/>
      <c r="CL405" s="390"/>
      <c r="CM405" s="390"/>
      <c r="CN405" s="390"/>
      <c r="CO405" s="390"/>
      <c r="CP405" s="390"/>
      <c r="CQ405" s="390"/>
      <c r="CR405" s="390"/>
      <c r="CS405" s="390"/>
      <c r="CT405" s="390"/>
      <c r="CU405" s="390"/>
      <c r="CV405" s="390"/>
      <c r="CW405" s="390"/>
      <c r="CX405" s="390"/>
      <c r="CY405" s="390"/>
      <c r="CZ405" s="390"/>
      <c r="DA405" s="390"/>
      <c r="DB405" s="390"/>
      <c r="DC405" s="390"/>
    </row>
    <row r="406" spans="1:107" s="317" customFormat="1" ht="24">
      <c r="A406" s="37"/>
      <c r="B406" s="464" t="s">
        <v>23</v>
      </c>
      <c r="C406" s="465" t="s">
        <v>502</v>
      </c>
      <c r="D406" s="348" t="s">
        <v>1224</v>
      </c>
      <c r="E406" s="467">
        <f>'Ref-ComSources'!$AB$11*'Ref-ComSources'!$E$230</f>
        <v>36.33310217997353</v>
      </c>
      <c r="F406" s="465" t="s">
        <v>846</v>
      </c>
      <c r="G406" s="468">
        <f>'Ref-2013CSSsaturationsINT'!$F$155</f>
        <v>0.132842857658061</v>
      </c>
      <c r="H406" s="465" t="s">
        <v>66</v>
      </c>
      <c r="I406" s="469">
        <f>'Ref-2013CSSsaturationsINT'!$J$155</f>
        <v>1</v>
      </c>
      <c r="J406" s="465" t="s">
        <v>25</v>
      </c>
      <c r="K406" s="465" t="s">
        <v>1035</v>
      </c>
      <c r="L406" s="465" t="s">
        <v>24</v>
      </c>
      <c r="M406" s="465" t="s">
        <v>91</v>
      </c>
      <c r="N406" s="470">
        <f>E406*G406*'Ref-Savings Calculations'!$E$8*Applicability</f>
        <v>2.8155126540158388</v>
      </c>
      <c r="O406" s="470" t="s">
        <v>870</v>
      </c>
      <c r="P406" s="470">
        <f>E406*G406*'Ref-Savings Calculations'!$E$8*Applicability</f>
        <v>2.8155126540158388</v>
      </c>
      <c r="Q406" s="470" t="s">
        <v>870</v>
      </c>
      <c r="R406" s="37"/>
      <c r="S406" s="465" t="s">
        <v>68</v>
      </c>
      <c r="T406" s="465" t="s">
        <v>63</v>
      </c>
      <c r="U406" s="344" t="s">
        <v>69</v>
      </c>
      <c r="V406" s="344" t="s">
        <v>69</v>
      </c>
      <c r="W406" s="465" t="s">
        <v>70</v>
      </c>
      <c r="X406" s="37"/>
      <c r="Y406" s="37"/>
      <c r="Z406" s="465" t="s">
        <v>78</v>
      </c>
      <c r="AA406" s="465" t="s">
        <v>78</v>
      </c>
      <c r="AB406" s="37"/>
      <c r="AC406" s="474">
        <f>'Ref-ComHOU'!$G$85</f>
        <v>13.287671232876711</v>
      </c>
      <c r="AD406" s="470" t="s">
        <v>72</v>
      </c>
      <c r="AE406" s="465" t="s">
        <v>73</v>
      </c>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c r="CA406" s="393"/>
      <c r="CB406" s="393"/>
      <c r="CC406" s="393"/>
      <c r="CD406" s="393"/>
      <c r="CE406" s="393"/>
      <c r="CF406" s="393"/>
      <c r="CG406" s="393"/>
      <c r="CH406" s="393"/>
      <c r="CI406" s="393"/>
      <c r="CJ406" s="390"/>
      <c r="CK406" s="390"/>
      <c r="CL406" s="390"/>
      <c r="CM406" s="390"/>
      <c r="CN406" s="390"/>
      <c r="CO406" s="390"/>
      <c r="CP406" s="390"/>
      <c r="CQ406" s="390"/>
      <c r="CR406" s="390"/>
      <c r="CS406" s="390"/>
      <c r="CT406" s="390"/>
      <c r="CU406" s="390"/>
      <c r="CV406" s="390"/>
      <c r="CW406" s="390"/>
      <c r="CX406" s="390"/>
      <c r="CY406" s="390"/>
      <c r="CZ406" s="390"/>
      <c r="DA406" s="390"/>
      <c r="DB406" s="390"/>
      <c r="DC406" s="390"/>
    </row>
    <row r="407" spans="1:107" s="317" customFormat="1" ht="24">
      <c r="A407" s="37"/>
      <c r="B407" s="464" t="s">
        <v>23</v>
      </c>
      <c r="C407" s="465" t="s">
        <v>502</v>
      </c>
      <c r="D407" s="348" t="s">
        <v>1224</v>
      </c>
      <c r="E407" s="467">
        <f>'Ref-ComSources'!$AB$11*'Ref-ComSources'!$E$230</f>
        <v>36.33310217997353</v>
      </c>
      <c r="F407" s="465" t="s">
        <v>846</v>
      </c>
      <c r="G407" s="468">
        <f>'Ref-2013CSSsaturationsINT'!$F$155</f>
        <v>0.132842857658061</v>
      </c>
      <c r="H407" s="465" t="s">
        <v>66</v>
      </c>
      <c r="I407" s="469">
        <f>'Ref-2013CSSsaturationsINT'!$J$155</f>
        <v>1</v>
      </c>
      <c r="J407" s="465" t="s">
        <v>25</v>
      </c>
      <c r="K407" s="465" t="s">
        <v>1035</v>
      </c>
      <c r="L407" s="465" t="s">
        <v>24</v>
      </c>
      <c r="M407" s="465" t="s">
        <v>92</v>
      </c>
      <c r="N407" s="470">
        <f>E407*G407*'Ref-Savings Calculations'!$E$8*Applicability</f>
        <v>2.8155126540158388</v>
      </c>
      <c r="O407" s="470">
        <f>E407*G407*'Ref-Savings Calculations'!$C$99*Applicability*ControlShare</f>
        <v>1.3900588188969629</v>
      </c>
      <c r="P407" s="470">
        <f>E407*G407*'Ref-Savings Calculations'!$E$8*Applicability</f>
        <v>2.8155126540158388</v>
      </c>
      <c r="Q407" s="470">
        <f>E407*G407*'Ref-Savings Calculations'!$C$99*Applicability*ControlShare</f>
        <v>1.3900588188969629</v>
      </c>
      <c r="R407" s="37"/>
      <c r="S407" s="465" t="s">
        <v>68</v>
      </c>
      <c r="T407" s="465" t="s">
        <v>63</v>
      </c>
      <c r="U407" s="465" t="s">
        <v>69</v>
      </c>
      <c r="V407" s="465" t="s">
        <v>69</v>
      </c>
      <c r="W407" s="465" t="s">
        <v>70</v>
      </c>
      <c r="X407" s="37"/>
      <c r="Y407" s="37"/>
      <c r="Z407" s="465" t="s">
        <v>78</v>
      </c>
      <c r="AA407" s="465" t="s">
        <v>78</v>
      </c>
      <c r="AB407" s="37"/>
      <c r="AC407" s="474">
        <f>'Ref-ComHOU'!$G$85</f>
        <v>13.287671232876711</v>
      </c>
      <c r="AD407" s="470" t="s">
        <v>72</v>
      </c>
      <c r="AE407" s="465" t="s">
        <v>73</v>
      </c>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c r="CA407" s="393"/>
      <c r="CB407" s="393"/>
      <c r="CC407" s="393"/>
      <c r="CD407" s="393"/>
      <c r="CE407" s="393"/>
      <c r="CF407" s="393"/>
      <c r="CG407" s="393"/>
      <c r="CH407" s="393"/>
      <c r="CI407" s="393"/>
      <c r="CJ407" s="390"/>
      <c r="CK407" s="390"/>
      <c r="CL407" s="390"/>
      <c r="CM407" s="390"/>
      <c r="CN407" s="390"/>
      <c r="CO407" s="390"/>
      <c r="CP407" s="390"/>
      <c r="CQ407" s="390"/>
      <c r="CR407" s="390"/>
      <c r="CS407" s="390"/>
      <c r="CT407" s="390"/>
      <c r="CU407" s="390"/>
      <c r="CV407" s="390"/>
      <c r="CW407" s="390"/>
      <c r="CX407" s="390"/>
      <c r="CY407" s="390"/>
      <c r="CZ407" s="390"/>
      <c r="DA407" s="390"/>
      <c r="DB407" s="390"/>
      <c r="DC407" s="390"/>
    </row>
    <row r="408" spans="1:107" s="317" customFormat="1" ht="24">
      <c r="A408" s="37"/>
      <c r="B408" s="464" t="s">
        <v>23</v>
      </c>
      <c r="C408" s="465" t="s">
        <v>502</v>
      </c>
      <c r="D408" s="348" t="s">
        <v>1224</v>
      </c>
      <c r="E408" s="467">
        <f>'Ref-ComSources'!$AB$11*'Ref-ComSources'!$E$230</f>
        <v>36.33310217997353</v>
      </c>
      <c r="F408" s="465" t="s">
        <v>846</v>
      </c>
      <c r="G408" s="468">
        <f>'Ref-2013CSSsaturationsINT'!$F$155</f>
        <v>0.132842857658061</v>
      </c>
      <c r="H408" s="465" t="s">
        <v>66</v>
      </c>
      <c r="I408" s="469">
        <f>'Ref-2013CSSsaturationsINT'!$J$155</f>
        <v>1</v>
      </c>
      <c r="J408" s="465" t="s">
        <v>25</v>
      </c>
      <c r="K408" s="465" t="s">
        <v>1035</v>
      </c>
      <c r="L408" s="465" t="s">
        <v>24</v>
      </c>
      <c r="M408" s="465" t="s">
        <v>93</v>
      </c>
      <c r="N408" s="470">
        <f>E408*G408*'Ref-Savings Calculations'!$E$8*Applicability</f>
        <v>2.8155126540158388</v>
      </c>
      <c r="O408" s="470" t="s">
        <v>870</v>
      </c>
      <c r="P408" s="470">
        <f>E408*G408*'Ref-Savings Calculations'!$E$8*Applicability</f>
        <v>2.8155126540158388</v>
      </c>
      <c r="Q408" s="470" t="s">
        <v>870</v>
      </c>
      <c r="R408" s="37"/>
      <c r="S408" s="465" t="s">
        <v>68</v>
      </c>
      <c r="T408" s="465" t="s">
        <v>63</v>
      </c>
      <c r="U408" s="344" t="s">
        <v>44</v>
      </c>
      <c r="V408" s="344" t="s">
        <v>75</v>
      </c>
      <c r="W408" s="465" t="s">
        <v>70</v>
      </c>
      <c r="X408" s="37"/>
      <c r="Y408" s="37"/>
      <c r="Z408" s="465" t="s">
        <v>78</v>
      </c>
      <c r="AA408" s="465" t="s">
        <v>78</v>
      </c>
      <c r="AB408" s="37"/>
      <c r="AC408" s="474">
        <f>'Ref-ComHOU'!$G$85</f>
        <v>13.287671232876711</v>
      </c>
      <c r="AD408" s="470" t="s">
        <v>72</v>
      </c>
      <c r="AE408" s="465" t="s">
        <v>73</v>
      </c>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c r="CA408" s="393"/>
      <c r="CB408" s="393"/>
      <c r="CC408" s="393"/>
      <c r="CD408" s="393"/>
      <c r="CE408" s="393"/>
      <c r="CF408" s="393"/>
      <c r="CG408" s="393"/>
      <c r="CH408" s="393"/>
      <c r="CI408" s="393"/>
      <c r="CJ408" s="390"/>
      <c r="CK408" s="390"/>
      <c r="CL408" s="390"/>
      <c r="CM408" s="390"/>
      <c r="CN408" s="390"/>
      <c r="CO408" s="390"/>
      <c r="CP408" s="390"/>
      <c r="CQ408" s="390"/>
      <c r="CR408" s="390"/>
      <c r="CS408" s="390"/>
      <c r="CT408" s="390"/>
      <c r="CU408" s="390"/>
      <c r="CV408" s="390"/>
      <c r="CW408" s="390"/>
      <c r="CX408" s="390"/>
      <c r="CY408" s="390"/>
      <c r="CZ408" s="390"/>
      <c r="DA408" s="390"/>
      <c r="DB408" s="390"/>
      <c r="DC408" s="390"/>
    </row>
    <row r="409" spans="1:107" s="317" customFormat="1" ht="24">
      <c r="A409" s="37"/>
      <c r="B409" s="464" t="s">
        <v>23</v>
      </c>
      <c r="C409" s="465" t="s">
        <v>502</v>
      </c>
      <c r="D409" s="348" t="s">
        <v>1224</v>
      </c>
      <c r="E409" s="467">
        <f>'Ref-ComSources'!$AB$11*'Ref-ComSources'!$E$230</f>
        <v>36.33310217997353</v>
      </c>
      <c r="F409" s="465" t="s">
        <v>95</v>
      </c>
      <c r="G409" s="468">
        <f>'Ref-2013CSSsaturationsINT'!$F$156</f>
        <v>0.13152247851085813</v>
      </c>
      <c r="H409" s="465" t="s">
        <v>66</v>
      </c>
      <c r="I409" s="469">
        <f>'Ref-2013CSSsaturationsINT'!$J$156</f>
        <v>1</v>
      </c>
      <c r="J409" s="465" t="s">
        <v>25</v>
      </c>
      <c r="K409" s="465" t="s">
        <v>1035</v>
      </c>
      <c r="L409" s="465" t="s">
        <v>95</v>
      </c>
      <c r="M409" s="465" t="s">
        <v>88</v>
      </c>
      <c r="N409" s="349" t="s">
        <v>1049</v>
      </c>
      <c r="O409" s="470" t="s">
        <v>870</v>
      </c>
      <c r="P409" s="349" t="str">
        <f>rMarketSolutions[[#This Row],[Lighting Savings
(lamp and/or ballast)]]</f>
        <v>No Change</v>
      </c>
      <c r="Q409" s="470" t="s">
        <v>870</v>
      </c>
      <c r="R409" s="37"/>
      <c r="S409" s="344" t="s">
        <v>870</v>
      </c>
      <c r="T409" s="344" t="s">
        <v>870</v>
      </c>
      <c r="U409" s="344" t="s">
        <v>870</v>
      </c>
      <c r="V409" s="344" t="s">
        <v>870</v>
      </c>
      <c r="W409" s="344" t="s">
        <v>76</v>
      </c>
      <c r="X409" s="37"/>
      <c r="Y409" s="37"/>
      <c r="Z409" s="465" t="s">
        <v>78</v>
      </c>
      <c r="AA409" s="465" t="s">
        <v>78</v>
      </c>
      <c r="AB409" s="37"/>
      <c r="AC409" s="474">
        <f>'Ref-ComHOU'!$G$85</f>
        <v>13.287671232876711</v>
      </c>
      <c r="AD409" s="470" t="s">
        <v>72</v>
      </c>
      <c r="AE409" s="465" t="s">
        <v>73</v>
      </c>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c r="CA409" s="393"/>
      <c r="CB409" s="393"/>
      <c r="CC409" s="393"/>
      <c r="CD409" s="393"/>
      <c r="CE409" s="393"/>
      <c r="CF409" s="393"/>
      <c r="CG409" s="393"/>
      <c r="CH409" s="393"/>
      <c r="CI409" s="393"/>
      <c r="CJ409" s="390"/>
      <c r="CK409" s="390"/>
      <c r="CL409" s="390"/>
      <c r="CM409" s="390"/>
      <c r="CN409" s="390"/>
      <c r="CO409" s="390"/>
      <c r="CP409" s="390"/>
      <c r="CQ409" s="390"/>
      <c r="CR409" s="390"/>
      <c r="CS409" s="390"/>
      <c r="CT409" s="390"/>
      <c r="CU409" s="390"/>
      <c r="CV409" s="390"/>
      <c r="CW409" s="390"/>
      <c r="CX409" s="390"/>
      <c r="CY409" s="390"/>
      <c r="CZ409" s="390"/>
      <c r="DA409" s="390"/>
      <c r="DB409" s="390"/>
      <c r="DC409" s="390"/>
    </row>
    <row r="410" spans="1:107" s="317" customFormat="1" ht="24">
      <c r="A410" s="37"/>
      <c r="B410" s="464" t="s">
        <v>23</v>
      </c>
      <c r="C410" s="465" t="s">
        <v>502</v>
      </c>
      <c r="D410" s="348" t="s">
        <v>1224</v>
      </c>
      <c r="E410" s="467">
        <f>'Ref-ComSources'!$AB$11*'Ref-ComSources'!$E$230</f>
        <v>36.33310217997353</v>
      </c>
      <c r="F410" s="465" t="s">
        <v>95</v>
      </c>
      <c r="G410" s="468">
        <f>'Ref-2013CSSsaturationsINT'!$F$156</f>
        <v>0.13152247851085813</v>
      </c>
      <c r="H410" s="465" t="s">
        <v>66</v>
      </c>
      <c r="I410" s="469">
        <f>'Ref-2013CSSsaturationsINT'!$J$156</f>
        <v>1</v>
      </c>
      <c r="J410" s="465" t="s">
        <v>25</v>
      </c>
      <c r="K410" s="465" t="s">
        <v>1035</v>
      </c>
      <c r="L410" s="465" t="s">
        <v>95</v>
      </c>
      <c r="M410" s="465" t="s">
        <v>90</v>
      </c>
      <c r="N410" s="349" t="s">
        <v>1049</v>
      </c>
      <c r="O410" s="470" t="s">
        <v>870</v>
      </c>
      <c r="P410" s="349" t="str">
        <f>rMarketSolutions[[#This Row],[Lighting Savings
(lamp and/or ballast)]]</f>
        <v>No Change</v>
      </c>
      <c r="Q410" s="470" t="s">
        <v>870</v>
      </c>
      <c r="R410" s="37"/>
      <c r="S410" s="344" t="s">
        <v>870</v>
      </c>
      <c r="T410" s="344" t="s">
        <v>870</v>
      </c>
      <c r="U410" s="344" t="s">
        <v>870</v>
      </c>
      <c r="V410" s="344" t="s">
        <v>870</v>
      </c>
      <c r="W410" s="344" t="s">
        <v>76</v>
      </c>
      <c r="X410" s="37"/>
      <c r="Y410" s="37"/>
      <c r="Z410" s="465" t="s">
        <v>78</v>
      </c>
      <c r="AA410" s="465" t="s">
        <v>78</v>
      </c>
      <c r="AB410" s="37"/>
      <c r="AC410" s="474">
        <f>'Ref-ComHOU'!$G$85</f>
        <v>13.287671232876711</v>
      </c>
      <c r="AD410" s="470" t="s">
        <v>72</v>
      </c>
      <c r="AE410" s="465" t="s">
        <v>73</v>
      </c>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c r="CA410" s="393"/>
      <c r="CB410" s="393"/>
      <c r="CC410" s="393"/>
      <c r="CD410" s="393"/>
      <c r="CE410" s="393"/>
      <c r="CF410" s="393"/>
      <c r="CG410" s="393"/>
      <c r="CH410" s="393"/>
      <c r="CI410" s="393"/>
      <c r="CJ410" s="390"/>
      <c r="CK410" s="390"/>
      <c r="CL410" s="390"/>
      <c r="CM410" s="390"/>
      <c r="CN410" s="390"/>
      <c r="CO410" s="390"/>
      <c r="CP410" s="390"/>
      <c r="CQ410" s="390"/>
      <c r="CR410" s="390"/>
      <c r="CS410" s="390"/>
      <c r="CT410" s="390"/>
      <c r="CU410" s="390"/>
      <c r="CV410" s="390"/>
      <c r="CW410" s="390"/>
      <c r="CX410" s="390"/>
      <c r="CY410" s="390"/>
      <c r="CZ410" s="390"/>
      <c r="DA410" s="390"/>
      <c r="DB410" s="390"/>
      <c r="DC410" s="390"/>
    </row>
    <row r="411" spans="1:107" s="317" customFormat="1" ht="24">
      <c r="A411" s="37"/>
      <c r="B411" s="464" t="s">
        <v>23</v>
      </c>
      <c r="C411" s="465" t="s">
        <v>502</v>
      </c>
      <c r="D411" s="348" t="s">
        <v>1224</v>
      </c>
      <c r="E411" s="467">
        <f>'Ref-ComSources'!$AB$11*'Ref-ComSources'!$E$230</f>
        <v>36.33310217997353</v>
      </c>
      <c r="F411" s="465" t="s">
        <v>95</v>
      </c>
      <c r="G411" s="468">
        <f>'Ref-2013CSSsaturationsINT'!$F$156</f>
        <v>0.13152247851085813</v>
      </c>
      <c r="H411" s="465" t="s">
        <v>66</v>
      </c>
      <c r="I411" s="469">
        <f>'Ref-2013CSSsaturationsINT'!$J$156</f>
        <v>1</v>
      </c>
      <c r="J411" s="465" t="s">
        <v>25</v>
      </c>
      <c r="K411" s="465" t="s">
        <v>1035</v>
      </c>
      <c r="L411" s="465" t="s">
        <v>95</v>
      </c>
      <c r="M411" s="465" t="s">
        <v>91</v>
      </c>
      <c r="N411" s="349" t="s">
        <v>1049</v>
      </c>
      <c r="O411" s="470" t="s">
        <v>870</v>
      </c>
      <c r="P411" s="349" t="str">
        <f>rMarketSolutions[[#This Row],[Lighting Savings
(lamp and/or ballast)]]</f>
        <v>No Change</v>
      </c>
      <c r="Q411" s="470" t="s">
        <v>870</v>
      </c>
      <c r="R411" s="37"/>
      <c r="S411" s="344" t="s">
        <v>870</v>
      </c>
      <c r="T411" s="344" t="s">
        <v>870</v>
      </c>
      <c r="U411" s="344" t="s">
        <v>870</v>
      </c>
      <c r="V411" s="344" t="s">
        <v>870</v>
      </c>
      <c r="W411" s="344" t="s">
        <v>76</v>
      </c>
      <c r="X411" s="37"/>
      <c r="Y411" s="37"/>
      <c r="Z411" s="465" t="s">
        <v>78</v>
      </c>
      <c r="AA411" s="465" t="s">
        <v>78</v>
      </c>
      <c r="AB411" s="37"/>
      <c r="AC411" s="474">
        <f>'Ref-ComHOU'!$G$85</f>
        <v>13.287671232876711</v>
      </c>
      <c r="AD411" s="470" t="s">
        <v>72</v>
      </c>
      <c r="AE411" s="465" t="s">
        <v>73</v>
      </c>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c r="CA411" s="393"/>
      <c r="CB411" s="393"/>
      <c r="CC411" s="393"/>
      <c r="CD411" s="393"/>
      <c r="CE411" s="393"/>
      <c r="CF411" s="393"/>
      <c r="CG411" s="393"/>
      <c r="CH411" s="393"/>
      <c r="CI411" s="393"/>
      <c r="CJ411" s="390"/>
      <c r="CK411" s="390"/>
      <c r="CL411" s="390"/>
      <c r="CM411" s="390"/>
      <c r="CN411" s="390"/>
      <c r="CO411" s="390"/>
      <c r="CP411" s="390"/>
      <c r="CQ411" s="390"/>
      <c r="CR411" s="390"/>
      <c r="CS411" s="390"/>
      <c r="CT411" s="390"/>
      <c r="CU411" s="390"/>
      <c r="CV411" s="390"/>
      <c r="CW411" s="390"/>
      <c r="CX411" s="390"/>
      <c r="CY411" s="390"/>
      <c r="CZ411" s="390"/>
      <c r="DA411" s="390"/>
      <c r="DB411" s="390"/>
      <c r="DC411" s="390"/>
    </row>
    <row r="412" spans="1:107" s="317" customFormat="1" ht="24">
      <c r="A412" s="37"/>
      <c r="B412" s="464" t="s">
        <v>23</v>
      </c>
      <c r="C412" s="465" t="s">
        <v>502</v>
      </c>
      <c r="D412" s="348" t="s">
        <v>1224</v>
      </c>
      <c r="E412" s="467">
        <f>'Ref-ComSources'!$AB$11*'Ref-ComSources'!$E$230</f>
        <v>36.33310217997353</v>
      </c>
      <c r="F412" s="465" t="s">
        <v>95</v>
      </c>
      <c r="G412" s="468">
        <f>'Ref-2013CSSsaturationsINT'!$F$156</f>
        <v>0.13152247851085813</v>
      </c>
      <c r="H412" s="465" t="s">
        <v>66</v>
      </c>
      <c r="I412" s="469">
        <f>'Ref-2013CSSsaturationsINT'!$J$156</f>
        <v>1</v>
      </c>
      <c r="J412" s="465" t="s">
        <v>25</v>
      </c>
      <c r="K412" s="465" t="s">
        <v>1035</v>
      </c>
      <c r="L412" s="465" t="s">
        <v>95</v>
      </c>
      <c r="M412" s="465" t="s">
        <v>92</v>
      </c>
      <c r="N412" s="349" t="s">
        <v>1049</v>
      </c>
      <c r="O412" s="470">
        <f>E412*G412*'Ref-Savings Calculations'!$C$99*Applicability*ControlShare</f>
        <v>1.3762424594011338</v>
      </c>
      <c r="P412" s="349" t="str">
        <f>rMarketSolutions[[#This Row],[Lighting Savings
(lamp and/or ballast)]]</f>
        <v>No Change</v>
      </c>
      <c r="Q412" s="470">
        <f>E412*G412*'Ref-Savings Calculations'!$C$99*Applicability*ControlShare</f>
        <v>1.3762424594011338</v>
      </c>
      <c r="R412" s="37"/>
      <c r="S412" s="344" t="s">
        <v>870</v>
      </c>
      <c r="T412" s="344" t="s">
        <v>870</v>
      </c>
      <c r="U412" s="465" t="s">
        <v>69</v>
      </c>
      <c r="V412" s="465" t="s">
        <v>69</v>
      </c>
      <c r="W412" s="344" t="s">
        <v>76</v>
      </c>
      <c r="X412" s="37"/>
      <c r="Y412" s="37"/>
      <c r="Z412" s="465" t="s">
        <v>78</v>
      </c>
      <c r="AA412" s="465" t="s">
        <v>78</v>
      </c>
      <c r="AB412" s="37"/>
      <c r="AC412" s="474">
        <f>'Ref-ComHOU'!$G$85</f>
        <v>13.287671232876711</v>
      </c>
      <c r="AD412" s="470" t="s">
        <v>72</v>
      </c>
      <c r="AE412" s="465" t="s">
        <v>73</v>
      </c>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c r="CA412" s="393"/>
      <c r="CB412" s="393"/>
      <c r="CC412" s="393"/>
      <c r="CD412" s="393"/>
      <c r="CE412" s="393"/>
      <c r="CF412" s="393"/>
      <c r="CG412" s="393"/>
      <c r="CH412" s="393"/>
      <c r="CI412" s="393"/>
      <c r="CJ412" s="390"/>
      <c r="CK412" s="390"/>
      <c r="CL412" s="390"/>
      <c r="CM412" s="390"/>
      <c r="CN412" s="390"/>
      <c r="CO412" s="390"/>
      <c r="CP412" s="390"/>
      <c r="CQ412" s="390"/>
      <c r="CR412" s="390"/>
      <c r="CS412" s="390"/>
      <c r="CT412" s="390"/>
      <c r="CU412" s="390"/>
      <c r="CV412" s="390"/>
      <c r="CW412" s="390"/>
      <c r="CX412" s="390"/>
      <c r="CY412" s="390"/>
      <c r="CZ412" s="390"/>
      <c r="DA412" s="390"/>
      <c r="DB412" s="390"/>
      <c r="DC412" s="390"/>
    </row>
    <row r="413" spans="1:107" s="317" customFormat="1" ht="24">
      <c r="A413" s="37"/>
      <c r="B413" s="464" t="s">
        <v>23</v>
      </c>
      <c r="C413" s="465" t="s">
        <v>502</v>
      </c>
      <c r="D413" s="348" t="s">
        <v>1224</v>
      </c>
      <c r="E413" s="467">
        <f>'Ref-ComSources'!$AB$11*'Ref-ComSources'!$E$230</f>
        <v>36.33310217997353</v>
      </c>
      <c r="F413" s="465" t="s">
        <v>95</v>
      </c>
      <c r="G413" s="468">
        <f>'Ref-2013CSSsaturationsINT'!$F$156</f>
        <v>0.13152247851085813</v>
      </c>
      <c r="H413" s="465" t="s">
        <v>66</v>
      </c>
      <c r="I413" s="469">
        <f>'Ref-2013CSSsaturationsINT'!$J$156</f>
        <v>1</v>
      </c>
      <c r="J413" s="465" t="s">
        <v>25</v>
      </c>
      <c r="K413" s="465" t="s">
        <v>1035</v>
      </c>
      <c r="L413" s="465" t="s">
        <v>95</v>
      </c>
      <c r="M413" s="465" t="s">
        <v>93</v>
      </c>
      <c r="N413" s="349" t="s">
        <v>1049</v>
      </c>
      <c r="O413" s="470" t="s">
        <v>870</v>
      </c>
      <c r="P413" s="349" t="str">
        <f>rMarketSolutions[[#This Row],[Lighting Savings
(lamp and/or ballast)]]</f>
        <v>No Change</v>
      </c>
      <c r="Q413" s="470" t="s">
        <v>870</v>
      </c>
      <c r="R413" s="37"/>
      <c r="S413" s="344" t="s">
        <v>870</v>
      </c>
      <c r="T413" s="344" t="s">
        <v>870</v>
      </c>
      <c r="U413" s="344" t="s">
        <v>870</v>
      </c>
      <c r="V413" s="344" t="s">
        <v>870</v>
      </c>
      <c r="W413" s="344" t="s">
        <v>76</v>
      </c>
      <c r="X413" s="37"/>
      <c r="Y413" s="37"/>
      <c r="Z413" s="465" t="s">
        <v>78</v>
      </c>
      <c r="AA413" s="465" t="s">
        <v>78</v>
      </c>
      <c r="AB413" s="37"/>
      <c r="AC413" s="474">
        <f>'Ref-ComHOU'!$G$85</f>
        <v>13.287671232876711</v>
      </c>
      <c r="AD413" s="470" t="s">
        <v>72</v>
      </c>
      <c r="AE413" s="465" t="s">
        <v>73</v>
      </c>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c r="CA413" s="393"/>
      <c r="CB413" s="393"/>
      <c r="CC413" s="393"/>
      <c r="CD413" s="393"/>
      <c r="CE413" s="393"/>
      <c r="CF413" s="393"/>
      <c r="CG413" s="393"/>
      <c r="CH413" s="393"/>
      <c r="CI413" s="393"/>
      <c r="CJ413" s="390"/>
      <c r="CK413" s="390"/>
      <c r="CL413" s="390"/>
      <c r="CM413" s="390"/>
      <c r="CN413" s="390"/>
      <c r="CO413" s="390"/>
      <c r="CP413" s="390"/>
      <c r="CQ413" s="390"/>
      <c r="CR413" s="390"/>
      <c r="CS413" s="390"/>
      <c r="CT413" s="390"/>
      <c r="CU413" s="390"/>
      <c r="CV413" s="390"/>
      <c r="CW413" s="390"/>
      <c r="CX413" s="390"/>
      <c r="CY413" s="390"/>
      <c r="CZ413" s="390"/>
      <c r="DA413" s="390"/>
      <c r="DB413" s="390"/>
      <c r="DC413" s="390"/>
    </row>
    <row r="414" spans="1:107" s="317" customFormat="1" ht="24">
      <c r="A414" s="37"/>
      <c r="B414" s="464" t="s">
        <v>23</v>
      </c>
      <c r="C414" s="465" t="s">
        <v>502</v>
      </c>
      <c r="D414" s="348" t="s">
        <v>1224</v>
      </c>
      <c r="E414" s="467">
        <f>'Ref-ComSources'!$AB$11*'Ref-ComSources'!$E$230</f>
        <v>36.33310217997353</v>
      </c>
      <c r="F414" s="465" t="s">
        <v>24</v>
      </c>
      <c r="G414" s="468">
        <f>'Ref-2013CSSsaturationsINT'!$F$157</f>
        <v>0.39377364971583301</v>
      </c>
      <c r="H414" s="465" t="s">
        <v>66</v>
      </c>
      <c r="I414" s="469">
        <f>'Ref-2013CSSsaturationsINT'!$J$157</f>
        <v>0.60622635028416694</v>
      </c>
      <c r="J414" s="465" t="s">
        <v>25</v>
      </c>
      <c r="K414" s="465" t="s">
        <v>1035</v>
      </c>
      <c r="L414" s="465" t="s">
        <v>95</v>
      </c>
      <c r="M414" s="465" t="s">
        <v>88</v>
      </c>
      <c r="N414" s="470">
        <f>E414*G414*'Ref-Savings Calculations'!$E$7*Applicability</f>
        <v>2.6412956770904246</v>
      </c>
      <c r="O414" s="470" t="s">
        <v>870</v>
      </c>
      <c r="P414" s="349">
        <f>rMarketSolutions[[#This Row],[Lighting Savings
(lamp and/or ballast)]]</f>
        <v>2.6412956770904246</v>
      </c>
      <c r="Q414" s="470" t="s">
        <v>870</v>
      </c>
      <c r="R414" s="37"/>
      <c r="S414" s="465" t="s">
        <v>44</v>
      </c>
      <c r="T414" s="344" t="s">
        <v>63</v>
      </c>
      <c r="U414" s="344" t="s">
        <v>870</v>
      </c>
      <c r="V414" s="344" t="s">
        <v>870</v>
      </c>
      <c r="W414" s="344" t="s">
        <v>76</v>
      </c>
      <c r="X414" s="37"/>
      <c r="Y414" s="37"/>
      <c r="Z414" s="465" t="s">
        <v>78</v>
      </c>
      <c r="AA414" s="465" t="s">
        <v>78</v>
      </c>
      <c r="AB414" s="37"/>
      <c r="AC414" s="474">
        <f>'Ref-ComHOU'!$G$85</f>
        <v>13.287671232876711</v>
      </c>
      <c r="AD414" s="470" t="s">
        <v>72</v>
      </c>
      <c r="AE414" s="465" t="s">
        <v>73</v>
      </c>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c r="CA414" s="393"/>
      <c r="CB414" s="393"/>
      <c r="CC414" s="393"/>
      <c r="CD414" s="393"/>
      <c r="CE414" s="393"/>
      <c r="CF414" s="393"/>
      <c r="CG414" s="393"/>
      <c r="CH414" s="393"/>
      <c r="CI414" s="393"/>
      <c r="CJ414" s="390"/>
      <c r="CK414" s="390"/>
      <c r="CL414" s="390"/>
      <c r="CM414" s="390"/>
      <c r="CN414" s="390"/>
      <c r="CO414" s="390"/>
      <c r="CP414" s="390"/>
      <c r="CQ414" s="390"/>
      <c r="CR414" s="390"/>
      <c r="CS414" s="390"/>
      <c r="CT414" s="390"/>
      <c r="CU414" s="390"/>
      <c r="CV414" s="390"/>
      <c r="CW414" s="390"/>
      <c r="CX414" s="390"/>
      <c r="CY414" s="390"/>
      <c r="CZ414" s="390"/>
      <c r="DA414" s="390"/>
      <c r="DB414" s="390"/>
      <c r="DC414" s="390"/>
    </row>
    <row r="415" spans="1:107" s="317" customFormat="1" ht="24">
      <c r="A415" s="37"/>
      <c r="B415" s="464" t="s">
        <v>23</v>
      </c>
      <c r="C415" s="465" t="s">
        <v>502</v>
      </c>
      <c r="D415" s="348" t="s">
        <v>1224</v>
      </c>
      <c r="E415" s="467">
        <f>'Ref-ComSources'!$AB$11*'Ref-ComSources'!$E$230</f>
        <v>36.33310217997353</v>
      </c>
      <c r="F415" s="465" t="s">
        <v>24</v>
      </c>
      <c r="G415" s="468">
        <f>'Ref-2013CSSsaturationsINT'!$F$157</f>
        <v>0.39377364971583301</v>
      </c>
      <c r="H415" s="465" t="s">
        <v>66</v>
      </c>
      <c r="I415" s="469">
        <f>'Ref-2013CSSsaturationsINT'!$J$157</f>
        <v>0.60622635028416694</v>
      </c>
      <c r="J415" s="465" t="s">
        <v>25</v>
      </c>
      <c r="K415" s="465" t="s">
        <v>1035</v>
      </c>
      <c r="L415" s="465" t="s">
        <v>95</v>
      </c>
      <c r="M415" s="465" t="s">
        <v>90</v>
      </c>
      <c r="N415" s="470">
        <f>E415*G415*'Ref-Savings Calculations'!$E$7*Applicability</f>
        <v>2.6412956770904246</v>
      </c>
      <c r="O415" s="470" t="s">
        <v>870</v>
      </c>
      <c r="P415" s="349">
        <f>rMarketSolutions[[#This Row],[Lighting Savings
(lamp and/or ballast)]]</f>
        <v>2.6412956770904246</v>
      </c>
      <c r="Q415" s="470" t="s">
        <v>870</v>
      </c>
      <c r="R415" s="37"/>
      <c r="S415" s="465" t="s">
        <v>44</v>
      </c>
      <c r="T415" s="344" t="s">
        <v>63</v>
      </c>
      <c r="U415" s="344" t="s">
        <v>870</v>
      </c>
      <c r="V415" s="344" t="s">
        <v>870</v>
      </c>
      <c r="W415" s="344" t="s">
        <v>76</v>
      </c>
      <c r="X415" s="37"/>
      <c r="Y415" s="37"/>
      <c r="Z415" s="465" t="s">
        <v>78</v>
      </c>
      <c r="AA415" s="465" t="s">
        <v>78</v>
      </c>
      <c r="AB415" s="37"/>
      <c r="AC415" s="474">
        <f>'Ref-ComHOU'!$G$85</f>
        <v>13.287671232876711</v>
      </c>
      <c r="AD415" s="470" t="s">
        <v>72</v>
      </c>
      <c r="AE415" s="465" t="s">
        <v>73</v>
      </c>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c r="CA415" s="393"/>
      <c r="CB415" s="393"/>
      <c r="CC415" s="393"/>
      <c r="CD415" s="393"/>
      <c r="CE415" s="393"/>
      <c r="CF415" s="393"/>
      <c r="CG415" s="393"/>
      <c r="CH415" s="393"/>
      <c r="CI415" s="393"/>
      <c r="CJ415" s="390"/>
      <c r="CK415" s="390"/>
      <c r="CL415" s="390"/>
      <c r="CM415" s="390"/>
      <c r="CN415" s="390"/>
      <c r="CO415" s="390"/>
      <c r="CP415" s="390"/>
      <c r="CQ415" s="390"/>
      <c r="CR415" s="390"/>
      <c r="CS415" s="390"/>
      <c r="CT415" s="390"/>
      <c r="CU415" s="390"/>
      <c r="CV415" s="390"/>
      <c r="CW415" s="390"/>
      <c r="CX415" s="390"/>
      <c r="CY415" s="390"/>
      <c r="CZ415" s="390"/>
      <c r="DA415" s="390"/>
      <c r="DB415" s="390"/>
      <c r="DC415" s="390"/>
    </row>
    <row r="416" spans="1:107" s="317" customFormat="1" ht="24">
      <c r="A416" s="37"/>
      <c r="B416" s="464" t="s">
        <v>23</v>
      </c>
      <c r="C416" s="465" t="s">
        <v>502</v>
      </c>
      <c r="D416" s="348" t="s">
        <v>1224</v>
      </c>
      <c r="E416" s="467">
        <f>'Ref-ComSources'!$AB$11*'Ref-ComSources'!$E$230</f>
        <v>36.33310217997353</v>
      </c>
      <c r="F416" s="465" t="s">
        <v>24</v>
      </c>
      <c r="G416" s="468">
        <f>'Ref-2013CSSsaturationsINT'!$F$157</f>
        <v>0.39377364971583301</v>
      </c>
      <c r="H416" s="465" t="s">
        <v>66</v>
      </c>
      <c r="I416" s="469">
        <f>'Ref-2013CSSsaturationsINT'!$J$157</f>
        <v>0.60622635028416694</v>
      </c>
      <c r="J416" s="465" t="s">
        <v>25</v>
      </c>
      <c r="K416" s="465" t="s">
        <v>1035</v>
      </c>
      <c r="L416" s="465" t="s">
        <v>95</v>
      </c>
      <c r="M416" s="465" t="s">
        <v>91</v>
      </c>
      <c r="N416" s="470">
        <f>E416*G416*'Ref-Savings Calculations'!$E$7*Applicability</f>
        <v>2.6412956770904246</v>
      </c>
      <c r="O416" s="470" t="s">
        <v>870</v>
      </c>
      <c r="P416" s="349">
        <f>rMarketSolutions[[#This Row],[Lighting Savings
(lamp and/or ballast)]]</f>
        <v>2.6412956770904246</v>
      </c>
      <c r="Q416" s="470" t="s">
        <v>870</v>
      </c>
      <c r="R416" s="37"/>
      <c r="S416" s="465" t="s">
        <v>44</v>
      </c>
      <c r="T416" s="344" t="s">
        <v>63</v>
      </c>
      <c r="U416" s="344" t="s">
        <v>870</v>
      </c>
      <c r="V416" s="344" t="s">
        <v>870</v>
      </c>
      <c r="W416" s="344" t="s">
        <v>76</v>
      </c>
      <c r="X416" s="37"/>
      <c r="Y416" s="37"/>
      <c r="Z416" s="465" t="s">
        <v>78</v>
      </c>
      <c r="AA416" s="465" t="s">
        <v>78</v>
      </c>
      <c r="AB416" s="37"/>
      <c r="AC416" s="474">
        <f>'Ref-ComHOU'!$G$85</f>
        <v>13.287671232876711</v>
      </c>
      <c r="AD416" s="470" t="s">
        <v>72</v>
      </c>
      <c r="AE416" s="465" t="s">
        <v>73</v>
      </c>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c r="CA416" s="393"/>
      <c r="CB416" s="393"/>
      <c r="CC416" s="393"/>
      <c r="CD416" s="393"/>
      <c r="CE416" s="393"/>
      <c r="CF416" s="393"/>
      <c r="CG416" s="393"/>
      <c r="CH416" s="393"/>
      <c r="CI416" s="393"/>
      <c r="CJ416" s="390"/>
      <c r="CK416" s="390"/>
      <c r="CL416" s="390"/>
      <c r="CM416" s="390"/>
      <c r="CN416" s="390"/>
      <c r="CO416" s="390"/>
      <c r="CP416" s="390"/>
      <c r="CQ416" s="390"/>
      <c r="CR416" s="390"/>
      <c r="CS416" s="390"/>
      <c r="CT416" s="390"/>
      <c r="CU416" s="390"/>
      <c r="CV416" s="390"/>
      <c r="CW416" s="390"/>
      <c r="CX416" s="390"/>
      <c r="CY416" s="390"/>
      <c r="CZ416" s="390"/>
      <c r="DA416" s="390"/>
      <c r="DB416" s="390"/>
      <c r="DC416" s="390"/>
    </row>
    <row r="417" spans="1:107" s="317" customFormat="1" ht="24">
      <c r="A417" s="37"/>
      <c r="B417" s="464" t="s">
        <v>23</v>
      </c>
      <c r="C417" s="465" t="s">
        <v>502</v>
      </c>
      <c r="D417" s="348" t="s">
        <v>1224</v>
      </c>
      <c r="E417" s="467">
        <f>'Ref-ComSources'!$AB$11*'Ref-ComSources'!$E$230</f>
        <v>36.33310217997353</v>
      </c>
      <c r="F417" s="465" t="s">
        <v>24</v>
      </c>
      <c r="G417" s="468">
        <f>'Ref-2013CSSsaturationsINT'!$F$157</f>
        <v>0.39377364971583301</v>
      </c>
      <c r="H417" s="465" t="s">
        <v>66</v>
      </c>
      <c r="I417" s="469">
        <f>'Ref-2013CSSsaturationsINT'!$J$157</f>
        <v>0.60622635028416694</v>
      </c>
      <c r="J417" s="465" t="s">
        <v>25</v>
      </c>
      <c r="K417" s="465" t="s">
        <v>1035</v>
      </c>
      <c r="L417" s="465" t="s">
        <v>95</v>
      </c>
      <c r="M417" s="465" t="s">
        <v>92</v>
      </c>
      <c r="N417" s="470">
        <f>E417*G417*'Ref-Savings Calculations'!$E$7*Applicability</f>
        <v>2.6412956770904246</v>
      </c>
      <c r="O417" s="470">
        <f>E417*G417*'Ref-Savings Calculations'!$C$99*Applicability*ControlShare</f>
        <v>2.4979079398164457</v>
      </c>
      <c r="P417" s="349">
        <f>rMarketSolutions[[#This Row],[Lighting Savings
(lamp and/or ballast)]]</f>
        <v>2.6412956770904246</v>
      </c>
      <c r="Q417" s="470">
        <f>E417*G417*'Ref-Savings Calculations'!$C$99*Applicability*ControlShare</f>
        <v>2.4979079398164457</v>
      </c>
      <c r="R417" s="37"/>
      <c r="S417" s="465" t="s">
        <v>44</v>
      </c>
      <c r="T417" s="344" t="s">
        <v>63</v>
      </c>
      <c r="U417" s="465" t="s">
        <v>69</v>
      </c>
      <c r="V417" s="465" t="s">
        <v>69</v>
      </c>
      <c r="W417" s="344" t="s">
        <v>76</v>
      </c>
      <c r="X417" s="37"/>
      <c r="Y417" s="37"/>
      <c r="Z417" s="465" t="s">
        <v>78</v>
      </c>
      <c r="AA417" s="465" t="s">
        <v>78</v>
      </c>
      <c r="AB417" s="37"/>
      <c r="AC417" s="474">
        <f>'Ref-ComHOU'!$G$85</f>
        <v>13.287671232876711</v>
      </c>
      <c r="AD417" s="470" t="s">
        <v>72</v>
      </c>
      <c r="AE417" s="465" t="s">
        <v>73</v>
      </c>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c r="CA417" s="393"/>
      <c r="CB417" s="393"/>
      <c r="CC417" s="393"/>
      <c r="CD417" s="393"/>
      <c r="CE417" s="393"/>
      <c r="CF417" s="393"/>
      <c r="CG417" s="393"/>
      <c r="CH417" s="393"/>
      <c r="CI417" s="393"/>
      <c r="CJ417" s="390"/>
      <c r="CK417" s="390"/>
      <c r="CL417" s="390"/>
      <c r="CM417" s="390"/>
      <c r="CN417" s="390"/>
      <c r="CO417" s="390"/>
      <c r="CP417" s="390"/>
      <c r="CQ417" s="390"/>
      <c r="CR417" s="390"/>
      <c r="CS417" s="390"/>
      <c r="CT417" s="390"/>
      <c r="CU417" s="390"/>
      <c r="CV417" s="390"/>
      <c r="CW417" s="390"/>
      <c r="CX417" s="390"/>
      <c r="CY417" s="390"/>
      <c r="CZ417" s="390"/>
      <c r="DA417" s="390"/>
      <c r="DB417" s="390"/>
      <c r="DC417" s="390"/>
    </row>
    <row r="418" spans="1:107" s="317" customFormat="1" ht="24">
      <c r="A418" s="37"/>
      <c r="B418" s="464" t="s">
        <v>23</v>
      </c>
      <c r="C418" s="465" t="s">
        <v>502</v>
      </c>
      <c r="D418" s="348" t="s">
        <v>1224</v>
      </c>
      <c r="E418" s="467">
        <f>'Ref-ComSources'!$AB$11*'Ref-ComSources'!$E$230</f>
        <v>36.33310217997353</v>
      </c>
      <c r="F418" s="465" t="s">
        <v>24</v>
      </c>
      <c r="G418" s="468">
        <f>'Ref-2013CSSsaturationsINT'!$F$157</f>
        <v>0.39377364971583301</v>
      </c>
      <c r="H418" s="465" t="s">
        <v>66</v>
      </c>
      <c r="I418" s="469">
        <f>'Ref-2013CSSsaturationsINT'!$J$157</f>
        <v>0.60622635028416694</v>
      </c>
      <c r="J418" s="465" t="s">
        <v>25</v>
      </c>
      <c r="K418" s="465" t="s">
        <v>1035</v>
      </c>
      <c r="L418" s="465" t="s">
        <v>95</v>
      </c>
      <c r="M418" s="465" t="s">
        <v>93</v>
      </c>
      <c r="N418" s="470">
        <f>E418*G418*'Ref-Savings Calculations'!$E$7*Applicability</f>
        <v>2.6412956770904246</v>
      </c>
      <c r="O418" s="470" t="s">
        <v>870</v>
      </c>
      <c r="P418" s="349">
        <f>rMarketSolutions[[#This Row],[Lighting Savings
(lamp and/or ballast)]]</f>
        <v>2.6412956770904246</v>
      </c>
      <c r="Q418" s="470" t="s">
        <v>870</v>
      </c>
      <c r="R418" s="37"/>
      <c r="S418" s="465" t="s">
        <v>44</v>
      </c>
      <c r="T418" s="344" t="s">
        <v>63</v>
      </c>
      <c r="U418" s="344" t="s">
        <v>870</v>
      </c>
      <c r="V418" s="344" t="s">
        <v>870</v>
      </c>
      <c r="W418" s="344" t="s">
        <v>76</v>
      </c>
      <c r="X418" s="37"/>
      <c r="Y418" s="37"/>
      <c r="Z418" s="465" t="s">
        <v>78</v>
      </c>
      <c r="AA418" s="465" t="s">
        <v>78</v>
      </c>
      <c r="AB418" s="37"/>
      <c r="AC418" s="474">
        <f>'Ref-ComHOU'!$G$85</f>
        <v>13.287671232876711</v>
      </c>
      <c r="AD418" s="470" t="s">
        <v>72</v>
      </c>
      <c r="AE418" s="465" t="s">
        <v>73</v>
      </c>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c r="CA418" s="393"/>
      <c r="CB418" s="393"/>
      <c r="CC418" s="393"/>
      <c r="CD418" s="393"/>
      <c r="CE418" s="393"/>
      <c r="CF418" s="393"/>
      <c r="CG418" s="393"/>
      <c r="CH418" s="393"/>
      <c r="CI418" s="393"/>
      <c r="CJ418" s="390"/>
      <c r="CK418" s="390"/>
      <c r="CL418" s="390"/>
      <c r="CM418" s="390"/>
      <c r="CN418" s="390"/>
      <c r="CO418" s="390"/>
      <c r="CP418" s="390"/>
      <c r="CQ418" s="390"/>
      <c r="CR418" s="390"/>
      <c r="CS418" s="390"/>
      <c r="CT418" s="390"/>
      <c r="CU418" s="390"/>
      <c r="CV418" s="390"/>
      <c r="CW418" s="390"/>
      <c r="CX418" s="390"/>
      <c r="CY418" s="390"/>
      <c r="CZ418" s="390"/>
      <c r="DA418" s="390"/>
      <c r="DB418" s="390"/>
      <c r="DC418" s="390"/>
    </row>
    <row r="419" spans="1:107" s="303" customFormat="1" ht="56.25">
      <c r="A419" s="37"/>
      <c r="B419" s="318" t="s">
        <v>23</v>
      </c>
      <c r="C419" s="329" t="s">
        <v>105</v>
      </c>
      <c r="D419" s="329" t="s">
        <v>1220</v>
      </c>
      <c r="E419" s="330">
        <f>'Ref-ComSources'!$AB$17*'Ref-ComSources'!$I$174</f>
        <v>812.7364084091281</v>
      </c>
      <c r="F419" s="329" t="s">
        <v>27</v>
      </c>
      <c r="G419" s="326">
        <f>'Ref-ComSources'!$D$58/SUM('Ref-ComSources'!$D$58:$E$58)</f>
        <v>0.91322314049586784</v>
      </c>
      <c r="H419" s="329" t="s">
        <v>66</v>
      </c>
      <c r="I419" s="385">
        <f>'Ref-BaselineControls'!$J$14</f>
        <v>0.83</v>
      </c>
      <c r="J419" s="329" t="s">
        <v>1097</v>
      </c>
      <c r="K419" s="329" t="s">
        <v>1040</v>
      </c>
      <c r="L419" s="329" t="s">
        <v>960</v>
      </c>
      <c r="M419" s="329" t="s">
        <v>88</v>
      </c>
      <c r="N419" s="327">
        <f>E419*G419*'Ref-Savings Calculations'!$E$33*Applicability</f>
        <v>109.61866268790889</v>
      </c>
      <c r="O419" s="327">
        <f>E419*G419*'Ref-Savings Calculations'!$C$54*Applicability*ControlShare</f>
        <v>118.27853704025364</v>
      </c>
      <c r="P419" s="327">
        <f>E419*G419*'Ref-Savings Calculations'!$E$34*Applicability</f>
        <v>95.002840996187672</v>
      </c>
      <c r="Q419" s="327">
        <f>E419*G419*('Ref-Savings Calculations'!$C$54-'Ref-Savings Calculations'!$C$124)*Applicability*ControlShare</f>
        <v>19.713089506708933</v>
      </c>
      <c r="R419" s="37"/>
      <c r="S419" s="328" t="s">
        <v>69</v>
      </c>
      <c r="T419" s="328" t="s">
        <v>69</v>
      </c>
      <c r="U419" s="328" t="s">
        <v>69</v>
      </c>
      <c r="V419" s="328" t="s">
        <v>69</v>
      </c>
      <c r="W419" s="328" t="s">
        <v>76</v>
      </c>
      <c r="X419" s="37"/>
      <c r="Y419" s="37"/>
      <c r="Z419" s="328" t="s">
        <v>78</v>
      </c>
      <c r="AA419" s="328" t="s">
        <v>78</v>
      </c>
      <c r="AB419" s="37"/>
      <c r="AC419" s="331">
        <f>'Ref-ComHOU'!$G$22</f>
        <v>6.9095890410958898</v>
      </c>
      <c r="AD419" s="331" t="s">
        <v>72</v>
      </c>
      <c r="AE419" s="328" t="s">
        <v>73</v>
      </c>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c r="CA419" s="393"/>
      <c r="CB419" s="393"/>
      <c r="CC419" s="393"/>
      <c r="CD419" s="393"/>
      <c r="CE419" s="393"/>
      <c r="CF419" s="393"/>
      <c r="CG419" s="393"/>
      <c r="CH419" s="393"/>
      <c r="CI419" s="393"/>
      <c r="CJ419" s="390"/>
      <c r="CK419" s="390"/>
      <c r="CL419" s="390"/>
      <c r="CM419" s="390"/>
      <c r="CN419" s="390"/>
      <c r="CO419" s="390"/>
      <c r="CP419" s="390"/>
      <c r="CQ419" s="390"/>
      <c r="CR419" s="390"/>
      <c r="CS419" s="390"/>
      <c r="CT419" s="390"/>
      <c r="CU419" s="390"/>
      <c r="CV419" s="390"/>
      <c r="CW419" s="390"/>
      <c r="CX419" s="390"/>
      <c r="CY419" s="390"/>
      <c r="CZ419" s="390"/>
      <c r="DA419" s="390"/>
      <c r="DB419" s="390"/>
      <c r="DC419" s="390"/>
    </row>
    <row r="420" spans="1:107" s="303" customFormat="1" ht="56.25">
      <c r="A420" s="37"/>
      <c r="B420" s="318" t="s">
        <v>23</v>
      </c>
      <c r="C420" s="329" t="s">
        <v>105</v>
      </c>
      <c r="D420" s="329" t="s">
        <v>1220</v>
      </c>
      <c r="E420" s="330">
        <f>'Ref-ComSources'!$AB$17*'Ref-ComSources'!$I$174</f>
        <v>812.7364084091281</v>
      </c>
      <c r="F420" s="329" t="s">
        <v>27</v>
      </c>
      <c r="G420" s="326">
        <f>'Ref-ComSources'!$D$58/SUM('Ref-ComSources'!$D$58:$E$58)</f>
        <v>0.91322314049586784</v>
      </c>
      <c r="H420" s="329" t="s">
        <v>66</v>
      </c>
      <c r="I420" s="385">
        <f>'Ref-BaselineControls'!$J$14</f>
        <v>0.83</v>
      </c>
      <c r="J420" s="329" t="s">
        <v>1097</v>
      </c>
      <c r="K420" s="329" t="s">
        <v>1040</v>
      </c>
      <c r="L420" s="329" t="s">
        <v>960</v>
      </c>
      <c r="M420" s="329" t="s">
        <v>90</v>
      </c>
      <c r="N420" s="327">
        <f>E420*G420*'Ref-Savings Calculations'!$E$33*Applicability</f>
        <v>109.61866268790889</v>
      </c>
      <c r="O420" s="327">
        <f>E420*G420*'Ref-Savings Calculations'!$C$77*Applicability*ControlShare</f>
        <v>137.99162654696264</v>
      </c>
      <c r="P420" s="327">
        <f>E420*G420*'Ref-Savings Calculations'!$E$34*Applicability</f>
        <v>95.002840996187672</v>
      </c>
      <c r="Q420" s="327">
        <f>E420*G420*('Ref-Savings Calculations'!$C$77-'Ref-Savings Calculations'!$C$124)*Applicability*ControlShare</f>
        <v>39.426179013417894</v>
      </c>
      <c r="R420" s="37"/>
      <c r="S420" s="328" t="s">
        <v>69</v>
      </c>
      <c r="T420" s="328" t="s">
        <v>69</v>
      </c>
      <c r="U420" s="328" t="s">
        <v>69</v>
      </c>
      <c r="V420" s="328" t="s">
        <v>69</v>
      </c>
      <c r="W420" s="328" t="s">
        <v>76</v>
      </c>
      <c r="X420" s="37"/>
      <c r="Y420" s="37"/>
      <c r="Z420" s="328" t="s">
        <v>78</v>
      </c>
      <c r="AA420" s="328" t="s">
        <v>78</v>
      </c>
      <c r="AB420" s="37"/>
      <c r="AC420" s="331">
        <f>'Ref-ComHOU'!$G$22</f>
        <v>6.9095890410958898</v>
      </c>
      <c r="AD420" s="331" t="s">
        <v>72</v>
      </c>
      <c r="AE420" s="328" t="s">
        <v>73</v>
      </c>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c r="CA420" s="393"/>
      <c r="CB420" s="393"/>
      <c r="CC420" s="393"/>
      <c r="CD420" s="393"/>
      <c r="CE420" s="393"/>
      <c r="CF420" s="393"/>
      <c r="CG420" s="393"/>
      <c r="CH420" s="393"/>
      <c r="CI420" s="393"/>
      <c r="CJ420" s="390"/>
      <c r="CK420" s="390"/>
      <c r="CL420" s="390"/>
      <c r="CM420" s="390"/>
      <c r="CN420" s="390"/>
      <c r="CO420" s="390"/>
      <c r="CP420" s="390"/>
      <c r="CQ420" s="390"/>
      <c r="CR420" s="390"/>
      <c r="CS420" s="390"/>
      <c r="CT420" s="390"/>
      <c r="CU420" s="390"/>
      <c r="CV420" s="390"/>
      <c r="CW420" s="390"/>
      <c r="CX420" s="390"/>
      <c r="CY420" s="390"/>
      <c r="CZ420" s="390"/>
      <c r="DA420" s="390"/>
      <c r="DB420" s="390"/>
      <c r="DC420" s="390"/>
    </row>
    <row r="421" spans="1:107" s="303" customFormat="1" ht="56.25">
      <c r="A421" s="37"/>
      <c r="B421" s="318" t="s">
        <v>23</v>
      </c>
      <c r="C421" s="329" t="s">
        <v>105</v>
      </c>
      <c r="D421" s="329" t="s">
        <v>1220</v>
      </c>
      <c r="E421" s="330">
        <f>'Ref-ComSources'!$AB$17*'Ref-ComSources'!$I$174</f>
        <v>812.7364084091281</v>
      </c>
      <c r="F421" s="329" t="s">
        <v>27</v>
      </c>
      <c r="G421" s="326">
        <f>'Ref-ComSources'!$D$58/SUM('Ref-ComSources'!$D$58:$E$58)</f>
        <v>0.91322314049586784</v>
      </c>
      <c r="H421" s="329" t="s">
        <v>66</v>
      </c>
      <c r="I421" s="385">
        <f>'Ref-BaselineControls'!$J$14</f>
        <v>0.83</v>
      </c>
      <c r="J421" s="329" t="s">
        <v>1097</v>
      </c>
      <c r="K421" s="329" t="s">
        <v>1040</v>
      </c>
      <c r="L421" s="329" t="s">
        <v>960</v>
      </c>
      <c r="M421" s="329" t="s">
        <v>91</v>
      </c>
      <c r="N421" s="327">
        <f>E421*G421*'Ref-Savings Calculations'!$E$33*Applicability</f>
        <v>109.61866268790889</v>
      </c>
      <c r="O421" s="327">
        <f>E421*G421*'Ref-Savings Calculations'!$C$89*Applicability*ControlShare</f>
        <v>152.77644367699432</v>
      </c>
      <c r="P421" s="327">
        <f>E421*G421*'Ref-Savings Calculations'!$E$34*Applicability</f>
        <v>95.002840996187672</v>
      </c>
      <c r="Q421" s="327">
        <f>E421*G421*('Ref-Savings Calculations'!$C$89-'Ref-Savings Calculations'!$C$124)*Applicability*ControlShare</f>
        <v>54.210996143449577</v>
      </c>
      <c r="R421" s="37"/>
      <c r="S421" s="328" t="s">
        <v>69</v>
      </c>
      <c r="T421" s="328" t="s">
        <v>69</v>
      </c>
      <c r="U421" s="328" t="s">
        <v>69</v>
      </c>
      <c r="V421" s="328" t="s">
        <v>69</v>
      </c>
      <c r="W421" s="328" t="s">
        <v>76</v>
      </c>
      <c r="X421" s="37"/>
      <c r="Y421" s="37"/>
      <c r="Z421" s="328" t="s">
        <v>78</v>
      </c>
      <c r="AA421" s="328" t="s">
        <v>78</v>
      </c>
      <c r="AB421" s="37"/>
      <c r="AC421" s="331">
        <f>'Ref-ComHOU'!$G$22</f>
        <v>6.9095890410958898</v>
      </c>
      <c r="AD421" s="331" t="s">
        <v>72</v>
      </c>
      <c r="AE421" s="328" t="s">
        <v>73</v>
      </c>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c r="CA421" s="393"/>
      <c r="CB421" s="393"/>
      <c r="CC421" s="393"/>
      <c r="CD421" s="393"/>
      <c r="CE421" s="393"/>
      <c r="CF421" s="393"/>
      <c r="CG421" s="393"/>
      <c r="CH421" s="393"/>
      <c r="CI421" s="393"/>
      <c r="CJ421" s="390"/>
      <c r="CK421" s="390"/>
      <c r="CL421" s="390"/>
      <c r="CM421" s="390"/>
      <c r="CN421" s="390"/>
      <c r="CO421" s="390"/>
      <c r="CP421" s="390"/>
      <c r="CQ421" s="390"/>
      <c r="CR421" s="390"/>
      <c r="CS421" s="390"/>
      <c r="CT421" s="390"/>
      <c r="CU421" s="390"/>
      <c r="CV421" s="390"/>
      <c r="CW421" s="390"/>
      <c r="CX421" s="390"/>
      <c r="CY421" s="390"/>
      <c r="CZ421" s="390"/>
      <c r="DA421" s="390"/>
      <c r="DB421" s="390"/>
      <c r="DC421" s="390"/>
    </row>
    <row r="422" spans="1:107" s="303" customFormat="1" ht="56.25">
      <c r="A422" s="37"/>
      <c r="B422" s="318" t="s">
        <v>23</v>
      </c>
      <c r="C422" s="329" t="s">
        <v>105</v>
      </c>
      <c r="D422" s="329" t="s">
        <v>1220</v>
      </c>
      <c r="E422" s="330">
        <f>'Ref-ComSources'!$AB$17*'Ref-ComSources'!$I$174</f>
        <v>812.7364084091281</v>
      </c>
      <c r="F422" s="329" t="s">
        <v>27</v>
      </c>
      <c r="G422" s="326">
        <f>'Ref-ComSources'!$D$58/SUM('Ref-ComSources'!$D$58:$E$58)</f>
        <v>0.91322314049586784</v>
      </c>
      <c r="H422" s="329" t="s">
        <v>66</v>
      </c>
      <c r="I422" s="385">
        <f>'Ref-BaselineControls'!$J$14</f>
        <v>0.83</v>
      </c>
      <c r="J422" s="329" t="s">
        <v>1097</v>
      </c>
      <c r="K422" s="329" t="s">
        <v>1040</v>
      </c>
      <c r="L422" s="329" t="s">
        <v>960</v>
      </c>
      <c r="M422" s="329" t="s">
        <v>92</v>
      </c>
      <c r="N422" s="327">
        <f>E422*G422*'Ref-Savings Calculations'!$E$33*Applicability</f>
        <v>109.61866268790889</v>
      </c>
      <c r="O422" s="327">
        <f>E422*G422*'Ref-Savings Calculations'!$C$99*Applicability*ControlShare</f>
        <v>177.41780556038051</v>
      </c>
      <c r="P422" s="327">
        <f>E422*G422*'Ref-Savings Calculations'!$E$34*Applicability</f>
        <v>95.002840996187672</v>
      </c>
      <c r="Q422" s="327">
        <f>E422*G422*('Ref-Savings Calculations'!$C$99-'Ref-Savings Calculations'!$C$124)*Applicability*ControlShare</f>
        <v>78.852358026835759</v>
      </c>
      <c r="R422" s="37"/>
      <c r="S422" s="328" t="s">
        <v>69</v>
      </c>
      <c r="T422" s="328" t="s">
        <v>69</v>
      </c>
      <c r="U422" s="328" t="s">
        <v>69</v>
      </c>
      <c r="V422" s="328" t="s">
        <v>69</v>
      </c>
      <c r="W422" s="328" t="s">
        <v>76</v>
      </c>
      <c r="X422" s="37"/>
      <c r="Y422" s="37"/>
      <c r="Z422" s="328" t="s">
        <v>78</v>
      </c>
      <c r="AA422" s="328" t="s">
        <v>78</v>
      </c>
      <c r="AB422" s="37"/>
      <c r="AC422" s="331">
        <f>'Ref-ComHOU'!$G$22</f>
        <v>6.9095890410958898</v>
      </c>
      <c r="AD422" s="331" t="s">
        <v>72</v>
      </c>
      <c r="AE422" s="328" t="s">
        <v>73</v>
      </c>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c r="CA422" s="393"/>
      <c r="CB422" s="393"/>
      <c r="CC422" s="393"/>
      <c r="CD422" s="393"/>
      <c r="CE422" s="393"/>
      <c r="CF422" s="393"/>
      <c r="CG422" s="393"/>
      <c r="CH422" s="393"/>
      <c r="CI422" s="393"/>
      <c r="CJ422" s="390"/>
      <c r="CK422" s="390"/>
      <c r="CL422" s="390"/>
      <c r="CM422" s="390"/>
      <c r="CN422" s="390"/>
      <c r="CO422" s="390"/>
      <c r="CP422" s="390"/>
      <c r="CQ422" s="390"/>
      <c r="CR422" s="390"/>
      <c r="CS422" s="390"/>
      <c r="CT422" s="390"/>
      <c r="CU422" s="390"/>
      <c r="CV422" s="390"/>
      <c r="CW422" s="390"/>
      <c r="CX422" s="390"/>
      <c r="CY422" s="390"/>
      <c r="CZ422" s="390"/>
      <c r="DA422" s="390"/>
      <c r="DB422" s="390"/>
      <c r="DC422" s="390"/>
    </row>
    <row r="423" spans="1:107" s="303" customFormat="1" ht="56.25">
      <c r="A423" s="37"/>
      <c r="B423" s="318" t="s">
        <v>23</v>
      </c>
      <c r="C423" s="329" t="s">
        <v>105</v>
      </c>
      <c r="D423" s="329" t="s">
        <v>1220</v>
      </c>
      <c r="E423" s="330">
        <f>'Ref-ComSources'!$AB$17*'Ref-ComSources'!$I$174</f>
        <v>812.7364084091281</v>
      </c>
      <c r="F423" s="329" t="s">
        <v>27</v>
      </c>
      <c r="G423" s="326">
        <f>'Ref-ComSources'!$D$58/SUM('Ref-ComSources'!$D$58:$E$58)</f>
        <v>0.91322314049586784</v>
      </c>
      <c r="H423" s="329" t="s">
        <v>66</v>
      </c>
      <c r="I423" s="385">
        <f>'Ref-BaselineControls'!$J$14</f>
        <v>0.83</v>
      </c>
      <c r="J423" s="329" t="s">
        <v>1097</v>
      </c>
      <c r="K423" s="329" t="s">
        <v>1040</v>
      </c>
      <c r="L423" s="329" t="s">
        <v>960</v>
      </c>
      <c r="M423" s="329" t="s">
        <v>93</v>
      </c>
      <c r="N423" s="327">
        <f>E423*G423*'Ref-Savings Calculations'!$E$33*Applicability</f>
        <v>109.61866268790889</v>
      </c>
      <c r="O423" s="327">
        <f>E423*G423*'Ref-Savings Calculations'!$C$109*Applicability*ControlShare</f>
        <v>187.27435031373497</v>
      </c>
      <c r="P423" s="327">
        <f>E423*G423*'Ref-Savings Calculations'!$E$34*Applicability</f>
        <v>95.002840996187672</v>
      </c>
      <c r="Q423" s="327">
        <f>E423*G423*('Ref-Savings Calculations'!$C$109-'Ref-Savings Calculations'!$C$124)*Applicability*ControlShare</f>
        <v>88.708902780190257</v>
      </c>
      <c r="R423" s="37"/>
      <c r="S423" s="328" t="s">
        <v>69</v>
      </c>
      <c r="T423" s="328" t="s">
        <v>69</v>
      </c>
      <c r="U423" s="328" t="s">
        <v>44</v>
      </c>
      <c r="V423" s="328" t="s">
        <v>75</v>
      </c>
      <c r="W423" s="328" t="s">
        <v>76</v>
      </c>
      <c r="X423" s="37"/>
      <c r="Y423" s="37"/>
      <c r="Z423" s="328" t="s">
        <v>78</v>
      </c>
      <c r="AA423" s="328" t="s">
        <v>78</v>
      </c>
      <c r="AB423" s="37"/>
      <c r="AC423" s="331">
        <f>'Ref-ComHOU'!$G$22</f>
        <v>6.9095890410958898</v>
      </c>
      <c r="AD423" s="331" t="s">
        <v>72</v>
      </c>
      <c r="AE423" s="328" t="s">
        <v>73</v>
      </c>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c r="CA423" s="393"/>
      <c r="CB423" s="393"/>
      <c r="CC423" s="393"/>
      <c r="CD423" s="393"/>
      <c r="CE423" s="393"/>
      <c r="CF423" s="393"/>
      <c r="CG423" s="393"/>
      <c r="CH423" s="393"/>
      <c r="CI423" s="393"/>
      <c r="CJ423" s="390"/>
      <c r="CK423" s="390"/>
      <c r="CL423" s="390"/>
      <c r="CM423" s="390"/>
      <c r="CN423" s="390"/>
      <c r="CO423" s="390"/>
      <c r="CP423" s="390"/>
      <c r="CQ423" s="390"/>
      <c r="CR423" s="390"/>
      <c r="CS423" s="390"/>
      <c r="CT423" s="390"/>
      <c r="CU423" s="390"/>
      <c r="CV423" s="390"/>
      <c r="CW423" s="390"/>
      <c r="CX423" s="390"/>
      <c r="CY423" s="390"/>
      <c r="CZ423" s="390"/>
      <c r="DA423" s="390"/>
      <c r="DB423" s="390"/>
      <c r="DC423" s="390"/>
    </row>
    <row r="424" spans="1:107" s="303" customFormat="1" ht="56.25">
      <c r="A424" s="37"/>
      <c r="B424" s="318" t="s">
        <v>23</v>
      </c>
      <c r="C424" s="329" t="s">
        <v>105</v>
      </c>
      <c r="D424" s="329" t="s">
        <v>1220</v>
      </c>
      <c r="E424" s="330">
        <f>'Ref-ComSources'!$AB$17*'Ref-ComSources'!$I$174</f>
        <v>812.7364084091281</v>
      </c>
      <c r="F424" s="329" t="s">
        <v>27</v>
      </c>
      <c r="G424" s="326">
        <f>'Ref-ComSources'!$D$58/SUM('Ref-ComSources'!$D$58:$E$58)</f>
        <v>0.91322314049586784</v>
      </c>
      <c r="H424" s="329" t="s">
        <v>66</v>
      </c>
      <c r="I424" s="385">
        <f>'Ref-BaselineControls'!$J$14</f>
        <v>0.83</v>
      </c>
      <c r="J424" s="329" t="s">
        <v>1097</v>
      </c>
      <c r="K424" s="329" t="s">
        <v>1040</v>
      </c>
      <c r="L424" s="329" t="s">
        <v>15</v>
      </c>
      <c r="M424" s="329" t="s">
        <v>88</v>
      </c>
      <c r="N424" s="327">
        <f>E424*G424*'Ref-Savings Calculations'!$E$39*Applicability</f>
        <v>151.97627093884191</v>
      </c>
      <c r="O424" s="327">
        <f>E424*G424*'Ref-Savings Calculations'!$C$54*Applicability*ControlShare</f>
        <v>118.27853704025364</v>
      </c>
      <c r="P424" s="327">
        <f>E424*G424*'Ref-Savings Calculations'!$E$40*Applicability</f>
        <v>129.88669667447536</v>
      </c>
      <c r="Q424" s="327">
        <f>E424*G424*('Ref-Savings Calculations'!$C$54-'Ref-Savings Calculations'!$C$124)*Applicability*ControlShare</f>
        <v>19.713089506708933</v>
      </c>
      <c r="R424" s="37"/>
      <c r="S424" s="328" t="s">
        <v>44</v>
      </c>
      <c r="T424" s="328" t="s">
        <v>63</v>
      </c>
      <c r="U424" s="328" t="s">
        <v>69</v>
      </c>
      <c r="V424" s="328" t="s">
        <v>69</v>
      </c>
      <c r="W424" s="328" t="s">
        <v>76</v>
      </c>
      <c r="X424" s="37"/>
      <c r="Y424" s="37"/>
      <c r="Z424" s="328" t="s">
        <v>78</v>
      </c>
      <c r="AA424" s="328" t="s">
        <v>78</v>
      </c>
      <c r="AB424" s="37"/>
      <c r="AC424" s="331">
        <f>'Ref-ComHOU'!$G$22</f>
        <v>6.9095890410958898</v>
      </c>
      <c r="AD424" s="331" t="s">
        <v>72</v>
      </c>
      <c r="AE424" s="328" t="s">
        <v>73</v>
      </c>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c r="CA424" s="393"/>
      <c r="CB424" s="393"/>
      <c r="CC424" s="393"/>
      <c r="CD424" s="393"/>
      <c r="CE424" s="393"/>
      <c r="CF424" s="393"/>
      <c r="CG424" s="393"/>
      <c r="CH424" s="393"/>
      <c r="CI424" s="393"/>
      <c r="CJ424" s="390"/>
      <c r="CK424" s="390"/>
      <c r="CL424" s="390"/>
      <c r="CM424" s="390"/>
      <c r="CN424" s="390"/>
      <c r="CO424" s="390"/>
      <c r="CP424" s="390"/>
      <c r="CQ424" s="390"/>
      <c r="CR424" s="390"/>
      <c r="CS424" s="390"/>
      <c r="CT424" s="390"/>
      <c r="CU424" s="390"/>
      <c r="CV424" s="390"/>
      <c r="CW424" s="390"/>
      <c r="CX424" s="390"/>
      <c r="CY424" s="390"/>
      <c r="CZ424" s="390"/>
      <c r="DA424" s="390"/>
      <c r="DB424" s="390"/>
      <c r="DC424" s="390"/>
    </row>
    <row r="425" spans="1:107" s="303" customFormat="1" ht="56.25">
      <c r="A425" s="37"/>
      <c r="B425" s="318" t="s">
        <v>23</v>
      </c>
      <c r="C425" s="329" t="s">
        <v>105</v>
      </c>
      <c r="D425" s="329" t="s">
        <v>1220</v>
      </c>
      <c r="E425" s="330">
        <f>'Ref-ComSources'!$AB$17*'Ref-ComSources'!$I$174</f>
        <v>812.7364084091281</v>
      </c>
      <c r="F425" s="329" t="s">
        <v>27</v>
      </c>
      <c r="G425" s="326">
        <f>'Ref-ComSources'!$D$58/SUM('Ref-ComSources'!$D$58:$E$58)</f>
        <v>0.91322314049586784</v>
      </c>
      <c r="H425" s="329" t="s">
        <v>66</v>
      </c>
      <c r="I425" s="385">
        <f>'Ref-BaselineControls'!$J$14</f>
        <v>0.83</v>
      </c>
      <c r="J425" s="329" t="s">
        <v>1097</v>
      </c>
      <c r="K425" s="329" t="s">
        <v>1040</v>
      </c>
      <c r="L425" s="329" t="s">
        <v>15</v>
      </c>
      <c r="M425" s="329" t="s">
        <v>90</v>
      </c>
      <c r="N425" s="327">
        <f>E425*G425*'Ref-Savings Calculations'!$E$39*Applicability</f>
        <v>151.97627093884191</v>
      </c>
      <c r="O425" s="327">
        <f>E425*G425*'Ref-Savings Calculations'!$C$77*Applicability*ControlShare</f>
        <v>137.99162654696264</v>
      </c>
      <c r="P425" s="327">
        <f>E425*G425*'Ref-Savings Calculations'!$E$40*Applicability</f>
        <v>129.88669667447536</v>
      </c>
      <c r="Q425" s="327">
        <f>E425*G425*('Ref-Savings Calculations'!$C$77-'Ref-Savings Calculations'!$C$124)*Applicability*ControlShare</f>
        <v>39.426179013417894</v>
      </c>
      <c r="R425" s="37"/>
      <c r="S425" s="328" t="s">
        <v>44</v>
      </c>
      <c r="T425" s="328" t="s">
        <v>63</v>
      </c>
      <c r="U425" s="328" t="s">
        <v>69</v>
      </c>
      <c r="V425" s="328" t="s">
        <v>69</v>
      </c>
      <c r="W425" s="328" t="s">
        <v>76</v>
      </c>
      <c r="X425" s="37"/>
      <c r="Y425" s="37"/>
      <c r="Z425" s="328" t="s">
        <v>78</v>
      </c>
      <c r="AA425" s="328" t="s">
        <v>78</v>
      </c>
      <c r="AB425" s="37"/>
      <c r="AC425" s="331">
        <f>'Ref-ComHOU'!$G$22</f>
        <v>6.9095890410958898</v>
      </c>
      <c r="AD425" s="331" t="s">
        <v>72</v>
      </c>
      <c r="AE425" s="328" t="s">
        <v>73</v>
      </c>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c r="CA425" s="393"/>
      <c r="CB425" s="393"/>
      <c r="CC425" s="393"/>
      <c r="CD425" s="393"/>
      <c r="CE425" s="393"/>
      <c r="CF425" s="393"/>
      <c r="CG425" s="393"/>
      <c r="CH425" s="393"/>
      <c r="CI425" s="393"/>
      <c r="CJ425" s="390"/>
      <c r="CK425" s="390"/>
      <c r="CL425" s="390"/>
      <c r="CM425" s="390"/>
      <c r="CN425" s="390"/>
      <c r="CO425" s="390"/>
      <c r="CP425" s="390"/>
      <c r="CQ425" s="390"/>
      <c r="CR425" s="390"/>
      <c r="CS425" s="390"/>
      <c r="CT425" s="390"/>
      <c r="CU425" s="390"/>
      <c r="CV425" s="390"/>
      <c r="CW425" s="390"/>
      <c r="CX425" s="390"/>
      <c r="CY425" s="390"/>
      <c r="CZ425" s="390"/>
      <c r="DA425" s="390"/>
      <c r="DB425" s="390"/>
      <c r="DC425" s="390"/>
    </row>
    <row r="426" spans="1:107" s="303" customFormat="1" ht="56.25">
      <c r="A426" s="37"/>
      <c r="B426" s="318" t="s">
        <v>23</v>
      </c>
      <c r="C426" s="329" t="s">
        <v>105</v>
      </c>
      <c r="D426" s="329" t="s">
        <v>1220</v>
      </c>
      <c r="E426" s="330">
        <f>'Ref-ComSources'!$AB$17*'Ref-ComSources'!$I$174</f>
        <v>812.7364084091281</v>
      </c>
      <c r="F426" s="329" t="s">
        <v>27</v>
      </c>
      <c r="G426" s="326">
        <f>'Ref-ComSources'!$D$58/SUM('Ref-ComSources'!$D$58:$E$58)</f>
        <v>0.91322314049586784</v>
      </c>
      <c r="H426" s="329" t="s">
        <v>66</v>
      </c>
      <c r="I426" s="385">
        <f>'Ref-BaselineControls'!$J$14</f>
        <v>0.83</v>
      </c>
      <c r="J426" s="329" t="s">
        <v>1097</v>
      </c>
      <c r="K426" s="329" t="s">
        <v>1040</v>
      </c>
      <c r="L426" s="329" t="s">
        <v>15</v>
      </c>
      <c r="M426" s="329" t="s">
        <v>91</v>
      </c>
      <c r="N426" s="327">
        <f>E426*G426*'Ref-Savings Calculations'!$E$39*Applicability</f>
        <v>151.97627093884191</v>
      </c>
      <c r="O426" s="327">
        <f>E426*G426*'Ref-Savings Calculations'!$C$89*Applicability*ControlShare</f>
        <v>152.77644367699432</v>
      </c>
      <c r="P426" s="327">
        <f>E426*G426*'Ref-Savings Calculations'!$E$40*Applicability</f>
        <v>129.88669667447536</v>
      </c>
      <c r="Q426" s="327">
        <f>E426*G426*('Ref-Savings Calculations'!$C$89-'Ref-Savings Calculations'!$C$124)*Applicability*ControlShare</f>
        <v>54.210996143449577</v>
      </c>
      <c r="R426" s="37"/>
      <c r="S426" s="328" t="s">
        <v>44</v>
      </c>
      <c r="T426" s="328" t="s">
        <v>63</v>
      </c>
      <c r="U426" s="328" t="s">
        <v>69</v>
      </c>
      <c r="V426" s="328" t="s">
        <v>69</v>
      </c>
      <c r="W426" s="328" t="s">
        <v>76</v>
      </c>
      <c r="X426" s="37"/>
      <c r="Y426" s="37"/>
      <c r="Z426" s="328" t="s">
        <v>78</v>
      </c>
      <c r="AA426" s="328" t="s">
        <v>78</v>
      </c>
      <c r="AB426" s="37"/>
      <c r="AC426" s="331">
        <f>'Ref-ComHOU'!$G$22</f>
        <v>6.9095890410958898</v>
      </c>
      <c r="AD426" s="331" t="s">
        <v>72</v>
      </c>
      <c r="AE426" s="328" t="s">
        <v>73</v>
      </c>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c r="CA426" s="393"/>
      <c r="CB426" s="393"/>
      <c r="CC426" s="393"/>
      <c r="CD426" s="393"/>
      <c r="CE426" s="393"/>
      <c r="CF426" s="393"/>
      <c r="CG426" s="393"/>
      <c r="CH426" s="393"/>
      <c r="CI426" s="393"/>
      <c r="CJ426" s="390"/>
      <c r="CK426" s="390"/>
      <c r="CL426" s="390"/>
      <c r="CM426" s="390"/>
      <c r="CN426" s="390"/>
      <c r="CO426" s="390"/>
      <c r="CP426" s="390"/>
      <c r="CQ426" s="390"/>
      <c r="CR426" s="390"/>
      <c r="CS426" s="390"/>
      <c r="CT426" s="390"/>
      <c r="CU426" s="390"/>
      <c r="CV426" s="390"/>
      <c r="CW426" s="390"/>
      <c r="CX426" s="390"/>
      <c r="CY426" s="390"/>
      <c r="CZ426" s="390"/>
      <c r="DA426" s="390"/>
      <c r="DB426" s="390"/>
      <c r="DC426" s="390"/>
    </row>
    <row r="427" spans="1:107" s="303" customFormat="1" ht="56.25">
      <c r="A427" s="37"/>
      <c r="B427" s="318" t="s">
        <v>23</v>
      </c>
      <c r="C427" s="329" t="s">
        <v>105</v>
      </c>
      <c r="D427" s="329" t="s">
        <v>1220</v>
      </c>
      <c r="E427" s="330">
        <f>'Ref-ComSources'!$AB$17*'Ref-ComSources'!$I$174</f>
        <v>812.7364084091281</v>
      </c>
      <c r="F427" s="329" t="s">
        <v>27</v>
      </c>
      <c r="G427" s="326">
        <f>'Ref-ComSources'!$D$58/SUM('Ref-ComSources'!$D$58:$E$58)</f>
        <v>0.91322314049586784</v>
      </c>
      <c r="H427" s="329" t="s">
        <v>66</v>
      </c>
      <c r="I427" s="385">
        <f>'Ref-BaselineControls'!$J$14</f>
        <v>0.83</v>
      </c>
      <c r="J427" s="329" t="s">
        <v>1097</v>
      </c>
      <c r="K427" s="329" t="s">
        <v>1040</v>
      </c>
      <c r="L427" s="329" t="s">
        <v>15</v>
      </c>
      <c r="M427" s="329" t="s">
        <v>92</v>
      </c>
      <c r="N427" s="327">
        <f>E427*G427*'Ref-Savings Calculations'!$E$39*Applicability</f>
        <v>151.97627093884191</v>
      </c>
      <c r="O427" s="327">
        <f>E427*G427*'Ref-Savings Calculations'!$C$99*Applicability*ControlShare</f>
        <v>177.41780556038051</v>
      </c>
      <c r="P427" s="327">
        <f>E427*G427*'Ref-Savings Calculations'!$E$40*Applicability</f>
        <v>129.88669667447536</v>
      </c>
      <c r="Q427" s="327">
        <f>E427*G427*('Ref-Savings Calculations'!$C$99-'Ref-Savings Calculations'!$C$124)*Applicability*ControlShare</f>
        <v>78.852358026835759</v>
      </c>
      <c r="R427" s="37"/>
      <c r="S427" s="328" t="s">
        <v>44</v>
      </c>
      <c r="T427" s="328" t="s">
        <v>63</v>
      </c>
      <c r="U427" s="328" t="s">
        <v>69</v>
      </c>
      <c r="V427" s="328" t="s">
        <v>69</v>
      </c>
      <c r="W427" s="328" t="s">
        <v>76</v>
      </c>
      <c r="X427" s="37"/>
      <c r="Y427" s="37"/>
      <c r="Z427" s="328" t="s">
        <v>78</v>
      </c>
      <c r="AA427" s="328" t="s">
        <v>78</v>
      </c>
      <c r="AB427" s="37"/>
      <c r="AC427" s="331">
        <f>'Ref-ComHOU'!$G$22</f>
        <v>6.9095890410958898</v>
      </c>
      <c r="AD427" s="331" t="s">
        <v>72</v>
      </c>
      <c r="AE427" s="328" t="s">
        <v>73</v>
      </c>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c r="CA427" s="393"/>
      <c r="CB427" s="393"/>
      <c r="CC427" s="393"/>
      <c r="CD427" s="393"/>
      <c r="CE427" s="393"/>
      <c r="CF427" s="393"/>
      <c r="CG427" s="393"/>
      <c r="CH427" s="393"/>
      <c r="CI427" s="393"/>
      <c r="CJ427" s="390"/>
      <c r="CK427" s="390"/>
      <c r="CL427" s="390"/>
      <c r="CM427" s="390"/>
      <c r="CN427" s="390"/>
      <c r="CO427" s="390"/>
      <c r="CP427" s="390"/>
      <c r="CQ427" s="390"/>
      <c r="CR427" s="390"/>
      <c r="CS427" s="390"/>
      <c r="CT427" s="390"/>
      <c r="CU427" s="390"/>
      <c r="CV427" s="390"/>
      <c r="CW427" s="390"/>
      <c r="CX427" s="390"/>
      <c r="CY427" s="390"/>
      <c r="CZ427" s="390"/>
      <c r="DA427" s="390"/>
      <c r="DB427" s="390"/>
      <c r="DC427" s="390"/>
    </row>
    <row r="428" spans="1:107" s="303" customFormat="1" ht="56.25">
      <c r="A428" s="37"/>
      <c r="B428" s="318" t="s">
        <v>23</v>
      </c>
      <c r="C428" s="329" t="s">
        <v>105</v>
      </c>
      <c r="D428" s="329" t="s">
        <v>1220</v>
      </c>
      <c r="E428" s="330">
        <f>'Ref-ComSources'!$AB$17*'Ref-ComSources'!$I$174</f>
        <v>812.7364084091281</v>
      </c>
      <c r="F428" s="329" t="s">
        <v>27</v>
      </c>
      <c r="G428" s="326">
        <f>'Ref-ComSources'!$D$58/SUM('Ref-ComSources'!$D$58:$E$58)</f>
        <v>0.91322314049586784</v>
      </c>
      <c r="H428" s="329" t="s">
        <v>66</v>
      </c>
      <c r="I428" s="385">
        <f>'Ref-BaselineControls'!$J$14</f>
        <v>0.83</v>
      </c>
      <c r="J428" s="329" t="s">
        <v>1097</v>
      </c>
      <c r="K428" s="329" t="s">
        <v>1040</v>
      </c>
      <c r="L428" s="329" t="s">
        <v>15</v>
      </c>
      <c r="M428" s="329" t="s">
        <v>93</v>
      </c>
      <c r="N428" s="327">
        <f>E428*G428*'Ref-Savings Calculations'!$E$39*Applicability</f>
        <v>151.97627093884191</v>
      </c>
      <c r="O428" s="327">
        <f>E428*G428*'Ref-Savings Calculations'!$C$109*Applicability*ControlShare</f>
        <v>187.27435031373497</v>
      </c>
      <c r="P428" s="327">
        <f>E428*G428*'Ref-Savings Calculations'!$E$40*Applicability</f>
        <v>129.88669667447536</v>
      </c>
      <c r="Q428" s="327">
        <f>E428*G428*('Ref-Savings Calculations'!$C$109-'Ref-Savings Calculations'!$C$124)*Applicability*ControlShare</f>
        <v>88.708902780190257</v>
      </c>
      <c r="R428" s="37"/>
      <c r="S428" s="328" t="s">
        <v>44</v>
      </c>
      <c r="T428" s="328" t="s">
        <v>63</v>
      </c>
      <c r="U428" s="328" t="s">
        <v>44</v>
      </c>
      <c r="V428" s="328" t="s">
        <v>75</v>
      </c>
      <c r="W428" s="328" t="s">
        <v>76</v>
      </c>
      <c r="X428" s="37"/>
      <c r="Y428" s="37"/>
      <c r="Z428" s="328" t="s">
        <v>78</v>
      </c>
      <c r="AA428" s="328" t="s">
        <v>78</v>
      </c>
      <c r="AB428" s="37"/>
      <c r="AC428" s="331">
        <f>'Ref-ComHOU'!$G$22</f>
        <v>6.9095890410958898</v>
      </c>
      <c r="AD428" s="331" t="s">
        <v>72</v>
      </c>
      <c r="AE428" s="328" t="s">
        <v>73</v>
      </c>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c r="CA428" s="393"/>
      <c r="CB428" s="393"/>
      <c r="CC428" s="393"/>
      <c r="CD428" s="393"/>
      <c r="CE428" s="393"/>
      <c r="CF428" s="393"/>
      <c r="CG428" s="393"/>
      <c r="CH428" s="393"/>
      <c r="CI428" s="393"/>
      <c r="CJ428" s="390"/>
      <c r="CK428" s="390"/>
      <c r="CL428" s="390"/>
      <c r="CM428" s="390"/>
      <c r="CN428" s="390"/>
      <c r="CO428" s="390"/>
      <c r="CP428" s="390"/>
      <c r="CQ428" s="390"/>
      <c r="CR428" s="390"/>
      <c r="CS428" s="390"/>
      <c r="CT428" s="390"/>
      <c r="CU428" s="390"/>
      <c r="CV428" s="390"/>
      <c r="CW428" s="390"/>
      <c r="CX428" s="390"/>
      <c r="CY428" s="390"/>
      <c r="CZ428" s="390"/>
      <c r="DA428" s="390"/>
      <c r="DB428" s="390"/>
      <c r="DC428" s="390"/>
    </row>
    <row r="429" spans="1:107" s="303" customFormat="1" ht="33.75">
      <c r="A429" s="37"/>
      <c r="B429" s="318" t="s">
        <v>23</v>
      </c>
      <c r="C429" s="329" t="s">
        <v>105</v>
      </c>
      <c r="D429" s="329" t="s">
        <v>1220</v>
      </c>
      <c r="E429" s="330">
        <f>'Ref-ComSources'!$AB$17*'Ref-ComSources'!$I$174</f>
        <v>812.7364084091281</v>
      </c>
      <c r="F429" s="329" t="s">
        <v>24</v>
      </c>
      <c r="G429" s="326">
        <f>'Ref-ComSources'!$E$58/SUM('Ref-ComSources'!$D$58:$E$58)</f>
        <v>8.6776859504132234E-2</v>
      </c>
      <c r="H429" s="329" t="s">
        <v>66</v>
      </c>
      <c r="I429" s="385">
        <f>'Ref-BaselineControls'!$J$14</f>
        <v>0.83</v>
      </c>
      <c r="J429" s="329" t="s">
        <v>25</v>
      </c>
      <c r="K429" s="329" t="s">
        <v>1040</v>
      </c>
      <c r="L429" s="329" t="s">
        <v>95</v>
      </c>
      <c r="M429" s="329" t="s">
        <v>88</v>
      </c>
      <c r="N429" s="327">
        <f>E429*G429*'Ref-Savings Calculations'!$E$7*Applicability</f>
        <v>13.020316269491438</v>
      </c>
      <c r="O429" s="327">
        <f>E429*G429*'Ref-Savings Calculations'!$C$54*Applicability*ControlShare</f>
        <v>11.239137003825009</v>
      </c>
      <c r="P429" s="327">
        <f>rMarketSolutions[[#This Row],[Lighting Savings
(lamp and/or ballast)]]</f>
        <v>13.020316269491438</v>
      </c>
      <c r="Q429" s="327">
        <f>E429*G429*('Ref-Savings Calculations'!$C$54-'Ref-Savings Calculations'!$C$124)*Applicability*ControlShare</f>
        <v>1.8731895006375003</v>
      </c>
      <c r="R429" s="37"/>
      <c r="S429" s="328" t="s">
        <v>44</v>
      </c>
      <c r="T429" s="328" t="s">
        <v>63</v>
      </c>
      <c r="U429" s="328" t="s">
        <v>69</v>
      </c>
      <c r="V429" s="328" t="s">
        <v>69</v>
      </c>
      <c r="W429" s="328" t="s">
        <v>76</v>
      </c>
      <c r="X429" s="37"/>
      <c r="Y429" s="37"/>
      <c r="Z429" s="328" t="s">
        <v>78</v>
      </c>
      <c r="AA429" s="328" t="s">
        <v>78</v>
      </c>
      <c r="AB429" s="37"/>
      <c r="AC429" s="331">
        <f>'Ref-ComHOU'!$G$22</f>
        <v>6.9095890410958898</v>
      </c>
      <c r="AD429" s="331" t="s">
        <v>72</v>
      </c>
      <c r="AE429" s="328" t="s">
        <v>73</v>
      </c>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c r="CA429" s="393"/>
      <c r="CB429" s="393"/>
      <c r="CC429" s="393"/>
      <c r="CD429" s="393"/>
      <c r="CE429" s="393"/>
      <c r="CF429" s="393"/>
      <c r="CG429" s="393"/>
      <c r="CH429" s="393"/>
      <c r="CI429" s="393"/>
      <c r="CJ429" s="390"/>
      <c r="CK429" s="390"/>
      <c r="CL429" s="390"/>
      <c r="CM429" s="390"/>
      <c r="CN429" s="390"/>
      <c r="CO429" s="390"/>
      <c r="CP429" s="390"/>
      <c r="CQ429" s="390"/>
      <c r="CR429" s="390"/>
      <c r="CS429" s="390"/>
      <c r="CT429" s="390"/>
      <c r="CU429" s="390"/>
      <c r="CV429" s="390"/>
      <c r="CW429" s="390"/>
      <c r="CX429" s="390"/>
      <c r="CY429" s="390"/>
      <c r="CZ429" s="390"/>
      <c r="DA429" s="390"/>
      <c r="DB429" s="390"/>
      <c r="DC429" s="390"/>
    </row>
    <row r="430" spans="1:107" s="303" customFormat="1" ht="33.75">
      <c r="A430" s="37"/>
      <c r="B430" s="318" t="s">
        <v>23</v>
      </c>
      <c r="C430" s="329" t="s">
        <v>105</v>
      </c>
      <c r="D430" s="329" t="s">
        <v>1220</v>
      </c>
      <c r="E430" s="330">
        <f>'Ref-ComSources'!$AB$17*'Ref-ComSources'!$I$174</f>
        <v>812.7364084091281</v>
      </c>
      <c r="F430" s="329" t="s">
        <v>24</v>
      </c>
      <c r="G430" s="326">
        <f>'Ref-ComSources'!$E$58/SUM('Ref-ComSources'!$D$58:$E$58)</f>
        <v>8.6776859504132234E-2</v>
      </c>
      <c r="H430" s="329" t="s">
        <v>66</v>
      </c>
      <c r="I430" s="385">
        <f>'Ref-BaselineControls'!$J$14</f>
        <v>0.83</v>
      </c>
      <c r="J430" s="329" t="s">
        <v>25</v>
      </c>
      <c r="K430" s="329" t="s">
        <v>1040</v>
      </c>
      <c r="L430" s="329" t="s">
        <v>95</v>
      </c>
      <c r="M430" s="329" t="s">
        <v>90</v>
      </c>
      <c r="N430" s="327">
        <f>E430*G430*'Ref-Savings Calculations'!$E$7*Applicability</f>
        <v>13.020316269491438</v>
      </c>
      <c r="O430" s="327">
        <f>E430*G430*'Ref-Savings Calculations'!$C$77*Applicability*ControlShare</f>
        <v>13.11232650446251</v>
      </c>
      <c r="P430" s="327">
        <f>rMarketSolutions[[#This Row],[Lighting Savings
(lamp and/or ballast)]]</f>
        <v>13.020316269491438</v>
      </c>
      <c r="Q430" s="327">
        <f>E430*G430*('Ref-Savings Calculations'!$C$77-'Ref-Savings Calculations'!$C$124)*Applicability*ControlShare</f>
        <v>3.7463790012750038</v>
      </c>
      <c r="R430" s="37"/>
      <c r="S430" s="328" t="s">
        <v>44</v>
      </c>
      <c r="T430" s="328" t="s">
        <v>63</v>
      </c>
      <c r="U430" s="328" t="s">
        <v>69</v>
      </c>
      <c r="V430" s="328" t="s">
        <v>69</v>
      </c>
      <c r="W430" s="328" t="s">
        <v>76</v>
      </c>
      <c r="X430" s="37"/>
      <c r="Y430" s="37"/>
      <c r="Z430" s="328" t="s">
        <v>78</v>
      </c>
      <c r="AA430" s="328" t="s">
        <v>78</v>
      </c>
      <c r="AB430" s="37"/>
      <c r="AC430" s="331">
        <f>'Ref-ComHOU'!$G$22</f>
        <v>6.9095890410958898</v>
      </c>
      <c r="AD430" s="331" t="s">
        <v>72</v>
      </c>
      <c r="AE430" s="328" t="s">
        <v>73</v>
      </c>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c r="CA430" s="393"/>
      <c r="CB430" s="393"/>
      <c r="CC430" s="393"/>
      <c r="CD430" s="393"/>
      <c r="CE430" s="393"/>
      <c r="CF430" s="393"/>
      <c r="CG430" s="393"/>
      <c r="CH430" s="393"/>
      <c r="CI430" s="393"/>
      <c r="CJ430" s="390"/>
      <c r="CK430" s="390"/>
      <c r="CL430" s="390"/>
      <c r="CM430" s="390"/>
      <c r="CN430" s="390"/>
      <c r="CO430" s="390"/>
      <c r="CP430" s="390"/>
      <c r="CQ430" s="390"/>
      <c r="CR430" s="390"/>
      <c r="CS430" s="390"/>
      <c r="CT430" s="390"/>
      <c r="CU430" s="390"/>
      <c r="CV430" s="390"/>
      <c r="CW430" s="390"/>
      <c r="CX430" s="390"/>
      <c r="CY430" s="390"/>
      <c r="CZ430" s="390"/>
      <c r="DA430" s="390"/>
      <c r="DB430" s="390"/>
      <c r="DC430" s="390"/>
    </row>
    <row r="431" spans="1:107" s="303" customFormat="1" ht="33.75">
      <c r="A431" s="37"/>
      <c r="B431" s="318" t="s">
        <v>23</v>
      </c>
      <c r="C431" s="329" t="s">
        <v>105</v>
      </c>
      <c r="D431" s="329" t="s">
        <v>1220</v>
      </c>
      <c r="E431" s="330">
        <f>'Ref-ComSources'!$AB$17*'Ref-ComSources'!$I$174</f>
        <v>812.7364084091281</v>
      </c>
      <c r="F431" s="329" t="s">
        <v>24</v>
      </c>
      <c r="G431" s="326">
        <f>'Ref-ComSources'!$E$58/SUM('Ref-ComSources'!$D$58:$E$58)</f>
        <v>8.6776859504132234E-2</v>
      </c>
      <c r="H431" s="329" t="s">
        <v>66</v>
      </c>
      <c r="I431" s="385">
        <f>'Ref-BaselineControls'!$J$14</f>
        <v>0.83</v>
      </c>
      <c r="J431" s="329" t="s">
        <v>25</v>
      </c>
      <c r="K431" s="329" t="s">
        <v>1040</v>
      </c>
      <c r="L431" s="329" t="s">
        <v>95</v>
      </c>
      <c r="M431" s="329" t="s">
        <v>91</v>
      </c>
      <c r="N431" s="327">
        <f>E431*G431*'Ref-Savings Calculations'!$E$7*Applicability</f>
        <v>13.020316269491438</v>
      </c>
      <c r="O431" s="327">
        <f>E431*G431*'Ref-Savings Calculations'!$C$89*Applicability*ControlShare</f>
        <v>14.517218629940635</v>
      </c>
      <c r="P431" s="327">
        <f>rMarketSolutions[[#This Row],[Lighting Savings
(lamp and/or ballast)]]</f>
        <v>13.020316269491438</v>
      </c>
      <c r="Q431" s="327">
        <f>E431*G431*('Ref-Savings Calculations'!$C$89-'Ref-Savings Calculations'!$C$124)*Applicability*ControlShare</f>
        <v>5.1512711267531284</v>
      </c>
      <c r="R431" s="37"/>
      <c r="S431" s="328" t="s">
        <v>44</v>
      </c>
      <c r="T431" s="328" t="s">
        <v>63</v>
      </c>
      <c r="U431" s="328" t="s">
        <v>69</v>
      </c>
      <c r="V431" s="328" t="s">
        <v>69</v>
      </c>
      <c r="W431" s="328" t="s">
        <v>76</v>
      </c>
      <c r="X431" s="37"/>
      <c r="Y431" s="37"/>
      <c r="Z431" s="328" t="s">
        <v>78</v>
      </c>
      <c r="AA431" s="328" t="s">
        <v>78</v>
      </c>
      <c r="AB431" s="37"/>
      <c r="AC431" s="331">
        <f>'Ref-ComHOU'!$G$22</f>
        <v>6.9095890410958898</v>
      </c>
      <c r="AD431" s="331" t="s">
        <v>72</v>
      </c>
      <c r="AE431" s="328" t="s">
        <v>73</v>
      </c>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c r="CA431" s="393"/>
      <c r="CB431" s="393"/>
      <c r="CC431" s="393"/>
      <c r="CD431" s="393"/>
      <c r="CE431" s="393"/>
      <c r="CF431" s="393"/>
      <c r="CG431" s="393"/>
      <c r="CH431" s="393"/>
      <c r="CI431" s="393"/>
      <c r="CJ431" s="390"/>
      <c r="CK431" s="390"/>
      <c r="CL431" s="390"/>
      <c r="CM431" s="390"/>
      <c r="CN431" s="390"/>
      <c r="CO431" s="390"/>
      <c r="CP431" s="390"/>
      <c r="CQ431" s="390"/>
      <c r="CR431" s="390"/>
      <c r="CS431" s="390"/>
      <c r="CT431" s="390"/>
      <c r="CU431" s="390"/>
      <c r="CV431" s="390"/>
      <c r="CW431" s="390"/>
      <c r="CX431" s="390"/>
      <c r="CY431" s="390"/>
      <c r="CZ431" s="390"/>
      <c r="DA431" s="390"/>
      <c r="DB431" s="390"/>
      <c r="DC431" s="390"/>
    </row>
    <row r="432" spans="1:107" s="303" customFormat="1" ht="33.75">
      <c r="A432" s="37"/>
      <c r="B432" s="318" t="s">
        <v>23</v>
      </c>
      <c r="C432" s="329" t="s">
        <v>105</v>
      </c>
      <c r="D432" s="329" t="s">
        <v>1220</v>
      </c>
      <c r="E432" s="330">
        <f>'Ref-ComSources'!$AB$17*'Ref-ComSources'!$I$174</f>
        <v>812.7364084091281</v>
      </c>
      <c r="F432" s="329" t="s">
        <v>24</v>
      </c>
      <c r="G432" s="326">
        <f>'Ref-ComSources'!$E$58/SUM('Ref-ComSources'!$D$58:$E$58)</f>
        <v>8.6776859504132234E-2</v>
      </c>
      <c r="H432" s="329" t="s">
        <v>66</v>
      </c>
      <c r="I432" s="385">
        <f>'Ref-BaselineControls'!$J$14</f>
        <v>0.83</v>
      </c>
      <c r="J432" s="329" t="s">
        <v>25</v>
      </c>
      <c r="K432" s="329" t="s">
        <v>1040</v>
      </c>
      <c r="L432" s="329" t="s">
        <v>95</v>
      </c>
      <c r="M432" s="329" t="s">
        <v>92</v>
      </c>
      <c r="N432" s="327">
        <f>E432*G432*'Ref-Savings Calculations'!$E$7*Applicability</f>
        <v>13.020316269491438</v>
      </c>
      <c r="O432" s="327">
        <f>E432*G432*'Ref-Savings Calculations'!$C$99*Applicability*ControlShare</f>
        <v>16.858705505737511</v>
      </c>
      <c r="P432" s="327">
        <f>rMarketSolutions[[#This Row],[Lighting Savings
(lamp and/or ballast)]]</f>
        <v>13.020316269491438</v>
      </c>
      <c r="Q432" s="327">
        <f>E432*G432*('Ref-Savings Calculations'!$C$99-'Ref-Savings Calculations'!$C$124)*Applicability*ControlShare</f>
        <v>7.492758002550004</v>
      </c>
      <c r="R432" s="37"/>
      <c r="S432" s="328" t="s">
        <v>44</v>
      </c>
      <c r="T432" s="328" t="s">
        <v>63</v>
      </c>
      <c r="U432" s="328" t="s">
        <v>69</v>
      </c>
      <c r="V432" s="328" t="s">
        <v>69</v>
      </c>
      <c r="W432" s="328" t="s">
        <v>76</v>
      </c>
      <c r="X432" s="37"/>
      <c r="Y432" s="37"/>
      <c r="Z432" s="328" t="s">
        <v>78</v>
      </c>
      <c r="AA432" s="328" t="s">
        <v>78</v>
      </c>
      <c r="AB432" s="37"/>
      <c r="AC432" s="331">
        <f>'Ref-ComHOU'!$G$22</f>
        <v>6.9095890410958898</v>
      </c>
      <c r="AD432" s="331" t="s">
        <v>72</v>
      </c>
      <c r="AE432" s="328" t="s">
        <v>73</v>
      </c>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c r="CA432" s="393"/>
      <c r="CB432" s="393"/>
      <c r="CC432" s="393"/>
      <c r="CD432" s="393"/>
      <c r="CE432" s="393"/>
      <c r="CF432" s="393"/>
      <c r="CG432" s="393"/>
      <c r="CH432" s="393"/>
      <c r="CI432" s="393"/>
      <c r="CJ432" s="390"/>
      <c r="CK432" s="390"/>
      <c r="CL432" s="390"/>
      <c r="CM432" s="390"/>
      <c r="CN432" s="390"/>
      <c r="CO432" s="390"/>
      <c r="CP432" s="390"/>
      <c r="CQ432" s="390"/>
      <c r="CR432" s="390"/>
      <c r="CS432" s="390"/>
      <c r="CT432" s="390"/>
      <c r="CU432" s="390"/>
      <c r="CV432" s="390"/>
      <c r="CW432" s="390"/>
      <c r="CX432" s="390"/>
      <c r="CY432" s="390"/>
      <c r="CZ432" s="390"/>
      <c r="DA432" s="390"/>
      <c r="DB432" s="390"/>
      <c r="DC432" s="390"/>
    </row>
    <row r="433" spans="1:107" s="303" customFormat="1" ht="33.75">
      <c r="A433" s="37"/>
      <c r="B433" s="318" t="s">
        <v>23</v>
      </c>
      <c r="C433" s="329" t="s">
        <v>105</v>
      </c>
      <c r="D433" s="329" t="s">
        <v>1220</v>
      </c>
      <c r="E433" s="330">
        <f>'Ref-ComSources'!$AB$17*'Ref-ComSources'!$I$174</f>
        <v>812.7364084091281</v>
      </c>
      <c r="F433" s="329" t="s">
        <v>24</v>
      </c>
      <c r="G433" s="326">
        <f>'Ref-ComSources'!$E$58/SUM('Ref-ComSources'!$D$58:$E$58)</f>
        <v>8.6776859504132234E-2</v>
      </c>
      <c r="H433" s="329" t="s">
        <v>66</v>
      </c>
      <c r="I433" s="385">
        <f>'Ref-BaselineControls'!$J$14</f>
        <v>0.83</v>
      </c>
      <c r="J433" s="329" t="s">
        <v>25</v>
      </c>
      <c r="K433" s="329" t="s">
        <v>1040</v>
      </c>
      <c r="L433" s="329" t="s">
        <v>95</v>
      </c>
      <c r="M433" s="329" t="s">
        <v>93</v>
      </c>
      <c r="N433" s="327">
        <f>E433*G433*'Ref-Savings Calculations'!$E$7*Applicability</f>
        <v>13.020316269491438</v>
      </c>
      <c r="O433" s="327">
        <f>E433*G433*'Ref-Savings Calculations'!$C$109*Applicability*ControlShare</f>
        <v>17.795300256056262</v>
      </c>
      <c r="P433" s="327">
        <f>rMarketSolutions[[#This Row],[Lighting Savings
(lamp and/or ballast)]]</f>
        <v>13.020316269491438</v>
      </c>
      <c r="Q433" s="327">
        <f>E433*G433*('Ref-Savings Calculations'!$C$109-'Ref-Savings Calculations'!$C$124)*Applicability*ControlShare</f>
        <v>8.4293527528687555</v>
      </c>
      <c r="R433" s="37"/>
      <c r="S433" s="328" t="s">
        <v>44</v>
      </c>
      <c r="T433" s="328" t="s">
        <v>63</v>
      </c>
      <c r="U433" s="328" t="s">
        <v>44</v>
      </c>
      <c r="V433" s="328" t="s">
        <v>75</v>
      </c>
      <c r="W433" s="328" t="s">
        <v>76</v>
      </c>
      <c r="X433" s="37"/>
      <c r="Y433" s="37"/>
      <c r="Z433" s="328" t="s">
        <v>78</v>
      </c>
      <c r="AA433" s="328" t="s">
        <v>78</v>
      </c>
      <c r="AB433" s="37"/>
      <c r="AC433" s="331">
        <f>'Ref-ComHOU'!$G$22</f>
        <v>6.9095890410958898</v>
      </c>
      <c r="AD433" s="331" t="s">
        <v>72</v>
      </c>
      <c r="AE433" s="328" t="s">
        <v>73</v>
      </c>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c r="CA433" s="393"/>
      <c r="CB433" s="393"/>
      <c r="CC433" s="393"/>
      <c r="CD433" s="393"/>
      <c r="CE433" s="393"/>
      <c r="CF433" s="393"/>
      <c r="CG433" s="393"/>
      <c r="CH433" s="393"/>
      <c r="CI433" s="393"/>
      <c r="CJ433" s="390"/>
      <c r="CK433" s="390"/>
      <c r="CL433" s="390"/>
      <c r="CM433" s="390"/>
      <c r="CN433" s="390"/>
      <c r="CO433" s="390"/>
      <c r="CP433" s="390"/>
      <c r="CQ433" s="390"/>
      <c r="CR433" s="390"/>
      <c r="CS433" s="390"/>
      <c r="CT433" s="390"/>
      <c r="CU433" s="390"/>
      <c r="CV433" s="390"/>
      <c r="CW433" s="390"/>
      <c r="CX433" s="390"/>
      <c r="CY433" s="390"/>
      <c r="CZ433" s="390"/>
      <c r="DA433" s="390"/>
      <c r="DB433" s="390"/>
      <c r="DC433" s="390"/>
    </row>
    <row r="434" spans="1:107" s="303" customFormat="1" ht="56.25">
      <c r="A434" s="37"/>
      <c r="B434" s="683" t="s">
        <v>23</v>
      </c>
      <c r="C434" s="582" t="s">
        <v>105</v>
      </c>
      <c r="D434" s="582" t="s">
        <v>1226</v>
      </c>
      <c r="E434" s="588">
        <f>'Ref-ComSources'!$AB$17*'Ref-ComSources'!$I$175</f>
        <v>120.47055208607148</v>
      </c>
      <c r="F434" s="582" t="s">
        <v>27</v>
      </c>
      <c r="G434" s="590">
        <f>'Ref-2013CSSsaturationsINT'!$F$99</f>
        <v>0.77140636505360172</v>
      </c>
      <c r="H434" s="582" t="s">
        <v>66</v>
      </c>
      <c r="I434" s="684">
        <f>'Ref-BaselineControls'!$J$14</f>
        <v>0.83</v>
      </c>
      <c r="J434" s="582" t="s">
        <v>1097</v>
      </c>
      <c r="K434" s="582" t="s">
        <v>1265</v>
      </c>
      <c r="L434" s="582" t="s">
        <v>1228</v>
      </c>
      <c r="M434" s="582" t="s">
        <v>88</v>
      </c>
      <c r="N434" s="685">
        <f>E434*G434*'Ref-Savings Calculations'!$E$33*Applicability</f>
        <v>13.725304715921281</v>
      </c>
      <c r="O434" s="685">
        <f>E434*G434*'Ref-Savings Calculations'!$C$54*Applicability*ControlShare</f>
        <v>14.809603788479061</v>
      </c>
      <c r="P434" s="685">
        <f>E434*G434*'Ref-Savings Calculations'!$E$34*Applicability</f>
        <v>11.895264087131773</v>
      </c>
      <c r="Q434" s="685" t="s">
        <v>871</v>
      </c>
      <c r="R434" s="37"/>
      <c r="S434" s="589" t="s">
        <v>69</v>
      </c>
      <c r="T434" s="589" t="s">
        <v>69</v>
      </c>
      <c r="U434" s="589" t="s">
        <v>69</v>
      </c>
      <c r="V434" s="589" t="s">
        <v>69</v>
      </c>
      <c r="W434" s="589" t="s">
        <v>76</v>
      </c>
      <c r="X434" s="37"/>
      <c r="Y434" s="37"/>
      <c r="Z434" s="589" t="s">
        <v>78</v>
      </c>
      <c r="AA434" s="589" t="s">
        <v>78</v>
      </c>
      <c r="AB434" s="37"/>
      <c r="AC434" s="588">
        <f>'Ref-ComHOU'!$G$22</f>
        <v>6.9095890410958898</v>
      </c>
      <c r="AD434" s="588" t="s">
        <v>72</v>
      </c>
      <c r="AE434" s="589" t="s">
        <v>73</v>
      </c>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c r="CA434" s="393"/>
      <c r="CB434" s="393"/>
      <c r="CC434" s="393"/>
      <c r="CD434" s="393"/>
      <c r="CE434" s="393"/>
      <c r="CF434" s="393"/>
      <c r="CG434" s="393"/>
      <c r="CH434" s="393"/>
      <c r="CI434" s="393"/>
      <c r="CJ434" s="390"/>
      <c r="CK434" s="390"/>
      <c r="CL434" s="390"/>
      <c r="CM434" s="390"/>
      <c r="CN434" s="390"/>
      <c r="CO434" s="390"/>
      <c r="CP434" s="390"/>
      <c r="CQ434" s="390"/>
      <c r="CR434" s="390"/>
      <c r="CS434" s="390"/>
      <c r="CT434" s="390"/>
      <c r="CU434" s="390"/>
      <c r="CV434" s="390"/>
      <c r="CW434" s="390"/>
      <c r="CX434" s="390"/>
      <c r="CY434" s="390"/>
      <c r="CZ434" s="390"/>
      <c r="DA434" s="390"/>
      <c r="DB434" s="390"/>
      <c r="DC434" s="390"/>
    </row>
    <row r="435" spans="1:107" s="303" customFormat="1" ht="56.25">
      <c r="A435" s="37"/>
      <c r="B435" s="683" t="s">
        <v>23</v>
      </c>
      <c r="C435" s="582" t="s">
        <v>105</v>
      </c>
      <c r="D435" s="582" t="s">
        <v>1226</v>
      </c>
      <c r="E435" s="588">
        <f>'Ref-ComSources'!$AB$17*'Ref-ComSources'!$I$175</f>
        <v>120.47055208607148</v>
      </c>
      <c r="F435" s="582" t="s">
        <v>27</v>
      </c>
      <c r="G435" s="590">
        <f>'Ref-2013CSSsaturationsINT'!$F$99</f>
        <v>0.77140636505360172</v>
      </c>
      <c r="H435" s="582" t="s">
        <v>66</v>
      </c>
      <c r="I435" s="684">
        <f>'Ref-BaselineControls'!$J$14</f>
        <v>0.83</v>
      </c>
      <c r="J435" s="582" t="s">
        <v>1097</v>
      </c>
      <c r="K435" s="582" t="s">
        <v>1265</v>
      </c>
      <c r="L435" s="582" t="s">
        <v>1228</v>
      </c>
      <c r="M435" s="582" t="s">
        <v>90</v>
      </c>
      <c r="N435" s="685">
        <f>E435*G435*'Ref-Savings Calculations'!$E$33*Applicability</f>
        <v>13.725304715921281</v>
      </c>
      <c r="O435" s="685">
        <f>E435*G435*'Ref-Savings Calculations'!$C$77*Applicability*ControlShare</f>
        <v>17.277871086558903</v>
      </c>
      <c r="P435" s="685">
        <f>E435*G435*'Ref-Savings Calculations'!$E$34*Applicability</f>
        <v>11.895264087131773</v>
      </c>
      <c r="Q435" s="686" t="s">
        <v>1109</v>
      </c>
      <c r="R435" s="37"/>
      <c r="S435" s="589" t="s">
        <v>69</v>
      </c>
      <c r="T435" s="589" t="s">
        <v>69</v>
      </c>
      <c r="U435" s="589" t="s">
        <v>69</v>
      </c>
      <c r="V435" s="589" t="s">
        <v>69</v>
      </c>
      <c r="W435" s="589" t="s">
        <v>76</v>
      </c>
      <c r="X435" s="37"/>
      <c r="Y435" s="37"/>
      <c r="Z435" s="589" t="s">
        <v>78</v>
      </c>
      <c r="AA435" s="589" t="s">
        <v>78</v>
      </c>
      <c r="AB435" s="37"/>
      <c r="AC435" s="588">
        <f>'Ref-ComHOU'!$G$22</f>
        <v>6.9095890410958898</v>
      </c>
      <c r="AD435" s="588" t="s">
        <v>72</v>
      </c>
      <c r="AE435" s="589" t="s">
        <v>73</v>
      </c>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c r="CA435" s="393"/>
      <c r="CB435" s="393"/>
      <c r="CC435" s="393"/>
      <c r="CD435" s="393"/>
      <c r="CE435" s="393"/>
      <c r="CF435" s="393"/>
      <c r="CG435" s="393"/>
      <c r="CH435" s="393"/>
      <c r="CI435" s="393"/>
      <c r="CJ435" s="390"/>
      <c r="CK435" s="390"/>
      <c r="CL435" s="390"/>
      <c r="CM435" s="390"/>
      <c r="CN435" s="390"/>
      <c r="CO435" s="390"/>
      <c r="CP435" s="390"/>
      <c r="CQ435" s="390"/>
      <c r="CR435" s="390"/>
      <c r="CS435" s="390"/>
      <c r="CT435" s="390"/>
      <c r="CU435" s="390"/>
      <c r="CV435" s="390"/>
      <c r="CW435" s="390"/>
      <c r="CX435" s="390"/>
      <c r="CY435" s="390"/>
      <c r="CZ435" s="390"/>
      <c r="DA435" s="390"/>
      <c r="DB435" s="390"/>
      <c r="DC435" s="390"/>
    </row>
    <row r="436" spans="1:107" s="303" customFormat="1" ht="56.25">
      <c r="A436" s="37"/>
      <c r="B436" s="683" t="s">
        <v>23</v>
      </c>
      <c r="C436" s="582" t="s">
        <v>105</v>
      </c>
      <c r="D436" s="582" t="s">
        <v>1226</v>
      </c>
      <c r="E436" s="588">
        <f>'Ref-ComSources'!$AB$17*'Ref-ComSources'!$I$175</f>
        <v>120.47055208607148</v>
      </c>
      <c r="F436" s="582" t="s">
        <v>27</v>
      </c>
      <c r="G436" s="590">
        <f>'Ref-2013CSSsaturationsINT'!$F$99</f>
        <v>0.77140636505360172</v>
      </c>
      <c r="H436" s="582" t="s">
        <v>66</v>
      </c>
      <c r="I436" s="684">
        <f>'Ref-BaselineControls'!$J$14</f>
        <v>0.83</v>
      </c>
      <c r="J436" s="582" t="s">
        <v>1097</v>
      </c>
      <c r="K436" s="582" t="s">
        <v>1265</v>
      </c>
      <c r="L436" s="582" t="s">
        <v>1228</v>
      </c>
      <c r="M436" s="582" t="s">
        <v>91</v>
      </c>
      <c r="N436" s="685">
        <f>E436*G436*'Ref-Savings Calculations'!$E$33*Applicability</f>
        <v>13.725304715921281</v>
      </c>
      <c r="O436" s="685">
        <f>E436*G436*'Ref-Savings Calculations'!$C$89*Applicability*ControlShare</f>
        <v>19.129071560118785</v>
      </c>
      <c r="P436" s="685">
        <f>E436*G436*'Ref-Savings Calculations'!$E$34*Applicability</f>
        <v>11.895264087131773</v>
      </c>
      <c r="Q436" s="686">
        <f>E436*G436*('Ref-Savings Calculations'!$C$89-'Ref-Savings Calculations'!$C$54)*Applicability*ControlShare</f>
        <v>4.3194677716397258</v>
      </c>
      <c r="R436" s="37"/>
      <c r="S436" s="589" t="s">
        <v>69</v>
      </c>
      <c r="T436" s="589" t="s">
        <v>69</v>
      </c>
      <c r="U436" s="589" t="s">
        <v>69</v>
      </c>
      <c r="V436" s="589" t="s">
        <v>69</v>
      </c>
      <c r="W436" s="589" t="s">
        <v>76</v>
      </c>
      <c r="X436" s="37"/>
      <c r="Y436" s="37"/>
      <c r="Z436" s="589" t="s">
        <v>78</v>
      </c>
      <c r="AA436" s="589" t="s">
        <v>78</v>
      </c>
      <c r="AB436" s="37"/>
      <c r="AC436" s="588">
        <f>'Ref-ComHOU'!$G$22</f>
        <v>6.9095890410958898</v>
      </c>
      <c r="AD436" s="588" t="s">
        <v>72</v>
      </c>
      <c r="AE436" s="589" t="s">
        <v>73</v>
      </c>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c r="CA436" s="393"/>
      <c r="CB436" s="393"/>
      <c r="CC436" s="393"/>
      <c r="CD436" s="393"/>
      <c r="CE436" s="393"/>
      <c r="CF436" s="393"/>
      <c r="CG436" s="393"/>
      <c r="CH436" s="393"/>
      <c r="CI436" s="393"/>
      <c r="CJ436" s="390"/>
      <c r="CK436" s="390"/>
      <c r="CL436" s="390"/>
      <c r="CM436" s="390"/>
      <c r="CN436" s="390"/>
      <c r="CO436" s="390"/>
      <c r="CP436" s="390"/>
      <c r="CQ436" s="390"/>
      <c r="CR436" s="390"/>
      <c r="CS436" s="390"/>
      <c r="CT436" s="390"/>
      <c r="CU436" s="390"/>
      <c r="CV436" s="390"/>
      <c r="CW436" s="390"/>
      <c r="CX436" s="390"/>
      <c r="CY436" s="390"/>
      <c r="CZ436" s="390"/>
      <c r="DA436" s="390"/>
      <c r="DB436" s="390"/>
      <c r="DC436" s="390"/>
    </row>
    <row r="437" spans="1:107" s="303" customFormat="1" ht="56.25">
      <c r="A437" s="37"/>
      <c r="B437" s="683" t="s">
        <v>23</v>
      </c>
      <c r="C437" s="582" t="s">
        <v>105</v>
      </c>
      <c r="D437" s="582" t="s">
        <v>1226</v>
      </c>
      <c r="E437" s="588">
        <f>'Ref-ComSources'!$AB$17*'Ref-ComSources'!$I$175</f>
        <v>120.47055208607148</v>
      </c>
      <c r="F437" s="582" t="s">
        <v>27</v>
      </c>
      <c r="G437" s="590">
        <f>'Ref-2013CSSsaturationsINT'!$F$99</f>
        <v>0.77140636505360172</v>
      </c>
      <c r="H437" s="582" t="s">
        <v>66</v>
      </c>
      <c r="I437" s="684">
        <f>'Ref-BaselineControls'!$J$14</f>
        <v>0.83</v>
      </c>
      <c r="J437" s="582" t="s">
        <v>1097</v>
      </c>
      <c r="K437" s="582" t="s">
        <v>1265</v>
      </c>
      <c r="L437" s="582" t="s">
        <v>1228</v>
      </c>
      <c r="M437" s="582" t="s">
        <v>92</v>
      </c>
      <c r="N437" s="685">
        <f>E437*G437*'Ref-Savings Calculations'!$E$33*Applicability</f>
        <v>13.725304715921281</v>
      </c>
      <c r="O437" s="685">
        <f>E437*G437*'Ref-Savings Calculations'!$C$99*Applicability*ControlShare</f>
        <v>22.214405682718589</v>
      </c>
      <c r="P437" s="685">
        <f>E437*G437*'Ref-Savings Calculations'!$E$34*Applicability</f>
        <v>11.895264087131773</v>
      </c>
      <c r="Q437" s="686">
        <f>E437*G437*('Ref-Savings Calculations'!$C$99-'Ref-Savings Calculations'!$C$54)*Applicability*ControlShare</f>
        <v>7.4048018942395304</v>
      </c>
      <c r="R437" s="37"/>
      <c r="S437" s="589" t="s">
        <v>69</v>
      </c>
      <c r="T437" s="589" t="s">
        <v>69</v>
      </c>
      <c r="U437" s="589" t="s">
        <v>69</v>
      </c>
      <c r="V437" s="589" t="s">
        <v>69</v>
      </c>
      <c r="W437" s="589" t="s">
        <v>76</v>
      </c>
      <c r="X437" s="37"/>
      <c r="Y437" s="37"/>
      <c r="Z437" s="589" t="s">
        <v>78</v>
      </c>
      <c r="AA437" s="589" t="s">
        <v>78</v>
      </c>
      <c r="AB437" s="37"/>
      <c r="AC437" s="588">
        <f>'Ref-ComHOU'!$G$22</f>
        <v>6.9095890410958898</v>
      </c>
      <c r="AD437" s="588" t="s">
        <v>72</v>
      </c>
      <c r="AE437" s="589" t="s">
        <v>73</v>
      </c>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c r="CA437" s="393"/>
      <c r="CB437" s="393"/>
      <c r="CC437" s="393"/>
      <c r="CD437" s="393"/>
      <c r="CE437" s="393"/>
      <c r="CF437" s="393"/>
      <c r="CG437" s="393"/>
      <c r="CH437" s="393"/>
      <c r="CI437" s="393"/>
      <c r="CJ437" s="390"/>
      <c r="CK437" s="390"/>
      <c r="CL437" s="390"/>
      <c r="CM437" s="390"/>
      <c r="CN437" s="390"/>
      <c r="CO437" s="390"/>
      <c r="CP437" s="390"/>
      <c r="CQ437" s="390"/>
      <c r="CR437" s="390"/>
      <c r="CS437" s="390"/>
      <c r="CT437" s="390"/>
      <c r="CU437" s="390"/>
      <c r="CV437" s="390"/>
      <c r="CW437" s="390"/>
      <c r="CX437" s="390"/>
      <c r="CY437" s="390"/>
      <c r="CZ437" s="390"/>
      <c r="DA437" s="390"/>
      <c r="DB437" s="390"/>
      <c r="DC437" s="390"/>
    </row>
    <row r="438" spans="1:107" s="303" customFormat="1" ht="56.25">
      <c r="A438" s="37"/>
      <c r="B438" s="683" t="s">
        <v>23</v>
      </c>
      <c r="C438" s="582" t="s">
        <v>105</v>
      </c>
      <c r="D438" s="582" t="s">
        <v>1226</v>
      </c>
      <c r="E438" s="588">
        <f>'Ref-ComSources'!$AB$17*'Ref-ComSources'!$I$175</f>
        <v>120.47055208607148</v>
      </c>
      <c r="F438" s="582" t="s">
        <v>27</v>
      </c>
      <c r="G438" s="590">
        <f>'Ref-2013CSSsaturationsINT'!$F$99</f>
        <v>0.77140636505360172</v>
      </c>
      <c r="H438" s="582" t="s">
        <v>66</v>
      </c>
      <c r="I438" s="684">
        <f>'Ref-BaselineControls'!$J$14</f>
        <v>0.83</v>
      </c>
      <c r="J438" s="582" t="s">
        <v>1097</v>
      </c>
      <c r="K438" s="582" t="s">
        <v>1265</v>
      </c>
      <c r="L438" s="582" t="s">
        <v>1228</v>
      </c>
      <c r="M438" s="582" t="s">
        <v>93</v>
      </c>
      <c r="N438" s="685">
        <f>E438*G438*'Ref-Savings Calculations'!$E$33*Applicability</f>
        <v>13.725304715921281</v>
      </c>
      <c r="O438" s="685">
        <f>E438*G438*'Ref-Savings Calculations'!$C$109*Applicability*ControlShare</f>
        <v>23.448539331758511</v>
      </c>
      <c r="P438" s="685">
        <f>E438*G438*'Ref-Savings Calculations'!$E$34*Applicability</f>
        <v>11.895264087131773</v>
      </c>
      <c r="Q438" s="686">
        <f>E438*G438*('Ref-Savings Calculations'!$C$109-'Ref-Savings Calculations'!$C$54)*Applicability*ControlShare</f>
        <v>8.6389355432794517</v>
      </c>
      <c r="R438" s="37"/>
      <c r="S438" s="589" t="s">
        <v>69</v>
      </c>
      <c r="T438" s="589" t="s">
        <v>69</v>
      </c>
      <c r="U438" s="589" t="s">
        <v>44</v>
      </c>
      <c r="V438" s="589" t="s">
        <v>75</v>
      </c>
      <c r="W438" s="589" t="s">
        <v>76</v>
      </c>
      <c r="X438" s="37"/>
      <c r="Y438" s="37"/>
      <c r="Z438" s="589" t="s">
        <v>78</v>
      </c>
      <c r="AA438" s="589" t="s">
        <v>78</v>
      </c>
      <c r="AB438" s="37"/>
      <c r="AC438" s="588">
        <f>'Ref-ComHOU'!$G$22</f>
        <v>6.9095890410958898</v>
      </c>
      <c r="AD438" s="588" t="s">
        <v>72</v>
      </c>
      <c r="AE438" s="589" t="s">
        <v>73</v>
      </c>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c r="CA438" s="393"/>
      <c r="CB438" s="393"/>
      <c r="CC438" s="393"/>
      <c r="CD438" s="393"/>
      <c r="CE438" s="393"/>
      <c r="CF438" s="393"/>
      <c r="CG438" s="393"/>
      <c r="CH438" s="393"/>
      <c r="CI438" s="393"/>
      <c r="CJ438" s="390"/>
      <c r="CK438" s="390"/>
      <c r="CL438" s="390"/>
      <c r="CM438" s="390"/>
      <c r="CN438" s="390"/>
      <c r="CO438" s="390"/>
      <c r="CP438" s="390"/>
      <c r="CQ438" s="390"/>
      <c r="CR438" s="390"/>
      <c r="CS438" s="390"/>
      <c r="CT438" s="390"/>
      <c r="CU438" s="390"/>
      <c r="CV438" s="390"/>
      <c r="CW438" s="390"/>
      <c r="CX438" s="390"/>
      <c r="CY438" s="390"/>
      <c r="CZ438" s="390"/>
      <c r="DA438" s="390"/>
      <c r="DB438" s="390"/>
      <c r="DC438" s="390"/>
    </row>
    <row r="439" spans="1:107" s="303" customFormat="1" ht="56.25">
      <c r="A439" s="37"/>
      <c r="B439" s="683" t="s">
        <v>23</v>
      </c>
      <c r="C439" s="582" t="s">
        <v>105</v>
      </c>
      <c r="D439" s="582" t="s">
        <v>1226</v>
      </c>
      <c r="E439" s="588">
        <f>'Ref-ComSources'!$AB$17*'Ref-ComSources'!$I$175</f>
        <v>120.47055208607148</v>
      </c>
      <c r="F439" s="582" t="s">
        <v>27</v>
      </c>
      <c r="G439" s="590">
        <f>'Ref-2013CSSsaturationsINT'!$F$99</f>
        <v>0.77140636505360172</v>
      </c>
      <c r="H439" s="582" t="s">
        <v>66</v>
      </c>
      <c r="I439" s="684">
        <f>'Ref-BaselineControls'!$J$14</f>
        <v>0.83</v>
      </c>
      <c r="J439" s="582" t="s">
        <v>1097</v>
      </c>
      <c r="K439" s="582" t="s">
        <v>1265</v>
      </c>
      <c r="L439" s="582" t="s">
        <v>1227</v>
      </c>
      <c r="M439" s="582" t="s">
        <v>88</v>
      </c>
      <c r="N439" s="685">
        <f>E439*G439*'Ref-Savings Calculations'!$E$39*Applicability</f>
        <v>19.028882282242051</v>
      </c>
      <c r="O439" s="685">
        <f>E439*G439*'Ref-Savings Calculations'!$C$54*Applicability*ControlShare</f>
        <v>14.809603788479061</v>
      </c>
      <c r="P439" s="685">
        <f>E439*G439*'Ref-Savings Calculations'!$E$40*Applicability</f>
        <v>16.263056369125476</v>
      </c>
      <c r="Q439" s="685" t="s">
        <v>871</v>
      </c>
      <c r="R439" s="37"/>
      <c r="S439" s="589" t="s">
        <v>44</v>
      </c>
      <c r="T439" s="589" t="s">
        <v>63</v>
      </c>
      <c r="U439" s="589" t="s">
        <v>69</v>
      </c>
      <c r="V439" s="589" t="s">
        <v>69</v>
      </c>
      <c r="W439" s="589" t="s">
        <v>76</v>
      </c>
      <c r="X439" s="37"/>
      <c r="Y439" s="37"/>
      <c r="Z439" s="589" t="s">
        <v>78</v>
      </c>
      <c r="AA439" s="589" t="s">
        <v>78</v>
      </c>
      <c r="AB439" s="37"/>
      <c r="AC439" s="588">
        <f>'Ref-ComHOU'!$G$22</f>
        <v>6.9095890410958898</v>
      </c>
      <c r="AD439" s="588" t="s">
        <v>72</v>
      </c>
      <c r="AE439" s="589" t="s">
        <v>73</v>
      </c>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c r="CA439" s="393"/>
      <c r="CB439" s="393"/>
      <c r="CC439" s="393"/>
      <c r="CD439" s="393"/>
      <c r="CE439" s="393"/>
      <c r="CF439" s="393"/>
      <c r="CG439" s="393"/>
      <c r="CH439" s="393"/>
      <c r="CI439" s="393"/>
      <c r="CJ439" s="390"/>
      <c r="CK439" s="390"/>
      <c r="CL439" s="390"/>
      <c r="CM439" s="390"/>
      <c r="CN439" s="390"/>
      <c r="CO439" s="390"/>
      <c r="CP439" s="390"/>
      <c r="CQ439" s="390"/>
      <c r="CR439" s="390"/>
      <c r="CS439" s="390"/>
      <c r="CT439" s="390"/>
      <c r="CU439" s="390"/>
      <c r="CV439" s="390"/>
      <c r="CW439" s="390"/>
      <c r="CX439" s="390"/>
      <c r="CY439" s="390"/>
      <c r="CZ439" s="390"/>
      <c r="DA439" s="390"/>
      <c r="DB439" s="390"/>
      <c r="DC439" s="390"/>
    </row>
    <row r="440" spans="1:107" s="303" customFormat="1" ht="56.25">
      <c r="A440" s="37"/>
      <c r="B440" s="683" t="s">
        <v>23</v>
      </c>
      <c r="C440" s="582" t="s">
        <v>105</v>
      </c>
      <c r="D440" s="582" t="s">
        <v>1226</v>
      </c>
      <c r="E440" s="588">
        <f>'Ref-ComSources'!$AB$17*'Ref-ComSources'!$I$175</f>
        <v>120.47055208607148</v>
      </c>
      <c r="F440" s="582" t="s">
        <v>27</v>
      </c>
      <c r="G440" s="590">
        <f>'Ref-2013CSSsaturationsINT'!$F$99</f>
        <v>0.77140636505360172</v>
      </c>
      <c r="H440" s="582" t="s">
        <v>66</v>
      </c>
      <c r="I440" s="684">
        <f>'Ref-BaselineControls'!$J$14</f>
        <v>0.83</v>
      </c>
      <c r="J440" s="582" t="s">
        <v>1097</v>
      </c>
      <c r="K440" s="582" t="s">
        <v>1265</v>
      </c>
      <c r="L440" s="582" t="s">
        <v>1227</v>
      </c>
      <c r="M440" s="582" t="s">
        <v>90</v>
      </c>
      <c r="N440" s="685">
        <f>E440*G440*'Ref-Savings Calculations'!$E$39*Applicability</f>
        <v>19.028882282242051</v>
      </c>
      <c r="O440" s="685">
        <f>E440*G440*'Ref-Savings Calculations'!$C$77*Applicability*ControlShare</f>
        <v>17.277871086558903</v>
      </c>
      <c r="P440" s="685">
        <f>E440*G440*'Ref-Savings Calculations'!$E$40*Applicability</f>
        <v>16.263056369125476</v>
      </c>
      <c r="Q440" s="686" t="s">
        <v>1109</v>
      </c>
      <c r="R440" s="37"/>
      <c r="S440" s="589" t="s">
        <v>44</v>
      </c>
      <c r="T440" s="589" t="s">
        <v>63</v>
      </c>
      <c r="U440" s="589" t="s">
        <v>69</v>
      </c>
      <c r="V440" s="589" t="s">
        <v>69</v>
      </c>
      <c r="W440" s="589" t="s">
        <v>76</v>
      </c>
      <c r="X440" s="37"/>
      <c r="Y440" s="37"/>
      <c r="Z440" s="589" t="s">
        <v>78</v>
      </c>
      <c r="AA440" s="589" t="s">
        <v>78</v>
      </c>
      <c r="AB440" s="37"/>
      <c r="AC440" s="588">
        <f>'Ref-ComHOU'!$G$22</f>
        <v>6.9095890410958898</v>
      </c>
      <c r="AD440" s="588" t="s">
        <v>72</v>
      </c>
      <c r="AE440" s="589" t="s">
        <v>73</v>
      </c>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c r="CA440" s="393"/>
      <c r="CB440" s="393"/>
      <c r="CC440" s="393"/>
      <c r="CD440" s="393"/>
      <c r="CE440" s="393"/>
      <c r="CF440" s="393"/>
      <c r="CG440" s="393"/>
      <c r="CH440" s="393"/>
      <c r="CI440" s="393"/>
      <c r="CJ440" s="390"/>
      <c r="CK440" s="390"/>
      <c r="CL440" s="390"/>
      <c r="CM440" s="390"/>
      <c r="CN440" s="390"/>
      <c r="CO440" s="390"/>
      <c r="CP440" s="390"/>
      <c r="CQ440" s="390"/>
      <c r="CR440" s="390"/>
      <c r="CS440" s="390"/>
      <c r="CT440" s="390"/>
      <c r="CU440" s="390"/>
      <c r="CV440" s="390"/>
      <c r="CW440" s="390"/>
      <c r="CX440" s="390"/>
      <c r="CY440" s="390"/>
      <c r="CZ440" s="390"/>
      <c r="DA440" s="390"/>
      <c r="DB440" s="390"/>
      <c r="DC440" s="390"/>
    </row>
    <row r="441" spans="1:107" s="303" customFormat="1" ht="56.25">
      <c r="A441" s="37"/>
      <c r="B441" s="683" t="s">
        <v>23</v>
      </c>
      <c r="C441" s="582" t="s">
        <v>105</v>
      </c>
      <c r="D441" s="582" t="s">
        <v>1226</v>
      </c>
      <c r="E441" s="588">
        <f>'Ref-ComSources'!$AB$17*'Ref-ComSources'!$I$175</f>
        <v>120.47055208607148</v>
      </c>
      <c r="F441" s="582" t="s">
        <v>27</v>
      </c>
      <c r="G441" s="590">
        <f>'Ref-2013CSSsaturationsINT'!$F$99</f>
        <v>0.77140636505360172</v>
      </c>
      <c r="H441" s="582" t="s">
        <v>66</v>
      </c>
      <c r="I441" s="684">
        <f>'Ref-BaselineControls'!$J$14</f>
        <v>0.83</v>
      </c>
      <c r="J441" s="582" t="s">
        <v>1097</v>
      </c>
      <c r="K441" s="582" t="s">
        <v>1265</v>
      </c>
      <c r="L441" s="582" t="s">
        <v>1227</v>
      </c>
      <c r="M441" s="582" t="s">
        <v>91</v>
      </c>
      <c r="N441" s="685">
        <f>E441*G441*'Ref-Savings Calculations'!$E$39*Applicability</f>
        <v>19.028882282242051</v>
      </c>
      <c r="O441" s="685">
        <f>E441*G441*'Ref-Savings Calculations'!$C$89*Applicability*ControlShare</f>
        <v>19.129071560118785</v>
      </c>
      <c r="P441" s="685">
        <f>E441*G441*'Ref-Savings Calculations'!$E$40*Applicability</f>
        <v>16.263056369125476</v>
      </c>
      <c r="Q441" s="686">
        <f>E441*G441*('Ref-Savings Calculations'!$C$89-'Ref-Savings Calculations'!$C$54)*Applicability*ControlShare</f>
        <v>4.3194677716397258</v>
      </c>
      <c r="R441" s="37"/>
      <c r="S441" s="589" t="s">
        <v>44</v>
      </c>
      <c r="T441" s="589" t="s">
        <v>63</v>
      </c>
      <c r="U441" s="589" t="s">
        <v>69</v>
      </c>
      <c r="V441" s="589" t="s">
        <v>69</v>
      </c>
      <c r="W441" s="589" t="s">
        <v>76</v>
      </c>
      <c r="X441" s="37"/>
      <c r="Y441" s="37"/>
      <c r="Z441" s="589" t="s">
        <v>78</v>
      </c>
      <c r="AA441" s="589" t="s">
        <v>78</v>
      </c>
      <c r="AB441" s="37"/>
      <c r="AC441" s="588">
        <f>'Ref-ComHOU'!$G$22</f>
        <v>6.9095890410958898</v>
      </c>
      <c r="AD441" s="588" t="s">
        <v>72</v>
      </c>
      <c r="AE441" s="589" t="s">
        <v>73</v>
      </c>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c r="CA441" s="393"/>
      <c r="CB441" s="393"/>
      <c r="CC441" s="393"/>
      <c r="CD441" s="393"/>
      <c r="CE441" s="393"/>
      <c r="CF441" s="393"/>
      <c r="CG441" s="393"/>
      <c r="CH441" s="393"/>
      <c r="CI441" s="393"/>
      <c r="CJ441" s="390"/>
      <c r="CK441" s="390"/>
      <c r="CL441" s="390"/>
      <c r="CM441" s="390"/>
      <c r="CN441" s="390"/>
      <c r="CO441" s="390"/>
      <c r="CP441" s="390"/>
      <c r="CQ441" s="390"/>
      <c r="CR441" s="390"/>
      <c r="CS441" s="390"/>
      <c r="CT441" s="390"/>
      <c r="CU441" s="390"/>
      <c r="CV441" s="390"/>
      <c r="CW441" s="390"/>
      <c r="CX441" s="390"/>
      <c r="CY441" s="390"/>
      <c r="CZ441" s="390"/>
      <c r="DA441" s="390"/>
      <c r="DB441" s="390"/>
      <c r="DC441" s="390"/>
    </row>
    <row r="442" spans="1:107" s="303" customFormat="1" ht="56.25">
      <c r="A442" s="37"/>
      <c r="B442" s="683" t="s">
        <v>23</v>
      </c>
      <c r="C442" s="582" t="s">
        <v>105</v>
      </c>
      <c r="D442" s="582" t="s">
        <v>1226</v>
      </c>
      <c r="E442" s="588">
        <f>'Ref-ComSources'!$AB$17*'Ref-ComSources'!$I$175</f>
        <v>120.47055208607148</v>
      </c>
      <c r="F442" s="582" t="s">
        <v>27</v>
      </c>
      <c r="G442" s="590">
        <f>'Ref-2013CSSsaturationsINT'!$F$99</f>
        <v>0.77140636505360172</v>
      </c>
      <c r="H442" s="582" t="s">
        <v>66</v>
      </c>
      <c r="I442" s="684">
        <f>'Ref-BaselineControls'!$J$14</f>
        <v>0.83</v>
      </c>
      <c r="J442" s="582" t="s">
        <v>1097</v>
      </c>
      <c r="K442" s="582" t="s">
        <v>1265</v>
      </c>
      <c r="L442" s="582" t="s">
        <v>1227</v>
      </c>
      <c r="M442" s="582" t="s">
        <v>92</v>
      </c>
      <c r="N442" s="685">
        <f>E442*G442*'Ref-Savings Calculations'!$E$39*Applicability</f>
        <v>19.028882282242051</v>
      </c>
      <c r="O442" s="685">
        <f>E442*G442*'Ref-Savings Calculations'!$C$99*Applicability*ControlShare</f>
        <v>22.214405682718589</v>
      </c>
      <c r="P442" s="685">
        <f>E442*G442*'Ref-Savings Calculations'!$E$40*Applicability</f>
        <v>16.263056369125476</v>
      </c>
      <c r="Q442" s="686">
        <f>E442*G442*('Ref-Savings Calculations'!$C$99-'Ref-Savings Calculations'!$C$54)*Applicability*ControlShare</f>
        <v>7.4048018942395304</v>
      </c>
      <c r="R442" s="37"/>
      <c r="S442" s="589" t="s">
        <v>44</v>
      </c>
      <c r="T442" s="589" t="s">
        <v>63</v>
      </c>
      <c r="U442" s="589" t="s">
        <v>69</v>
      </c>
      <c r="V442" s="589" t="s">
        <v>69</v>
      </c>
      <c r="W442" s="589" t="s">
        <v>76</v>
      </c>
      <c r="X442" s="37"/>
      <c r="Y442" s="37"/>
      <c r="Z442" s="589" t="s">
        <v>78</v>
      </c>
      <c r="AA442" s="589" t="s">
        <v>78</v>
      </c>
      <c r="AB442" s="37"/>
      <c r="AC442" s="588">
        <f>'Ref-ComHOU'!$G$22</f>
        <v>6.9095890410958898</v>
      </c>
      <c r="AD442" s="588" t="s">
        <v>72</v>
      </c>
      <c r="AE442" s="589" t="s">
        <v>73</v>
      </c>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c r="CA442" s="393"/>
      <c r="CB442" s="393"/>
      <c r="CC442" s="393"/>
      <c r="CD442" s="393"/>
      <c r="CE442" s="393"/>
      <c r="CF442" s="393"/>
      <c r="CG442" s="393"/>
      <c r="CH442" s="393"/>
      <c r="CI442" s="393"/>
      <c r="CJ442" s="390"/>
      <c r="CK442" s="390"/>
      <c r="CL442" s="390"/>
      <c r="CM442" s="390"/>
      <c r="CN442" s="390"/>
      <c r="CO442" s="390"/>
      <c r="CP442" s="390"/>
      <c r="CQ442" s="390"/>
      <c r="CR442" s="390"/>
      <c r="CS442" s="390"/>
      <c r="CT442" s="390"/>
      <c r="CU442" s="390"/>
      <c r="CV442" s="390"/>
      <c r="CW442" s="390"/>
      <c r="CX442" s="390"/>
      <c r="CY442" s="390"/>
      <c r="CZ442" s="390"/>
      <c r="DA442" s="390"/>
      <c r="DB442" s="390"/>
      <c r="DC442" s="390"/>
    </row>
    <row r="443" spans="1:107" s="303" customFormat="1" ht="56.25">
      <c r="A443" s="37"/>
      <c r="B443" s="683" t="s">
        <v>23</v>
      </c>
      <c r="C443" s="582" t="s">
        <v>105</v>
      </c>
      <c r="D443" s="582" t="s">
        <v>1226</v>
      </c>
      <c r="E443" s="588">
        <f>'Ref-ComSources'!$AB$17*'Ref-ComSources'!$I$175</f>
        <v>120.47055208607148</v>
      </c>
      <c r="F443" s="582" t="s">
        <v>27</v>
      </c>
      <c r="G443" s="590">
        <f>'Ref-2013CSSsaturationsINT'!$F$99</f>
        <v>0.77140636505360172</v>
      </c>
      <c r="H443" s="582" t="s">
        <v>66</v>
      </c>
      <c r="I443" s="684">
        <f>'Ref-BaselineControls'!$J$14</f>
        <v>0.83</v>
      </c>
      <c r="J443" s="582" t="s">
        <v>1097</v>
      </c>
      <c r="K443" s="582" t="s">
        <v>1265</v>
      </c>
      <c r="L443" s="582" t="s">
        <v>1227</v>
      </c>
      <c r="M443" s="582" t="s">
        <v>93</v>
      </c>
      <c r="N443" s="685">
        <f>E443*G443*'Ref-Savings Calculations'!$E$39*Applicability</f>
        <v>19.028882282242051</v>
      </c>
      <c r="O443" s="685">
        <f>E443*G443*'Ref-Savings Calculations'!$C$109*Applicability*ControlShare</f>
        <v>23.448539331758511</v>
      </c>
      <c r="P443" s="685">
        <f>E443*G443*'Ref-Savings Calculations'!$E$40*Applicability</f>
        <v>16.263056369125476</v>
      </c>
      <c r="Q443" s="686">
        <f>E443*G443*('Ref-Savings Calculations'!$C$109-'Ref-Savings Calculations'!$C$54)*Applicability*ControlShare</f>
        <v>8.6389355432794517</v>
      </c>
      <c r="R443" s="37"/>
      <c r="S443" s="589" t="s">
        <v>44</v>
      </c>
      <c r="T443" s="589" t="s">
        <v>63</v>
      </c>
      <c r="U443" s="589" t="s">
        <v>44</v>
      </c>
      <c r="V443" s="589" t="s">
        <v>75</v>
      </c>
      <c r="W443" s="589" t="s">
        <v>76</v>
      </c>
      <c r="X443" s="37"/>
      <c r="Y443" s="37"/>
      <c r="Z443" s="589" t="s">
        <v>78</v>
      </c>
      <c r="AA443" s="589" t="s">
        <v>78</v>
      </c>
      <c r="AB443" s="37"/>
      <c r="AC443" s="588">
        <f>'Ref-ComHOU'!$G$22</f>
        <v>6.9095890410958898</v>
      </c>
      <c r="AD443" s="588" t="s">
        <v>72</v>
      </c>
      <c r="AE443" s="589" t="s">
        <v>73</v>
      </c>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c r="CA443" s="393"/>
      <c r="CB443" s="393"/>
      <c r="CC443" s="393"/>
      <c r="CD443" s="393"/>
      <c r="CE443" s="393"/>
      <c r="CF443" s="393"/>
      <c r="CG443" s="393"/>
      <c r="CH443" s="393"/>
      <c r="CI443" s="393"/>
      <c r="CJ443" s="390"/>
      <c r="CK443" s="390"/>
      <c r="CL443" s="390"/>
      <c r="CM443" s="390"/>
      <c r="CN443" s="390"/>
      <c r="CO443" s="390"/>
      <c r="CP443" s="390"/>
      <c r="CQ443" s="390"/>
      <c r="CR443" s="390"/>
      <c r="CS443" s="390"/>
      <c r="CT443" s="390"/>
      <c r="CU443" s="390"/>
      <c r="CV443" s="390"/>
      <c r="CW443" s="390"/>
      <c r="CX443" s="390"/>
      <c r="CY443" s="390"/>
      <c r="CZ443" s="390"/>
      <c r="DA443" s="390"/>
      <c r="DB443" s="390"/>
      <c r="DC443" s="390"/>
    </row>
    <row r="444" spans="1:107" s="303" customFormat="1" ht="24">
      <c r="A444" s="37"/>
      <c r="B444" s="683" t="s">
        <v>23</v>
      </c>
      <c r="C444" s="582" t="s">
        <v>105</v>
      </c>
      <c r="D444" s="582" t="s">
        <v>1226</v>
      </c>
      <c r="E444" s="588">
        <f>'Ref-ComSources'!$AB$17*'Ref-ComSources'!$I$175</f>
        <v>120.47055208607148</v>
      </c>
      <c r="F444" s="582" t="s">
        <v>1245</v>
      </c>
      <c r="G444" s="590">
        <f>'Ref-2013CSSsaturationsINT'!$F$103</f>
        <v>0.16313589837577527</v>
      </c>
      <c r="H444" s="582" t="s">
        <v>66</v>
      </c>
      <c r="I444" s="684">
        <f>'Ref-BaselineControls'!$J$14</f>
        <v>0.83</v>
      </c>
      <c r="J444" s="582" t="s">
        <v>994</v>
      </c>
      <c r="K444" s="582" t="s">
        <v>1265</v>
      </c>
      <c r="L444" s="582" t="s">
        <v>1227</v>
      </c>
      <c r="M444" s="582" t="s">
        <v>88</v>
      </c>
      <c r="N444" s="685">
        <f>E444*G444*'Ref-Savings Calculations'!$E$27*Applicability</f>
        <v>8.4757556705868851</v>
      </c>
      <c r="O444" s="685">
        <f>E444*G444*'Ref-Savings Calculations'!$C$54*Applicability*ControlShare</f>
        <v>3.1319135128667765</v>
      </c>
      <c r="P444" s="685">
        <f>E444*G444*'Ref-Savings Calculations'!$E$28*Applicability</f>
        <v>7.9273356039594152</v>
      </c>
      <c r="Q444" s="685" t="s">
        <v>871</v>
      </c>
      <c r="R444" s="37"/>
      <c r="S444" s="589" t="s">
        <v>44</v>
      </c>
      <c r="T444" s="589" t="s">
        <v>63</v>
      </c>
      <c r="U444" s="589" t="s">
        <v>69</v>
      </c>
      <c r="V444" s="589" t="s">
        <v>69</v>
      </c>
      <c r="W444" s="589" t="s">
        <v>76</v>
      </c>
      <c r="X444" s="37"/>
      <c r="Y444" s="37"/>
      <c r="Z444" s="589" t="s">
        <v>78</v>
      </c>
      <c r="AA444" s="589" t="s">
        <v>78</v>
      </c>
      <c r="AB444" s="37"/>
      <c r="AC444" s="588">
        <f>'Ref-ComHOU'!$G$22</f>
        <v>6.9095890410958898</v>
      </c>
      <c r="AD444" s="588" t="s">
        <v>72</v>
      </c>
      <c r="AE444" s="589" t="s">
        <v>73</v>
      </c>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c r="CA444" s="393"/>
      <c r="CB444" s="393"/>
      <c r="CC444" s="393"/>
      <c r="CD444" s="393"/>
      <c r="CE444" s="393"/>
      <c r="CF444" s="393"/>
      <c r="CG444" s="393"/>
      <c r="CH444" s="393"/>
      <c r="CI444" s="393"/>
      <c r="CJ444" s="390"/>
      <c r="CK444" s="390"/>
      <c r="CL444" s="390"/>
      <c r="CM444" s="390"/>
      <c r="CN444" s="390"/>
      <c r="CO444" s="390"/>
      <c r="CP444" s="390"/>
      <c r="CQ444" s="390"/>
      <c r="CR444" s="390"/>
      <c r="CS444" s="390"/>
      <c r="CT444" s="390"/>
      <c r="CU444" s="390"/>
      <c r="CV444" s="390"/>
      <c r="CW444" s="390"/>
      <c r="CX444" s="390"/>
      <c r="CY444" s="390"/>
      <c r="CZ444" s="390"/>
      <c r="DA444" s="390"/>
      <c r="DB444" s="390"/>
      <c r="DC444" s="390"/>
    </row>
    <row r="445" spans="1:107" s="303" customFormat="1" ht="24">
      <c r="A445" s="37"/>
      <c r="B445" s="683" t="s">
        <v>23</v>
      </c>
      <c r="C445" s="582" t="s">
        <v>105</v>
      </c>
      <c r="D445" s="582" t="s">
        <v>1226</v>
      </c>
      <c r="E445" s="588">
        <f>'Ref-ComSources'!$AB$17*'Ref-ComSources'!$I$175</f>
        <v>120.47055208607148</v>
      </c>
      <c r="F445" s="582" t="s">
        <v>1245</v>
      </c>
      <c r="G445" s="590">
        <f>'Ref-2013CSSsaturationsINT'!$F$103</f>
        <v>0.16313589837577527</v>
      </c>
      <c r="H445" s="582" t="s">
        <v>66</v>
      </c>
      <c r="I445" s="684">
        <f>'Ref-BaselineControls'!$J$14</f>
        <v>0.83</v>
      </c>
      <c r="J445" s="582" t="s">
        <v>994</v>
      </c>
      <c r="K445" s="582" t="s">
        <v>1265</v>
      </c>
      <c r="L445" s="582" t="s">
        <v>1227</v>
      </c>
      <c r="M445" s="582" t="s">
        <v>90</v>
      </c>
      <c r="N445" s="685">
        <f>E445*G445*'Ref-Savings Calculations'!$E$27*Applicability</f>
        <v>8.4757556705868851</v>
      </c>
      <c r="O445" s="685">
        <f>E445*G445*'Ref-Savings Calculations'!$C$77*Applicability*ControlShare</f>
        <v>3.6538990983445725</v>
      </c>
      <c r="P445" s="685">
        <f>E445*G445*'Ref-Savings Calculations'!$E$28*Applicability</f>
        <v>7.9273356039594152</v>
      </c>
      <c r="Q445" s="686" t="s">
        <v>1109</v>
      </c>
      <c r="R445" s="37"/>
      <c r="S445" s="589" t="s">
        <v>44</v>
      </c>
      <c r="T445" s="589" t="s">
        <v>63</v>
      </c>
      <c r="U445" s="589" t="s">
        <v>69</v>
      </c>
      <c r="V445" s="589" t="s">
        <v>69</v>
      </c>
      <c r="W445" s="589" t="s">
        <v>76</v>
      </c>
      <c r="X445" s="37"/>
      <c r="Y445" s="37"/>
      <c r="Z445" s="589" t="s">
        <v>78</v>
      </c>
      <c r="AA445" s="589" t="s">
        <v>78</v>
      </c>
      <c r="AB445" s="37"/>
      <c r="AC445" s="588">
        <f>'Ref-ComHOU'!$G$22</f>
        <v>6.9095890410958898</v>
      </c>
      <c r="AD445" s="588" t="s">
        <v>72</v>
      </c>
      <c r="AE445" s="589" t="s">
        <v>73</v>
      </c>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c r="CA445" s="393"/>
      <c r="CB445" s="393"/>
      <c r="CC445" s="393"/>
      <c r="CD445" s="393"/>
      <c r="CE445" s="393"/>
      <c r="CF445" s="393"/>
      <c r="CG445" s="393"/>
      <c r="CH445" s="393"/>
      <c r="CI445" s="393"/>
      <c r="CJ445" s="390"/>
      <c r="CK445" s="390"/>
      <c r="CL445" s="390"/>
      <c r="CM445" s="390"/>
      <c r="CN445" s="390"/>
      <c r="CO445" s="390"/>
      <c r="CP445" s="390"/>
      <c r="CQ445" s="390"/>
      <c r="CR445" s="390"/>
      <c r="CS445" s="390"/>
      <c r="CT445" s="390"/>
      <c r="CU445" s="390"/>
      <c r="CV445" s="390"/>
      <c r="CW445" s="390"/>
      <c r="CX445" s="390"/>
      <c r="CY445" s="390"/>
      <c r="CZ445" s="390"/>
      <c r="DA445" s="390"/>
      <c r="DB445" s="390"/>
      <c r="DC445" s="390"/>
    </row>
    <row r="446" spans="1:107" s="303" customFormat="1" ht="24">
      <c r="A446" s="37"/>
      <c r="B446" s="683" t="s">
        <v>23</v>
      </c>
      <c r="C446" s="582" t="s">
        <v>105</v>
      </c>
      <c r="D446" s="582" t="s">
        <v>1226</v>
      </c>
      <c r="E446" s="588">
        <f>'Ref-ComSources'!$AB$17*'Ref-ComSources'!$I$175</f>
        <v>120.47055208607148</v>
      </c>
      <c r="F446" s="582" t="s">
        <v>1245</v>
      </c>
      <c r="G446" s="590">
        <f>'Ref-2013CSSsaturationsINT'!$F$103</f>
        <v>0.16313589837577527</v>
      </c>
      <c r="H446" s="582" t="s">
        <v>66</v>
      </c>
      <c r="I446" s="684">
        <f>'Ref-BaselineControls'!$J$14</f>
        <v>0.83</v>
      </c>
      <c r="J446" s="582" t="s">
        <v>994</v>
      </c>
      <c r="K446" s="582" t="s">
        <v>1265</v>
      </c>
      <c r="L446" s="582" t="s">
        <v>1227</v>
      </c>
      <c r="M446" s="582" t="s">
        <v>91</v>
      </c>
      <c r="N446" s="685">
        <f>E446*G446*'Ref-Savings Calculations'!$E$27*Applicability</f>
        <v>8.4757556705868851</v>
      </c>
      <c r="O446" s="685">
        <f>E446*G446*'Ref-Savings Calculations'!$C$89*Applicability*ControlShare</f>
        <v>4.0453882874529192</v>
      </c>
      <c r="P446" s="685">
        <f>E446*G446*'Ref-Savings Calculations'!$E$28*Applicability</f>
        <v>7.9273356039594152</v>
      </c>
      <c r="Q446" s="686">
        <f>E446*G446*('Ref-Savings Calculations'!$C$89-'Ref-Savings Calculations'!$C$54)*Applicability*ControlShare</f>
        <v>0.91347477458614312</v>
      </c>
      <c r="R446" s="37"/>
      <c r="S446" s="589" t="s">
        <v>44</v>
      </c>
      <c r="T446" s="589" t="s">
        <v>63</v>
      </c>
      <c r="U446" s="589" t="s">
        <v>69</v>
      </c>
      <c r="V446" s="589" t="s">
        <v>69</v>
      </c>
      <c r="W446" s="589" t="s">
        <v>76</v>
      </c>
      <c r="X446" s="37"/>
      <c r="Y446" s="37"/>
      <c r="Z446" s="589" t="s">
        <v>78</v>
      </c>
      <c r="AA446" s="589" t="s">
        <v>78</v>
      </c>
      <c r="AB446" s="37"/>
      <c r="AC446" s="588">
        <f>'Ref-ComHOU'!$G$22</f>
        <v>6.9095890410958898</v>
      </c>
      <c r="AD446" s="588" t="s">
        <v>72</v>
      </c>
      <c r="AE446" s="589" t="s">
        <v>73</v>
      </c>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c r="CA446" s="393"/>
      <c r="CB446" s="393"/>
      <c r="CC446" s="393"/>
      <c r="CD446" s="393"/>
      <c r="CE446" s="393"/>
      <c r="CF446" s="393"/>
      <c r="CG446" s="393"/>
      <c r="CH446" s="393"/>
      <c r="CI446" s="393"/>
      <c r="CJ446" s="390"/>
      <c r="CK446" s="390"/>
      <c r="CL446" s="390"/>
      <c r="CM446" s="390"/>
      <c r="CN446" s="390"/>
      <c r="CO446" s="390"/>
      <c r="CP446" s="390"/>
      <c r="CQ446" s="390"/>
      <c r="CR446" s="390"/>
      <c r="CS446" s="390"/>
      <c r="CT446" s="390"/>
      <c r="CU446" s="390"/>
      <c r="CV446" s="390"/>
      <c r="CW446" s="390"/>
      <c r="CX446" s="390"/>
      <c r="CY446" s="390"/>
      <c r="CZ446" s="390"/>
      <c r="DA446" s="390"/>
      <c r="DB446" s="390"/>
      <c r="DC446" s="390"/>
    </row>
    <row r="447" spans="1:107" s="303" customFormat="1" ht="24">
      <c r="A447" s="37"/>
      <c r="B447" s="683" t="s">
        <v>23</v>
      </c>
      <c r="C447" s="582" t="s">
        <v>105</v>
      </c>
      <c r="D447" s="582" t="s">
        <v>1226</v>
      </c>
      <c r="E447" s="588">
        <f>'Ref-ComSources'!$AB$17*'Ref-ComSources'!$I$175</f>
        <v>120.47055208607148</v>
      </c>
      <c r="F447" s="582" t="s">
        <v>1245</v>
      </c>
      <c r="G447" s="590">
        <f>'Ref-2013CSSsaturationsINT'!$F$103</f>
        <v>0.16313589837577527</v>
      </c>
      <c r="H447" s="582" t="s">
        <v>66</v>
      </c>
      <c r="I447" s="684">
        <f>'Ref-BaselineControls'!$J$14</f>
        <v>0.83</v>
      </c>
      <c r="J447" s="582" t="s">
        <v>994</v>
      </c>
      <c r="K447" s="582" t="s">
        <v>1265</v>
      </c>
      <c r="L447" s="582" t="s">
        <v>1227</v>
      </c>
      <c r="M447" s="582" t="s">
        <v>92</v>
      </c>
      <c r="N447" s="685">
        <f>E447*G447*'Ref-Savings Calculations'!$E$27*Applicability</f>
        <v>8.4757556705868851</v>
      </c>
      <c r="O447" s="685">
        <f>E447*G447*'Ref-Savings Calculations'!$C$99*Applicability*ControlShare</f>
        <v>4.6978702693001644</v>
      </c>
      <c r="P447" s="685">
        <f>E447*G447*'Ref-Savings Calculations'!$E$28*Applicability</f>
        <v>7.9273356039594152</v>
      </c>
      <c r="Q447" s="686">
        <f>E447*G447*('Ref-Savings Calculations'!$C$99-'Ref-Savings Calculations'!$C$54)*Applicability*ControlShare</f>
        <v>1.5659567564333883</v>
      </c>
      <c r="R447" s="37"/>
      <c r="S447" s="589" t="s">
        <v>44</v>
      </c>
      <c r="T447" s="589" t="s">
        <v>63</v>
      </c>
      <c r="U447" s="589" t="s">
        <v>69</v>
      </c>
      <c r="V447" s="589" t="s">
        <v>69</v>
      </c>
      <c r="W447" s="589" t="s">
        <v>76</v>
      </c>
      <c r="X447" s="37"/>
      <c r="Y447" s="37"/>
      <c r="Z447" s="589" t="s">
        <v>78</v>
      </c>
      <c r="AA447" s="589" t="s">
        <v>78</v>
      </c>
      <c r="AB447" s="37"/>
      <c r="AC447" s="588">
        <f>'Ref-ComHOU'!$G$22</f>
        <v>6.9095890410958898</v>
      </c>
      <c r="AD447" s="588" t="s">
        <v>72</v>
      </c>
      <c r="AE447" s="589" t="s">
        <v>73</v>
      </c>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c r="CA447" s="393"/>
      <c r="CB447" s="393"/>
      <c r="CC447" s="393"/>
      <c r="CD447" s="393"/>
      <c r="CE447" s="393"/>
      <c r="CF447" s="393"/>
      <c r="CG447" s="393"/>
      <c r="CH447" s="393"/>
      <c r="CI447" s="393"/>
      <c r="CJ447" s="390"/>
      <c r="CK447" s="390"/>
      <c r="CL447" s="390"/>
      <c r="CM447" s="390"/>
      <c r="CN447" s="390"/>
      <c r="CO447" s="390"/>
      <c r="CP447" s="390"/>
      <c r="CQ447" s="390"/>
      <c r="CR447" s="390"/>
      <c r="CS447" s="390"/>
      <c r="CT447" s="390"/>
      <c r="CU447" s="390"/>
      <c r="CV447" s="390"/>
      <c r="CW447" s="390"/>
      <c r="CX447" s="390"/>
      <c r="CY447" s="390"/>
      <c r="CZ447" s="390"/>
      <c r="DA447" s="390"/>
      <c r="DB447" s="390"/>
      <c r="DC447" s="390"/>
    </row>
    <row r="448" spans="1:107" s="303" customFormat="1" ht="24">
      <c r="A448" s="37"/>
      <c r="B448" s="683" t="s">
        <v>23</v>
      </c>
      <c r="C448" s="582" t="s">
        <v>105</v>
      </c>
      <c r="D448" s="582" t="s">
        <v>1226</v>
      </c>
      <c r="E448" s="588">
        <f>'Ref-ComSources'!$AB$17*'Ref-ComSources'!$I$175</f>
        <v>120.47055208607148</v>
      </c>
      <c r="F448" s="582" t="s">
        <v>1245</v>
      </c>
      <c r="G448" s="590">
        <f>'Ref-2013CSSsaturationsINT'!$F$103</f>
        <v>0.16313589837577527</v>
      </c>
      <c r="H448" s="582" t="s">
        <v>66</v>
      </c>
      <c r="I448" s="684">
        <f>'Ref-BaselineControls'!$J$14</f>
        <v>0.83</v>
      </c>
      <c r="J448" s="582" t="s">
        <v>994</v>
      </c>
      <c r="K448" s="582" t="s">
        <v>1265</v>
      </c>
      <c r="L448" s="582" t="s">
        <v>1227</v>
      </c>
      <c r="M448" s="582" t="s">
        <v>93</v>
      </c>
      <c r="N448" s="685">
        <f>E448*G448*'Ref-Savings Calculations'!$E$27*Applicability</f>
        <v>8.4757556705868851</v>
      </c>
      <c r="O448" s="685">
        <f>E448*G448*'Ref-Savings Calculations'!$C$109*Applicability*ControlShare</f>
        <v>4.9588630620390619</v>
      </c>
      <c r="P448" s="685">
        <f>E448*G448*'Ref-Savings Calculations'!$E$28*Applicability</f>
        <v>7.9273356039594152</v>
      </c>
      <c r="Q448" s="686">
        <f>E448*G448*('Ref-Savings Calculations'!$C$109-'Ref-Savings Calculations'!$C$54)*Applicability*ControlShare</f>
        <v>1.8269495491722862</v>
      </c>
      <c r="R448" s="37"/>
      <c r="S448" s="589" t="s">
        <v>44</v>
      </c>
      <c r="T448" s="589" t="s">
        <v>63</v>
      </c>
      <c r="U448" s="589" t="s">
        <v>44</v>
      </c>
      <c r="V448" s="589" t="s">
        <v>75</v>
      </c>
      <c r="W448" s="589" t="s">
        <v>76</v>
      </c>
      <c r="X448" s="37"/>
      <c r="Y448" s="37"/>
      <c r="Z448" s="589" t="s">
        <v>78</v>
      </c>
      <c r="AA448" s="589" t="s">
        <v>78</v>
      </c>
      <c r="AB448" s="37"/>
      <c r="AC448" s="588">
        <f>'Ref-ComHOU'!$G$22</f>
        <v>6.9095890410958898</v>
      </c>
      <c r="AD448" s="588" t="s">
        <v>72</v>
      </c>
      <c r="AE448" s="589" t="s">
        <v>73</v>
      </c>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c r="CA448" s="393"/>
      <c r="CB448" s="393"/>
      <c r="CC448" s="393"/>
      <c r="CD448" s="393"/>
      <c r="CE448" s="393"/>
      <c r="CF448" s="393"/>
      <c r="CG448" s="393"/>
      <c r="CH448" s="393"/>
      <c r="CI448" s="393"/>
      <c r="CJ448" s="390"/>
      <c r="CK448" s="390"/>
      <c r="CL448" s="390"/>
      <c r="CM448" s="390"/>
      <c r="CN448" s="390"/>
      <c r="CO448" s="390"/>
      <c r="CP448" s="390"/>
      <c r="CQ448" s="390"/>
      <c r="CR448" s="390"/>
      <c r="CS448" s="390"/>
      <c r="CT448" s="390"/>
      <c r="CU448" s="390"/>
      <c r="CV448" s="390"/>
      <c r="CW448" s="390"/>
      <c r="CX448" s="390"/>
      <c r="CY448" s="390"/>
      <c r="CZ448" s="390"/>
      <c r="DA448" s="390"/>
      <c r="DB448" s="390"/>
      <c r="DC448" s="390"/>
    </row>
    <row r="449" spans="1:107" s="303" customFormat="1" ht="24">
      <c r="A449" s="37"/>
      <c r="B449" s="683" t="s">
        <v>23</v>
      </c>
      <c r="C449" s="582" t="s">
        <v>105</v>
      </c>
      <c r="D449" s="582" t="s">
        <v>1226</v>
      </c>
      <c r="E449" s="588">
        <f>'Ref-ComSources'!$AB$17*'Ref-ComSources'!$I$175</f>
        <v>120.47055208607148</v>
      </c>
      <c r="F449" s="582" t="s">
        <v>1245</v>
      </c>
      <c r="G449" s="590">
        <f>'Ref-2013CSSsaturationsINT'!$F$103</f>
        <v>0.16313589837577527</v>
      </c>
      <c r="H449" s="582" t="s">
        <v>66</v>
      </c>
      <c r="I449" s="684">
        <f>'Ref-BaselineControls'!$J$14</f>
        <v>0.83</v>
      </c>
      <c r="J449" s="582" t="s">
        <v>994</v>
      </c>
      <c r="K449" s="582" t="s">
        <v>1265</v>
      </c>
      <c r="L449" s="582" t="s">
        <v>995</v>
      </c>
      <c r="M449" s="582" t="s">
        <v>88</v>
      </c>
      <c r="N449" s="685">
        <f>E449*G449*'Ref-Savings Calculations'!$E$19*Applicability</f>
        <v>3.8010336556704338</v>
      </c>
      <c r="O449" s="685">
        <f>E449*G449*'Ref-Savings Calculations'!$C$54*Applicability*ControlShare</f>
        <v>3.1319135128667765</v>
      </c>
      <c r="P449" s="685">
        <f>E449*G449*'Ref-Savings Calculations'!$E$20*Applicability</f>
        <v>3.1079276243774636</v>
      </c>
      <c r="Q449" s="685" t="s">
        <v>871</v>
      </c>
      <c r="R449" s="37"/>
      <c r="S449" s="589" t="s">
        <v>44</v>
      </c>
      <c r="T449" s="589" t="s">
        <v>69</v>
      </c>
      <c r="U449" s="589" t="s">
        <v>69</v>
      </c>
      <c r="V449" s="589" t="s">
        <v>69</v>
      </c>
      <c r="W449" s="589" t="s">
        <v>76</v>
      </c>
      <c r="X449" s="37"/>
      <c r="Y449" s="37"/>
      <c r="Z449" s="589" t="s">
        <v>78</v>
      </c>
      <c r="AA449" s="589" t="s">
        <v>78</v>
      </c>
      <c r="AB449" s="37"/>
      <c r="AC449" s="588">
        <f>'Ref-ComHOU'!$G$22</f>
        <v>6.9095890410958898</v>
      </c>
      <c r="AD449" s="588" t="s">
        <v>72</v>
      </c>
      <c r="AE449" s="589" t="s">
        <v>73</v>
      </c>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c r="CA449" s="393"/>
      <c r="CB449" s="393"/>
      <c r="CC449" s="393"/>
      <c r="CD449" s="393"/>
      <c r="CE449" s="393"/>
      <c r="CF449" s="393"/>
      <c r="CG449" s="393"/>
      <c r="CH449" s="393"/>
      <c r="CI449" s="393"/>
      <c r="CJ449" s="390"/>
      <c r="CK449" s="390"/>
      <c r="CL449" s="390"/>
      <c r="CM449" s="390"/>
      <c r="CN449" s="390"/>
      <c r="CO449" s="390"/>
      <c r="CP449" s="390"/>
      <c r="CQ449" s="390"/>
      <c r="CR449" s="390"/>
      <c r="CS449" s="390"/>
      <c r="CT449" s="390"/>
      <c r="CU449" s="390"/>
      <c r="CV449" s="390"/>
      <c r="CW449" s="390"/>
      <c r="CX449" s="390"/>
      <c r="CY449" s="390"/>
      <c r="CZ449" s="390"/>
      <c r="DA449" s="390"/>
      <c r="DB449" s="390"/>
      <c r="DC449" s="390"/>
    </row>
    <row r="450" spans="1:107" s="303" customFormat="1" ht="24">
      <c r="A450" s="37"/>
      <c r="B450" s="683" t="s">
        <v>23</v>
      </c>
      <c r="C450" s="582" t="s">
        <v>105</v>
      </c>
      <c r="D450" s="582" t="s">
        <v>1226</v>
      </c>
      <c r="E450" s="588">
        <f>'Ref-ComSources'!$AB$17*'Ref-ComSources'!$I$175</f>
        <v>120.47055208607148</v>
      </c>
      <c r="F450" s="582" t="s">
        <v>1245</v>
      </c>
      <c r="G450" s="590">
        <f>'Ref-2013CSSsaturationsINT'!$F$103</f>
        <v>0.16313589837577527</v>
      </c>
      <c r="H450" s="582" t="s">
        <v>66</v>
      </c>
      <c r="I450" s="684">
        <f>'Ref-BaselineControls'!$J$14</f>
        <v>0.83</v>
      </c>
      <c r="J450" s="582" t="s">
        <v>994</v>
      </c>
      <c r="K450" s="582" t="s">
        <v>1265</v>
      </c>
      <c r="L450" s="582" t="s">
        <v>995</v>
      </c>
      <c r="M450" s="582" t="s">
        <v>90</v>
      </c>
      <c r="N450" s="685">
        <f>E450*G450*'Ref-Savings Calculations'!$E$19*Applicability</f>
        <v>3.8010336556704338</v>
      </c>
      <c r="O450" s="685">
        <f>E450*G450*'Ref-Savings Calculations'!$C$77*Applicability*ControlShare</f>
        <v>3.6538990983445725</v>
      </c>
      <c r="P450" s="685">
        <f>E450*G450*'Ref-Savings Calculations'!$E$20*Applicability</f>
        <v>3.1079276243774636</v>
      </c>
      <c r="Q450" s="686" t="s">
        <v>1109</v>
      </c>
      <c r="R450" s="37"/>
      <c r="S450" s="589" t="s">
        <v>44</v>
      </c>
      <c r="T450" s="589" t="s">
        <v>69</v>
      </c>
      <c r="U450" s="589" t="s">
        <v>69</v>
      </c>
      <c r="V450" s="589" t="s">
        <v>69</v>
      </c>
      <c r="W450" s="589" t="s">
        <v>76</v>
      </c>
      <c r="X450" s="37"/>
      <c r="Y450" s="37"/>
      <c r="Z450" s="589" t="s">
        <v>78</v>
      </c>
      <c r="AA450" s="589" t="s">
        <v>78</v>
      </c>
      <c r="AB450" s="37"/>
      <c r="AC450" s="588">
        <f>'Ref-ComHOU'!$G$22</f>
        <v>6.9095890410958898</v>
      </c>
      <c r="AD450" s="588" t="s">
        <v>72</v>
      </c>
      <c r="AE450" s="589" t="s">
        <v>73</v>
      </c>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c r="CA450" s="393"/>
      <c r="CB450" s="393"/>
      <c r="CC450" s="393"/>
      <c r="CD450" s="393"/>
      <c r="CE450" s="393"/>
      <c r="CF450" s="393"/>
      <c r="CG450" s="393"/>
      <c r="CH450" s="393"/>
      <c r="CI450" s="393"/>
      <c r="CJ450" s="390"/>
      <c r="CK450" s="390"/>
      <c r="CL450" s="390"/>
      <c r="CM450" s="390"/>
      <c r="CN450" s="390"/>
      <c r="CO450" s="390"/>
      <c r="CP450" s="390"/>
      <c r="CQ450" s="390"/>
      <c r="CR450" s="390"/>
      <c r="CS450" s="390"/>
      <c r="CT450" s="390"/>
      <c r="CU450" s="390"/>
      <c r="CV450" s="390"/>
      <c r="CW450" s="390"/>
      <c r="CX450" s="390"/>
      <c r="CY450" s="390"/>
      <c r="CZ450" s="390"/>
      <c r="DA450" s="390"/>
      <c r="DB450" s="390"/>
      <c r="DC450" s="390"/>
    </row>
    <row r="451" spans="1:107" s="303" customFormat="1" ht="24">
      <c r="A451" s="37"/>
      <c r="B451" s="683" t="s">
        <v>23</v>
      </c>
      <c r="C451" s="582" t="s">
        <v>105</v>
      </c>
      <c r="D451" s="582" t="s">
        <v>1226</v>
      </c>
      <c r="E451" s="588">
        <f>'Ref-ComSources'!$AB$17*'Ref-ComSources'!$I$175</f>
        <v>120.47055208607148</v>
      </c>
      <c r="F451" s="582" t="s">
        <v>1245</v>
      </c>
      <c r="G451" s="590">
        <f>'Ref-2013CSSsaturationsINT'!$F$103</f>
        <v>0.16313589837577527</v>
      </c>
      <c r="H451" s="582" t="s">
        <v>66</v>
      </c>
      <c r="I451" s="684">
        <f>'Ref-BaselineControls'!$J$14</f>
        <v>0.83</v>
      </c>
      <c r="J451" s="582" t="s">
        <v>994</v>
      </c>
      <c r="K451" s="582" t="s">
        <v>1265</v>
      </c>
      <c r="L451" s="582" t="s">
        <v>995</v>
      </c>
      <c r="M451" s="582" t="s">
        <v>91</v>
      </c>
      <c r="N451" s="685">
        <f>E451*G451*'Ref-Savings Calculations'!$E$19*Applicability</f>
        <v>3.8010336556704338</v>
      </c>
      <c r="O451" s="685">
        <f>E451*G451*'Ref-Savings Calculations'!$C$89*Applicability*ControlShare</f>
        <v>4.0453882874529192</v>
      </c>
      <c r="P451" s="685">
        <f>E451*G451*'Ref-Savings Calculations'!$E$20*Applicability</f>
        <v>3.1079276243774636</v>
      </c>
      <c r="Q451" s="686">
        <f>E451*G451*('Ref-Savings Calculations'!$C$89-'Ref-Savings Calculations'!$C$54)*Applicability*ControlShare</f>
        <v>0.91347477458614312</v>
      </c>
      <c r="R451" s="37"/>
      <c r="S451" s="589" t="s">
        <v>44</v>
      </c>
      <c r="T451" s="589" t="s">
        <v>69</v>
      </c>
      <c r="U451" s="589" t="s">
        <v>69</v>
      </c>
      <c r="V451" s="589" t="s">
        <v>69</v>
      </c>
      <c r="W451" s="589" t="s">
        <v>76</v>
      </c>
      <c r="X451" s="37"/>
      <c r="Y451" s="37"/>
      <c r="Z451" s="589" t="s">
        <v>78</v>
      </c>
      <c r="AA451" s="589" t="s">
        <v>78</v>
      </c>
      <c r="AB451" s="37"/>
      <c r="AC451" s="588">
        <f>'Ref-ComHOU'!$G$22</f>
        <v>6.9095890410958898</v>
      </c>
      <c r="AD451" s="588" t="s">
        <v>72</v>
      </c>
      <c r="AE451" s="589" t="s">
        <v>73</v>
      </c>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c r="CA451" s="393"/>
      <c r="CB451" s="393"/>
      <c r="CC451" s="393"/>
      <c r="CD451" s="393"/>
      <c r="CE451" s="393"/>
      <c r="CF451" s="393"/>
      <c r="CG451" s="393"/>
      <c r="CH451" s="393"/>
      <c r="CI451" s="393"/>
      <c r="CJ451" s="390"/>
      <c r="CK451" s="390"/>
      <c r="CL451" s="390"/>
      <c r="CM451" s="390"/>
      <c r="CN451" s="390"/>
      <c r="CO451" s="390"/>
      <c r="CP451" s="390"/>
      <c r="CQ451" s="390"/>
      <c r="CR451" s="390"/>
      <c r="CS451" s="390"/>
      <c r="CT451" s="390"/>
      <c r="CU451" s="390"/>
      <c r="CV451" s="390"/>
      <c r="CW451" s="390"/>
      <c r="CX451" s="390"/>
      <c r="CY451" s="390"/>
      <c r="CZ451" s="390"/>
      <c r="DA451" s="390"/>
      <c r="DB451" s="390"/>
      <c r="DC451" s="390"/>
    </row>
    <row r="452" spans="1:107" s="303" customFormat="1" ht="24">
      <c r="A452" s="37"/>
      <c r="B452" s="683" t="s">
        <v>23</v>
      </c>
      <c r="C452" s="582" t="s">
        <v>105</v>
      </c>
      <c r="D452" s="582" t="s">
        <v>1226</v>
      </c>
      <c r="E452" s="588">
        <f>'Ref-ComSources'!$AB$17*'Ref-ComSources'!$I$175</f>
        <v>120.47055208607148</v>
      </c>
      <c r="F452" s="582" t="s">
        <v>1245</v>
      </c>
      <c r="G452" s="590">
        <f>'Ref-2013CSSsaturationsINT'!$F$103</f>
        <v>0.16313589837577527</v>
      </c>
      <c r="H452" s="582" t="s">
        <v>66</v>
      </c>
      <c r="I452" s="684">
        <f>'Ref-BaselineControls'!$J$14</f>
        <v>0.83</v>
      </c>
      <c r="J452" s="582" t="s">
        <v>994</v>
      </c>
      <c r="K452" s="582" t="s">
        <v>1265</v>
      </c>
      <c r="L452" s="582" t="s">
        <v>995</v>
      </c>
      <c r="M452" s="582" t="s">
        <v>92</v>
      </c>
      <c r="N452" s="685">
        <f>E452*G452*'Ref-Savings Calculations'!$E$19*Applicability</f>
        <v>3.8010336556704338</v>
      </c>
      <c r="O452" s="685">
        <f>E452*G452*'Ref-Savings Calculations'!$C$99*Applicability*ControlShare</f>
        <v>4.6978702693001644</v>
      </c>
      <c r="P452" s="685">
        <f>E452*G452*'Ref-Savings Calculations'!$E$20*Applicability</f>
        <v>3.1079276243774636</v>
      </c>
      <c r="Q452" s="686">
        <f>E452*G452*('Ref-Savings Calculations'!$C$99-'Ref-Savings Calculations'!$C$54)*Applicability*ControlShare</f>
        <v>1.5659567564333883</v>
      </c>
      <c r="R452" s="37"/>
      <c r="S452" s="589" t="s">
        <v>44</v>
      </c>
      <c r="T452" s="589" t="s">
        <v>69</v>
      </c>
      <c r="U452" s="589" t="s">
        <v>69</v>
      </c>
      <c r="V452" s="589" t="s">
        <v>69</v>
      </c>
      <c r="W452" s="589" t="s">
        <v>76</v>
      </c>
      <c r="X452" s="37"/>
      <c r="Y452" s="37"/>
      <c r="Z452" s="589" t="s">
        <v>78</v>
      </c>
      <c r="AA452" s="589" t="s">
        <v>78</v>
      </c>
      <c r="AB452" s="37"/>
      <c r="AC452" s="588">
        <f>'Ref-ComHOU'!$G$22</f>
        <v>6.9095890410958898</v>
      </c>
      <c r="AD452" s="588" t="s">
        <v>72</v>
      </c>
      <c r="AE452" s="589" t="s">
        <v>73</v>
      </c>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c r="CA452" s="393"/>
      <c r="CB452" s="393"/>
      <c r="CC452" s="393"/>
      <c r="CD452" s="393"/>
      <c r="CE452" s="393"/>
      <c r="CF452" s="393"/>
      <c r="CG452" s="393"/>
      <c r="CH452" s="393"/>
      <c r="CI452" s="393"/>
      <c r="CJ452" s="390"/>
      <c r="CK452" s="390"/>
      <c r="CL452" s="390"/>
      <c r="CM452" s="390"/>
      <c r="CN452" s="390"/>
      <c r="CO452" s="390"/>
      <c r="CP452" s="390"/>
      <c r="CQ452" s="390"/>
      <c r="CR452" s="390"/>
      <c r="CS452" s="390"/>
      <c r="CT452" s="390"/>
      <c r="CU452" s="390"/>
      <c r="CV452" s="390"/>
      <c r="CW452" s="390"/>
      <c r="CX452" s="390"/>
      <c r="CY452" s="390"/>
      <c r="CZ452" s="390"/>
      <c r="DA452" s="390"/>
      <c r="DB452" s="390"/>
      <c r="DC452" s="390"/>
    </row>
    <row r="453" spans="1:107" s="303" customFormat="1" ht="24">
      <c r="A453" s="37"/>
      <c r="B453" s="683" t="s">
        <v>23</v>
      </c>
      <c r="C453" s="582" t="s">
        <v>105</v>
      </c>
      <c r="D453" s="582" t="s">
        <v>1226</v>
      </c>
      <c r="E453" s="588">
        <f>'Ref-ComSources'!$AB$17*'Ref-ComSources'!$I$175</f>
        <v>120.47055208607148</v>
      </c>
      <c r="F453" s="582" t="s">
        <v>1245</v>
      </c>
      <c r="G453" s="590">
        <f>'Ref-2013CSSsaturationsINT'!$F$103</f>
        <v>0.16313589837577527</v>
      </c>
      <c r="H453" s="582" t="s">
        <v>66</v>
      </c>
      <c r="I453" s="684">
        <f>'Ref-BaselineControls'!$J$14</f>
        <v>0.83</v>
      </c>
      <c r="J453" s="582" t="s">
        <v>994</v>
      </c>
      <c r="K453" s="582" t="s">
        <v>1265</v>
      </c>
      <c r="L453" s="582" t="s">
        <v>995</v>
      </c>
      <c r="M453" s="582" t="s">
        <v>93</v>
      </c>
      <c r="N453" s="685">
        <f>E453*G453*'Ref-Savings Calculations'!$E$19*Applicability</f>
        <v>3.8010336556704338</v>
      </c>
      <c r="O453" s="685">
        <f>E453*G453*'Ref-Savings Calculations'!$C$109*Applicability*ControlShare</f>
        <v>4.9588630620390619</v>
      </c>
      <c r="P453" s="685">
        <f>E453*G453*'Ref-Savings Calculations'!$E$20*Applicability</f>
        <v>3.1079276243774636</v>
      </c>
      <c r="Q453" s="686">
        <f>E453*G453*('Ref-Savings Calculations'!$C$109-'Ref-Savings Calculations'!$C$54)*Applicability*ControlShare</f>
        <v>1.8269495491722862</v>
      </c>
      <c r="R453" s="37"/>
      <c r="S453" s="589" t="s">
        <v>44</v>
      </c>
      <c r="T453" s="589" t="s">
        <v>69</v>
      </c>
      <c r="U453" s="589" t="s">
        <v>44</v>
      </c>
      <c r="V453" s="589" t="s">
        <v>75</v>
      </c>
      <c r="W453" s="589" t="s">
        <v>76</v>
      </c>
      <c r="X453" s="37"/>
      <c r="Y453" s="37"/>
      <c r="Z453" s="589" t="s">
        <v>78</v>
      </c>
      <c r="AA453" s="589" t="s">
        <v>78</v>
      </c>
      <c r="AB453" s="37"/>
      <c r="AC453" s="588">
        <f>'Ref-ComHOU'!$G$22</f>
        <v>6.9095890410958898</v>
      </c>
      <c r="AD453" s="588" t="s">
        <v>72</v>
      </c>
      <c r="AE453" s="589" t="s">
        <v>73</v>
      </c>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c r="CA453" s="393"/>
      <c r="CB453" s="393"/>
      <c r="CC453" s="393"/>
      <c r="CD453" s="393"/>
      <c r="CE453" s="393"/>
      <c r="CF453" s="393"/>
      <c r="CG453" s="393"/>
      <c r="CH453" s="393"/>
      <c r="CI453" s="393"/>
      <c r="CJ453" s="390"/>
      <c r="CK453" s="390"/>
      <c r="CL453" s="390"/>
      <c r="CM453" s="390"/>
      <c r="CN453" s="390"/>
      <c r="CO453" s="390"/>
      <c r="CP453" s="390"/>
      <c r="CQ453" s="390"/>
      <c r="CR453" s="390"/>
      <c r="CS453" s="390"/>
      <c r="CT453" s="390"/>
      <c r="CU453" s="390"/>
      <c r="CV453" s="390"/>
      <c r="CW453" s="390"/>
      <c r="CX453" s="390"/>
      <c r="CY453" s="390"/>
      <c r="CZ453" s="390"/>
      <c r="DA453" s="390"/>
      <c r="DB453" s="390"/>
      <c r="DC453" s="390"/>
    </row>
    <row r="454" spans="1:107" s="303" customFormat="1" ht="33.75">
      <c r="A454" s="37"/>
      <c r="B454" s="683" t="s">
        <v>23</v>
      </c>
      <c r="C454" s="582" t="s">
        <v>105</v>
      </c>
      <c r="D454" s="582" t="s">
        <v>1226</v>
      </c>
      <c r="E454" s="588">
        <f>'Ref-ComSources'!$AB$17*'Ref-ComSources'!$I$175</f>
        <v>120.47055208607148</v>
      </c>
      <c r="F454" s="582" t="s">
        <v>1245</v>
      </c>
      <c r="G454" s="590">
        <f>'Ref-2013CSSsaturationsINT'!$F$103</f>
        <v>0.16313589837577527</v>
      </c>
      <c r="H454" s="582" t="s">
        <v>66</v>
      </c>
      <c r="I454" s="684">
        <f>'Ref-BaselineControls'!$J$14</f>
        <v>0.83</v>
      </c>
      <c r="J454" s="582" t="s">
        <v>994</v>
      </c>
      <c r="K454" s="582" t="s">
        <v>1265</v>
      </c>
      <c r="L454" s="582" t="s">
        <v>1228</v>
      </c>
      <c r="M454" s="582" t="s">
        <v>88</v>
      </c>
      <c r="N454" s="685">
        <f>E454*G454*'Ref-Savings Calculations'!$E$17*Applicability</f>
        <v>3.0077744579652994</v>
      </c>
      <c r="O454" s="685">
        <f>E454*G454*'Ref-Savings Calculations'!$C$54*Applicability*ControlShare</f>
        <v>3.1319135128667765</v>
      </c>
      <c r="P454" s="685">
        <f>E454*G454*'Ref-Savings Calculations'!$E$18*Applicability</f>
        <v>2.2770455536006882</v>
      </c>
      <c r="Q454" s="685" t="s">
        <v>871</v>
      </c>
      <c r="R454" s="37"/>
      <c r="S454" s="589" t="s">
        <v>69</v>
      </c>
      <c r="T454" s="589" t="s">
        <v>69</v>
      </c>
      <c r="U454" s="589" t="s">
        <v>69</v>
      </c>
      <c r="V454" s="589" t="s">
        <v>69</v>
      </c>
      <c r="W454" s="589" t="s">
        <v>76</v>
      </c>
      <c r="X454" s="37"/>
      <c r="Y454" s="37"/>
      <c r="Z454" s="589" t="s">
        <v>78</v>
      </c>
      <c r="AA454" s="589" t="s">
        <v>78</v>
      </c>
      <c r="AB454" s="37"/>
      <c r="AC454" s="588">
        <f>'Ref-ComHOU'!$G$22</f>
        <v>6.9095890410958898</v>
      </c>
      <c r="AD454" s="588" t="s">
        <v>72</v>
      </c>
      <c r="AE454" s="589" t="s">
        <v>73</v>
      </c>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c r="CA454" s="393"/>
      <c r="CB454" s="393"/>
      <c r="CC454" s="393"/>
      <c r="CD454" s="393"/>
      <c r="CE454" s="393"/>
      <c r="CF454" s="393"/>
      <c r="CG454" s="393"/>
      <c r="CH454" s="393"/>
      <c r="CI454" s="393"/>
      <c r="CJ454" s="390"/>
      <c r="CK454" s="390"/>
      <c r="CL454" s="390"/>
      <c r="CM454" s="390"/>
      <c r="CN454" s="390"/>
      <c r="CO454" s="390"/>
      <c r="CP454" s="390"/>
      <c r="CQ454" s="390"/>
      <c r="CR454" s="390"/>
      <c r="CS454" s="390"/>
      <c r="CT454" s="390"/>
      <c r="CU454" s="390"/>
      <c r="CV454" s="390"/>
      <c r="CW454" s="390"/>
      <c r="CX454" s="390"/>
      <c r="CY454" s="390"/>
      <c r="CZ454" s="390"/>
      <c r="DA454" s="390"/>
      <c r="DB454" s="390"/>
      <c r="DC454" s="390"/>
    </row>
    <row r="455" spans="1:107" s="303" customFormat="1" ht="33.75">
      <c r="A455" s="37"/>
      <c r="B455" s="683" t="s">
        <v>23</v>
      </c>
      <c r="C455" s="582" t="s">
        <v>105</v>
      </c>
      <c r="D455" s="582" t="s">
        <v>1226</v>
      </c>
      <c r="E455" s="588">
        <f>'Ref-ComSources'!$AB$17*'Ref-ComSources'!$I$175</f>
        <v>120.47055208607148</v>
      </c>
      <c r="F455" s="582" t="s">
        <v>1245</v>
      </c>
      <c r="G455" s="590">
        <f>'Ref-2013CSSsaturationsINT'!$F$103</f>
        <v>0.16313589837577527</v>
      </c>
      <c r="H455" s="582" t="s">
        <v>66</v>
      </c>
      <c r="I455" s="684">
        <f>'Ref-BaselineControls'!$J$14</f>
        <v>0.83</v>
      </c>
      <c r="J455" s="582" t="s">
        <v>994</v>
      </c>
      <c r="K455" s="582" t="s">
        <v>1265</v>
      </c>
      <c r="L455" s="582" t="s">
        <v>1228</v>
      </c>
      <c r="M455" s="582" t="s">
        <v>90</v>
      </c>
      <c r="N455" s="685">
        <f>E455*G455*'Ref-Savings Calculations'!$E$17*Applicability</f>
        <v>3.0077744579652994</v>
      </c>
      <c r="O455" s="685">
        <f>E455*G455*'Ref-Savings Calculations'!$C$77*Applicability*ControlShare</f>
        <v>3.6538990983445725</v>
      </c>
      <c r="P455" s="685">
        <f>E455*G455*'Ref-Savings Calculations'!$E$18*Applicability</f>
        <v>2.2770455536006882</v>
      </c>
      <c r="Q455" s="686" t="s">
        <v>1109</v>
      </c>
      <c r="R455" s="37"/>
      <c r="S455" s="589" t="s">
        <v>69</v>
      </c>
      <c r="T455" s="589" t="s">
        <v>69</v>
      </c>
      <c r="U455" s="589" t="s">
        <v>69</v>
      </c>
      <c r="V455" s="589" t="s">
        <v>69</v>
      </c>
      <c r="W455" s="589" t="s">
        <v>76</v>
      </c>
      <c r="X455" s="37"/>
      <c r="Y455" s="37"/>
      <c r="Z455" s="589" t="s">
        <v>78</v>
      </c>
      <c r="AA455" s="589" t="s">
        <v>78</v>
      </c>
      <c r="AB455" s="37"/>
      <c r="AC455" s="588">
        <f>'Ref-ComHOU'!$G$22</f>
        <v>6.9095890410958898</v>
      </c>
      <c r="AD455" s="588" t="s">
        <v>72</v>
      </c>
      <c r="AE455" s="589" t="s">
        <v>73</v>
      </c>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c r="CA455" s="393"/>
      <c r="CB455" s="393"/>
      <c r="CC455" s="393"/>
      <c r="CD455" s="393"/>
      <c r="CE455" s="393"/>
      <c r="CF455" s="393"/>
      <c r="CG455" s="393"/>
      <c r="CH455" s="393"/>
      <c r="CI455" s="393"/>
      <c r="CJ455" s="390"/>
      <c r="CK455" s="390"/>
      <c r="CL455" s="390"/>
      <c r="CM455" s="390"/>
      <c r="CN455" s="390"/>
      <c r="CO455" s="390"/>
      <c r="CP455" s="390"/>
      <c r="CQ455" s="390"/>
      <c r="CR455" s="390"/>
      <c r="CS455" s="390"/>
      <c r="CT455" s="390"/>
      <c r="CU455" s="390"/>
      <c r="CV455" s="390"/>
      <c r="CW455" s="390"/>
      <c r="CX455" s="390"/>
      <c r="CY455" s="390"/>
      <c r="CZ455" s="390"/>
      <c r="DA455" s="390"/>
      <c r="DB455" s="390"/>
      <c r="DC455" s="390"/>
    </row>
    <row r="456" spans="1:107" s="303" customFormat="1" ht="33.75">
      <c r="A456" s="37"/>
      <c r="B456" s="683" t="s">
        <v>23</v>
      </c>
      <c r="C456" s="582" t="s">
        <v>105</v>
      </c>
      <c r="D456" s="582" t="s">
        <v>1226</v>
      </c>
      <c r="E456" s="588">
        <f>'Ref-ComSources'!$AB$17*'Ref-ComSources'!$I$175</f>
        <v>120.47055208607148</v>
      </c>
      <c r="F456" s="582" t="s">
        <v>1245</v>
      </c>
      <c r="G456" s="590">
        <f>'Ref-2013CSSsaturationsINT'!$F$103</f>
        <v>0.16313589837577527</v>
      </c>
      <c r="H456" s="582" t="s">
        <v>66</v>
      </c>
      <c r="I456" s="684">
        <f>'Ref-BaselineControls'!$J$14</f>
        <v>0.83</v>
      </c>
      <c r="J456" s="582" t="s">
        <v>994</v>
      </c>
      <c r="K456" s="582" t="s">
        <v>1265</v>
      </c>
      <c r="L456" s="582" t="s">
        <v>1228</v>
      </c>
      <c r="M456" s="582" t="s">
        <v>91</v>
      </c>
      <c r="N456" s="685">
        <f>E456*G456*'Ref-Savings Calculations'!$E$17*Applicability</f>
        <v>3.0077744579652994</v>
      </c>
      <c r="O456" s="685">
        <f>E456*G456*'Ref-Savings Calculations'!$C$89*Applicability*ControlShare</f>
        <v>4.0453882874529192</v>
      </c>
      <c r="P456" s="685">
        <f>E456*G456*'Ref-Savings Calculations'!$E$18*Applicability</f>
        <v>2.2770455536006882</v>
      </c>
      <c r="Q456" s="686">
        <f>E456*G456*('Ref-Savings Calculations'!$C$89-'Ref-Savings Calculations'!$C$54)*Applicability*ControlShare</f>
        <v>0.91347477458614312</v>
      </c>
      <c r="R456" s="37"/>
      <c r="S456" s="589" t="s">
        <v>69</v>
      </c>
      <c r="T456" s="589" t="s">
        <v>69</v>
      </c>
      <c r="U456" s="589" t="s">
        <v>69</v>
      </c>
      <c r="V456" s="589" t="s">
        <v>69</v>
      </c>
      <c r="W456" s="589" t="s">
        <v>76</v>
      </c>
      <c r="X456" s="37"/>
      <c r="Y456" s="37"/>
      <c r="Z456" s="589" t="s">
        <v>78</v>
      </c>
      <c r="AA456" s="589" t="s">
        <v>78</v>
      </c>
      <c r="AB456" s="37"/>
      <c r="AC456" s="588">
        <f>'Ref-ComHOU'!$G$22</f>
        <v>6.9095890410958898</v>
      </c>
      <c r="AD456" s="588" t="s">
        <v>72</v>
      </c>
      <c r="AE456" s="589" t="s">
        <v>73</v>
      </c>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c r="CA456" s="393"/>
      <c r="CB456" s="393"/>
      <c r="CC456" s="393"/>
      <c r="CD456" s="393"/>
      <c r="CE456" s="393"/>
      <c r="CF456" s="393"/>
      <c r="CG456" s="393"/>
      <c r="CH456" s="393"/>
      <c r="CI456" s="393"/>
      <c r="CJ456" s="390"/>
      <c r="CK456" s="390"/>
      <c r="CL456" s="390"/>
      <c r="CM456" s="390"/>
      <c r="CN456" s="390"/>
      <c r="CO456" s="390"/>
      <c r="CP456" s="390"/>
      <c r="CQ456" s="390"/>
      <c r="CR456" s="390"/>
      <c r="CS456" s="390"/>
      <c r="CT456" s="390"/>
      <c r="CU456" s="390"/>
      <c r="CV456" s="390"/>
      <c r="CW456" s="390"/>
      <c r="CX456" s="390"/>
      <c r="CY456" s="390"/>
      <c r="CZ456" s="390"/>
      <c r="DA456" s="390"/>
      <c r="DB456" s="390"/>
      <c r="DC456" s="390"/>
    </row>
    <row r="457" spans="1:107" s="303" customFormat="1" ht="33.75">
      <c r="A457" s="37"/>
      <c r="B457" s="683" t="s">
        <v>23</v>
      </c>
      <c r="C457" s="582" t="s">
        <v>105</v>
      </c>
      <c r="D457" s="582" t="s">
        <v>1226</v>
      </c>
      <c r="E457" s="588">
        <f>'Ref-ComSources'!$AB$17*'Ref-ComSources'!$I$175</f>
        <v>120.47055208607148</v>
      </c>
      <c r="F457" s="582" t="s">
        <v>1245</v>
      </c>
      <c r="G457" s="590">
        <f>'Ref-2013CSSsaturationsINT'!$F$103</f>
        <v>0.16313589837577527</v>
      </c>
      <c r="H457" s="582" t="s">
        <v>66</v>
      </c>
      <c r="I457" s="684">
        <f>'Ref-BaselineControls'!$J$14</f>
        <v>0.83</v>
      </c>
      <c r="J457" s="582" t="s">
        <v>994</v>
      </c>
      <c r="K457" s="582" t="s">
        <v>1265</v>
      </c>
      <c r="L457" s="582" t="s">
        <v>1228</v>
      </c>
      <c r="M457" s="582" t="s">
        <v>92</v>
      </c>
      <c r="N457" s="685">
        <f>E457*G457*'Ref-Savings Calculations'!$E$17*Applicability</f>
        <v>3.0077744579652994</v>
      </c>
      <c r="O457" s="685">
        <f>E457*G457*'Ref-Savings Calculations'!$C$99*Applicability*ControlShare</f>
        <v>4.6978702693001644</v>
      </c>
      <c r="P457" s="685">
        <f>E457*G457*'Ref-Savings Calculations'!$E$18*Applicability</f>
        <v>2.2770455536006882</v>
      </c>
      <c r="Q457" s="686">
        <f>E457*G457*('Ref-Savings Calculations'!$C$99-'Ref-Savings Calculations'!$C$54)*Applicability*ControlShare</f>
        <v>1.5659567564333883</v>
      </c>
      <c r="R457" s="37"/>
      <c r="S457" s="589" t="s">
        <v>69</v>
      </c>
      <c r="T457" s="589" t="s">
        <v>69</v>
      </c>
      <c r="U457" s="589" t="s">
        <v>69</v>
      </c>
      <c r="V457" s="589" t="s">
        <v>69</v>
      </c>
      <c r="W457" s="589" t="s">
        <v>76</v>
      </c>
      <c r="X457" s="37"/>
      <c r="Y457" s="37"/>
      <c r="Z457" s="589" t="s">
        <v>78</v>
      </c>
      <c r="AA457" s="589" t="s">
        <v>78</v>
      </c>
      <c r="AB457" s="37"/>
      <c r="AC457" s="588">
        <f>'Ref-ComHOU'!$G$22</f>
        <v>6.9095890410958898</v>
      </c>
      <c r="AD457" s="588" t="s">
        <v>72</v>
      </c>
      <c r="AE457" s="589" t="s">
        <v>73</v>
      </c>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c r="CA457" s="393"/>
      <c r="CB457" s="393"/>
      <c r="CC457" s="393"/>
      <c r="CD457" s="393"/>
      <c r="CE457" s="393"/>
      <c r="CF457" s="393"/>
      <c r="CG457" s="393"/>
      <c r="CH457" s="393"/>
      <c r="CI457" s="393"/>
      <c r="CJ457" s="390"/>
      <c r="CK457" s="390"/>
      <c r="CL457" s="390"/>
      <c r="CM457" s="390"/>
      <c r="CN457" s="390"/>
      <c r="CO457" s="390"/>
      <c r="CP457" s="390"/>
      <c r="CQ457" s="390"/>
      <c r="CR457" s="390"/>
      <c r="CS457" s="390"/>
      <c r="CT457" s="390"/>
      <c r="CU457" s="390"/>
      <c r="CV457" s="390"/>
      <c r="CW457" s="390"/>
      <c r="CX457" s="390"/>
      <c r="CY457" s="390"/>
      <c r="CZ457" s="390"/>
      <c r="DA457" s="390"/>
      <c r="DB457" s="390"/>
      <c r="DC457" s="390"/>
    </row>
    <row r="458" spans="1:107" s="317" customFormat="1" ht="33.75">
      <c r="A458" s="37"/>
      <c r="B458" s="687" t="s">
        <v>23</v>
      </c>
      <c r="C458" s="688" t="s">
        <v>105</v>
      </c>
      <c r="D458" s="582" t="s">
        <v>1226</v>
      </c>
      <c r="E458" s="588">
        <f>'Ref-ComSources'!$AB$17*'Ref-ComSources'!$I$175</f>
        <v>120.47055208607148</v>
      </c>
      <c r="F458" s="582" t="s">
        <v>1245</v>
      </c>
      <c r="G458" s="590">
        <f>'Ref-2013CSSsaturationsINT'!$F$103</f>
        <v>0.16313589837577527</v>
      </c>
      <c r="H458" s="688" t="s">
        <v>66</v>
      </c>
      <c r="I458" s="684">
        <f>'Ref-BaselineControls'!$J$14</f>
        <v>0.83</v>
      </c>
      <c r="J458" s="582" t="s">
        <v>994</v>
      </c>
      <c r="K458" s="582" t="s">
        <v>1265</v>
      </c>
      <c r="L458" s="582" t="s">
        <v>1228</v>
      </c>
      <c r="M458" s="688" t="s">
        <v>93</v>
      </c>
      <c r="N458" s="685">
        <f>E458*G458*'Ref-Savings Calculations'!$E$17*Applicability</f>
        <v>3.0077744579652994</v>
      </c>
      <c r="O458" s="686">
        <f>E458*G458*'Ref-Savings Calculations'!$C$109*Applicability*ControlShare</f>
        <v>4.9588630620390619</v>
      </c>
      <c r="P458" s="685">
        <f>E458*G458*'Ref-Savings Calculations'!$E$18*Applicability</f>
        <v>2.2770455536006882</v>
      </c>
      <c r="Q458" s="686">
        <f>E458*G458*('Ref-Savings Calculations'!$C$109-'Ref-Savings Calculations'!$C$54)*Applicability*ControlShare</f>
        <v>1.8269495491722862</v>
      </c>
      <c r="R458" s="37"/>
      <c r="S458" s="689" t="s">
        <v>69</v>
      </c>
      <c r="T458" s="689" t="s">
        <v>69</v>
      </c>
      <c r="U458" s="589" t="s">
        <v>44</v>
      </c>
      <c r="V458" s="589" t="s">
        <v>75</v>
      </c>
      <c r="W458" s="689" t="s">
        <v>76</v>
      </c>
      <c r="X458" s="37"/>
      <c r="Y458" s="37"/>
      <c r="Z458" s="689" t="s">
        <v>78</v>
      </c>
      <c r="AA458" s="689" t="s">
        <v>78</v>
      </c>
      <c r="AB458" s="37"/>
      <c r="AC458" s="690">
        <f>'Ref-ComHOU'!$G$22</f>
        <v>6.9095890410958898</v>
      </c>
      <c r="AD458" s="690" t="s">
        <v>72</v>
      </c>
      <c r="AE458" s="689" t="s">
        <v>73</v>
      </c>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c r="CA458" s="393"/>
      <c r="CB458" s="393"/>
      <c r="CC458" s="393"/>
      <c r="CD458" s="393"/>
      <c r="CE458" s="393"/>
      <c r="CF458" s="393"/>
      <c r="CG458" s="393"/>
      <c r="CH458" s="393"/>
      <c r="CI458" s="393"/>
      <c r="CJ458" s="390"/>
      <c r="CK458" s="390"/>
      <c r="CL458" s="390"/>
      <c r="CM458" s="390"/>
      <c r="CN458" s="390"/>
      <c r="CO458" s="390"/>
      <c r="CP458" s="390"/>
      <c r="CQ458" s="390"/>
      <c r="CR458" s="390"/>
      <c r="CS458" s="390"/>
      <c r="CT458" s="390"/>
      <c r="CU458" s="390"/>
      <c r="CV458" s="390"/>
      <c r="CW458" s="390"/>
      <c r="CX458" s="390"/>
      <c r="CY458" s="390"/>
      <c r="CZ458" s="390"/>
      <c r="DA458" s="390"/>
      <c r="DB458" s="390"/>
      <c r="DC458" s="390"/>
    </row>
    <row r="459" spans="1:107" s="317" customFormat="1" ht="56.25">
      <c r="A459" s="37"/>
      <c r="B459" s="464" t="s">
        <v>23</v>
      </c>
      <c r="C459" s="465" t="s">
        <v>1154</v>
      </c>
      <c r="D459" s="466" t="s">
        <v>1220</v>
      </c>
      <c r="E459" s="467">
        <f>'Ref-ComSources'!$AB$13*'Ref-ComSources'!$E$174</f>
        <v>1092.12859663873</v>
      </c>
      <c r="F459" s="465" t="s">
        <v>27</v>
      </c>
      <c r="G459" s="468">
        <f>'Ref-2013CSSsaturationsINT'!$F$91</f>
        <v>0.98654390340989651</v>
      </c>
      <c r="H459" s="465" t="s">
        <v>66</v>
      </c>
      <c r="I459" s="469">
        <f>'Ref-2013CSSsaturationsINT'!$J$91</f>
        <v>0.82758569308617402</v>
      </c>
      <c r="J459" s="465" t="s">
        <v>1097</v>
      </c>
      <c r="K459" s="465" t="s">
        <v>1041</v>
      </c>
      <c r="L459" s="465" t="s">
        <v>960</v>
      </c>
      <c r="M459" s="465" t="s">
        <v>88</v>
      </c>
      <c r="N459" s="470">
        <f>E459*G459*'Ref-Savings Calculations'!$E$33*Applicability</f>
        <v>159.12853790821592</v>
      </c>
      <c r="O459" s="470">
        <f>E459*G459*'Ref-Savings Calculations'!$C$54*Applicability*ControlShare</f>
        <v>171.20025173492846</v>
      </c>
      <c r="P459" s="470">
        <f>E459*G459*'Ref-Savings Calculations'!$E$34*Applicability</f>
        <v>137.91139952045373</v>
      </c>
      <c r="Q459" s="470" t="s">
        <v>871</v>
      </c>
      <c r="R459" s="37"/>
      <c r="S459" s="465" t="s">
        <v>69</v>
      </c>
      <c r="T459" s="465" t="s">
        <v>69</v>
      </c>
      <c r="U459" s="465" t="s">
        <v>69</v>
      </c>
      <c r="V459" s="465" t="s">
        <v>69</v>
      </c>
      <c r="W459" s="465" t="s">
        <v>76</v>
      </c>
      <c r="X459" s="37"/>
      <c r="Y459" s="37"/>
      <c r="Z459" s="465" t="s">
        <v>78</v>
      </c>
      <c r="AA459" s="465" t="s">
        <v>78</v>
      </c>
      <c r="AB459" s="37"/>
      <c r="AC459" s="474">
        <f>'Ref-ComHOU'!$G$6</f>
        <v>6.6986301369863011</v>
      </c>
      <c r="AD459" s="470" t="s">
        <v>72</v>
      </c>
      <c r="AE459" s="465" t="s">
        <v>73</v>
      </c>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c r="CA459" s="393"/>
      <c r="CB459" s="393"/>
      <c r="CC459" s="393"/>
      <c r="CD459" s="393"/>
      <c r="CE459" s="393"/>
      <c r="CF459" s="393"/>
      <c r="CG459" s="393"/>
      <c r="CH459" s="393"/>
      <c r="CI459" s="393"/>
      <c r="CJ459" s="390"/>
      <c r="CK459" s="390"/>
      <c r="CL459" s="390"/>
      <c r="CM459" s="390"/>
      <c r="CN459" s="390"/>
      <c r="CO459" s="390"/>
      <c r="CP459" s="390"/>
      <c r="CQ459" s="390"/>
      <c r="CR459" s="390"/>
      <c r="CS459" s="390"/>
      <c r="CT459" s="390"/>
      <c r="CU459" s="390"/>
      <c r="CV459" s="390"/>
      <c r="CW459" s="390"/>
      <c r="CX459" s="390"/>
      <c r="CY459" s="390"/>
      <c r="CZ459" s="390"/>
      <c r="DA459" s="390"/>
      <c r="DB459" s="390"/>
      <c r="DC459" s="390"/>
    </row>
    <row r="460" spans="1:107" s="317" customFormat="1" ht="56.25">
      <c r="A460" s="37"/>
      <c r="B460" s="464" t="s">
        <v>23</v>
      </c>
      <c r="C460" s="465" t="s">
        <v>1154</v>
      </c>
      <c r="D460" s="466" t="s">
        <v>1220</v>
      </c>
      <c r="E460" s="467">
        <f>'Ref-ComSources'!$AB$13*'Ref-ComSources'!$E$174</f>
        <v>1092.12859663873</v>
      </c>
      <c r="F460" s="465" t="s">
        <v>27</v>
      </c>
      <c r="G460" s="468">
        <f>'Ref-2013CSSsaturationsINT'!$F$91</f>
        <v>0.98654390340989651</v>
      </c>
      <c r="H460" s="465" t="s">
        <v>66</v>
      </c>
      <c r="I460" s="469">
        <f>'Ref-2013CSSsaturationsINT'!$J$91</f>
        <v>0.82758569308617402</v>
      </c>
      <c r="J460" s="465" t="s">
        <v>1097</v>
      </c>
      <c r="K460" s="465" t="s">
        <v>1041</v>
      </c>
      <c r="L460" s="465" t="s">
        <v>960</v>
      </c>
      <c r="M460" s="465" t="s">
        <v>90</v>
      </c>
      <c r="N460" s="470">
        <f>E460*G460*'Ref-Savings Calculations'!$E$33*Applicability</f>
        <v>159.12853790821592</v>
      </c>
      <c r="O460" s="470">
        <f>E460*G460*'Ref-Savings Calculations'!$C$77*Applicability*ControlShare</f>
        <v>199.73362702408323</v>
      </c>
      <c r="P460" s="470">
        <f>E460*G460*'Ref-Savings Calculations'!$E$34*Applicability</f>
        <v>137.91139952045373</v>
      </c>
      <c r="Q460" s="470" t="s">
        <v>1109</v>
      </c>
      <c r="R460" s="37"/>
      <c r="S460" s="465" t="s">
        <v>69</v>
      </c>
      <c r="T460" s="465" t="s">
        <v>69</v>
      </c>
      <c r="U460" s="465" t="s">
        <v>69</v>
      </c>
      <c r="V460" s="465" t="s">
        <v>69</v>
      </c>
      <c r="W460" s="465" t="s">
        <v>76</v>
      </c>
      <c r="X460" s="37"/>
      <c r="Y460" s="37"/>
      <c r="Z460" s="465" t="s">
        <v>78</v>
      </c>
      <c r="AA460" s="465" t="s">
        <v>78</v>
      </c>
      <c r="AB460" s="37"/>
      <c r="AC460" s="474">
        <f>'Ref-ComHOU'!$G$6</f>
        <v>6.6986301369863011</v>
      </c>
      <c r="AD460" s="470" t="s">
        <v>72</v>
      </c>
      <c r="AE460" s="465" t="s">
        <v>73</v>
      </c>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c r="CA460" s="393"/>
      <c r="CB460" s="393"/>
      <c r="CC460" s="393"/>
      <c r="CD460" s="393"/>
      <c r="CE460" s="393"/>
      <c r="CF460" s="393"/>
      <c r="CG460" s="393"/>
      <c r="CH460" s="393"/>
      <c r="CI460" s="393"/>
      <c r="CJ460" s="390"/>
      <c r="CK460" s="390"/>
      <c r="CL460" s="390"/>
      <c r="CM460" s="390"/>
      <c r="CN460" s="390"/>
      <c r="CO460" s="390"/>
      <c r="CP460" s="390"/>
      <c r="CQ460" s="390"/>
      <c r="CR460" s="390"/>
      <c r="CS460" s="390"/>
      <c r="CT460" s="390"/>
      <c r="CU460" s="390"/>
      <c r="CV460" s="390"/>
      <c r="CW460" s="390"/>
      <c r="CX460" s="390"/>
      <c r="CY460" s="390"/>
      <c r="CZ460" s="390"/>
      <c r="DA460" s="390"/>
      <c r="DB460" s="390"/>
      <c r="DC460" s="390"/>
    </row>
    <row r="461" spans="1:107" s="317" customFormat="1" ht="56.25">
      <c r="A461" s="37"/>
      <c r="B461" s="464" t="s">
        <v>23</v>
      </c>
      <c r="C461" s="465" t="s">
        <v>1154</v>
      </c>
      <c r="D461" s="466" t="s">
        <v>1220</v>
      </c>
      <c r="E461" s="467">
        <f>'Ref-ComSources'!$AB$13*'Ref-ComSources'!$E$174</f>
        <v>1092.12859663873</v>
      </c>
      <c r="F461" s="465" t="s">
        <v>27</v>
      </c>
      <c r="G461" s="468">
        <f>'Ref-2013CSSsaturationsINT'!$F$91</f>
        <v>0.98654390340989651</v>
      </c>
      <c r="H461" s="465" t="s">
        <v>66</v>
      </c>
      <c r="I461" s="469">
        <f>'Ref-2013CSSsaturationsINT'!$J$91</f>
        <v>0.82758569308617402</v>
      </c>
      <c r="J461" s="465" t="s">
        <v>1097</v>
      </c>
      <c r="K461" s="465" t="s">
        <v>1041</v>
      </c>
      <c r="L461" s="465" t="s">
        <v>960</v>
      </c>
      <c r="M461" s="465" t="s">
        <v>91</v>
      </c>
      <c r="N461" s="470">
        <f>E461*G461*'Ref-Savings Calculations'!$E$33*Applicability</f>
        <v>159.12853790821592</v>
      </c>
      <c r="O461" s="470">
        <f>E461*G461*'Ref-Savings Calculations'!$C$89*Applicability*ControlShare</f>
        <v>221.13365849094927</v>
      </c>
      <c r="P461" s="470">
        <f>E461*G461*'Ref-Savings Calculations'!$E$34*Applicability</f>
        <v>137.91139952045373</v>
      </c>
      <c r="Q461" s="470">
        <f>E461*G461*('Ref-Savings Calculations'!$C$89-'Ref-Savings Calculations'!$C$54)*Applicability*ControlShare</f>
        <v>49.933406756020808</v>
      </c>
      <c r="R461" s="37"/>
      <c r="S461" s="465" t="s">
        <v>69</v>
      </c>
      <c r="T461" s="465" t="s">
        <v>69</v>
      </c>
      <c r="U461" s="465" t="s">
        <v>69</v>
      </c>
      <c r="V461" s="465" t="s">
        <v>69</v>
      </c>
      <c r="W461" s="465" t="s">
        <v>76</v>
      </c>
      <c r="X461" s="37"/>
      <c r="Y461" s="37"/>
      <c r="Z461" s="465" t="s">
        <v>78</v>
      </c>
      <c r="AA461" s="465" t="s">
        <v>78</v>
      </c>
      <c r="AB461" s="37"/>
      <c r="AC461" s="474">
        <f>'Ref-ComHOU'!$G$6</f>
        <v>6.6986301369863011</v>
      </c>
      <c r="AD461" s="470" t="s">
        <v>72</v>
      </c>
      <c r="AE461" s="465" t="s">
        <v>73</v>
      </c>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c r="CA461" s="393"/>
      <c r="CB461" s="393"/>
      <c r="CC461" s="393"/>
      <c r="CD461" s="393"/>
      <c r="CE461" s="393"/>
      <c r="CF461" s="393"/>
      <c r="CG461" s="393"/>
      <c r="CH461" s="393"/>
      <c r="CI461" s="393"/>
      <c r="CJ461" s="390"/>
      <c r="CK461" s="390"/>
      <c r="CL461" s="390"/>
      <c r="CM461" s="390"/>
      <c r="CN461" s="390"/>
      <c r="CO461" s="390"/>
      <c r="CP461" s="390"/>
      <c r="CQ461" s="390"/>
      <c r="CR461" s="390"/>
      <c r="CS461" s="390"/>
      <c r="CT461" s="390"/>
      <c r="CU461" s="390"/>
      <c r="CV461" s="390"/>
      <c r="CW461" s="390"/>
      <c r="CX461" s="390"/>
      <c r="CY461" s="390"/>
      <c r="CZ461" s="390"/>
      <c r="DA461" s="390"/>
      <c r="DB461" s="390"/>
      <c r="DC461" s="390"/>
    </row>
    <row r="462" spans="1:107" s="317" customFormat="1" ht="56.25">
      <c r="A462" s="37"/>
      <c r="B462" s="464" t="s">
        <v>23</v>
      </c>
      <c r="C462" s="465" t="s">
        <v>1154</v>
      </c>
      <c r="D462" s="466" t="s">
        <v>1220</v>
      </c>
      <c r="E462" s="467">
        <f>'Ref-ComSources'!$AB$13*'Ref-ComSources'!$E$174</f>
        <v>1092.12859663873</v>
      </c>
      <c r="F462" s="465" t="s">
        <v>27</v>
      </c>
      <c r="G462" s="468">
        <f>'Ref-2013CSSsaturationsINT'!$F$91</f>
        <v>0.98654390340989651</v>
      </c>
      <c r="H462" s="465" t="s">
        <v>66</v>
      </c>
      <c r="I462" s="469">
        <f>'Ref-2013CSSsaturationsINT'!$J$91</f>
        <v>0.82758569308617402</v>
      </c>
      <c r="J462" s="465" t="s">
        <v>1097</v>
      </c>
      <c r="K462" s="465" t="s">
        <v>1041</v>
      </c>
      <c r="L462" s="465" t="s">
        <v>960</v>
      </c>
      <c r="M462" s="465" t="s">
        <v>92</v>
      </c>
      <c r="N462" s="470">
        <f>E462*G462*'Ref-Savings Calculations'!$E$33*Applicability</f>
        <v>159.12853790821592</v>
      </c>
      <c r="O462" s="470">
        <f>E462*G462*'Ref-Savings Calculations'!$C$99*Applicability*ControlShare</f>
        <v>256.8003776023927</v>
      </c>
      <c r="P462" s="470">
        <f>E462*G462*'Ref-Savings Calculations'!$E$34*Applicability</f>
        <v>137.91139952045373</v>
      </c>
      <c r="Q462" s="470">
        <f>E462*G462*('Ref-Savings Calculations'!$C$99-'Ref-Savings Calculations'!$C$54)*Applicability*ControlShare</f>
        <v>85.600125867464229</v>
      </c>
      <c r="R462" s="37"/>
      <c r="S462" s="465" t="s">
        <v>69</v>
      </c>
      <c r="T462" s="465" t="s">
        <v>69</v>
      </c>
      <c r="U462" s="465" t="s">
        <v>69</v>
      </c>
      <c r="V462" s="465" t="s">
        <v>69</v>
      </c>
      <c r="W462" s="465" t="s">
        <v>76</v>
      </c>
      <c r="X462" s="37"/>
      <c r="Y462" s="37"/>
      <c r="Z462" s="465" t="s">
        <v>78</v>
      </c>
      <c r="AA462" s="465" t="s">
        <v>78</v>
      </c>
      <c r="AB462" s="37"/>
      <c r="AC462" s="474">
        <f>'Ref-ComHOU'!$G$6</f>
        <v>6.6986301369863011</v>
      </c>
      <c r="AD462" s="470" t="s">
        <v>72</v>
      </c>
      <c r="AE462" s="465" t="s">
        <v>73</v>
      </c>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c r="CA462" s="393"/>
      <c r="CB462" s="393"/>
      <c r="CC462" s="393"/>
      <c r="CD462" s="393"/>
      <c r="CE462" s="393"/>
      <c r="CF462" s="393"/>
      <c r="CG462" s="393"/>
      <c r="CH462" s="393"/>
      <c r="CI462" s="393"/>
      <c r="CJ462" s="390"/>
      <c r="CK462" s="390"/>
      <c r="CL462" s="390"/>
      <c r="CM462" s="390"/>
      <c r="CN462" s="390"/>
      <c r="CO462" s="390"/>
      <c r="CP462" s="390"/>
      <c r="CQ462" s="390"/>
      <c r="CR462" s="390"/>
      <c r="CS462" s="390"/>
      <c r="CT462" s="390"/>
      <c r="CU462" s="390"/>
      <c r="CV462" s="390"/>
      <c r="CW462" s="390"/>
      <c r="CX462" s="390"/>
      <c r="CY462" s="390"/>
      <c r="CZ462" s="390"/>
      <c r="DA462" s="390"/>
      <c r="DB462" s="390"/>
      <c r="DC462" s="390"/>
    </row>
    <row r="463" spans="1:107" s="317" customFormat="1" ht="56.25">
      <c r="A463" s="37"/>
      <c r="B463" s="464" t="s">
        <v>23</v>
      </c>
      <c r="C463" s="465" t="s">
        <v>1154</v>
      </c>
      <c r="D463" s="466" t="s">
        <v>1220</v>
      </c>
      <c r="E463" s="467">
        <f>'Ref-ComSources'!$AB$13*'Ref-ComSources'!$E$174</f>
        <v>1092.12859663873</v>
      </c>
      <c r="F463" s="465" t="s">
        <v>27</v>
      </c>
      <c r="G463" s="468">
        <f>'Ref-2013CSSsaturationsINT'!$F$91</f>
        <v>0.98654390340989651</v>
      </c>
      <c r="H463" s="465" t="s">
        <v>66</v>
      </c>
      <c r="I463" s="469">
        <f>'Ref-2013CSSsaturationsINT'!$J$91</f>
        <v>0.82758569308617402</v>
      </c>
      <c r="J463" s="465" t="s">
        <v>1097</v>
      </c>
      <c r="K463" s="465" t="s">
        <v>1041</v>
      </c>
      <c r="L463" s="465" t="s">
        <v>960</v>
      </c>
      <c r="M463" s="465" t="s">
        <v>93</v>
      </c>
      <c r="N463" s="470">
        <f>E463*G463*'Ref-Savings Calculations'!$E$33*Applicability</f>
        <v>159.12853790821592</v>
      </c>
      <c r="O463" s="470">
        <f>E463*G463*'Ref-Savings Calculations'!$C$109*Applicability*ControlShare</f>
        <v>271.06706524697006</v>
      </c>
      <c r="P463" s="470">
        <f>E463*G463*'Ref-Savings Calculations'!$E$34*Applicability</f>
        <v>137.91139952045373</v>
      </c>
      <c r="Q463" s="470">
        <f>E463*G463*('Ref-Savings Calculations'!$C$109-'Ref-Savings Calculations'!$C$54)*Applicability*ControlShare</f>
        <v>99.866813512041617</v>
      </c>
      <c r="R463" s="37"/>
      <c r="S463" s="465" t="s">
        <v>69</v>
      </c>
      <c r="T463" s="465" t="s">
        <v>69</v>
      </c>
      <c r="U463" s="465" t="s">
        <v>44</v>
      </c>
      <c r="V463" s="465" t="s">
        <v>75</v>
      </c>
      <c r="W463" s="465" t="s">
        <v>76</v>
      </c>
      <c r="X463" s="37"/>
      <c r="Y463" s="37"/>
      <c r="Z463" s="465" t="s">
        <v>78</v>
      </c>
      <c r="AA463" s="465" t="s">
        <v>78</v>
      </c>
      <c r="AB463" s="37"/>
      <c r="AC463" s="474">
        <f>'Ref-ComHOU'!$G$6</f>
        <v>6.6986301369863011</v>
      </c>
      <c r="AD463" s="470" t="s">
        <v>72</v>
      </c>
      <c r="AE463" s="465" t="s">
        <v>73</v>
      </c>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c r="CA463" s="393"/>
      <c r="CB463" s="393"/>
      <c r="CC463" s="393"/>
      <c r="CD463" s="393"/>
      <c r="CE463" s="393"/>
      <c r="CF463" s="393"/>
      <c r="CG463" s="393"/>
      <c r="CH463" s="393"/>
      <c r="CI463" s="393"/>
      <c r="CJ463" s="390"/>
      <c r="CK463" s="390"/>
      <c r="CL463" s="390"/>
      <c r="CM463" s="390"/>
      <c r="CN463" s="390"/>
      <c r="CO463" s="390"/>
      <c r="CP463" s="390"/>
      <c r="CQ463" s="390"/>
      <c r="CR463" s="390"/>
      <c r="CS463" s="390"/>
      <c r="CT463" s="390"/>
      <c r="CU463" s="390"/>
      <c r="CV463" s="390"/>
      <c r="CW463" s="390"/>
      <c r="CX463" s="390"/>
      <c r="CY463" s="390"/>
      <c r="CZ463" s="390"/>
      <c r="DA463" s="390"/>
      <c r="DB463" s="390"/>
      <c r="DC463" s="390"/>
    </row>
    <row r="464" spans="1:107" s="317" customFormat="1" ht="56.25">
      <c r="A464" s="37"/>
      <c r="B464" s="464" t="s">
        <v>23</v>
      </c>
      <c r="C464" s="465" t="s">
        <v>1154</v>
      </c>
      <c r="D464" s="466" t="s">
        <v>1220</v>
      </c>
      <c r="E464" s="467">
        <f>'Ref-ComSources'!$AB$13*'Ref-ComSources'!$E$174</f>
        <v>1092.12859663873</v>
      </c>
      <c r="F464" s="465" t="s">
        <v>27</v>
      </c>
      <c r="G464" s="468">
        <f>'Ref-2013CSSsaturationsINT'!$F$91</f>
        <v>0.98654390340989651</v>
      </c>
      <c r="H464" s="465" t="s">
        <v>66</v>
      </c>
      <c r="I464" s="469">
        <f>'Ref-2013CSSsaturationsINT'!$J$91</f>
        <v>0.82758569308617402</v>
      </c>
      <c r="J464" s="465" t="s">
        <v>1097</v>
      </c>
      <c r="K464" s="465" t="s">
        <v>1041</v>
      </c>
      <c r="L464" s="465" t="s">
        <v>15</v>
      </c>
      <c r="M464" s="465" t="s">
        <v>88</v>
      </c>
      <c r="N464" s="470">
        <f>E464*G464*'Ref-Savings Calculations'!$E$39*Applicability</f>
        <v>220.61719417334498</v>
      </c>
      <c r="O464" s="470">
        <f>E464*G464*'Ref-Savings Calculations'!$C$54*Applicability*ControlShare</f>
        <v>171.20025173492846</v>
      </c>
      <c r="P464" s="470">
        <f>E464*G464*'Ref-Savings Calculations'!$E$40*Applicability</f>
        <v>188.55074153187039</v>
      </c>
      <c r="Q464" s="470" t="s">
        <v>871</v>
      </c>
      <c r="R464" s="37"/>
      <c r="S464" s="344" t="s">
        <v>44</v>
      </c>
      <c r="T464" s="344" t="s">
        <v>63</v>
      </c>
      <c r="U464" s="465" t="s">
        <v>69</v>
      </c>
      <c r="V464" s="465" t="s">
        <v>69</v>
      </c>
      <c r="W464" s="465" t="s">
        <v>76</v>
      </c>
      <c r="X464" s="37"/>
      <c r="Y464" s="37"/>
      <c r="Z464" s="465" t="s">
        <v>78</v>
      </c>
      <c r="AA464" s="465" t="s">
        <v>78</v>
      </c>
      <c r="AB464" s="37"/>
      <c r="AC464" s="474">
        <f>'Ref-ComHOU'!$G$6</f>
        <v>6.6986301369863011</v>
      </c>
      <c r="AD464" s="470" t="s">
        <v>72</v>
      </c>
      <c r="AE464" s="465" t="s">
        <v>73</v>
      </c>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c r="CA464" s="393"/>
      <c r="CB464" s="393"/>
      <c r="CC464" s="393"/>
      <c r="CD464" s="393"/>
      <c r="CE464" s="393"/>
      <c r="CF464" s="393"/>
      <c r="CG464" s="393"/>
      <c r="CH464" s="393"/>
      <c r="CI464" s="393"/>
      <c r="CJ464" s="390"/>
      <c r="CK464" s="390"/>
      <c r="CL464" s="390"/>
      <c r="CM464" s="390"/>
      <c r="CN464" s="390"/>
      <c r="CO464" s="390"/>
      <c r="CP464" s="390"/>
      <c r="CQ464" s="390"/>
      <c r="CR464" s="390"/>
      <c r="CS464" s="390"/>
      <c r="CT464" s="390"/>
      <c r="CU464" s="390"/>
      <c r="CV464" s="390"/>
      <c r="CW464" s="390"/>
      <c r="CX464" s="390"/>
      <c r="CY464" s="390"/>
      <c r="CZ464" s="390"/>
      <c r="DA464" s="390"/>
      <c r="DB464" s="390"/>
      <c r="DC464" s="390"/>
    </row>
    <row r="465" spans="1:107" s="317" customFormat="1" ht="56.25">
      <c r="A465" s="37"/>
      <c r="B465" s="464" t="s">
        <v>23</v>
      </c>
      <c r="C465" s="465" t="s">
        <v>1154</v>
      </c>
      <c r="D465" s="466" t="s">
        <v>1220</v>
      </c>
      <c r="E465" s="467">
        <f>'Ref-ComSources'!$AB$13*'Ref-ComSources'!$E$174</f>
        <v>1092.12859663873</v>
      </c>
      <c r="F465" s="465" t="s">
        <v>27</v>
      </c>
      <c r="G465" s="468">
        <f>'Ref-2013CSSsaturationsINT'!$F$91</f>
        <v>0.98654390340989651</v>
      </c>
      <c r="H465" s="465" t="s">
        <v>66</v>
      </c>
      <c r="I465" s="469">
        <f>'Ref-2013CSSsaturationsINT'!$J$91</f>
        <v>0.82758569308617402</v>
      </c>
      <c r="J465" s="465" t="s">
        <v>1097</v>
      </c>
      <c r="K465" s="465" t="s">
        <v>1041</v>
      </c>
      <c r="L465" s="465" t="s">
        <v>15</v>
      </c>
      <c r="M465" s="465" t="s">
        <v>90</v>
      </c>
      <c r="N465" s="470">
        <f>E465*G465*'Ref-Savings Calculations'!$E$39*Applicability</f>
        <v>220.61719417334498</v>
      </c>
      <c r="O465" s="470">
        <f>E465*G465*'Ref-Savings Calculations'!$C$77*Applicability*ControlShare</f>
        <v>199.73362702408323</v>
      </c>
      <c r="P465" s="470">
        <f>E465*G465*'Ref-Savings Calculations'!$E$40*Applicability</f>
        <v>188.55074153187039</v>
      </c>
      <c r="Q465" s="470" t="s">
        <v>1109</v>
      </c>
      <c r="R465" s="37"/>
      <c r="S465" s="344" t="s">
        <v>44</v>
      </c>
      <c r="T465" s="344" t="s">
        <v>63</v>
      </c>
      <c r="U465" s="465" t="s">
        <v>69</v>
      </c>
      <c r="V465" s="465" t="s">
        <v>69</v>
      </c>
      <c r="W465" s="465" t="s">
        <v>76</v>
      </c>
      <c r="X465" s="37"/>
      <c r="Y465" s="37"/>
      <c r="Z465" s="465" t="s">
        <v>78</v>
      </c>
      <c r="AA465" s="465" t="s">
        <v>78</v>
      </c>
      <c r="AB465" s="37"/>
      <c r="AC465" s="474">
        <f>'Ref-ComHOU'!$G$6</f>
        <v>6.6986301369863011</v>
      </c>
      <c r="AD465" s="470" t="s">
        <v>72</v>
      </c>
      <c r="AE465" s="465" t="s">
        <v>73</v>
      </c>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c r="CA465" s="393"/>
      <c r="CB465" s="393"/>
      <c r="CC465" s="393"/>
      <c r="CD465" s="393"/>
      <c r="CE465" s="393"/>
      <c r="CF465" s="393"/>
      <c r="CG465" s="393"/>
      <c r="CH465" s="393"/>
      <c r="CI465" s="393"/>
      <c r="CJ465" s="390"/>
      <c r="CK465" s="390"/>
      <c r="CL465" s="390"/>
      <c r="CM465" s="390"/>
      <c r="CN465" s="390"/>
      <c r="CO465" s="390"/>
      <c r="CP465" s="390"/>
      <c r="CQ465" s="390"/>
      <c r="CR465" s="390"/>
      <c r="CS465" s="390"/>
      <c r="CT465" s="390"/>
      <c r="CU465" s="390"/>
      <c r="CV465" s="390"/>
      <c r="CW465" s="390"/>
      <c r="CX465" s="390"/>
      <c r="CY465" s="390"/>
      <c r="CZ465" s="390"/>
      <c r="DA465" s="390"/>
      <c r="DB465" s="390"/>
      <c r="DC465" s="390"/>
    </row>
    <row r="466" spans="1:107" s="317" customFormat="1" ht="56.25">
      <c r="A466" s="37"/>
      <c r="B466" s="464" t="s">
        <v>23</v>
      </c>
      <c r="C466" s="465" t="s">
        <v>1154</v>
      </c>
      <c r="D466" s="466" t="s">
        <v>1220</v>
      </c>
      <c r="E466" s="467">
        <f>'Ref-ComSources'!$AB$13*'Ref-ComSources'!$E$174</f>
        <v>1092.12859663873</v>
      </c>
      <c r="F466" s="465" t="s">
        <v>27</v>
      </c>
      <c r="G466" s="468">
        <f>'Ref-2013CSSsaturationsINT'!$F$91</f>
        <v>0.98654390340989651</v>
      </c>
      <c r="H466" s="465" t="s">
        <v>66</v>
      </c>
      <c r="I466" s="469">
        <f>'Ref-2013CSSsaturationsINT'!$J$91</f>
        <v>0.82758569308617402</v>
      </c>
      <c r="J466" s="465" t="s">
        <v>1097</v>
      </c>
      <c r="K466" s="465" t="s">
        <v>1041</v>
      </c>
      <c r="L466" s="465" t="s">
        <v>15</v>
      </c>
      <c r="M466" s="465" t="s">
        <v>91</v>
      </c>
      <c r="N466" s="470">
        <f>E466*G466*'Ref-Savings Calculations'!$E$39*Applicability</f>
        <v>220.61719417334498</v>
      </c>
      <c r="O466" s="470">
        <f>E466*G466*'Ref-Savings Calculations'!$C$89*Applicability*ControlShare</f>
        <v>221.13365849094927</v>
      </c>
      <c r="P466" s="470">
        <f>E466*G466*'Ref-Savings Calculations'!$E$40*Applicability</f>
        <v>188.55074153187039</v>
      </c>
      <c r="Q466" s="470">
        <f>E466*G466*('Ref-Savings Calculations'!$C$89-'Ref-Savings Calculations'!$C$54)*Applicability*ControlShare</f>
        <v>49.933406756020808</v>
      </c>
      <c r="R466" s="37"/>
      <c r="S466" s="344" t="s">
        <v>44</v>
      </c>
      <c r="T466" s="344" t="s">
        <v>63</v>
      </c>
      <c r="U466" s="465" t="s">
        <v>69</v>
      </c>
      <c r="V466" s="465" t="s">
        <v>69</v>
      </c>
      <c r="W466" s="465" t="s">
        <v>76</v>
      </c>
      <c r="X466" s="37"/>
      <c r="Y466" s="37"/>
      <c r="Z466" s="465" t="s">
        <v>78</v>
      </c>
      <c r="AA466" s="465" t="s">
        <v>78</v>
      </c>
      <c r="AB466" s="37"/>
      <c r="AC466" s="474">
        <f>'Ref-ComHOU'!$G$6</f>
        <v>6.6986301369863011</v>
      </c>
      <c r="AD466" s="470" t="s">
        <v>72</v>
      </c>
      <c r="AE466" s="465" t="s">
        <v>73</v>
      </c>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c r="CA466" s="393"/>
      <c r="CB466" s="393"/>
      <c r="CC466" s="393"/>
      <c r="CD466" s="393"/>
      <c r="CE466" s="393"/>
      <c r="CF466" s="393"/>
      <c r="CG466" s="393"/>
      <c r="CH466" s="393"/>
      <c r="CI466" s="393"/>
      <c r="CJ466" s="390"/>
      <c r="CK466" s="390"/>
      <c r="CL466" s="390"/>
      <c r="CM466" s="390"/>
      <c r="CN466" s="390"/>
      <c r="CO466" s="390"/>
      <c r="CP466" s="390"/>
      <c r="CQ466" s="390"/>
      <c r="CR466" s="390"/>
      <c r="CS466" s="390"/>
      <c r="CT466" s="390"/>
      <c r="CU466" s="390"/>
      <c r="CV466" s="390"/>
      <c r="CW466" s="390"/>
      <c r="CX466" s="390"/>
      <c r="CY466" s="390"/>
      <c r="CZ466" s="390"/>
      <c r="DA466" s="390"/>
      <c r="DB466" s="390"/>
      <c r="DC466" s="390"/>
    </row>
    <row r="467" spans="1:107" s="317" customFormat="1" ht="56.25">
      <c r="A467" s="37"/>
      <c r="B467" s="464" t="s">
        <v>23</v>
      </c>
      <c r="C467" s="465" t="s">
        <v>1154</v>
      </c>
      <c r="D467" s="466" t="s">
        <v>1220</v>
      </c>
      <c r="E467" s="467">
        <f>'Ref-ComSources'!$AB$13*'Ref-ComSources'!$E$174</f>
        <v>1092.12859663873</v>
      </c>
      <c r="F467" s="465" t="s">
        <v>27</v>
      </c>
      <c r="G467" s="468">
        <f>'Ref-2013CSSsaturationsINT'!$F$91</f>
        <v>0.98654390340989651</v>
      </c>
      <c r="H467" s="465" t="s">
        <v>66</v>
      </c>
      <c r="I467" s="469">
        <f>'Ref-2013CSSsaturationsINT'!$J$91</f>
        <v>0.82758569308617402</v>
      </c>
      <c r="J467" s="465" t="s">
        <v>1097</v>
      </c>
      <c r="K467" s="465" t="s">
        <v>1041</v>
      </c>
      <c r="L467" s="465" t="s">
        <v>15</v>
      </c>
      <c r="M467" s="465" t="s">
        <v>92</v>
      </c>
      <c r="N467" s="470">
        <f>E467*G467*'Ref-Savings Calculations'!$E$39*Applicability</f>
        <v>220.61719417334498</v>
      </c>
      <c r="O467" s="470">
        <f>E467*G467*'Ref-Savings Calculations'!$C$99*Applicability*ControlShare</f>
        <v>256.8003776023927</v>
      </c>
      <c r="P467" s="470">
        <f>E467*G467*'Ref-Savings Calculations'!$E$40*Applicability</f>
        <v>188.55074153187039</v>
      </c>
      <c r="Q467" s="470">
        <f>E467*G467*('Ref-Savings Calculations'!$C$99-'Ref-Savings Calculations'!$C$54)*Applicability*ControlShare</f>
        <v>85.600125867464229</v>
      </c>
      <c r="R467" s="37"/>
      <c r="S467" s="344" t="s">
        <v>44</v>
      </c>
      <c r="T467" s="344" t="s">
        <v>63</v>
      </c>
      <c r="U467" s="465" t="s">
        <v>69</v>
      </c>
      <c r="V467" s="465" t="s">
        <v>69</v>
      </c>
      <c r="W467" s="465" t="s">
        <v>76</v>
      </c>
      <c r="X467" s="37"/>
      <c r="Y467" s="37"/>
      <c r="Z467" s="465" t="s">
        <v>78</v>
      </c>
      <c r="AA467" s="465" t="s">
        <v>78</v>
      </c>
      <c r="AB467" s="37"/>
      <c r="AC467" s="474">
        <f>'Ref-ComHOU'!$G$6</f>
        <v>6.6986301369863011</v>
      </c>
      <c r="AD467" s="470" t="s">
        <v>72</v>
      </c>
      <c r="AE467" s="465" t="s">
        <v>73</v>
      </c>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c r="CA467" s="393"/>
      <c r="CB467" s="393"/>
      <c r="CC467" s="393"/>
      <c r="CD467" s="393"/>
      <c r="CE467" s="393"/>
      <c r="CF467" s="393"/>
      <c r="CG467" s="393"/>
      <c r="CH467" s="393"/>
      <c r="CI467" s="393"/>
      <c r="CJ467" s="390"/>
      <c r="CK467" s="390"/>
      <c r="CL467" s="390"/>
      <c r="CM467" s="390"/>
      <c r="CN467" s="390"/>
      <c r="CO467" s="390"/>
      <c r="CP467" s="390"/>
      <c r="CQ467" s="390"/>
      <c r="CR467" s="390"/>
      <c r="CS467" s="390"/>
      <c r="CT467" s="390"/>
      <c r="CU467" s="390"/>
      <c r="CV467" s="390"/>
      <c r="CW467" s="390"/>
      <c r="CX467" s="390"/>
      <c r="CY467" s="390"/>
      <c r="CZ467" s="390"/>
      <c r="DA467" s="390"/>
      <c r="DB467" s="390"/>
      <c r="DC467" s="390"/>
    </row>
    <row r="468" spans="1:107" s="317" customFormat="1" ht="56.25">
      <c r="A468" s="37"/>
      <c r="B468" s="464" t="s">
        <v>23</v>
      </c>
      <c r="C468" s="465" t="s">
        <v>1154</v>
      </c>
      <c r="D468" s="466" t="s">
        <v>1220</v>
      </c>
      <c r="E468" s="467">
        <f>'Ref-ComSources'!$AB$13*'Ref-ComSources'!$E$174</f>
        <v>1092.12859663873</v>
      </c>
      <c r="F468" s="465" t="s">
        <v>27</v>
      </c>
      <c r="G468" s="468">
        <f>'Ref-2013CSSsaturationsINT'!$F$91</f>
        <v>0.98654390340989651</v>
      </c>
      <c r="H468" s="465" t="s">
        <v>66</v>
      </c>
      <c r="I468" s="469">
        <f>'Ref-2013CSSsaturationsINT'!$J$91</f>
        <v>0.82758569308617402</v>
      </c>
      <c r="J468" s="465" t="s">
        <v>1097</v>
      </c>
      <c r="K468" s="465" t="s">
        <v>1041</v>
      </c>
      <c r="L468" s="465" t="s">
        <v>15</v>
      </c>
      <c r="M468" s="465" t="s">
        <v>93</v>
      </c>
      <c r="N468" s="470">
        <f>E468*G468*'Ref-Savings Calculations'!$E$39*Applicability</f>
        <v>220.61719417334498</v>
      </c>
      <c r="O468" s="470">
        <f>E468*G468*'Ref-Savings Calculations'!$C$109*Applicability*ControlShare</f>
        <v>271.06706524697006</v>
      </c>
      <c r="P468" s="470">
        <f>E468*G468*'Ref-Savings Calculations'!$E$40*Applicability</f>
        <v>188.55074153187039</v>
      </c>
      <c r="Q468" s="470">
        <f>E468*G468*('Ref-Savings Calculations'!$C$109-'Ref-Savings Calculations'!$C$54)*Applicability*ControlShare</f>
        <v>99.866813512041617</v>
      </c>
      <c r="R468" s="37"/>
      <c r="S468" s="344" t="s">
        <v>44</v>
      </c>
      <c r="T468" s="344" t="s">
        <v>63</v>
      </c>
      <c r="U468" s="465" t="s">
        <v>44</v>
      </c>
      <c r="V468" s="465" t="s">
        <v>75</v>
      </c>
      <c r="W468" s="465" t="s">
        <v>76</v>
      </c>
      <c r="X468" s="37"/>
      <c r="Y468" s="37"/>
      <c r="Z468" s="465" t="s">
        <v>78</v>
      </c>
      <c r="AA468" s="465" t="s">
        <v>78</v>
      </c>
      <c r="AB468" s="37"/>
      <c r="AC468" s="474">
        <f>'Ref-ComHOU'!$G$6</f>
        <v>6.6986301369863011</v>
      </c>
      <c r="AD468" s="470" t="s">
        <v>72</v>
      </c>
      <c r="AE468" s="465" t="s">
        <v>73</v>
      </c>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c r="CA468" s="393"/>
      <c r="CB468" s="393"/>
      <c r="CC468" s="393"/>
      <c r="CD468" s="393"/>
      <c r="CE468" s="393"/>
      <c r="CF468" s="393"/>
      <c r="CG468" s="393"/>
      <c r="CH468" s="393"/>
      <c r="CI468" s="393"/>
      <c r="CJ468" s="390"/>
      <c r="CK468" s="390"/>
      <c r="CL468" s="390"/>
      <c r="CM468" s="390"/>
      <c r="CN468" s="390"/>
      <c r="CO468" s="390"/>
      <c r="CP468" s="390"/>
      <c r="CQ468" s="390"/>
      <c r="CR468" s="390"/>
      <c r="CS468" s="390"/>
      <c r="CT468" s="390"/>
      <c r="CU468" s="390"/>
      <c r="CV468" s="390"/>
      <c r="CW468" s="390"/>
      <c r="CX468" s="390"/>
      <c r="CY468" s="390"/>
      <c r="CZ468" s="390"/>
      <c r="DA468" s="390"/>
      <c r="DB468" s="390"/>
      <c r="DC468" s="390"/>
    </row>
    <row r="469" spans="1:107" s="317" customFormat="1" ht="56.25">
      <c r="A469" s="37"/>
      <c r="B469" s="658" t="s">
        <v>23</v>
      </c>
      <c r="C469" s="659" t="s">
        <v>1154</v>
      </c>
      <c r="D469" s="691" t="s">
        <v>1226</v>
      </c>
      <c r="E469" s="661">
        <f>'Ref-ComSources'!$AB$13*'Ref-ComSources'!$E$175</f>
        <v>419.28477946906577</v>
      </c>
      <c r="F469" s="659" t="s">
        <v>27</v>
      </c>
      <c r="G469" s="662">
        <f>'Ref-2013CSSsaturationsINT'!$F$99</f>
        <v>0.77140636505360172</v>
      </c>
      <c r="H469" s="659" t="s">
        <v>66</v>
      </c>
      <c r="I469" s="663">
        <f>'Ref-2013CSSsaturationsINT'!$J$99</f>
        <v>0.98415313112366065</v>
      </c>
      <c r="J469" s="659" t="s">
        <v>1097</v>
      </c>
      <c r="K469" s="665" t="s">
        <v>1265</v>
      </c>
      <c r="L469" s="665" t="s">
        <v>1228</v>
      </c>
      <c r="M469" s="659" t="s">
        <v>88</v>
      </c>
      <c r="N469" s="664">
        <f>E469*G469*'Ref-Savings Calculations'!$E$33*Applicability</f>
        <v>47.769444576374127</v>
      </c>
      <c r="O469" s="664">
        <f>E469*G469*'Ref-Savings Calculations'!$C$54*Applicability*ControlShare</f>
        <v>61.116182987439778</v>
      </c>
      <c r="P469" s="664">
        <f>E469*G469*'Ref-Savings Calculations'!$E$34*Applicability</f>
        <v>41.400185299524225</v>
      </c>
      <c r="Q469" s="664" t="s">
        <v>871</v>
      </c>
      <c r="R469" s="37"/>
      <c r="S469" s="659" t="s">
        <v>69</v>
      </c>
      <c r="T469" s="659" t="s">
        <v>69</v>
      </c>
      <c r="U469" s="659" t="s">
        <v>69</v>
      </c>
      <c r="V469" s="659" t="s">
        <v>69</v>
      </c>
      <c r="W469" s="659" t="s">
        <v>76</v>
      </c>
      <c r="X469" s="37"/>
      <c r="Y469" s="37"/>
      <c r="Z469" s="659" t="s">
        <v>78</v>
      </c>
      <c r="AA469" s="659" t="s">
        <v>78</v>
      </c>
      <c r="AB469" s="37"/>
      <c r="AC469" s="666">
        <f>'Ref-ComHOU'!$G$6</f>
        <v>6.6986301369863011</v>
      </c>
      <c r="AD469" s="664" t="s">
        <v>72</v>
      </c>
      <c r="AE469" s="659" t="s">
        <v>73</v>
      </c>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c r="CA469" s="393"/>
      <c r="CB469" s="393"/>
      <c r="CC469" s="393"/>
      <c r="CD469" s="393"/>
      <c r="CE469" s="393"/>
      <c r="CF469" s="393"/>
      <c r="CG469" s="393"/>
      <c r="CH469" s="393"/>
      <c r="CI469" s="393"/>
      <c r="CJ469" s="390"/>
      <c r="CK469" s="390"/>
      <c r="CL469" s="390"/>
      <c r="CM469" s="390"/>
      <c r="CN469" s="390"/>
      <c r="CO469" s="390"/>
      <c r="CP469" s="390"/>
      <c r="CQ469" s="390"/>
      <c r="CR469" s="390"/>
      <c r="CS469" s="390"/>
      <c r="CT469" s="390"/>
      <c r="CU469" s="390"/>
      <c r="CV469" s="390"/>
      <c r="CW469" s="390"/>
      <c r="CX469" s="390"/>
      <c r="CY469" s="390"/>
      <c r="CZ469" s="390"/>
      <c r="DA469" s="390"/>
      <c r="DB469" s="390"/>
      <c r="DC469" s="390"/>
    </row>
    <row r="470" spans="1:107" s="317" customFormat="1" ht="56.25">
      <c r="A470" s="37"/>
      <c r="B470" s="658" t="s">
        <v>23</v>
      </c>
      <c r="C470" s="659" t="s">
        <v>1154</v>
      </c>
      <c r="D470" s="691" t="s">
        <v>1226</v>
      </c>
      <c r="E470" s="661">
        <f>'Ref-ComSources'!$AB$13*'Ref-ComSources'!$E$175</f>
        <v>419.28477946906577</v>
      </c>
      <c r="F470" s="659" t="s">
        <v>27</v>
      </c>
      <c r="G470" s="662">
        <f>'Ref-2013CSSsaturationsINT'!$F$99</f>
        <v>0.77140636505360172</v>
      </c>
      <c r="H470" s="659" t="s">
        <v>66</v>
      </c>
      <c r="I470" s="663">
        <f>'Ref-2013CSSsaturationsINT'!$J$99</f>
        <v>0.98415313112366065</v>
      </c>
      <c r="J470" s="659" t="s">
        <v>1097</v>
      </c>
      <c r="K470" s="665" t="s">
        <v>1265</v>
      </c>
      <c r="L470" s="665" t="s">
        <v>1228</v>
      </c>
      <c r="M470" s="659" t="s">
        <v>90</v>
      </c>
      <c r="N470" s="664">
        <f>E470*G470*'Ref-Savings Calculations'!$E$33*Applicability</f>
        <v>47.769444576374127</v>
      </c>
      <c r="O470" s="664">
        <f>E470*G470*'Ref-Savings Calculations'!$C$77*Applicability*ControlShare</f>
        <v>71.302213485346414</v>
      </c>
      <c r="P470" s="664">
        <f>E470*G470*'Ref-Savings Calculations'!$E$34*Applicability</f>
        <v>41.400185299524225</v>
      </c>
      <c r="Q470" s="664" t="s">
        <v>1109</v>
      </c>
      <c r="R470" s="37"/>
      <c r="S470" s="659" t="s">
        <v>69</v>
      </c>
      <c r="T470" s="659" t="s">
        <v>69</v>
      </c>
      <c r="U470" s="659" t="s">
        <v>69</v>
      </c>
      <c r="V470" s="659" t="s">
        <v>69</v>
      </c>
      <c r="W470" s="659" t="s">
        <v>76</v>
      </c>
      <c r="X470" s="37"/>
      <c r="Y470" s="37"/>
      <c r="Z470" s="659" t="s">
        <v>78</v>
      </c>
      <c r="AA470" s="659" t="s">
        <v>78</v>
      </c>
      <c r="AB470" s="37"/>
      <c r="AC470" s="666">
        <f>'Ref-ComHOU'!$G$6</f>
        <v>6.6986301369863011</v>
      </c>
      <c r="AD470" s="664" t="s">
        <v>72</v>
      </c>
      <c r="AE470" s="659" t="s">
        <v>73</v>
      </c>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c r="CA470" s="393"/>
      <c r="CB470" s="393"/>
      <c r="CC470" s="393"/>
      <c r="CD470" s="393"/>
      <c r="CE470" s="393"/>
      <c r="CF470" s="393"/>
      <c r="CG470" s="393"/>
      <c r="CH470" s="393"/>
      <c r="CI470" s="393"/>
      <c r="CJ470" s="390"/>
      <c r="CK470" s="390"/>
      <c r="CL470" s="390"/>
      <c r="CM470" s="390"/>
      <c r="CN470" s="390"/>
      <c r="CO470" s="390"/>
      <c r="CP470" s="390"/>
      <c r="CQ470" s="390"/>
      <c r="CR470" s="390"/>
      <c r="CS470" s="390"/>
      <c r="CT470" s="390"/>
      <c r="CU470" s="390"/>
      <c r="CV470" s="390"/>
      <c r="CW470" s="390"/>
      <c r="CX470" s="390"/>
      <c r="CY470" s="390"/>
      <c r="CZ470" s="390"/>
      <c r="DA470" s="390"/>
      <c r="DB470" s="390"/>
      <c r="DC470" s="390"/>
    </row>
    <row r="471" spans="1:107" s="317" customFormat="1" ht="56.25">
      <c r="A471" s="37"/>
      <c r="B471" s="658" t="s">
        <v>23</v>
      </c>
      <c r="C471" s="659" t="s">
        <v>1154</v>
      </c>
      <c r="D471" s="691" t="s">
        <v>1226</v>
      </c>
      <c r="E471" s="661">
        <f>'Ref-ComSources'!$AB$13*'Ref-ComSources'!$E$175</f>
        <v>419.28477946906577</v>
      </c>
      <c r="F471" s="659" t="s">
        <v>27</v>
      </c>
      <c r="G471" s="662">
        <f>'Ref-2013CSSsaturationsINT'!$F$99</f>
        <v>0.77140636505360172</v>
      </c>
      <c r="H471" s="659" t="s">
        <v>66</v>
      </c>
      <c r="I471" s="663">
        <f>'Ref-2013CSSsaturationsINT'!$J$99</f>
        <v>0.98415313112366065</v>
      </c>
      <c r="J471" s="659" t="s">
        <v>1097</v>
      </c>
      <c r="K471" s="665" t="s">
        <v>1265</v>
      </c>
      <c r="L471" s="665" t="s">
        <v>1228</v>
      </c>
      <c r="M471" s="659" t="s">
        <v>91</v>
      </c>
      <c r="N471" s="664">
        <f>E471*G471*'Ref-Savings Calculations'!$E$33*Applicability</f>
        <v>47.769444576374127</v>
      </c>
      <c r="O471" s="664" t="s">
        <v>870</v>
      </c>
      <c r="P471" s="664">
        <f>E471*G471*'Ref-Savings Calculations'!$E$34*Applicability</f>
        <v>41.400185299524225</v>
      </c>
      <c r="Q471" s="664">
        <f>E471*G471*('Ref-Savings Calculations'!$C$89-'Ref-Savings Calculations'!$C$54)*Applicability*ControlShare</f>
        <v>17.825553371336603</v>
      </c>
      <c r="R471" s="37"/>
      <c r="S471" s="659" t="s">
        <v>69</v>
      </c>
      <c r="T471" s="659" t="s">
        <v>69</v>
      </c>
      <c r="U471" s="665" t="s">
        <v>870</v>
      </c>
      <c r="V471" s="665" t="s">
        <v>870</v>
      </c>
      <c r="W471" s="659" t="s">
        <v>76</v>
      </c>
      <c r="X471" s="37"/>
      <c r="Y471" s="37"/>
      <c r="Z471" s="659" t="s">
        <v>78</v>
      </c>
      <c r="AA471" s="659" t="s">
        <v>78</v>
      </c>
      <c r="AB471" s="37"/>
      <c r="AC471" s="666">
        <f>'Ref-ComHOU'!$G$6</f>
        <v>6.6986301369863011</v>
      </c>
      <c r="AD471" s="664" t="s">
        <v>72</v>
      </c>
      <c r="AE471" s="659" t="s">
        <v>73</v>
      </c>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c r="CA471" s="393"/>
      <c r="CB471" s="393"/>
      <c r="CC471" s="393"/>
      <c r="CD471" s="393"/>
      <c r="CE471" s="393"/>
      <c r="CF471" s="393"/>
      <c r="CG471" s="393"/>
      <c r="CH471" s="393"/>
      <c r="CI471" s="393"/>
      <c r="CJ471" s="390"/>
      <c r="CK471" s="390"/>
      <c r="CL471" s="390"/>
      <c r="CM471" s="390"/>
      <c r="CN471" s="390"/>
      <c r="CO471" s="390"/>
      <c r="CP471" s="390"/>
      <c r="CQ471" s="390"/>
      <c r="CR471" s="390"/>
      <c r="CS471" s="390"/>
      <c r="CT471" s="390"/>
      <c r="CU471" s="390"/>
      <c r="CV471" s="390"/>
      <c r="CW471" s="390"/>
      <c r="CX471" s="390"/>
      <c r="CY471" s="390"/>
      <c r="CZ471" s="390"/>
      <c r="DA471" s="390"/>
      <c r="DB471" s="390"/>
      <c r="DC471" s="390"/>
    </row>
    <row r="472" spans="1:107" s="317" customFormat="1" ht="56.25">
      <c r="A472" s="37"/>
      <c r="B472" s="658" t="s">
        <v>23</v>
      </c>
      <c r="C472" s="659" t="s">
        <v>1154</v>
      </c>
      <c r="D472" s="691" t="s">
        <v>1226</v>
      </c>
      <c r="E472" s="661">
        <f>'Ref-ComSources'!$AB$13*'Ref-ComSources'!$E$175</f>
        <v>419.28477946906577</v>
      </c>
      <c r="F472" s="659" t="s">
        <v>27</v>
      </c>
      <c r="G472" s="662">
        <f>'Ref-2013CSSsaturationsINT'!$F$99</f>
        <v>0.77140636505360172</v>
      </c>
      <c r="H472" s="659" t="s">
        <v>66</v>
      </c>
      <c r="I472" s="663">
        <f>'Ref-2013CSSsaturationsINT'!$J$99</f>
        <v>0.98415313112366065</v>
      </c>
      <c r="J472" s="659" t="s">
        <v>1097</v>
      </c>
      <c r="K472" s="665" t="s">
        <v>1265</v>
      </c>
      <c r="L472" s="665" t="s">
        <v>1228</v>
      </c>
      <c r="M472" s="659" t="s">
        <v>92</v>
      </c>
      <c r="N472" s="664">
        <f>E472*G472*'Ref-Savings Calculations'!$E$33*Applicability</f>
        <v>47.769444576374127</v>
      </c>
      <c r="O472" s="664">
        <f>E472*G472*'Ref-Savings Calculations'!$C$99*Applicability*ControlShare</f>
        <v>91.674274481159671</v>
      </c>
      <c r="P472" s="664">
        <f>E472*G472*'Ref-Savings Calculations'!$E$34*Applicability</f>
        <v>41.400185299524225</v>
      </c>
      <c r="Q472" s="664">
        <f>E472*G472*('Ref-Savings Calculations'!$C$99-'Ref-Savings Calculations'!$C$54)*Applicability*ControlShare</f>
        <v>30.558091493719889</v>
      </c>
      <c r="R472" s="37"/>
      <c r="S472" s="659" t="s">
        <v>69</v>
      </c>
      <c r="T472" s="659" t="s">
        <v>69</v>
      </c>
      <c r="U472" s="659" t="s">
        <v>69</v>
      </c>
      <c r="V472" s="659" t="s">
        <v>69</v>
      </c>
      <c r="W472" s="659" t="s">
        <v>76</v>
      </c>
      <c r="X472" s="37"/>
      <c r="Y472" s="37"/>
      <c r="Z472" s="659" t="s">
        <v>78</v>
      </c>
      <c r="AA472" s="659" t="s">
        <v>78</v>
      </c>
      <c r="AB472" s="37"/>
      <c r="AC472" s="666">
        <f>'Ref-ComHOU'!$G$6</f>
        <v>6.6986301369863011</v>
      </c>
      <c r="AD472" s="664" t="s">
        <v>72</v>
      </c>
      <c r="AE472" s="659" t="s">
        <v>73</v>
      </c>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c r="CA472" s="393"/>
      <c r="CB472" s="393"/>
      <c r="CC472" s="393"/>
      <c r="CD472" s="393"/>
      <c r="CE472" s="393"/>
      <c r="CF472" s="393"/>
      <c r="CG472" s="393"/>
      <c r="CH472" s="393"/>
      <c r="CI472" s="393"/>
      <c r="CJ472" s="390"/>
      <c r="CK472" s="390"/>
      <c r="CL472" s="390"/>
      <c r="CM472" s="390"/>
      <c r="CN472" s="390"/>
      <c r="CO472" s="390"/>
      <c r="CP472" s="390"/>
      <c r="CQ472" s="390"/>
      <c r="CR472" s="390"/>
      <c r="CS472" s="390"/>
      <c r="CT472" s="390"/>
      <c r="CU472" s="390"/>
      <c r="CV472" s="390"/>
      <c r="CW472" s="390"/>
      <c r="CX472" s="390"/>
      <c r="CY472" s="390"/>
      <c r="CZ472" s="390"/>
      <c r="DA472" s="390"/>
      <c r="DB472" s="390"/>
      <c r="DC472" s="390"/>
    </row>
    <row r="473" spans="1:107" s="317" customFormat="1" ht="56.25">
      <c r="A473" s="37"/>
      <c r="B473" s="658" t="s">
        <v>23</v>
      </c>
      <c r="C473" s="659" t="s">
        <v>1154</v>
      </c>
      <c r="D473" s="691" t="s">
        <v>1226</v>
      </c>
      <c r="E473" s="661">
        <f>'Ref-ComSources'!$AB$13*'Ref-ComSources'!$E$175</f>
        <v>419.28477946906577</v>
      </c>
      <c r="F473" s="659" t="s">
        <v>27</v>
      </c>
      <c r="G473" s="662">
        <f>'Ref-2013CSSsaturationsINT'!$F$99</f>
        <v>0.77140636505360172</v>
      </c>
      <c r="H473" s="659" t="s">
        <v>66</v>
      </c>
      <c r="I473" s="663">
        <f>'Ref-2013CSSsaturationsINT'!$J$99</f>
        <v>0.98415313112366065</v>
      </c>
      <c r="J473" s="659" t="s">
        <v>1097</v>
      </c>
      <c r="K473" s="665" t="s">
        <v>1265</v>
      </c>
      <c r="L473" s="665" t="s">
        <v>1228</v>
      </c>
      <c r="M473" s="659" t="s">
        <v>93</v>
      </c>
      <c r="N473" s="664">
        <f>E473*G473*'Ref-Savings Calculations'!$E$33*Applicability</f>
        <v>47.769444576374127</v>
      </c>
      <c r="O473" s="664">
        <f>E473*G473*'Ref-Savings Calculations'!$C$109*Applicability*ControlShare</f>
        <v>96.767289730112978</v>
      </c>
      <c r="P473" s="664">
        <f>E473*G473*'Ref-Savings Calculations'!$E$34*Applicability</f>
        <v>41.400185299524225</v>
      </c>
      <c r="Q473" s="664">
        <f>E473*G473*('Ref-Savings Calculations'!$C$109-'Ref-Savings Calculations'!$C$54)*Applicability*ControlShare</f>
        <v>35.651106742673207</v>
      </c>
      <c r="R473" s="37"/>
      <c r="S473" s="659" t="s">
        <v>69</v>
      </c>
      <c r="T473" s="659" t="s">
        <v>69</v>
      </c>
      <c r="U473" s="659" t="s">
        <v>44</v>
      </c>
      <c r="V473" s="659" t="s">
        <v>75</v>
      </c>
      <c r="W473" s="659" t="s">
        <v>76</v>
      </c>
      <c r="X473" s="37"/>
      <c r="Y473" s="37"/>
      <c r="Z473" s="659" t="s">
        <v>78</v>
      </c>
      <c r="AA473" s="659" t="s">
        <v>78</v>
      </c>
      <c r="AB473" s="37"/>
      <c r="AC473" s="666">
        <f>'Ref-ComHOU'!$G$6</f>
        <v>6.6986301369863011</v>
      </c>
      <c r="AD473" s="664" t="s">
        <v>72</v>
      </c>
      <c r="AE473" s="659" t="s">
        <v>73</v>
      </c>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c r="CA473" s="393"/>
      <c r="CB473" s="393"/>
      <c r="CC473" s="393"/>
      <c r="CD473" s="393"/>
      <c r="CE473" s="393"/>
      <c r="CF473" s="393"/>
      <c r="CG473" s="393"/>
      <c r="CH473" s="393"/>
      <c r="CI473" s="393"/>
      <c r="CJ473" s="390"/>
      <c r="CK473" s="390"/>
      <c r="CL473" s="390"/>
      <c r="CM473" s="390"/>
      <c r="CN473" s="390"/>
      <c r="CO473" s="390"/>
      <c r="CP473" s="390"/>
      <c r="CQ473" s="390"/>
      <c r="CR473" s="390"/>
      <c r="CS473" s="390"/>
      <c r="CT473" s="390"/>
      <c r="CU473" s="390"/>
      <c r="CV473" s="390"/>
      <c r="CW473" s="390"/>
      <c r="CX473" s="390"/>
      <c r="CY473" s="390"/>
      <c r="CZ473" s="390"/>
      <c r="DA473" s="390"/>
      <c r="DB473" s="390"/>
      <c r="DC473" s="390"/>
    </row>
    <row r="474" spans="1:107" s="317" customFormat="1" ht="56.25">
      <c r="A474" s="37"/>
      <c r="B474" s="658" t="s">
        <v>23</v>
      </c>
      <c r="C474" s="659" t="s">
        <v>1154</v>
      </c>
      <c r="D474" s="691" t="s">
        <v>1226</v>
      </c>
      <c r="E474" s="661">
        <f>'Ref-ComSources'!$AB$13*'Ref-ComSources'!$E$175</f>
        <v>419.28477946906577</v>
      </c>
      <c r="F474" s="659" t="s">
        <v>27</v>
      </c>
      <c r="G474" s="662">
        <f>'Ref-2013CSSsaturationsINT'!$F$99</f>
        <v>0.77140636505360172</v>
      </c>
      <c r="H474" s="659" t="s">
        <v>66</v>
      </c>
      <c r="I474" s="663">
        <f>'Ref-2013CSSsaturationsINT'!$J$99</f>
        <v>0.98415313112366065</v>
      </c>
      <c r="J474" s="659" t="s">
        <v>1097</v>
      </c>
      <c r="K474" s="665" t="s">
        <v>1265</v>
      </c>
      <c r="L474" s="665" t="s">
        <v>1227</v>
      </c>
      <c r="M474" s="659" t="s">
        <v>88</v>
      </c>
      <c r="N474" s="664">
        <f>E474*G474*'Ref-Savings Calculations'!$E$39*Applicability</f>
        <v>66.227974995518693</v>
      </c>
      <c r="O474" s="664">
        <f>E474*G474*'Ref-Savings Calculations'!$C$54*Applicability*ControlShare</f>
        <v>61.116182987439778</v>
      </c>
      <c r="P474" s="664">
        <f>E474*G474*'Ref-Savings Calculations'!$E$40*Applicability</f>
        <v>56.601815839193286</v>
      </c>
      <c r="Q474" s="664" t="s">
        <v>871</v>
      </c>
      <c r="R474" s="37"/>
      <c r="S474" s="665" t="s">
        <v>44</v>
      </c>
      <c r="T474" s="665" t="s">
        <v>63</v>
      </c>
      <c r="U474" s="659" t="s">
        <v>69</v>
      </c>
      <c r="V474" s="659" t="s">
        <v>69</v>
      </c>
      <c r="W474" s="659" t="s">
        <v>76</v>
      </c>
      <c r="X474" s="37"/>
      <c r="Y474" s="37"/>
      <c r="Z474" s="659" t="s">
        <v>78</v>
      </c>
      <c r="AA474" s="659" t="s">
        <v>78</v>
      </c>
      <c r="AB474" s="37"/>
      <c r="AC474" s="666">
        <f>'Ref-ComHOU'!$G$6</f>
        <v>6.6986301369863011</v>
      </c>
      <c r="AD474" s="664" t="s">
        <v>72</v>
      </c>
      <c r="AE474" s="659" t="s">
        <v>73</v>
      </c>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c r="CA474" s="393"/>
      <c r="CB474" s="393"/>
      <c r="CC474" s="393"/>
      <c r="CD474" s="393"/>
      <c r="CE474" s="393"/>
      <c r="CF474" s="393"/>
      <c r="CG474" s="393"/>
      <c r="CH474" s="393"/>
      <c r="CI474" s="393"/>
      <c r="CJ474" s="390"/>
      <c r="CK474" s="390"/>
      <c r="CL474" s="390"/>
      <c r="CM474" s="390"/>
      <c r="CN474" s="390"/>
      <c r="CO474" s="390"/>
      <c r="CP474" s="390"/>
      <c r="CQ474" s="390"/>
      <c r="CR474" s="390"/>
      <c r="CS474" s="390"/>
      <c r="CT474" s="390"/>
      <c r="CU474" s="390"/>
      <c r="CV474" s="390"/>
      <c r="CW474" s="390"/>
      <c r="CX474" s="390"/>
      <c r="CY474" s="390"/>
      <c r="CZ474" s="390"/>
      <c r="DA474" s="390"/>
      <c r="DB474" s="390"/>
      <c r="DC474" s="390"/>
    </row>
    <row r="475" spans="1:107" s="317" customFormat="1" ht="56.25">
      <c r="A475" s="37"/>
      <c r="B475" s="658" t="s">
        <v>23</v>
      </c>
      <c r="C475" s="659" t="s">
        <v>1154</v>
      </c>
      <c r="D475" s="691" t="s">
        <v>1226</v>
      </c>
      <c r="E475" s="661">
        <f>'Ref-ComSources'!$AB$13*'Ref-ComSources'!$E$175</f>
        <v>419.28477946906577</v>
      </c>
      <c r="F475" s="659" t="s">
        <v>27</v>
      </c>
      <c r="G475" s="662">
        <f>'Ref-2013CSSsaturationsINT'!$F$99</f>
        <v>0.77140636505360172</v>
      </c>
      <c r="H475" s="659" t="s">
        <v>66</v>
      </c>
      <c r="I475" s="663">
        <f>'Ref-2013CSSsaturationsINT'!$J$99</f>
        <v>0.98415313112366065</v>
      </c>
      <c r="J475" s="659" t="s">
        <v>1097</v>
      </c>
      <c r="K475" s="665" t="s">
        <v>1265</v>
      </c>
      <c r="L475" s="665" t="s">
        <v>1227</v>
      </c>
      <c r="M475" s="659" t="s">
        <v>90</v>
      </c>
      <c r="N475" s="664">
        <f>E475*G475*'Ref-Savings Calculations'!$E$39*Applicability</f>
        <v>66.227974995518693</v>
      </c>
      <c r="O475" s="664">
        <f>E475*G475*'Ref-Savings Calculations'!$C$77*Applicability*ControlShare</f>
        <v>71.302213485346414</v>
      </c>
      <c r="P475" s="664">
        <f>E475*G475*'Ref-Savings Calculations'!$E$40*Applicability</f>
        <v>56.601815839193286</v>
      </c>
      <c r="Q475" s="664" t="s">
        <v>1109</v>
      </c>
      <c r="R475" s="37"/>
      <c r="S475" s="665" t="s">
        <v>44</v>
      </c>
      <c r="T475" s="665" t="s">
        <v>63</v>
      </c>
      <c r="U475" s="659" t="s">
        <v>69</v>
      </c>
      <c r="V475" s="659" t="s">
        <v>69</v>
      </c>
      <c r="W475" s="659" t="s">
        <v>76</v>
      </c>
      <c r="X475" s="37"/>
      <c r="Y475" s="37"/>
      <c r="Z475" s="659" t="s">
        <v>78</v>
      </c>
      <c r="AA475" s="659" t="s">
        <v>78</v>
      </c>
      <c r="AB475" s="37"/>
      <c r="AC475" s="666">
        <f>'Ref-ComHOU'!$G$6</f>
        <v>6.6986301369863011</v>
      </c>
      <c r="AD475" s="664" t="s">
        <v>72</v>
      </c>
      <c r="AE475" s="659" t="s">
        <v>73</v>
      </c>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c r="CA475" s="393"/>
      <c r="CB475" s="393"/>
      <c r="CC475" s="393"/>
      <c r="CD475" s="393"/>
      <c r="CE475" s="393"/>
      <c r="CF475" s="393"/>
      <c r="CG475" s="393"/>
      <c r="CH475" s="393"/>
      <c r="CI475" s="393"/>
      <c r="CJ475" s="390"/>
      <c r="CK475" s="390"/>
      <c r="CL475" s="390"/>
      <c r="CM475" s="390"/>
      <c r="CN475" s="390"/>
      <c r="CO475" s="390"/>
      <c r="CP475" s="390"/>
      <c r="CQ475" s="390"/>
      <c r="CR475" s="390"/>
      <c r="CS475" s="390"/>
      <c r="CT475" s="390"/>
      <c r="CU475" s="390"/>
      <c r="CV475" s="390"/>
      <c r="CW475" s="390"/>
      <c r="CX475" s="390"/>
      <c r="CY475" s="390"/>
      <c r="CZ475" s="390"/>
      <c r="DA475" s="390"/>
      <c r="DB475" s="390"/>
      <c r="DC475" s="390"/>
    </row>
    <row r="476" spans="1:107" s="317" customFormat="1" ht="56.25">
      <c r="A476" s="37"/>
      <c r="B476" s="658" t="s">
        <v>23</v>
      </c>
      <c r="C476" s="659" t="s">
        <v>1154</v>
      </c>
      <c r="D476" s="691" t="s">
        <v>1226</v>
      </c>
      <c r="E476" s="661">
        <f>'Ref-ComSources'!$AB$13*'Ref-ComSources'!$E$175</f>
        <v>419.28477946906577</v>
      </c>
      <c r="F476" s="659" t="s">
        <v>27</v>
      </c>
      <c r="G476" s="662">
        <f>'Ref-2013CSSsaturationsINT'!$F$99</f>
        <v>0.77140636505360172</v>
      </c>
      <c r="H476" s="659" t="s">
        <v>66</v>
      </c>
      <c r="I476" s="663">
        <f>'Ref-2013CSSsaturationsINT'!$J$99</f>
        <v>0.98415313112366065</v>
      </c>
      <c r="J476" s="659" t="s">
        <v>1097</v>
      </c>
      <c r="K476" s="665" t="s">
        <v>1265</v>
      </c>
      <c r="L476" s="665" t="s">
        <v>1227</v>
      </c>
      <c r="M476" s="659" t="s">
        <v>91</v>
      </c>
      <c r="N476" s="664">
        <f>E476*G476*'Ref-Savings Calculations'!$E$39*Applicability</f>
        <v>66.227974995518693</v>
      </c>
      <c r="O476" s="664" t="s">
        <v>870</v>
      </c>
      <c r="P476" s="664">
        <f>E476*G476*'Ref-Savings Calculations'!$E$40*Applicability</f>
        <v>56.601815839193286</v>
      </c>
      <c r="Q476" s="664">
        <f>E476*G476*('Ref-Savings Calculations'!$C$89-'Ref-Savings Calculations'!$C$54)*Applicability*ControlShare</f>
        <v>17.825553371336603</v>
      </c>
      <c r="R476" s="37"/>
      <c r="S476" s="665" t="s">
        <v>44</v>
      </c>
      <c r="T476" s="665" t="s">
        <v>63</v>
      </c>
      <c r="U476" s="665" t="s">
        <v>870</v>
      </c>
      <c r="V476" s="665" t="s">
        <v>870</v>
      </c>
      <c r="W476" s="659" t="s">
        <v>76</v>
      </c>
      <c r="X476" s="37"/>
      <c r="Y476" s="37"/>
      <c r="Z476" s="659" t="s">
        <v>78</v>
      </c>
      <c r="AA476" s="659" t="s">
        <v>78</v>
      </c>
      <c r="AB476" s="37"/>
      <c r="AC476" s="666">
        <f>'Ref-ComHOU'!$G$6</f>
        <v>6.6986301369863011</v>
      </c>
      <c r="AD476" s="664" t="s">
        <v>72</v>
      </c>
      <c r="AE476" s="659" t="s">
        <v>73</v>
      </c>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c r="CA476" s="393"/>
      <c r="CB476" s="393"/>
      <c r="CC476" s="393"/>
      <c r="CD476" s="393"/>
      <c r="CE476" s="393"/>
      <c r="CF476" s="393"/>
      <c r="CG476" s="393"/>
      <c r="CH476" s="393"/>
      <c r="CI476" s="393"/>
      <c r="CJ476" s="390"/>
      <c r="CK476" s="390"/>
      <c r="CL476" s="390"/>
      <c r="CM476" s="390"/>
      <c r="CN476" s="390"/>
      <c r="CO476" s="390"/>
      <c r="CP476" s="390"/>
      <c r="CQ476" s="390"/>
      <c r="CR476" s="390"/>
      <c r="CS476" s="390"/>
      <c r="CT476" s="390"/>
      <c r="CU476" s="390"/>
      <c r="CV476" s="390"/>
      <c r="CW476" s="390"/>
      <c r="CX476" s="390"/>
      <c r="CY476" s="390"/>
      <c r="CZ476" s="390"/>
      <c r="DA476" s="390"/>
      <c r="DB476" s="390"/>
      <c r="DC476" s="390"/>
    </row>
    <row r="477" spans="1:107" s="317" customFormat="1" ht="56.25">
      <c r="A477" s="37"/>
      <c r="B477" s="658" t="s">
        <v>23</v>
      </c>
      <c r="C477" s="659" t="s">
        <v>1154</v>
      </c>
      <c r="D477" s="691" t="s">
        <v>1226</v>
      </c>
      <c r="E477" s="661">
        <f>'Ref-ComSources'!$AB$13*'Ref-ComSources'!$E$175</f>
        <v>419.28477946906577</v>
      </c>
      <c r="F477" s="659" t="s">
        <v>27</v>
      </c>
      <c r="G477" s="662">
        <f>'Ref-2013CSSsaturationsINT'!$F$99</f>
        <v>0.77140636505360172</v>
      </c>
      <c r="H477" s="659" t="s">
        <v>66</v>
      </c>
      <c r="I477" s="663">
        <f>'Ref-2013CSSsaturationsINT'!$J$99</f>
        <v>0.98415313112366065</v>
      </c>
      <c r="J477" s="659" t="s">
        <v>1097</v>
      </c>
      <c r="K477" s="665" t="s">
        <v>1265</v>
      </c>
      <c r="L477" s="665" t="s">
        <v>1227</v>
      </c>
      <c r="M477" s="659" t="s">
        <v>92</v>
      </c>
      <c r="N477" s="664">
        <f>E477*G477*'Ref-Savings Calculations'!$E$39*Applicability</f>
        <v>66.227974995518693</v>
      </c>
      <c r="O477" s="664">
        <f>E477*G477*'Ref-Savings Calculations'!$C$99*Applicability*ControlShare</f>
        <v>91.674274481159671</v>
      </c>
      <c r="P477" s="664">
        <f>E477*G477*'Ref-Savings Calculations'!$E$40*Applicability</f>
        <v>56.601815839193286</v>
      </c>
      <c r="Q477" s="664">
        <f>E477*G477*('Ref-Savings Calculations'!$C$99-'Ref-Savings Calculations'!$C$54)*Applicability*ControlShare</f>
        <v>30.558091493719889</v>
      </c>
      <c r="R477" s="37"/>
      <c r="S477" s="665" t="s">
        <v>44</v>
      </c>
      <c r="T477" s="665" t="s">
        <v>63</v>
      </c>
      <c r="U477" s="659" t="s">
        <v>69</v>
      </c>
      <c r="V477" s="659" t="s">
        <v>69</v>
      </c>
      <c r="W477" s="659" t="s">
        <v>76</v>
      </c>
      <c r="X477" s="37"/>
      <c r="Y477" s="37"/>
      <c r="Z477" s="659" t="s">
        <v>78</v>
      </c>
      <c r="AA477" s="659" t="s">
        <v>78</v>
      </c>
      <c r="AB477" s="37"/>
      <c r="AC477" s="666">
        <f>'Ref-ComHOU'!$G$6</f>
        <v>6.6986301369863011</v>
      </c>
      <c r="AD477" s="664" t="s">
        <v>72</v>
      </c>
      <c r="AE477" s="659" t="s">
        <v>73</v>
      </c>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c r="CA477" s="393"/>
      <c r="CB477" s="393"/>
      <c r="CC477" s="393"/>
      <c r="CD477" s="393"/>
      <c r="CE477" s="393"/>
      <c r="CF477" s="393"/>
      <c r="CG477" s="393"/>
      <c r="CH477" s="393"/>
      <c r="CI477" s="393"/>
      <c r="CJ477" s="390"/>
      <c r="CK477" s="390"/>
      <c r="CL477" s="390"/>
      <c r="CM477" s="390"/>
      <c r="CN477" s="390"/>
      <c r="CO477" s="390"/>
      <c r="CP477" s="390"/>
      <c r="CQ477" s="390"/>
      <c r="CR477" s="390"/>
      <c r="CS477" s="390"/>
      <c r="CT477" s="390"/>
      <c r="CU477" s="390"/>
      <c r="CV477" s="390"/>
      <c r="CW477" s="390"/>
      <c r="CX477" s="390"/>
      <c r="CY477" s="390"/>
      <c r="CZ477" s="390"/>
      <c r="DA477" s="390"/>
      <c r="DB477" s="390"/>
      <c r="DC477" s="390"/>
    </row>
    <row r="478" spans="1:107" s="317" customFormat="1" ht="56.25">
      <c r="A478" s="37"/>
      <c r="B478" s="658" t="s">
        <v>23</v>
      </c>
      <c r="C478" s="659" t="s">
        <v>1154</v>
      </c>
      <c r="D478" s="691" t="s">
        <v>1226</v>
      </c>
      <c r="E478" s="661">
        <f>'Ref-ComSources'!$AB$13*'Ref-ComSources'!$E$175</f>
        <v>419.28477946906577</v>
      </c>
      <c r="F478" s="659" t="s">
        <v>27</v>
      </c>
      <c r="G478" s="662">
        <f>'Ref-2013CSSsaturationsINT'!$F$99</f>
        <v>0.77140636505360172</v>
      </c>
      <c r="H478" s="659" t="s">
        <v>66</v>
      </c>
      <c r="I478" s="663">
        <f>'Ref-2013CSSsaturationsINT'!$J$99</f>
        <v>0.98415313112366065</v>
      </c>
      <c r="J478" s="659" t="s">
        <v>1097</v>
      </c>
      <c r="K478" s="665" t="s">
        <v>1265</v>
      </c>
      <c r="L478" s="665" t="s">
        <v>1227</v>
      </c>
      <c r="M478" s="659" t="s">
        <v>93</v>
      </c>
      <c r="N478" s="664">
        <f>E478*G478*'Ref-Savings Calculations'!$E$39*Applicability</f>
        <v>66.227974995518693</v>
      </c>
      <c r="O478" s="664">
        <f>E478*G478*'Ref-Savings Calculations'!$C$109*Applicability*ControlShare</f>
        <v>96.767289730112978</v>
      </c>
      <c r="P478" s="664">
        <f>E478*G478*'Ref-Savings Calculations'!$E$40*Applicability</f>
        <v>56.601815839193286</v>
      </c>
      <c r="Q478" s="664">
        <f>E478*G478*('Ref-Savings Calculations'!$C$109-'Ref-Savings Calculations'!$C$54)*Applicability*ControlShare</f>
        <v>35.651106742673207</v>
      </c>
      <c r="R478" s="37"/>
      <c r="S478" s="665" t="s">
        <v>44</v>
      </c>
      <c r="T478" s="665" t="s">
        <v>63</v>
      </c>
      <c r="U478" s="659" t="s">
        <v>44</v>
      </c>
      <c r="V478" s="659" t="s">
        <v>75</v>
      </c>
      <c r="W478" s="659" t="s">
        <v>76</v>
      </c>
      <c r="X478" s="37"/>
      <c r="Y478" s="37"/>
      <c r="Z478" s="659" t="s">
        <v>78</v>
      </c>
      <c r="AA478" s="659" t="s">
        <v>78</v>
      </c>
      <c r="AB478" s="37"/>
      <c r="AC478" s="666">
        <f>'Ref-ComHOU'!$G$6</f>
        <v>6.6986301369863011</v>
      </c>
      <c r="AD478" s="664" t="s">
        <v>72</v>
      </c>
      <c r="AE478" s="659" t="s">
        <v>73</v>
      </c>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c r="CA478" s="393"/>
      <c r="CB478" s="393"/>
      <c r="CC478" s="393"/>
      <c r="CD478" s="393"/>
      <c r="CE478" s="393"/>
      <c r="CF478" s="393"/>
      <c r="CG478" s="393"/>
      <c r="CH478" s="393"/>
      <c r="CI478" s="393"/>
      <c r="CJ478" s="390"/>
      <c r="CK478" s="390"/>
      <c r="CL478" s="390"/>
      <c r="CM478" s="390"/>
      <c r="CN478" s="390"/>
      <c r="CO478" s="390"/>
      <c r="CP478" s="390"/>
      <c r="CQ478" s="390"/>
      <c r="CR478" s="390"/>
      <c r="CS478" s="390"/>
      <c r="CT478" s="390"/>
      <c r="CU478" s="390"/>
      <c r="CV478" s="390"/>
      <c r="CW478" s="390"/>
      <c r="CX478" s="390"/>
      <c r="CY478" s="390"/>
      <c r="CZ478" s="390"/>
      <c r="DA478" s="390"/>
      <c r="DB478" s="390"/>
      <c r="DC478" s="390"/>
    </row>
    <row r="479" spans="1:107" s="317" customFormat="1" ht="24">
      <c r="A479" s="37"/>
      <c r="B479" s="658" t="s">
        <v>23</v>
      </c>
      <c r="C479" s="659" t="s">
        <v>1154</v>
      </c>
      <c r="D479" s="691" t="s">
        <v>1226</v>
      </c>
      <c r="E479" s="661">
        <f>'Ref-ComSources'!$AB$13*'Ref-ComSources'!$E$175</f>
        <v>419.28477946906577</v>
      </c>
      <c r="F479" s="659" t="s">
        <v>1245</v>
      </c>
      <c r="G479" s="662">
        <f>'Ref-2013CSSsaturationsINT'!$F$103</f>
        <v>0.16313589837577527</v>
      </c>
      <c r="H479" s="659" t="s">
        <v>66</v>
      </c>
      <c r="I479" s="663">
        <f>'Ref-2013CSSsaturationsINT'!$J$103</f>
        <v>0.99318613029000236</v>
      </c>
      <c r="J479" s="659" t="s">
        <v>994</v>
      </c>
      <c r="K479" s="665" t="s">
        <v>1265</v>
      </c>
      <c r="L479" s="665" t="s">
        <v>1227</v>
      </c>
      <c r="M479" s="659" t="s">
        <v>88</v>
      </c>
      <c r="N479" s="664">
        <f>E479*G479*'Ref-Savings Calculations'!$E$27*Applicability</f>
        <v>29.498954604579939</v>
      </c>
      <c r="O479" s="664">
        <f>E479*G479*'Ref-Savings Calculations'!$C$54*Applicability*ControlShare</f>
        <v>13.04339093105118</v>
      </c>
      <c r="P479" s="664">
        <f>E479*G479*'Ref-Savings Calculations'!$E$28*Applicability</f>
        <v>27.590237638395351</v>
      </c>
      <c r="Q479" s="664" t="s">
        <v>871</v>
      </c>
      <c r="R479" s="37"/>
      <c r="S479" s="665" t="s">
        <v>44</v>
      </c>
      <c r="T479" s="665" t="s">
        <v>63</v>
      </c>
      <c r="U479" s="659" t="s">
        <v>69</v>
      </c>
      <c r="V479" s="659" t="s">
        <v>69</v>
      </c>
      <c r="W479" s="659" t="s">
        <v>76</v>
      </c>
      <c r="X479" s="37"/>
      <c r="Y479" s="37"/>
      <c r="Z479" s="659" t="s">
        <v>78</v>
      </c>
      <c r="AA479" s="659" t="s">
        <v>78</v>
      </c>
      <c r="AB479" s="37"/>
      <c r="AC479" s="666">
        <f>'Ref-ComHOU'!$G$6</f>
        <v>6.6986301369863011</v>
      </c>
      <c r="AD479" s="664" t="s">
        <v>72</v>
      </c>
      <c r="AE479" s="659" t="s">
        <v>73</v>
      </c>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c r="CA479" s="393"/>
      <c r="CB479" s="393"/>
      <c r="CC479" s="393"/>
      <c r="CD479" s="393"/>
      <c r="CE479" s="393"/>
      <c r="CF479" s="393"/>
      <c r="CG479" s="393"/>
      <c r="CH479" s="393"/>
      <c r="CI479" s="393"/>
      <c r="CJ479" s="390"/>
      <c r="CK479" s="390"/>
      <c r="CL479" s="390"/>
      <c r="CM479" s="390"/>
      <c r="CN479" s="390"/>
      <c r="CO479" s="390"/>
      <c r="CP479" s="390"/>
      <c r="CQ479" s="390"/>
      <c r="CR479" s="390"/>
      <c r="CS479" s="390"/>
      <c r="CT479" s="390"/>
      <c r="CU479" s="390"/>
      <c r="CV479" s="390"/>
      <c r="CW479" s="390"/>
      <c r="CX479" s="390"/>
      <c r="CY479" s="390"/>
      <c r="CZ479" s="390"/>
      <c r="DA479" s="390"/>
      <c r="DB479" s="390"/>
      <c r="DC479" s="390"/>
    </row>
    <row r="480" spans="1:107" s="317" customFormat="1" ht="24">
      <c r="A480" s="37"/>
      <c r="B480" s="658" t="s">
        <v>23</v>
      </c>
      <c r="C480" s="659" t="s">
        <v>1154</v>
      </c>
      <c r="D480" s="691" t="s">
        <v>1226</v>
      </c>
      <c r="E480" s="661">
        <f>'Ref-ComSources'!$AB$13*'Ref-ComSources'!$E$175</f>
        <v>419.28477946906577</v>
      </c>
      <c r="F480" s="659" t="s">
        <v>1245</v>
      </c>
      <c r="G480" s="662">
        <f>'Ref-2013CSSsaturationsINT'!$F$103</f>
        <v>0.16313589837577527</v>
      </c>
      <c r="H480" s="659" t="s">
        <v>66</v>
      </c>
      <c r="I480" s="663">
        <f>'Ref-2013CSSsaturationsINT'!$J$103</f>
        <v>0.99318613029000236</v>
      </c>
      <c r="J480" s="659" t="s">
        <v>994</v>
      </c>
      <c r="K480" s="665" t="s">
        <v>1265</v>
      </c>
      <c r="L480" s="665" t="s">
        <v>1227</v>
      </c>
      <c r="M480" s="659" t="s">
        <v>90</v>
      </c>
      <c r="N480" s="664">
        <f>E480*G480*'Ref-Savings Calculations'!$E$27*Applicability</f>
        <v>29.498954604579939</v>
      </c>
      <c r="O480" s="664">
        <f>E480*G480*'Ref-Savings Calculations'!$C$77*Applicability*ControlShare</f>
        <v>15.217289419559714</v>
      </c>
      <c r="P480" s="664">
        <f>E480*G480*'Ref-Savings Calculations'!$E$28*Applicability</f>
        <v>27.590237638395351</v>
      </c>
      <c r="Q480" s="664" t="s">
        <v>1109</v>
      </c>
      <c r="R480" s="37"/>
      <c r="S480" s="665" t="s">
        <v>44</v>
      </c>
      <c r="T480" s="665" t="s">
        <v>63</v>
      </c>
      <c r="U480" s="659" t="s">
        <v>69</v>
      </c>
      <c r="V480" s="659" t="s">
        <v>69</v>
      </c>
      <c r="W480" s="659" t="s">
        <v>76</v>
      </c>
      <c r="X480" s="37"/>
      <c r="Y480" s="37"/>
      <c r="Z480" s="659" t="s">
        <v>78</v>
      </c>
      <c r="AA480" s="659" t="s">
        <v>78</v>
      </c>
      <c r="AB480" s="37"/>
      <c r="AC480" s="666">
        <f>'Ref-ComHOU'!$G$6</f>
        <v>6.6986301369863011</v>
      </c>
      <c r="AD480" s="664" t="s">
        <v>72</v>
      </c>
      <c r="AE480" s="659" t="s">
        <v>73</v>
      </c>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c r="CA480" s="393"/>
      <c r="CB480" s="393"/>
      <c r="CC480" s="393"/>
      <c r="CD480" s="393"/>
      <c r="CE480" s="393"/>
      <c r="CF480" s="393"/>
      <c r="CG480" s="393"/>
      <c r="CH480" s="393"/>
      <c r="CI480" s="393"/>
      <c r="CJ480" s="390"/>
      <c r="CK480" s="390"/>
      <c r="CL480" s="390"/>
      <c r="CM480" s="390"/>
      <c r="CN480" s="390"/>
      <c r="CO480" s="390"/>
      <c r="CP480" s="390"/>
      <c r="CQ480" s="390"/>
      <c r="CR480" s="390"/>
      <c r="CS480" s="390"/>
      <c r="CT480" s="390"/>
      <c r="CU480" s="390"/>
      <c r="CV480" s="390"/>
      <c r="CW480" s="390"/>
      <c r="CX480" s="390"/>
      <c r="CY480" s="390"/>
      <c r="CZ480" s="390"/>
      <c r="DA480" s="390"/>
      <c r="DB480" s="390"/>
      <c r="DC480" s="390"/>
    </row>
    <row r="481" spans="1:107" s="317" customFormat="1" ht="24">
      <c r="A481" s="37"/>
      <c r="B481" s="658" t="s">
        <v>23</v>
      </c>
      <c r="C481" s="659" t="s">
        <v>1154</v>
      </c>
      <c r="D481" s="691" t="s">
        <v>1226</v>
      </c>
      <c r="E481" s="661">
        <f>'Ref-ComSources'!$AB$13*'Ref-ComSources'!$E$175</f>
        <v>419.28477946906577</v>
      </c>
      <c r="F481" s="659" t="s">
        <v>1245</v>
      </c>
      <c r="G481" s="662">
        <f>'Ref-2013CSSsaturationsINT'!$F$103</f>
        <v>0.16313589837577527</v>
      </c>
      <c r="H481" s="659" t="s">
        <v>66</v>
      </c>
      <c r="I481" s="663">
        <f>'Ref-2013CSSsaturationsINT'!$J$103</f>
        <v>0.99318613029000236</v>
      </c>
      <c r="J481" s="659" t="s">
        <v>994</v>
      </c>
      <c r="K481" s="665" t="s">
        <v>1265</v>
      </c>
      <c r="L481" s="665" t="s">
        <v>1227</v>
      </c>
      <c r="M481" s="659" t="s">
        <v>91</v>
      </c>
      <c r="N481" s="664">
        <f>E481*G481*'Ref-Savings Calculations'!$E$27*Applicability</f>
        <v>29.498954604579939</v>
      </c>
      <c r="O481" s="664" t="s">
        <v>870</v>
      </c>
      <c r="P481" s="664">
        <f>E481*G481*'Ref-Savings Calculations'!$E$28*Applicability</f>
        <v>27.590237638395351</v>
      </c>
      <c r="Q481" s="664">
        <f>E481*G481*('Ref-Savings Calculations'!$C$89-'Ref-Savings Calculations'!$C$54)*Applicability*ControlShare</f>
        <v>3.8043223548899285</v>
      </c>
      <c r="R481" s="37"/>
      <c r="S481" s="665" t="s">
        <v>44</v>
      </c>
      <c r="T481" s="665" t="s">
        <v>63</v>
      </c>
      <c r="U481" s="665" t="s">
        <v>870</v>
      </c>
      <c r="V481" s="665" t="s">
        <v>870</v>
      </c>
      <c r="W481" s="659" t="s">
        <v>76</v>
      </c>
      <c r="X481" s="37"/>
      <c r="Y481" s="37"/>
      <c r="Z481" s="659" t="s">
        <v>78</v>
      </c>
      <c r="AA481" s="659" t="s">
        <v>78</v>
      </c>
      <c r="AB481" s="37"/>
      <c r="AC481" s="666">
        <f>'Ref-ComHOU'!$G$6</f>
        <v>6.6986301369863011</v>
      </c>
      <c r="AD481" s="664" t="s">
        <v>72</v>
      </c>
      <c r="AE481" s="659" t="s">
        <v>73</v>
      </c>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c r="CA481" s="393"/>
      <c r="CB481" s="393"/>
      <c r="CC481" s="393"/>
      <c r="CD481" s="393"/>
      <c r="CE481" s="393"/>
      <c r="CF481" s="393"/>
      <c r="CG481" s="393"/>
      <c r="CH481" s="393"/>
      <c r="CI481" s="393"/>
      <c r="CJ481" s="390"/>
      <c r="CK481" s="390"/>
      <c r="CL481" s="390"/>
      <c r="CM481" s="390"/>
      <c r="CN481" s="390"/>
      <c r="CO481" s="390"/>
      <c r="CP481" s="390"/>
      <c r="CQ481" s="390"/>
      <c r="CR481" s="390"/>
      <c r="CS481" s="390"/>
      <c r="CT481" s="390"/>
      <c r="CU481" s="390"/>
      <c r="CV481" s="390"/>
      <c r="CW481" s="390"/>
      <c r="CX481" s="390"/>
      <c r="CY481" s="390"/>
      <c r="CZ481" s="390"/>
      <c r="DA481" s="390"/>
      <c r="DB481" s="390"/>
      <c r="DC481" s="390"/>
    </row>
    <row r="482" spans="1:107" s="317" customFormat="1" ht="24">
      <c r="A482" s="37"/>
      <c r="B482" s="658" t="s">
        <v>23</v>
      </c>
      <c r="C482" s="659" t="s">
        <v>1154</v>
      </c>
      <c r="D482" s="691" t="s">
        <v>1226</v>
      </c>
      <c r="E482" s="661">
        <f>'Ref-ComSources'!$AB$13*'Ref-ComSources'!$E$175</f>
        <v>419.28477946906577</v>
      </c>
      <c r="F482" s="659" t="s">
        <v>1245</v>
      </c>
      <c r="G482" s="662">
        <f>'Ref-2013CSSsaturationsINT'!$F$103</f>
        <v>0.16313589837577527</v>
      </c>
      <c r="H482" s="659" t="s">
        <v>66</v>
      </c>
      <c r="I482" s="663">
        <f>'Ref-2013CSSsaturationsINT'!$J$103</f>
        <v>0.99318613029000236</v>
      </c>
      <c r="J482" s="659" t="s">
        <v>994</v>
      </c>
      <c r="K482" s="665" t="s">
        <v>1265</v>
      </c>
      <c r="L482" s="665" t="s">
        <v>1227</v>
      </c>
      <c r="M482" s="659" t="s">
        <v>92</v>
      </c>
      <c r="N482" s="664">
        <f>E482*G482*'Ref-Savings Calculations'!$E$27*Applicability</f>
        <v>29.498954604579939</v>
      </c>
      <c r="O482" s="664">
        <f>E482*G482*'Ref-Savings Calculations'!$C$99*Applicability*ControlShare</f>
        <v>19.565086396576774</v>
      </c>
      <c r="P482" s="664">
        <f>E482*G482*'Ref-Savings Calculations'!$E$28*Applicability</f>
        <v>27.590237638395351</v>
      </c>
      <c r="Q482" s="664">
        <f>E482*G482*('Ref-Savings Calculations'!$C$99-'Ref-Savings Calculations'!$C$54)*Applicability*ControlShare</f>
        <v>6.5216954655255899</v>
      </c>
      <c r="R482" s="37"/>
      <c r="S482" s="665" t="s">
        <v>44</v>
      </c>
      <c r="T482" s="665" t="s">
        <v>63</v>
      </c>
      <c r="U482" s="659" t="s">
        <v>69</v>
      </c>
      <c r="V482" s="659" t="s">
        <v>69</v>
      </c>
      <c r="W482" s="659" t="s">
        <v>76</v>
      </c>
      <c r="X482" s="37"/>
      <c r="Y482" s="37"/>
      <c r="Z482" s="659" t="s">
        <v>78</v>
      </c>
      <c r="AA482" s="659" t="s">
        <v>78</v>
      </c>
      <c r="AB482" s="37"/>
      <c r="AC482" s="666">
        <f>'Ref-ComHOU'!$G$6</f>
        <v>6.6986301369863011</v>
      </c>
      <c r="AD482" s="664" t="s">
        <v>72</v>
      </c>
      <c r="AE482" s="659" t="s">
        <v>73</v>
      </c>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c r="CA482" s="393"/>
      <c r="CB482" s="393"/>
      <c r="CC482" s="393"/>
      <c r="CD482" s="393"/>
      <c r="CE482" s="393"/>
      <c r="CF482" s="393"/>
      <c r="CG482" s="393"/>
      <c r="CH482" s="393"/>
      <c r="CI482" s="393"/>
      <c r="CJ482" s="390"/>
      <c r="CK482" s="390"/>
      <c r="CL482" s="390"/>
      <c r="CM482" s="390"/>
      <c r="CN482" s="390"/>
      <c r="CO482" s="390"/>
      <c r="CP482" s="390"/>
      <c r="CQ482" s="390"/>
      <c r="CR482" s="390"/>
      <c r="CS482" s="390"/>
      <c r="CT482" s="390"/>
      <c r="CU482" s="390"/>
      <c r="CV482" s="390"/>
      <c r="CW482" s="390"/>
      <c r="CX482" s="390"/>
      <c r="CY482" s="390"/>
      <c r="CZ482" s="390"/>
      <c r="DA482" s="390"/>
      <c r="DB482" s="390"/>
      <c r="DC482" s="390"/>
    </row>
    <row r="483" spans="1:107" s="317" customFormat="1" ht="24">
      <c r="A483" s="37"/>
      <c r="B483" s="658" t="s">
        <v>23</v>
      </c>
      <c r="C483" s="659" t="s">
        <v>1154</v>
      </c>
      <c r="D483" s="691" t="s">
        <v>1226</v>
      </c>
      <c r="E483" s="661">
        <f>'Ref-ComSources'!$AB$13*'Ref-ComSources'!$E$175</f>
        <v>419.28477946906577</v>
      </c>
      <c r="F483" s="659" t="s">
        <v>1245</v>
      </c>
      <c r="G483" s="662">
        <f>'Ref-2013CSSsaturationsINT'!$F$103</f>
        <v>0.16313589837577527</v>
      </c>
      <c r="H483" s="659" t="s">
        <v>66</v>
      </c>
      <c r="I483" s="663">
        <f>'Ref-2013CSSsaturationsINT'!$J$103</f>
        <v>0.99318613029000236</v>
      </c>
      <c r="J483" s="659" t="s">
        <v>994</v>
      </c>
      <c r="K483" s="665" t="s">
        <v>1265</v>
      </c>
      <c r="L483" s="665" t="s">
        <v>1227</v>
      </c>
      <c r="M483" s="659" t="s">
        <v>93</v>
      </c>
      <c r="N483" s="664">
        <f>E483*G483*'Ref-Savings Calculations'!$E$27*Applicability</f>
        <v>29.498954604579939</v>
      </c>
      <c r="O483" s="664">
        <f>E483*G483*'Ref-Savings Calculations'!$C$109*Applicability*ControlShare</f>
        <v>20.652035640831038</v>
      </c>
      <c r="P483" s="664">
        <f>E483*G483*'Ref-Savings Calculations'!$E$28*Applicability</f>
        <v>27.590237638395351</v>
      </c>
      <c r="Q483" s="664">
        <f>E483*G483*('Ref-Savings Calculations'!$C$109-'Ref-Savings Calculations'!$C$54)*Applicability*ControlShare</f>
        <v>7.6086447097798571</v>
      </c>
      <c r="R483" s="37"/>
      <c r="S483" s="665" t="s">
        <v>44</v>
      </c>
      <c r="T483" s="665" t="s">
        <v>63</v>
      </c>
      <c r="U483" s="659" t="s">
        <v>44</v>
      </c>
      <c r="V483" s="659" t="s">
        <v>75</v>
      </c>
      <c r="W483" s="659" t="s">
        <v>76</v>
      </c>
      <c r="X483" s="37"/>
      <c r="Y483" s="37"/>
      <c r="Z483" s="659" t="s">
        <v>78</v>
      </c>
      <c r="AA483" s="659" t="s">
        <v>78</v>
      </c>
      <c r="AB483" s="37"/>
      <c r="AC483" s="666">
        <f>'Ref-ComHOU'!$G$6</f>
        <v>6.6986301369863011</v>
      </c>
      <c r="AD483" s="664" t="s">
        <v>72</v>
      </c>
      <c r="AE483" s="659" t="s">
        <v>73</v>
      </c>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c r="CA483" s="393"/>
      <c r="CB483" s="393"/>
      <c r="CC483" s="393"/>
      <c r="CD483" s="393"/>
      <c r="CE483" s="393"/>
      <c r="CF483" s="393"/>
      <c r="CG483" s="393"/>
      <c r="CH483" s="393"/>
      <c r="CI483" s="393"/>
      <c r="CJ483" s="390"/>
      <c r="CK483" s="390"/>
      <c r="CL483" s="390"/>
      <c r="CM483" s="390"/>
      <c r="CN483" s="390"/>
      <c r="CO483" s="390"/>
      <c r="CP483" s="390"/>
      <c r="CQ483" s="390"/>
      <c r="CR483" s="390"/>
      <c r="CS483" s="390"/>
      <c r="CT483" s="390"/>
      <c r="CU483" s="390"/>
      <c r="CV483" s="390"/>
      <c r="CW483" s="390"/>
      <c r="CX483" s="390"/>
      <c r="CY483" s="390"/>
      <c r="CZ483" s="390"/>
      <c r="DA483" s="390"/>
      <c r="DB483" s="390"/>
      <c r="DC483" s="390"/>
    </row>
    <row r="484" spans="1:107" s="317" customFormat="1" ht="24">
      <c r="A484" s="37"/>
      <c r="B484" s="658" t="s">
        <v>23</v>
      </c>
      <c r="C484" s="659" t="s">
        <v>1154</v>
      </c>
      <c r="D484" s="691" t="s">
        <v>1226</v>
      </c>
      <c r="E484" s="661">
        <f>'Ref-ComSources'!$AB$13*'Ref-ComSources'!$E$175</f>
        <v>419.28477946906577</v>
      </c>
      <c r="F484" s="659" t="s">
        <v>1245</v>
      </c>
      <c r="G484" s="662">
        <f>'Ref-2013CSSsaturationsINT'!$F$103</f>
        <v>0.16313589837577527</v>
      </c>
      <c r="H484" s="659" t="s">
        <v>66</v>
      </c>
      <c r="I484" s="663">
        <f>'Ref-2013CSSsaturationsINT'!$J$103</f>
        <v>0.99318613029000236</v>
      </c>
      <c r="J484" s="659" t="s">
        <v>994</v>
      </c>
      <c r="K484" s="665" t="s">
        <v>1265</v>
      </c>
      <c r="L484" s="665" t="s">
        <v>995</v>
      </c>
      <c r="M484" s="659" t="s">
        <v>88</v>
      </c>
      <c r="N484" s="664">
        <f>E484*G484*'Ref-Savings Calculations'!$E$19*Applicability</f>
        <v>13.229088191889645</v>
      </c>
      <c r="O484" s="664">
        <f>E484*G484*'Ref-Savings Calculations'!$C$54*Applicability*ControlShare</f>
        <v>13.04339093105118</v>
      </c>
      <c r="P484" s="664">
        <f>E484*G484*'Ref-Savings Calculations'!$E$20*Applicability</f>
        <v>10.816807311233235</v>
      </c>
      <c r="Q484" s="664" t="s">
        <v>871</v>
      </c>
      <c r="R484" s="37"/>
      <c r="S484" s="659" t="s">
        <v>44</v>
      </c>
      <c r="T484" s="659" t="s">
        <v>69</v>
      </c>
      <c r="U484" s="659" t="s">
        <v>69</v>
      </c>
      <c r="V484" s="659" t="s">
        <v>69</v>
      </c>
      <c r="W484" s="659" t="s">
        <v>76</v>
      </c>
      <c r="X484" s="37"/>
      <c r="Y484" s="37"/>
      <c r="Z484" s="659" t="s">
        <v>78</v>
      </c>
      <c r="AA484" s="659" t="s">
        <v>78</v>
      </c>
      <c r="AB484" s="37"/>
      <c r="AC484" s="666">
        <f>'Ref-ComHOU'!$G$6</f>
        <v>6.6986301369863011</v>
      </c>
      <c r="AD484" s="664" t="s">
        <v>72</v>
      </c>
      <c r="AE484" s="659" t="s">
        <v>73</v>
      </c>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c r="CA484" s="393"/>
      <c r="CB484" s="393"/>
      <c r="CC484" s="393"/>
      <c r="CD484" s="393"/>
      <c r="CE484" s="393"/>
      <c r="CF484" s="393"/>
      <c r="CG484" s="393"/>
      <c r="CH484" s="393"/>
      <c r="CI484" s="393"/>
      <c r="CJ484" s="390"/>
      <c r="CK484" s="390"/>
      <c r="CL484" s="390"/>
      <c r="CM484" s="390"/>
      <c r="CN484" s="390"/>
      <c r="CO484" s="390"/>
      <c r="CP484" s="390"/>
      <c r="CQ484" s="390"/>
      <c r="CR484" s="390"/>
      <c r="CS484" s="390"/>
      <c r="CT484" s="390"/>
      <c r="CU484" s="390"/>
      <c r="CV484" s="390"/>
      <c r="CW484" s="390"/>
      <c r="CX484" s="390"/>
      <c r="CY484" s="390"/>
      <c r="CZ484" s="390"/>
      <c r="DA484" s="390"/>
      <c r="DB484" s="390"/>
      <c r="DC484" s="390"/>
    </row>
    <row r="485" spans="1:107" s="317" customFormat="1" ht="24">
      <c r="A485" s="37"/>
      <c r="B485" s="658" t="s">
        <v>23</v>
      </c>
      <c r="C485" s="659" t="s">
        <v>1154</v>
      </c>
      <c r="D485" s="691" t="s">
        <v>1226</v>
      </c>
      <c r="E485" s="661">
        <f>'Ref-ComSources'!$AB$13*'Ref-ComSources'!$E$175</f>
        <v>419.28477946906577</v>
      </c>
      <c r="F485" s="659" t="s">
        <v>1245</v>
      </c>
      <c r="G485" s="662">
        <f>'Ref-2013CSSsaturationsINT'!$F$103</f>
        <v>0.16313589837577527</v>
      </c>
      <c r="H485" s="659" t="s">
        <v>66</v>
      </c>
      <c r="I485" s="663">
        <f>'Ref-2013CSSsaturationsINT'!$J$103</f>
        <v>0.99318613029000236</v>
      </c>
      <c r="J485" s="659" t="s">
        <v>994</v>
      </c>
      <c r="K485" s="665" t="s">
        <v>1265</v>
      </c>
      <c r="L485" s="665" t="s">
        <v>995</v>
      </c>
      <c r="M485" s="659" t="s">
        <v>90</v>
      </c>
      <c r="N485" s="664">
        <f>E485*G485*'Ref-Savings Calculations'!$E$19*Applicability</f>
        <v>13.229088191889645</v>
      </c>
      <c r="O485" s="664">
        <f>E485*G485*'Ref-Savings Calculations'!$C$77*Applicability*ControlShare</f>
        <v>15.217289419559714</v>
      </c>
      <c r="P485" s="664">
        <f>E485*G485*'Ref-Savings Calculations'!$E$20*Applicability</f>
        <v>10.816807311233235</v>
      </c>
      <c r="Q485" s="664" t="s">
        <v>1109</v>
      </c>
      <c r="R485" s="37"/>
      <c r="S485" s="659" t="s">
        <v>44</v>
      </c>
      <c r="T485" s="659" t="s">
        <v>69</v>
      </c>
      <c r="U485" s="659" t="s">
        <v>69</v>
      </c>
      <c r="V485" s="659" t="s">
        <v>69</v>
      </c>
      <c r="W485" s="659" t="s">
        <v>76</v>
      </c>
      <c r="X485" s="37"/>
      <c r="Y485" s="37"/>
      <c r="Z485" s="659" t="s">
        <v>78</v>
      </c>
      <c r="AA485" s="659" t="s">
        <v>78</v>
      </c>
      <c r="AB485" s="37"/>
      <c r="AC485" s="666">
        <f>'Ref-ComHOU'!$G$6</f>
        <v>6.6986301369863011</v>
      </c>
      <c r="AD485" s="664" t="s">
        <v>72</v>
      </c>
      <c r="AE485" s="659" t="s">
        <v>73</v>
      </c>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c r="CA485" s="393"/>
      <c r="CB485" s="393"/>
      <c r="CC485" s="393"/>
      <c r="CD485" s="393"/>
      <c r="CE485" s="393"/>
      <c r="CF485" s="393"/>
      <c r="CG485" s="393"/>
      <c r="CH485" s="393"/>
      <c r="CI485" s="393"/>
      <c r="CJ485" s="390"/>
      <c r="CK485" s="390"/>
      <c r="CL485" s="390"/>
      <c r="CM485" s="390"/>
      <c r="CN485" s="390"/>
      <c r="CO485" s="390"/>
      <c r="CP485" s="390"/>
      <c r="CQ485" s="390"/>
      <c r="CR485" s="390"/>
      <c r="CS485" s="390"/>
      <c r="CT485" s="390"/>
      <c r="CU485" s="390"/>
      <c r="CV485" s="390"/>
      <c r="CW485" s="390"/>
      <c r="CX485" s="390"/>
      <c r="CY485" s="390"/>
      <c r="CZ485" s="390"/>
      <c r="DA485" s="390"/>
      <c r="DB485" s="390"/>
      <c r="DC485" s="390"/>
    </row>
    <row r="486" spans="1:107" s="317" customFormat="1" ht="24">
      <c r="A486" s="37"/>
      <c r="B486" s="658" t="s">
        <v>23</v>
      </c>
      <c r="C486" s="659" t="s">
        <v>1154</v>
      </c>
      <c r="D486" s="691" t="s">
        <v>1226</v>
      </c>
      <c r="E486" s="661">
        <f>'Ref-ComSources'!$AB$13*'Ref-ComSources'!$E$175</f>
        <v>419.28477946906577</v>
      </c>
      <c r="F486" s="659" t="s">
        <v>1245</v>
      </c>
      <c r="G486" s="662">
        <f>'Ref-2013CSSsaturationsINT'!$F$103</f>
        <v>0.16313589837577527</v>
      </c>
      <c r="H486" s="659" t="s">
        <v>66</v>
      </c>
      <c r="I486" s="663">
        <f>'Ref-2013CSSsaturationsINT'!$J$103</f>
        <v>0.99318613029000236</v>
      </c>
      <c r="J486" s="659" t="s">
        <v>994</v>
      </c>
      <c r="K486" s="665" t="s">
        <v>1265</v>
      </c>
      <c r="L486" s="665" t="s">
        <v>995</v>
      </c>
      <c r="M486" s="659" t="s">
        <v>91</v>
      </c>
      <c r="N486" s="664">
        <f>E486*G486*'Ref-Savings Calculations'!$E$19*Applicability</f>
        <v>13.229088191889645</v>
      </c>
      <c r="O486" s="664" t="s">
        <v>870</v>
      </c>
      <c r="P486" s="664">
        <f>E486*G486*'Ref-Savings Calculations'!$E$20*Applicability</f>
        <v>10.816807311233235</v>
      </c>
      <c r="Q486" s="664">
        <f>E486*G486*('Ref-Savings Calculations'!$C$89-'Ref-Savings Calculations'!$C$54)*Applicability*ControlShare</f>
        <v>3.8043223548899285</v>
      </c>
      <c r="R486" s="37"/>
      <c r="S486" s="659" t="s">
        <v>44</v>
      </c>
      <c r="T486" s="659" t="s">
        <v>69</v>
      </c>
      <c r="U486" s="665" t="s">
        <v>870</v>
      </c>
      <c r="V486" s="665" t="s">
        <v>870</v>
      </c>
      <c r="W486" s="659" t="s">
        <v>76</v>
      </c>
      <c r="X486" s="37"/>
      <c r="Y486" s="37"/>
      <c r="Z486" s="659" t="s">
        <v>78</v>
      </c>
      <c r="AA486" s="659" t="s">
        <v>78</v>
      </c>
      <c r="AB486" s="37"/>
      <c r="AC486" s="666">
        <f>'Ref-ComHOU'!$G$6</f>
        <v>6.6986301369863011</v>
      </c>
      <c r="AD486" s="664" t="s">
        <v>72</v>
      </c>
      <c r="AE486" s="659" t="s">
        <v>73</v>
      </c>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c r="CA486" s="393"/>
      <c r="CB486" s="393"/>
      <c r="CC486" s="393"/>
      <c r="CD486" s="393"/>
      <c r="CE486" s="393"/>
      <c r="CF486" s="393"/>
      <c r="CG486" s="393"/>
      <c r="CH486" s="393"/>
      <c r="CI486" s="393"/>
      <c r="CJ486" s="390"/>
      <c r="CK486" s="390"/>
      <c r="CL486" s="390"/>
      <c r="CM486" s="390"/>
      <c r="CN486" s="390"/>
      <c r="CO486" s="390"/>
      <c r="CP486" s="390"/>
      <c r="CQ486" s="390"/>
      <c r="CR486" s="390"/>
      <c r="CS486" s="390"/>
      <c r="CT486" s="390"/>
      <c r="CU486" s="390"/>
      <c r="CV486" s="390"/>
      <c r="CW486" s="390"/>
      <c r="CX486" s="390"/>
      <c r="CY486" s="390"/>
      <c r="CZ486" s="390"/>
      <c r="DA486" s="390"/>
      <c r="DB486" s="390"/>
      <c r="DC486" s="390"/>
    </row>
    <row r="487" spans="1:107" s="317" customFormat="1" ht="24">
      <c r="A487" s="37"/>
      <c r="B487" s="658" t="s">
        <v>23</v>
      </c>
      <c r="C487" s="659" t="s">
        <v>1154</v>
      </c>
      <c r="D487" s="691" t="s">
        <v>1226</v>
      </c>
      <c r="E487" s="661">
        <f>'Ref-ComSources'!$AB$13*'Ref-ComSources'!$E$175</f>
        <v>419.28477946906577</v>
      </c>
      <c r="F487" s="659" t="s">
        <v>1245</v>
      </c>
      <c r="G487" s="662">
        <f>'Ref-2013CSSsaturationsINT'!$F$103</f>
        <v>0.16313589837577527</v>
      </c>
      <c r="H487" s="659" t="s">
        <v>66</v>
      </c>
      <c r="I487" s="663">
        <f>'Ref-2013CSSsaturationsINT'!$J$103</f>
        <v>0.99318613029000236</v>
      </c>
      <c r="J487" s="659" t="s">
        <v>994</v>
      </c>
      <c r="K487" s="665" t="s">
        <v>1265</v>
      </c>
      <c r="L487" s="665" t="s">
        <v>995</v>
      </c>
      <c r="M487" s="659" t="s">
        <v>92</v>
      </c>
      <c r="N487" s="664">
        <f>E487*G487*'Ref-Savings Calculations'!$E$19*Applicability</f>
        <v>13.229088191889645</v>
      </c>
      <c r="O487" s="664">
        <f>E487*G487*'Ref-Savings Calculations'!$C$99*Applicability*ControlShare</f>
        <v>19.565086396576774</v>
      </c>
      <c r="P487" s="664">
        <f>E487*G487*'Ref-Savings Calculations'!$E$20*Applicability</f>
        <v>10.816807311233235</v>
      </c>
      <c r="Q487" s="664">
        <f>E487*G487*('Ref-Savings Calculations'!$C$99-'Ref-Savings Calculations'!$C$54)*Applicability*ControlShare</f>
        <v>6.5216954655255899</v>
      </c>
      <c r="R487" s="37"/>
      <c r="S487" s="659" t="s">
        <v>44</v>
      </c>
      <c r="T487" s="659" t="s">
        <v>69</v>
      </c>
      <c r="U487" s="659" t="s">
        <v>69</v>
      </c>
      <c r="V487" s="659" t="s">
        <v>69</v>
      </c>
      <c r="W487" s="659" t="s">
        <v>76</v>
      </c>
      <c r="X487" s="37"/>
      <c r="Y487" s="37"/>
      <c r="Z487" s="659" t="s">
        <v>78</v>
      </c>
      <c r="AA487" s="659" t="s">
        <v>78</v>
      </c>
      <c r="AB487" s="37"/>
      <c r="AC487" s="666">
        <f>'Ref-ComHOU'!$G$6</f>
        <v>6.6986301369863011</v>
      </c>
      <c r="AD487" s="664" t="s">
        <v>72</v>
      </c>
      <c r="AE487" s="659" t="s">
        <v>73</v>
      </c>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c r="CA487" s="393"/>
      <c r="CB487" s="393"/>
      <c r="CC487" s="393"/>
      <c r="CD487" s="393"/>
      <c r="CE487" s="393"/>
      <c r="CF487" s="393"/>
      <c r="CG487" s="393"/>
      <c r="CH487" s="393"/>
      <c r="CI487" s="393"/>
      <c r="CJ487" s="390"/>
      <c r="CK487" s="390"/>
      <c r="CL487" s="390"/>
      <c r="CM487" s="390"/>
      <c r="CN487" s="390"/>
      <c r="CO487" s="390"/>
      <c r="CP487" s="390"/>
      <c r="CQ487" s="390"/>
      <c r="CR487" s="390"/>
      <c r="CS487" s="390"/>
      <c r="CT487" s="390"/>
      <c r="CU487" s="390"/>
      <c r="CV487" s="390"/>
      <c r="CW487" s="390"/>
      <c r="CX487" s="390"/>
      <c r="CY487" s="390"/>
      <c r="CZ487" s="390"/>
      <c r="DA487" s="390"/>
      <c r="DB487" s="390"/>
      <c r="DC487" s="390"/>
    </row>
    <row r="488" spans="1:107" s="317" customFormat="1" ht="24">
      <c r="A488" s="37"/>
      <c r="B488" s="658" t="s">
        <v>23</v>
      </c>
      <c r="C488" s="659" t="s">
        <v>1154</v>
      </c>
      <c r="D488" s="691" t="s">
        <v>1226</v>
      </c>
      <c r="E488" s="661">
        <f>'Ref-ComSources'!$AB$13*'Ref-ComSources'!$E$175</f>
        <v>419.28477946906577</v>
      </c>
      <c r="F488" s="659" t="s">
        <v>1245</v>
      </c>
      <c r="G488" s="662">
        <f>'Ref-2013CSSsaturationsINT'!$F$103</f>
        <v>0.16313589837577527</v>
      </c>
      <c r="H488" s="659" t="s">
        <v>66</v>
      </c>
      <c r="I488" s="663">
        <f>'Ref-2013CSSsaturationsINT'!$J$103</f>
        <v>0.99318613029000236</v>
      </c>
      <c r="J488" s="659" t="s">
        <v>994</v>
      </c>
      <c r="K488" s="665" t="s">
        <v>1265</v>
      </c>
      <c r="L488" s="665" t="s">
        <v>995</v>
      </c>
      <c r="M488" s="659" t="s">
        <v>93</v>
      </c>
      <c r="N488" s="664">
        <f>E488*G488*'Ref-Savings Calculations'!$E$19*Applicability</f>
        <v>13.229088191889645</v>
      </c>
      <c r="O488" s="664">
        <f>E488*G488*'Ref-Savings Calculations'!$C$109*Applicability*ControlShare</f>
        <v>20.652035640831038</v>
      </c>
      <c r="P488" s="664">
        <f>E488*G488*'Ref-Savings Calculations'!$E$20*Applicability</f>
        <v>10.816807311233235</v>
      </c>
      <c r="Q488" s="664">
        <f>E488*G488*('Ref-Savings Calculations'!$C$109-'Ref-Savings Calculations'!$C$54)*Applicability*ControlShare</f>
        <v>7.6086447097798571</v>
      </c>
      <c r="R488" s="37"/>
      <c r="S488" s="659" t="s">
        <v>44</v>
      </c>
      <c r="T488" s="659" t="s">
        <v>69</v>
      </c>
      <c r="U488" s="659" t="s">
        <v>44</v>
      </c>
      <c r="V488" s="659" t="s">
        <v>75</v>
      </c>
      <c r="W488" s="659" t="s">
        <v>76</v>
      </c>
      <c r="X488" s="37"/>
      <c r="Y488" s="37"/>
      <c r="Z488" s="659" t="s">
        <v>78</v>
      </c>
      <c r="AA488" s="659" t="s">
        <v>78</v>
      </c>
      <c r="AB488" s="37"/>
      <c r="AC488" s="666">
        <f>'Ref-ComHOU'!$G$6</f>
        <v>6.6986301369863011</v>
      </c>
      <c r="AD488" s="664" t="s">
        <v>72</v>
      </c>
      <c r="AE488" s="659" t="s">
        <v>73</v>
      </c>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c r="CA488" s="393"/>
      <c r="CB488" s="393"/>
      <c r="CC488" s="393"/>
      <c r="CD488" s="393"/>
      <c r="CE488" s="393"/>
      <c r="CF488" s="393"/>
      <c r="CG488" s="393"/>
      <c r="CH488" s="393"/>
      <c r="CI488" s="393"/>
      <c r="CJ488" s="390"/>
      <c r="CK488" s="390"/>
      <c r="CL488" s="390"/>
      <c r="CM488" s="390"/>
      <c r="CN488" s="390"/>
      <c r="CO488" s="390"/>
      <c r="CP488" s="390"/>
      <c r="CQ488" s="390"/>
      <c r="CR488" s="390"/>
      <c r="CS488" s="390"/>
      <c r="CT488" s="390"/>
      <c r="CU488" s="390"/>
      <c r="CV488" s="390"/>
      <c r="CW488" s="390"/>
      <c r="CX488" s="390"/>
      <c r="CY488" s="390"/>
      <c r="CZ488" s="390"/>
      <c r="DA488" s="390"/>
      <c r="DB488" s="390"/>
      <c r="DC488" s="390"/>
    </row>
    <row r="489" spans="1:107" s="317" customFormat="1" ht="33.75">
      <c r="A489" s="37"/>
      <c r="B489" s="658" t="s">
        <v>23</v>
      </c>
      <c r="C489" s="659" t="s">
        <v>1154</v>
      </c>
      <c r="D489" s="691" t="s">
        <v>1226</v>
      </c>
      <c r="E489" s="661">
        <f>'Ref-ComSources'!$AB$13*'Ref-ComSources'!$E$175</f>
        <v>419.28477946906577</v>
      </c>
      <c r="F489" s="659" t="s">
        <v>1245</v>
      </c>
      <c r="G489" s="662">
        <f>'Ref-2013CSSsaturationsINT'!$F$103</f>
        <v>0.16313589837577527</v>
      </c>
      <c r="H489" s="659" t="s">
        <v>66</v>
      </c>
      <c r="I489" s="663">
        <f>'Ref-2013CSSsaturationsINT'!$J$103</f>
        <v>0.99318613029000236</v>
      </c>
      <c r="J489" s="659" t="s">
        <v>994</v>
      </c>
      <c r="K489" s="665" t="s">
        <v>1265</v>
      </c>
      <c r="L489" s="665" t="s">
        <v>1228</v>
      </c>
      <c r="M489" s="659" t="s">
        <v>88</v>
      </c>
      <c r="N489" s="664">
        <f>E489*G489*'Ref-Savings Calculations'!$E$17*Applicability</f>
        <v>10.468235004017023</v>
      </c>
      <c r="O489" s="664">
        <f>E489*G489*'Ref-Savings Calculations'!$C$54*Applicability*ControlShare</f>
        <v>13.04339093105118</v>
      </c>
      <c r="P489" s="664">
        <f>E489*G489*'Ref-Savings Calculations'!$E$18*Applicability</f>
        <v>7.9250117663639816</v>
      </c>
      <c r="Q489" s="664" t="s">
        <v>871</v>
      </c>
      <c r="R489" s="37"/>
      <c r="S489" s="659" t="s">
        <v>69</v>
      </c>
      <c r="T489" s="659" t="s">
        <v>69</v>
      </c>
      <c r="U489" s="659" t="s">
        <v>69</v>
      </c>
      <c r="V489" s="659" t="s">
        <v>69</v>
      </c>
      <c r="W489" s="659" t="s">
        <v>76</v>
      </c>
      <c r="X489" s="37"/>
      <c r="Y489" s="37"/>
      <c r="Z489" s="659" t="s">
        <v>78</v>
      </c>
      <c r="AA489" s="659" t="s">
        <v>78</v>
      </c>
      <c r="AB489" s="37"/>
      <c r="AC489" s="666">
        <f>'Ref-ComHOU'!$G$6</f>
        <v>6.6986301369863011</v>
      </c>
      <c r="AD489" s="664" t="s">
        <v>72</v>
      </c>
      <c r="AE489" s="659" t="s">
        <v>73</v>
      </c>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c r="CA489" s="393"/>
      <c r="CB489" s="393"/>
      <c r="CC489" s="393"/>
      <c r="CD489" s="393"/>
      <c r="CE489" s="393"/>
      <c r="CF489" s="393"/>
      <c r="CG489" s="393"/>
      <c r="CH489" s="393"/>
      <c r="CI489" s="393"/>
      <c r="CJ489" s="390"/>
      <c r="CK489" s="390"/>
      <c r="CL489" s="390"/>
      <c r="CM489" s="390"/>
      <c r="CN489" s="390"/>
      <c r="CO489" s="390"/>
      <c r="CP489" s="390"/>
      <c r="CQ489" s="390"/>
      <c r="CR489" s="390"/>
      <c r="CS489" s="390"/>
      <c r="CT489" s="390"/>
      <c r="CU489" s="390"/>
      <c r="CV489" s="390"/>
      <c r="CW489" s="390"/>
      <c r="CX489" s="390"/>
      <c r="CY489" s="390"/>
      <c r="CZ489" s="390"/>
      <c r="DA489" s="390"/>
      <c r="DB489" s="390"/>
      <c r="DC489" s="390"/>
    </row>
    <row r="490" spans="1:107" s="317" customFormat="1" ht="33.75">
      <c r="A490" s="37"/>
      <c r="B490" s="658" t="s">
        <v>23</v>
      </c>
      <c r="C490" s="659" t="s">
        <v>1154</v>
      </c>
      <c r="D490" s="691" t="s">
        <v>1226</v>
      </c>
      <c r="E490" s="661">
        <f>'Ref-ComSources'!$AB$13*'Ref-ComSources'!$E$175</f>
        <v>419.28477946906577</v>
      </c>
      <c r="F490" s="659" t="s">
        <v>1245</v>
      </c>
      <c r="G490" s="662">
        <f>'Ref-2013CSSsaturationsINT'!$F$103</f>
        <v>0.16313589837577527</v>
      </c>
      <c r="H490" s="659" t="s">
        <v>66</v>
      </c>
      <c r="I490" s="663">
        <f>'Ref-2013CSSsaturationsINT'!$J$103</f>
        <v>0.99318613029000236</v>
      </c>
      <c r="J490" s="659" t="s">
        <v>994</v>
      </c>
      <c r="K490" s="665" t="s">
        <v>1265</v>
      </c>
      <c r="L490" s="665" t="s">
        <v>1228</v>
      </c>
      <c r="M490" s="659" t="s">
        <v>90</v>
      </c>
      <c r="N490" s="664">
        <f>E490*G490*'Ref-Savings Calculations'!$E$17*Applicability</f>
        <v>10.468235004017023</v>
      </c>
      <c r="O490" s="664">
        <f>E490*G490*'Ref-Savings Calculations'!$C$77*Applicability*ControlShare</f>
        <v>15.217289419559714</v>
      </c>
      <c r="P490" s="664">
        <f>E490*G490*'Ref-Savings Calculations'!$E$18*Applicability</f>
        <v>7.9250117663639816</v>
      </c>
      <c r="Q490" s="664" t="s">
        <v>1109</v>
      </c>
      <c r="R490" s="37"/>
      <c r="S490" s="659" t="s">
        <v>69</v>
      </c>
      <c r="T490" s="659" t="s">
        <v>69</v>
      </c>
      <c r="U490" s="659" t="s">
        <v>69</v>
      </c>
      <c r="V490" s="659" t="s">
        <v>69</v>
      </c>
      <c r="W490" s="659" t="s">
        <v>76</v>
      </c>
      <c r="X490" s="37"/>
      <c r="Y490" s="37"/>
      <c r="Z490" s="659" t="s">
        <v>78</v>
      </c>
      <c r="AA490" s="659" t="s">
        <v>78</v>
      </c>
      <c r="AB490" s="37"/>
      <c r="AC490" s="666">
        <f>'Ref-ComHOU'!$G$6</f>
        <v>6.6986301369863011</v>
      </c>
      <c r="AD490" s="664" t="s">
        <v>72</v>
      </c>
      <c r="AE490" s="659" t="s">
        <v>73</v>
      </c>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c r="CA490" s="393"/>
      <c r="CB490" s="393"/>
      <c r="CC490" s="393"/>
      <c r="CD490" s="393"/>
      <c r="CE490" s="393"/>
      <c r="CF490" s="393"/>
      <c r="CG490" s="393"/>
      <c r="CH490" s="393"/>
      <c r="CI490" s="393"/>
      <c r="CJ490" s="390"/>
      <c r="CK490" s="390"/>
      <c r="CL490" s="390"/>
      <c r="CM490" s="390"/>
      <c r="CN490" s="390"/>
      <c r="CO490" s="390"/>
      <c r="CP490" s="390"/>
      <c r="CQ490" s="390"/>
      <c r="CR490" s="390"/>
      <c r="CS490" s="390"/>
      <c r="CT490" s="390"/>
      <c r="CU490" s="390"/>
      <c r="CV490" s="390"/>
      <c r="CW490" s="390"/>
      <c r="CX490" s="390"/>
      <c r="CY490" s="390"/>
      <c r="CZ490" s="390"/>
      <c r="DA490" s="390"/>
      <c r="DB490" s="390"/>
      <c r="DC490" s="390"/>
    </row>
    <row r="491" spans="1:107" s="317" customFormat="1" ht="33.75">
      <c r="A491" s="37"/>
      <c r="B491" s="658" t="s">
        <v>23</v>
      </c>
      <c r="C491" s="659" t="s">
        <v>1154</v>
      </c>
      <c r="D491" s="691" t="s">
        <v>1226</v>
      </c>
      <c r="E491" s="661">
        <f>'Ref-ComSources'!$AB$13*'Ref-ComSources'!$E$175</f>
        <v>419.28477946906577</v>
      </c>
      <c r="F491" s="659" t="s">
        <v>1245</v>
      </c>
      <c r="G491" s="662">
        <f>'Ref-2013CSSsaturationsINT'!$F$103</f>
        <v>0.16313589837577527</v>
      </c>
      <c r="H491" s="659" t="s">
        <v>66</v>
      </c>
      <c r="I491" s="663">
        <f>'Ref-2013CSSsaturationsINT'!$J$103</f>
        <v>0.99318613029000236</v>
      </c>
      <c r="J491" s="659" t="s">
        <v>994</v>
      </c>
      <c r="K491" s="665" t="s">
        <v>1265</v>
      </c>
      <c r="L491" s="665" t="s">
        <v>1228</v>
      </c>
      <c r="M491" s="659" t="s">
        <v>91</v>
      </c>
      <c r="N491" s="664">
        <f>E491*G491*'Ref-Savings Calculations'!$E$17*Applicability</f>
        <v>10.468235004017023</v>
      </c>
      <c r="O491" s="664" t="s">
        <v>870</v>
      </c>
      <c r="P491" s="664">
        <f>E491*G491*'Ref-Savings Calculations'!$E$18*Applicability</f>
        <v>7.9250117663639816</v>
      </c>
      <c r="Q491" s="664">
        <f>E491*G491*('Ref-Savings Calculations'!$C$89-'Ref-Savings Calculations'!$C$54)*Applicability*ControlShare</f>
        <v>3.8043223548899285</v>
      </c>
      <c r="R491" s="37"/>
      <c r="S491" s="659" t="s">
        <v>69</v>
      </c>
      <c r="T491" s="659" t="s">
        <v>69</v>
      </c>
      <c r="U491" s="665" t="s">
        <v>870</v>
      </c>
      <c r="V491" s="665" t="s">
        <v>870</v>
      </c>
      <c r="W491" s="659" t="s">
        <v>76</v>
      </c>
      <c r="X491" s="37"/>
      <c r="Y491" s="37"/>
      <c r="Z491" s="659" t="s">
        <v>78</v>
      </c>
      <c r="AA491" s="659" t="s">
        <v>78</v>
      </c>
      <c r="AB491" s="37"/>
      <c r="AC491" s="666">
        <f>'Ref-ComHOU'!$G$6</f>
        <v>6.6986301369863011</v>
      </c>
      <c r="AD491" s="664" t="s">
        <v>72</v>
      </c>
      <c r="AE491" s="659" t="s">
        <v>73</v>
      </c>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c r="CA491" s="393"/>
      <c r="CB491" s="393"/>
      <c r="CC491" s="393"/>
      <c r="CD491" s="393"/>
      <c r="CE491" s="393"/>
      <c r="CF491" s="393"/>
      <c r="CG491" s="393"/>
      <c r="CH491" s="393"/>
      <c r="CI491" s="393"/>
      <c r="CJ491" s="390"/>
      <c r="CK491" s="390"/>
      <c r="CL491" s="390"/>
      <c r="CM491" s="390"/>
      <c r="CN491" s="390"/>
      <c r="CO491" s="390"/>
      <c r="CP491" s="390"/>
      <c r="CQ491" s="390"/>
      <c r="CR491" s="390"/>
      <c r="CS491" s="390"/>
      <c r="CT491" s="390"/>
      <c r="CU491" s="390"/>
      <c r="CV491" s="390"/>
      <c r="CW491" s="390"/>
      <c r="CX491" s="390"/>
      <c r="CY491" s="390"/>
      <c r="CZ491" s="390"/>
      <c r="DA491" s="390"/>
      <c r="DB491" s="390"/>
      <c r="DC491" s="390"/>
    </row>
    <row r="492" spans="1:107" s="317" customFormat="1" ht="33.75">
      <c r="A492" s="37"/>
      <c r="B492" s="658" t="s">
        <v>23</v>
      </c>
      <c r="C492" s="659" t="s">
        <v>1154</v>
      </c>
      <c r="D492" s="691" t="s">
        <v>1226</v>
      </c>
      <c r="E492" s="661">
        <f>'Ref-ComSources'!$AB$13*'Ref-ComSources'!$E$175</f>
        <v>419.28477946906577</v>
      </c>
      <c r="F492" s="659" t="s">
        <v>1245</v>
      </c>
      <c r="G492" s="662">
        <f>'Ref-2013CSSsaturationsINT'!$F$103</f>
        <v>0.16313589837577527</v>
      </c>
      <c r="H492" s="659" t="s">
        <v>66</v>
      </c>
      <c r="I492" s="663">
        <f>'Ref-2013CSSsaturationsINT'!$J$103</f>
        <v>0.99318613029000236</v>
      </c>
      <c r="J492" s="659" t="s">
        <v>994</v>
      </c>
      <c r="K492" s="665" t="s">
        <v>1265</v>
      </c>
      <c r="L492" s="665" t="s">
        <v>1228</v>
      </c>
      <c r="M492" s="659" t="s">
        <v>92</v>
      </c>
      <c r="N492" s="664">
        <f>E492*G492*'Ref-Savings Calculations'!$E$17*Applicability</f>
        <v>10.468235004017023</v>
      </c>
      <c r="O492" s="664">
        <f>E492*G492*'Ref-Savings Calculations'!$C$99*Applicability*ControlShare</f>
        <v>19.565086396576774</v>
      </c>
      <c r="P492" s="664">
        <f>E492*G492*'Ref-Savings Calculations'!$E$18*Applicability</f>
        <v>7.9250117663639816</v>
      </c>
      <c r="Q492" s="664">
        <f>E492*G492*('Ref-Savings Calculations'!$C$99-'Ref-Savings Calculations'!$C$54)*Applicability*ControlShare</f>
        <v>6.5216954655255899</v>
      </c>
      <c r="R492" s="37"/>
      <c r="S492" s="659" t="s">
        <v>69</v>
      </c>
      <c r="T492" s="659" t="s">
        <v>69</v>
      </c>
      <c r="U492" s="659" t="s">
        <v>69</v>
      </c>
      <c r="V492" s="659" t="s">
        <v>69</v>
      </c>
      <c r="W492" s="659" t="s">
        <v>76</v>
      </c>
      <c r="X492" s="37"/>
      <c r="Y492" s="37"/>
      <c r="Z492" s="659" t="s">
        <v>78</v>
      </c>
      <c r="AA492" s="659" t="s">
        <v>78</v>
      </c>
      <c r="AB492" s="37"/>
      <c r="AC492" s="666">
        <f>'Ref-ComHOU'!$G$6</f>
        <v>6.6986301369863011</v>
      </c>
      <c r="AD492" s="664" t="s">
        <v>72</v>
      </c>
      <c r="AE492" s="659" t="s">
        <v>73</v>
      </c>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c r="CA492" s="393"/>
      <c r="CB492" s="393"/>
      <c r="CC492" s="393"/>
      <c r="CD492" s="393"/>
      <c r="CE492" s="393"/>
      <c r="CF492" s="393"/>
      <c r="CG492" s="393"/>
      <c r="CH492" s="393"/>
      <c r="CI492" s="393"/>
      <c r="CJ492" s="390"/>
      <c r="CK492" s="390"/>
      <c r="CL492" s="390"/>
      <c r="CM492" s="390"/>
      <c r="CN492" s="390"/>
      <c r="CO492" s="390"/>
      <c r="CP492" s="390"/>
      <c r="CQ492" s="390"/>
      <c r="CR492" s="390"/>
      <c r="CS492" s="390"/>
      <c r="CT492" s="390"/>
      <c r="CU492" s="390"/>
      <c r="CV492" s="390"/>
      <c r="CW492" s="390"/>
      <c r="CX492" s="390"/>
      <c r="CY492" s="390"/>
      <c r="CZ492" s="390"/>
      <c r="DA492" s="390"/>
      <c r="DB492" s="390"/>
      <c r="DC492" s="390"/>
    </row>
    <row r="493" spans="1:107" s="317" customFormat="1" ht="33.75">
      <c r="A493" s="37"/>
      <c r="B493" s="658" t="s">
        <v>23</v>
      </c>
      <c r="C493" s="659" t="s">
        <v>1154</v>
      </c>
      <c r="D493" s="691" t="s">
        <v>1226</v>
      </c>
      <c r="E493" s="661">
        <f>'Ref-ComSources'!$AB$13*'Ref-ComSources'!$E$175</f>
        <v>419.28477946906577</v>
      </c>
      <c r="F493" s="659" t="s">
        <v>1245</v>
      </c>
      <c r="G493" s="662">
        <f>'Ref-2013CSSsaturationsINT'!$F$103</f>
        <v>0.16313589837577527</v>
      </c>
      <c r="H493" s="659" t="s">
        <v>66</v>
      </c>
      <c r="I493" s="663">
        <f>'Ref-2013CSSsaturationsINT'!$J$103</f>
        <v>0.99318613029000236</v>
      </c>
      <c r="J493" s="659" t="s">
        <v>994</v>
      </c>
      <c r="K493" s="665" t="s">
        <v>1265</v>
      </c>
      <c r="L493" s="665" t="s">
        <v>1228</v>
      </c>
      <c r="M493" s="659" t="s">
        <v>93</v>
      </c>
      <c r="N493" s="664">
        <f>E493*G493*'Ref-Savings Calculations'!$E$17*Applicability</f>
        <v>10.468235004017023</v>
      </c>
      <c r="O493" s="664">
        <f>E493*G493*'Ref-Savings Calculations'!$C$109*Applicability*ControlShare</f>
        <v>20.652035640831038</v>
      </c>
      <c r="P493" s="664">
        <f>E493*G493*'Ref-Savings Calculations'!$E$18*Applicability</f>
        <v>7.9250117663639816</v>
      </c>
      <c r="Q493" s="664">
        <f>E493*G493*('Ref-Savings Calculations'!$C$109-'Ref-Savings Calculations'!$C$54)*Applicability*ControlShare</f>
        <v>7.6086447097798571</v>
      </c>
      <c r="R493" s="37"/>
      <c r="S493" s="659" t="s">
        <v>69</v>
      </c>
      <c r="T493" s="659" t="s">
        <v>69</v>
      </c>
      <c r="U493" s="659" t="s">
        <v>44</v>
      </c>
      <c r="V493" s="659" t="s">
        <v>75</v>
      </c>
      <c r="W493" s="659" t="s">
        <v>76</v>
      </c>
      <c r="X493" s="37"/>
      <c r="Y493" s="37"/>
      <c r="Z493" s="659" t="s">
        <v>78</v>
      </c>
      <c r="AA493" s="659" t="s">
        <v>78</v>
      </c>
      <c r="AB493" s="37"/>
      <c r="AC493" s="666">
        <f>'Ref-ComHOU'!$G$6</f>
        <v>6.6986301369863011</v>
      </c>
      <c r="AD493" s="664" t="s">
        <v>72</v>
      </c>
      <c r="AE493" s="659" t="s">
        <v>73</v>
      </c>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c r="CA493" s="393"/>
      <c r="CB493" s="393"/>
      <c r="CC493" s="393"/>
      <c r="CD493" s="393"/>
      <c r="CE493" s="393"/>
      <c r="CF493" s="393"/>
      <c r="CG493" s="393"/>
      <c r="CH493" s="393"/>
      <c r="CI493" s="393"/>
      <c r="CJ493" s="390"/>
      <c r="CK493" s="390"/>
      <c r="CL493" s="390"/>
      <c r="CM493" s="390"/>
      <c r="CN493" s="390"/>
      <c r="CO493" s="390"/>
      <c r="CP493" s="390"/>
      <c r="CQ493" s="390"/>
      <c r="CR493" s="390"/>
      <c r="CS493" s="390"/>
      <c r="CT493" s="390"/>
      <c r="CU493" s="390"/>
      <c r="CV493" s="390"/>
      <c r="CW493" s="390"/>
      <c r="CX493" s="390"/>
      <c r="CY493" s="390"/>
      <c r="CZ493" s="390"/>
      <c r="DA493" s="390"/>
      <c r="DB493" s="390"/>
      <c r="DC493" s="390"/>
    </row>
    <row r="494" spans="1:107" s="303" customFormat="1" ht="56.25">
      <c r="A494" s="37"/>
      <c r="B494" s="626" t="s">
        <v>23</v>
      </c>
      <c r="C494" s="632" t="s">
        <v>828</v>
      </c>
      <c r="D494" s="628" t="s">
        <v>1226</v>
      </c>
      <c r="E494" s="636">
        <f>'Ref-ComSources'!$AA$19</f>
        <v>3416.6569160000008</v>
      </c>
      <c r="F494" s="632" t="s">
        <v>27</v>
      </c>
      <c r="G494" s="637">
        <f>SUM('Ref-ComSources'!$V$25:$V$27)/SUM('Ref-ComSources'!$V$24:$V$33)</f>
        <v>0.90425531914893609</v>
      </c>
      <c r="H494" s="632" t="s">
        <v>66</v>
      </c>
      <c r="I494" s="682">
        <f>'Ref-BaselineControls'!$E$8</f>
        <v>1</v>
      </c>
      <c r="J494" s="632" t="s">
        <v>1097</v>
      </c>
      <c r="K494" s="632" t="s">
        <v>1020</v>
      </c>
      <c r="L494" s="632" t="s">
        <v>1228</v>
      </c>
      <c r="M494" s="632" t="s">
        <v>88</v>
      </c>
      <c r="N494" s="680">
        <f>E494*G494*'Ref-Savings Calculations'!$E$33*Applicability</f>
        <v>456.299843446154</v>
      </c>
      <c r="O494" s="680">
        <f>E494*G494*'Ref-Savings Calculations'!$C$56*Applicability*ControlShare</f>
        <v>766.2034871200002</v>
      </c>
      <c r="P494" s="680">
        <f>E494*G494*'Ref-Savings Calculations'!$E$34*Applicability</f>
        <v>395.45986432000001</v>
      </c>
      <c r="Q494" s="680" t="s">
        <v>1109</v>
      </c>
      <c r="R494" s="37"/>
      <c r="S494" s="632" t="s">
        <v>69</v>
      </c>
      <c r="T494" s="632" t="s">
        <v>69</v>
      </c>
      <c r="U494" s="632" t="s">
        <v>69</v>
      </c>
      <c r="V494" s="632" t="s">
        <v>69</v>
      </c>
      <c r="W494" s="632" t="s">
        <v>76</v>
      </c>
      <c r="X494" s="37"/>
      <c r="Y494" s="37"/>
      <c r="Z494" s="632" t="s">
        <v>78</v>
      </c>
      <c r="AA494" s="632" t="s">
        <v>78</v>
      </c>
      <c r="AB494" s="37"/>
      <c r="AC494" s="634">
        <f>'Ref-ComHOU'!$G$111</f>
        <v>13.200000000000001</v>
      </c>
      <c r="AD494" s="680" t="s">
        <v>72</v>
      </c>
      <c r="AE494" s="632" t="s">
        <v>73</v>
      </c>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c r="CA494" s="393"/>
      <c r="CB494" s="393"/>
      <c r="CC494" s="393"/>
      <c r="CD494" s="393"/>
      <c r="CE494" s="393"/>
      <c r="CF494" s="393"/>
      <c r="CG494" s="393"/>
      <c r="CH494" s="393"/>
      <c r="CI494" s="393"/>
      <c r="CJ494" s="390"/>
      <c r="CK494" s="390"/>
      <c r="CL494" s="390"/>
      <c r="CM494" s="390"/>
      <c r="CN494" s="390"/>
      <c r="CO494" s="390"/>
      <c r="CP494" s="390"/>
      <c r="CQ494" s="390"/>
      <c r="CR494" s="390"/>
      <c r="CS494" s="390"/>
      <c r="CT494" s="390"/>
      <c r="CU494" s="390"/>
      <c r="CV494" s="390"/>
      <c r="CW494" s="390"/>
      <c r="CX494" s="390"/>
      <c r="CY494" s="390"/>
      <c r="CZ494" s="390"/>
      <c r="DA494" s="390"/>
      <c r="DB494" s="390"/>
      <c r="DC494" s="390"/>
    </row>
    <row r="495" spans="1:107" s="303" customFormat="1" ht="56.25">
      <c r="A495" s="37"/>
      <c r="B495" s="626" t="s">
        <v>23</v>
      </c>
      <c r="C495" s="632" t="s">
        <v>828</v>
      </c>
      <c r="D495" s="628" t="s">
        <v>1226</v>
      </c>
      <c r="E495" s="636">
        <f>'Ref-ComSources'!$AA$19</f>
        <v>3416.6569160000008</v>
      </c>
      <c r="F495" s="632" t="s">
        <v>27</v>
      </c>
      <c r="G495" s="637">
        <f>SUM('Ref-ComSources'!$V$25:$V$27)/SUM('Ref-ComSources'!$V$24:$V$33)</f>
        <v>0.90425531914893609</v>
      </c>
      <c r="H495" s="632" t="s">
        <v>66</v>
      </c>
      <c r="I495" s="682">
        <f>'Ref-BaselineControls'!$E$8</f>
        <v>1</v>
      </c>
      <c r="J495" s="632" t="s">
        <v>1097</v>
      </c>
      <c r="K495" s="632" t="s">
        <v>1020</v>
      </c>
      <c r="L495" s="632" t="s">
        <v>1228</v>
      </c>
      <c r="M495" s="632" t="s">
        <v>90</v>
      </c>
      <c r="N495" s="680">
        <f>E495*G495*'Ref-Savings Calculations'!$E$33*Applicability</f>
        <v>456.299843446154</v>
      </c>
      <c r="O495" s="680">
        <f>E495*G495*'Ref-Savings Calculations'!$C$79*Applicability*ControlShare</f>
        <v>692.0547625600002</v>
      </c>
      <c r="P495" s="680">
        <f>E495*G495*'Ref-Savings Calculations'!$E$34*Applicability</f>
        <v>395.45986432000001</v>
      </c>
      <c r="Q495" s="680" t="s">
        <v>871</v>
      </c>
      <c r="R495" s="37"/>
      <c r="S495" s="632" t="s">
        <v>69</v>
      </c>
      <c r="T495" s="632" t="s">
        <v>69</v>
      </c>
      <c r="U495" s="632" t="s">
        <v>69</v>
      </c>
      <c r="V495" s="632" t="s">
        <v>69</v>
      </c>
      <c r="W495" s="632" t="s">
        <v>76</v>
      </c>
      <c r="X495" s="37"/>
      <c r="Y495" s="37"/>
      <c r="Z495" s="632" t="s">
        <v>78</v>
      </c>
      <c r="AA495" s="632" t="s">
        <v>78</v>
      </c>
      <c r="AB495" s="37"/>
      <c r="AC495" s="634">
        <f>'Ref-ComHOU'!$G$111</f>
        <v>13.200000000000001</v>
      </c>
      <c r="AD495" s="680" t="s">
        <v>72</v>
      </c>
      <c r="AE495" s="632" t="s">
        <v>73</v>
      </c>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c r="CA495" s="393"/>
      <c r="CB495" s="393"/>
      <c r="CC495" s="393"/>
      <c r="CD495" s="393"/>
      <c r="CE495" s="393"/>
      <c r="CF495" s="393"/>
      <c r="CG495" s="393"/>
      <c r="CH495" s="393"/>
      <c r="CI495" s="393"/>
      <c r="CJ495" s="390"/>
      <c r="CK495" s="390"/>
      <c r="CL495" s="390"/>
      <c r="CM495" s="390"/>
      <c r="CN495" s="390"/>
      <c r="CO495" s="390"/>
      <c r="CP495" s="390"/>
      <c r="CQ495" s="390"/>
      <c r="CR495" s="390"/>
      <c r="CS495" s="390"/>
      <c r="CT495" s="390"/>
      <c r="CU495" s="390"/>
      <c r="CV495" s="390"/>
      <c r="CW495" s="390"/>
      <c r="CX495" s="390"/>
      <c r="CY495" s="390"/>
      <c r="CZ495" s="390"/>
      <c r="DA495" s="390"/>
      <c r="DB495" s="390"/>
      <c r="DC495" s="390"/>
    </row>
    <row r="496" spans="1:107" s="303" customFormat="1" ht="56.25">
      <c r="A496" s="37"/>
      <c r="B496" s="626" t="s">
        <v>23</v>
      </c>
      <c r="C496" s="632" t="s">
        <v>828</v>
      </c>
      <c r="D496" s="628" t="s">
        <v>1226</v>
      </c>
      <c r="E496" s="636">
        <f>'Ref-ComSources'!$AA$19</f>
        <v>3416.6569160000008</v>
      </c>
      <c r="F496" s="632" t="s">
        <v>27</v>
      </c>
      <c r="G496" s="637">
        <f>SUM('Ref-ComSources'!$V$25:$V$27)/SUM('Ref-ComSources'!$V$24:$V$33)</f>
        <v>0.90425531914893609</v>
      </c>
      <c r="H496" s="632" t="s">
        <v>66</v>
      </c>
      <c r="I496" s="682">
        <f>'Ref-BaselineControls'!$E$8</f>
        <v>1</v>
      </c>
      <c r="J496" s="632" t="s">
        <v>1097</v>
      </c>
      <c r="K496" s="632" t="s">
        <v>1020</v>
      </c>
      <c r="L496" s="632" t="s">
        <v>1228</v>
      </c>
      <c r="M496" s="632" t="s">
        <v>91</v>
      </c>
      <c r="N496" s="680">
        <f>E496*G496*'Ref-Savings Calculations'!$E$33*Applicability</f>
        <v>456.299843446154</v>
      </c>
      <c r="O496" s="680" t="s">
        <v>870</v>
      </c>
      <c r="P496" s="680">
        <f>E496*G496*'Ref-Savings Calculations'!$E$34*Applicability</f>
        <v>395.45986432000001</v>
      </c>
      <c r="Q496" s="680" t="s">
        <v>870</v>
      </c>
      <c r="R496" s="37"/>
      <c r="S496" s="632" t="s">
        <v>69</v>
      </c>
      <c r="T496" s="632" t="s">
        <v>69</v>
      </c>
      <c r="U496" s="632" t="s">
        <v>870</v>
      </c>
      <c r="V496" s="632" t="s">
        <v>870</v>
      </c>
      <c r="W496" s="632" t="s">
        <v>76</v>
      </c>
      <c r="X496" s="37"/>
      <c r="Y496" s="37"/>
      <c r="Z496" s="632" t="s">
        <v>78</v>
      </c>
      <c r="AA496" s="632" t="s">
        <v>78</v>
      </c>
      <c r="AB496" s="37"/>
      <c r="AC496" s="634">
        <f>'Ref-ComHOU'!$G$111</f>
        <v>13.200000000000001</v>
      </c>
      <c r="AD496" s="680" t="s">
        <v>72</v>
      </c>
      <c r="AE496" s="632" t="s">
        <v>73</v>
      </c>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c r="CA496" s="393"/>
      <c r="CB496" s="393"/>
      <c r="CC496" s="393"/>
      <c r="CD496" s="393"/>
      <c r="CE496" s="393"/>
      <c r="CF496" s="393"/>
      <c r="CG496" s="393"/>
      <c r="CH496" s="393"/>
      <c r="CI496" s="393"/>
      <c r="CJ496" s="390"/>
      <c r="CK496" s="390"/>
      <c r="CL496" s="390"/>
      <c r="CM496" s="390"/>
      <c r="CN496" s="390"/>
      <c r="CO496" s="390"/>
      <c r="CP496" s="390"/>
      <c r="CQ496" s="390"/>
      <c r="CR496" s="390"/>
      <c r="CS496" s="390"/>
      <c r="CT496" s="390"/>
      <c r="CU496" s="390"/>
      <c r="CV496" s="390"/>
      <c r="CW496" s="390"/>
      <c r="CX496" s="390"/>
      <c r="CY496" s="390"/>
      <c r="CZ496" s="390"/>
      <c r="DA496" s="390"/>
      <c r="DB496" s="390"/>
      <c r="DC496" s="390"/>
    </row>
    <row r="497" spans="1:107" s="303" customFormat="1" ht="56.25">
      <c r="A497" s="37"/>
      <c r="B497" s="626" t="s">
        <v>23</v>
      </c>
      <c r="C497" s="632" t="s">
        <v>828</v>
      </c>
      <c r="D497" s="628" t="s">
        <v>1226</v>
      </c>
      <c r="E497" s="636">
        <f>'Ref-ComSources'!$AA$19</f>
        <v>3416.6569160000008</v>
      </c>
      <c r="F497" s="632" t="s">
        <v>27</v>
      </c>
      <c r="G497" s="637">
        <f>SUM('Ref-ComSources'!$V$25:$V$27)/SUM('Ref-ComSources'!$V$24:$V$33)</f>
        <v>0.90425531914893609</v>
      </c>
      <c r="H497" s="632" t="s">
        <v>66</v>
      </c>
      <c r="I497" s="682">
        <f>'Ref-BaselineControls'!$E$8</f>
        <v>1</v>
      </c>
      <c r="J497" s="632" t="s">
        <v>1097</v>
      </c>
      <c r="K497" s="632" t="s">
        <v>1020</v>
      </c>
      <c r="L497" s="632" t="s">
        <v>1228</v>
      </c>
      <c r="M497" s="632" t="s">
        <v>92</v>
      </c>
      <c r="N497" s="680">
        <f>E497*G497*'Ref-Savings Calculations'!$E$33*Applicability</f>
        <v>456.299843446154</v>
      </c>
      <c r="O497" s="680">
        <f>E497*G497*'Ref-Savings Calculations'!$C$99*Applicability*ControlShare</f>
        <v>889.78469472000018</v>
      </c>
      <c r="P497" s="680">
        <f>E497*G497*'Ref-Savings Calculations'!$E$34*Applicability</f>
        <v>395.45986432000001</v>
      </c>
      <c r="Q497" s="680">
        <f>E497*G497*('Ref-Savings Calculations'!$C$99-'Ref-Savings Calculations'!$C$79)*Applicability*ControlShare</f>
        <v>197.72993215999995</v>
      </c>
      <c r="R497" s="37"/>
      <c r="S497" s="632" t="s">
        <v>69</v>
      </c>
      <c r="T497" s="632" t="s">
        <v>69</v>
      </c>
      <c r="U497" s="632" t="s">
        <v>69</v>
      </c>
      <c r="V497" s="632" t="s">
        <v>69</v>
      </c>
      <c r="W497" s="632" t="s">
        <v>76</v>
      </c>
      <c r="X497" s="37"/>
      <c r="Y497" s="37"/>
      <c r="Z497" s="632" t="s">
        <v>78</v>
      </c>
      <c r="AA497" s="632" t="s">
        <v>78</v>
      </c>
      <c r="AB497" s="37"/>
      <c r="AC497" s="634">
        <f>'Ref-ComHOU'!$G$111</f>
        <v>13.200000000000001</v>
      </c>
      <c r="AD497" s="680" t="s">
        <v>72</v>
      </c>
      <c r="AE497" s="632" t="s">
        <v>73</v>
      </c>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c r="CA497" s="393"/>
      <c r="CB497" s="393"/>
      <c r="CC497" s="393"/>
      <c r="CD497" s="393"/>
      <c r="CE497" s="393"/>
      <c r="CF497" s="393"/>
      <c r="CG497" s="393"/>
      <c r="CH497" s="393"/>
      <c r="CI497" s="393"/>
      <c r="CJ497" s="390"/>
      <c r="CK497" s="390"/>
      <c r="CL497" s="390"/>
      <c r="CM497" s="390"/>
      <c r="CN497" s="390"/>
      <c r="CO497" s="390"/>
      <c r="CP497" s="390"/>
      <c r="CQ497" s="390"/>
      <c r="CR497" s="390"/>
      <c r="CS497" s="390"/>
      <c r="CT497" s="390"/>
      <c r="CU497" s="390"/>
      <c r="CV497" s="390"/>
      <c r="CW497" s="390"/>
      <c r="CX497" s="390"/>
      <c r="CY497" s="390"/>
      <c r="CZ497" s="390"/>
      <c r="DA497" s="390"/>
      <c r="DB497" s="390"/>
      <c r="DC497" s="390"/>
    </row>
    <row r="498" spans="1:107" s="303" customFormat="1" ht="56.25">
      <c r="A498" s="37"/>
      <c r="B498" s="626" t="s">
        <v>23</v>
      </c>
      <c r="C498" s="632" t="s">
        <v>828</v>
      </c>
      <c r="D498" s="628" t="s">
        <v>1226</v>
      </c>
      <c r="E498" s="636">
        <f>'Ref-ComSources'!$AA$19</f>
        <v>3416.6569160000008</v>
      </c>
      <c r="F498" s="632" t="s">
        <v>27</v>
      </c>
      <c r="G498" s="637">
        <f>SUM('Ref-ComSources'!$V$25:$V$27)/SUM('Ref-ComSources'!$V$24:$V$33)</f>
        <v>0.90425531914893609</v>
      </c>
      <c r="H498" s="632" t="s">
        <v>66</v>
      </c>
      <c r="I498" s="682">
        <f>'Ref-BaselineControls'!$E$8</f>
        <v>1</v>
      </c>
      <c r="J498" s="632" t="s">
        <v>1097</v>
      </c>
      <c r="K498" s="632" t="s">
        <v>1020</v>
      </c>
      <c r="L498" s="632" t="s">
        <v>1228</v>
      </c>
      <c r="M498" s="632" t="s">
        <v>93</v>
      </c>
      <c r="N498" s="680">
        <f>E498*G498*'Ref-Savings Calculations'!$E$33*Applicability</f>
        <v>456.299843446154</v>
      </c>
      <c r="O498" s="680">
        <f>E498*G498*'Ref-Savings Calculations'!$C$109*Applicability*ControlShare</f>
        <v>939.21717776000014</v>
      </c>
      <c r="P498" s="680">
        <f>E498*G498*'Ref-Savings Calculations'!$E$34*Applicability</f>
        <v>395.45986432000001</v>
      </c>
      <c r="Q498" s="680">
        <f>E498*G498*('Ref-Savings Calculations'!$C$109-'Ref-Savings Calculations'!$C$79)*Applicability*ControlShare</f>
        <v>247.1624152</v>
      </c>
      <c r="R498" s="37"/>
      <c r="S498" s="632" t="s">
        <v>69</v>
      </c>
      <c r="T498" s="632" t="s">
        <v>69</v>
      </c>
      <c r="U498" s="632" t="s">
        <v>44</v>
      </c>
      <c r="V498" s="632" t="s">
        <v>75</v>
      </c>
      <c r="W498" s="632" t="s">
        <v>76</v>
      </c>
      <c r="X498" s="37"/>
      <c r="Y498" s="37"/>
      <c r="Z498" s="632" t="s">
        <v>78</v>
      </c>
      <c r="AA498" s="632" t="s">
        <v>78</v>
      </c>
      <c r="AB498" s="37"/>
      <c r="AC498" s="634">
        <f>'Ref-ComHOU'!$G$111</f>
        <v>13.200000000000001</v>
      </c>
      <c r="AD498" s="680" t="s">
        <v>72</v>
      </c>
      <c r="AE498" s="632" t="s">
        <v>73</v>
      </c>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c r="CA498" s="393"/>
      <c r="CB498" s="393"/>
      <c r="CC498" s="393"/>
      <c r="CD498" s="393"/>
      <c r="CE498" s="393"/>
      <c r="CF498" s="393"/>
      <c r="CG498" s="393"/>
      <c r="CH498" s="393"/>
      <c r="CI498" s="393"/>
      <c r="CJ498" s="390"/>
      <c r="CK498" s="390"/>
      <c r="CL498" s="390"/>
      <c r="CM498" s="390"/>
      <c r="CN498" s="390"/>
      <c r="CO498" s="390"/>
      <c r="CP498" s="390"/>
      <c r="CQ498" s="390"/>
      <c r="CR498" s="390"/>
      <c r="CS498" s="390"/>
      <c r="CT498" s="390"/>
      <c r="CU498" s="390"/>
      <c r="CV498" s="390"/>
      <c r="CW498" s="390"/>
      <c r="CX498" s="390"/>
      <c r="CY498" s="390"/>
      <c r="CZ498" s="390"/>
      <c r="DA498" s="390"/>
      <c r="DB498" s="390"/>
      <c r="DC498" s="390"/>
    </row>
    <row r="499" spans="1:107" s="303" customFormat="1" ht="56.25">
      <c r="A499" s="37"/>
      <c r="B499" s="626" t="s">
        <v>23</v>
      </c>
      <c r="C499" s="632" t="s">
        <v>828</v>
      </c>
      <c r="D499" s="628" t="s">
        <v>1226</v>
      </c>
      <c r="E499" s="636">
        <f>'Ref-ComSources'!$AA$19</f>
        <v>3416.6569160000008</v>
      </c>
      <c r="F499" s="632" t="s">
        <v>27</v>
      </c>
      <c r="G499" s="637">
        <f>SUM('Ref-ComSources'!$V$25:$V$27)/SUM('Ref-ComSources'!$V$24:$V$33)</f>
        <v>0.90425531914893609</v>
      </c>
      <c r="H499" s="632" t="s">
        <v>66</v>
      </c>
      <c r="I499" s="682">
        <f>'Ref-BaselineControls'!$E$8</f>
        <v>1</v>
      </c>
      <c r="J499" s="632" t="s">
        <v>1097</v>
      </c>
      <c r="K499" s="632" t="s">
        <v>1020</v>
      </c>
      <c r="L499" s="632" t="s">
        <v>1227</v>
      </c>
      <c r="M499" s="632" t="s">
        <v>88</v>
      </c>
      <c r="N499" s="680">
        <f>E499*G499*'Ref-Savings Calculations'!$E$39*Applicability</f>
        <v>632.61808652380978</v>
      </c>
      <c r="O499" s="680">
        <f>E499*G499*'Ref-Savings Calculations'!$C$56*Applicability*ControlShare</f>
        <v>766.2034871200002</v>
      </c>
      <c r="P499" s="680">
        <f>E499*G499*'Ref-Savings Calculations'!$E$40*Applicability</f>
        <v>540.66778325000007</v>
      </c>
      <c r="Q499" s="680" t="s">
        <v>1109</v>
      </c>
      <c r="R499" s="37"/>
      <c r="S499" s="632" t="s">
        <v>44</v>
      </c>
      <c r="T499" s="632" t="s">
        <v>63</v>
      </c>
      <c r="U499" s="632" t="s">
        <v>69</v>
      </c>
      <c r="V499" s="632" t="s">
        <v>69</v>
      </c>
      <c r="W499" s="632" t="s">
        <v>76</v>
      </c>
      <c r="X499" s="37"/>
      <c r="Y499" s="37"/>
      <c r="Z499" s="632" t="s">
        <v>78</v>
      </c>
      <c r="AA499" s="632" t="s">
        <v>78</v>
      </c>
      <c r="AB499" s="37"/>
      <c r="AC499" s="634">
        <f>'Ref-ComHOU'!$G$111</f>
        <v>13.200000000000001</v>
      </c>
      <c r="AD499" s="680" t="s">
        <v>72</v>
      </c>
      <c r="AE499" s="632" t="s">
        <v>73</v>
      </c>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c r="CA499" s="393"/>
      <c r="CB499" s="393"/>
      <c r="CC499" s="393"/>
      <c r="CD499" s="393"/>
      <c r="CE499" s="393"/>
      <c r="CF499" s="393"/>
      <c r="CG499" s="393"/>
      <c r="CH499" s="393"/>
      <c r="CI499" s="393"/>
      <c r="CJ499" s="390"/>
      <c r="CK499" s="390"/>
      <c r="CL499" s="390"/>
      <c r="CM499" s="390"/>
      <c r="CN499" s="390"/>
      <c r="CO499" s="390"/>
      <c r="CP499" s="390"/>
      <c r="CQ499" s="390"/>
      <c r="CR499" s="390"/>
      <c r="CS499" s="390"/>
      <c r="CT499" s="390"/>
      <c r="CU499" s="390"/>
      <c r="CV499" s="390"/>
      <c r="CW499" s="390"/>
      <c r="CX499" s="390"/>
      <c r="CY499" s="390"/>
      <c r="CZ499" s="390"/>
      <c r="DA499" s="390"/>
      <c r="DB499" s="390"/>
      <c r="DC499" s="390"/>
    </row>
    <row r="500" spans="1:107" s="303" customFormat="1" ht="56.25">
      <c r="A500" s="37"/>
      <c r="B500" s="626" t="s">
        <v>23</v>
      </c>
      <c r="C500" s="632" t="s">
        <v>828</v>
      </c>
      <c r="D500" s="628" t="s">
        <v>1226</v>
      </c>
      <c r="E500" s="636">
        <f>'Ref-ComSources'!$AA$19</f>
        <v>3416.6569160000008</v>
      </c>
      <c r="F500" s="632" t="s">
        <v>27</v>
      </c>
      <c r="G500" s="637">
        <f>SUM('Ref-ComSources'!$V$25:$V$27)/SUM('Ref-ComSources'!$V$24:$V$33)</f>
        <v>0.90425531914893609</v>
      </c>
      <c r="H500" s="632" t="s">
        <v>66</v>
      </c>
      <c r="I500" s="682">
        <f>'Ref-BaselineControls'!$E$8</f>
        <v>1</v>
      </c>
      <c r="J500" s="632" t="s">
        <v>1097</v>
      </c>
      <c r="K500" s="632" t="s">
        <v>1020</v>
      </c>
      <c r="L500" s="632" t="s">
        <v>1227</v>
      </c>
      <c r="M500" s="632" t="s">
        <v>90</v>
      </c>
      <c r="N500" s="680">
        <f>E500*G500*'Ref-Savings Calculations'!$E$39*Applicability</f>
        <v>632.61808652380978</v>
      </c>
      <c r="O500" s="680">
        <f>E500*G500*'Ref-Savings Calculations'!$C$79*Applicability*ControlShare</f>
        <v>692.0547625600002</v>
      </c>
      <c r="P500" s="680">
        <f>E500*G500*'Ref-Savings Calculations'!$E$40*Applicability</f>
        <v>540.66778325000007</v>
      </c>
      <c r="Q500" s="680" t="s">
        <v>871</v>
      </c>
      <c r="R500" s="37"/>
      <c r="S500" s="632" t="s">
        <v>44</v>
      </c>
      <c r="T500" s="632" t="s">
        <v>63</v>
      </c>
      <c r="U500" s="632" t="s">
        <v>69</v>
      </c>
      <c r="V500" s="632" t="s">
        <v>69</v>
      </c>
      <c r="W500" s="632" t="s">
        <v>76</v>
      </c>
      <c r="X500" s="37"/>
      <c r="Y500" s="37"/>
      <c r="Z500" s="632" t="s">
        <v>78</v>
      </c>
      <c r="AA500" s="632" t="s">
        <v>78</v>
      </c>
      <c r="AB500" s="37"/>
      <c r="AC500" s="634">
        <f>'Ref-ComHOU'!$G$111</f>
        <v>13.200000000000001</v>
      </c>
      <c r="AD500" s="680" t="s">
        <v>72</v>
      </c>
      <c r="AE500" s="632" t="s">
        <v>73</v>
      </c>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c r="CA500" s="393"/>
      <c r="CB500" s="393"/>
      <c r="CC500" s="393"/>
      <c r="CD500" s="393"/>
      <c r="CE500" s="393"/>
      <c r="CF500" s="393"/>
      <c r="CG500" s="393"/>
      <c r="CH500" s="393"/>
      <c r="CI500" s="393"/>
      <c r="CJ500" s="390"/>
      <c r="CK500" s="390"/>
      <c r="CL500" s="390"/>
      <c r="CM500" s="390"/>
      <c r="CN500" s="390"/>
      <c r="CO500" s="390"/>
      <c r="CP500" s="390"/>
      <c r="CQ500" s="390"/>
      <c r="CR500" s="390"/>
      <c r="CS500" s="390"/>
      <c r="CT500" s="390"/>
      <c r="CU500" s="390"/>
      <c r="CV500" s="390"/>
      <c r="CW500" s="390"/>
      <c r="CX500" s="390"/>
      <c r="CY500" s="390"/>
      <c r="CZ500" s="390"/>
      <c r="DA500" s="390"/>
      <c r="DB500" s="390"/>
      <c r="DC500" s="390"/>
    </row>
    <row r="501" spans="1:107" s="303" customFormat="1" ht="56.25">
      <c r="A501" s="37"/>
      <c r="B501" s="626" t="s">
        <v>23</v>
      </c>
      <c r="C501" s="632" t="s">
        <v>828</v>
      </c>
      <c r="D501" s="628" t="s">
        <v>1226</v>
      </c>
      <c r="E501" s="636">
        <f>'Ref-ComSources'!$AA$19</f>
        <v>3416.6569160000008</v>
      </c>
      <c r="F501" s="632" t="s">
        <v>27</v>
      </c>
      <c r="G501" s="637">
        <f>SUM('Ref-ComSources'!$V$25:$V$27)/SUM('Ref-ComSources'!$V$24:$V$33)</f>
        <v>0.90425531914893609</v>
      </c>
      <c r="H501" s="632" t="s">
        <v>66</v>
      </c>
      <c r="I501" s="682">
        <f>'Ref-BaselineControls'!$E$8</f>
        <v>1</v>
      </c>
      <c r="J501" s="632" t="s">
        <v>1097</v>
      </c>
      <c r="K501" s="632" t="s">
        <v>1020</v>
      </c>
      <c r="L501" s="632" t="s">
        <v>1227</v>
      </c>
      <c r="M501" s="632" t="s">
        <v>91</v>
      </c>
      <c r="N501" s="680">
        <f>E501*G501*'Ref-Savings Calculations'!$E$39*Applicability</f>
        <v>632.61808652380978</v>
      </c>
      <c r="O501" s="680" t="s">
        <v>870</v>
      </c>
      <c r="P501" s="680">
        <f>E501*G501*'Ref-Savings Calculations'!$E$40*Applicability</f>
        <v>540.66778325000007</v>
      </c>
      <c r="Q501" s="680" t="s">
        <v>870</v>
      </c>
      <c r="R501" s="37"/>
      <c r="S501" s="632" t="s">
        <v>44</v>
      </c>
      <c r="T501" s="632" t="s">
        <v>63</v>
      </c>
      <c r="U501" s="632" t="s">
        <v>870</v>
      </c>
      <c r="V501" s="632" t="s">
        <v>870</v>
      </c>
      <c r="W501" s="632" t="s">
        <v>76</v>
      </c>
      <c r="X501" s="37"/>
      <c r="Y501" s="37"/>
      <c r="Z501" s="632" t="s">
        <v>78</v>
      </c>
      <c r="AA501" s="632" t="s">
        <v>78</v>
      </c>
      <c r="AB501" s="37"/>
      <c r="AC501" s="634">
        <f>'Ref-ComHOU'!$G$111</f>
        <v>13.200000000000001</v>
      </c>
      <c r="AD501" s="680" t="s">
        <v>72</v>
      </c>
      <c r="AE501" s="632" t="s">
        <v>73</v>
      </c>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c r="CA501" s="393"/>
      <c r="CB501" s="393"/>
      <c r="CC501" s="393"/>
      <c r="CD501" s="393"/>
      <c r="CE501" s="393"/>
      <c r="CF501" s="393"/>
      <c r="CG501" s="393"/>
      <c r="CH501" s="393"/>
      <c r="CI501" s="393"/>
      <c r="CJ501" s="390"/>
      <c r="CK501" s="390"/>
      <c r="CL501" s="390"/>
      <c r="CM501" s="390"/>
      <c r="CN501" s="390"/>
      <c r="CO501" s="390"/>
      <c r="CP501" s="390"/>
      <c r="CQ501" s="390"/>
      <c r="CR501" s="390"/>
      <c r="CS501" s="390"/>
      <c r="CT501" s="390"/>
      <c r="CU501" s="390"/>
      <c r="CV501" s="390"/>
      <c r="CW501" s="390"/>
      <c r="CX501" s="390"/>
      <c r="CY501" s="390"/>
      <c r="CZ501" s="390"/>
      <c r="DA501" s="390"/>
      <c r="DB501" s="390"/>
      <c r="DC501" s="390"/>
    </row>
    <row r="502" spans="1:107" s="303" customFormat="1" ht="56.25">
      <c r="A502" s="37"/>
      <c r="B502" s="626" t="s">
        <v>23</v>
      </c>
      <c r="C502" s="632" t="s">
        <v>828</v>
      </c>
      <c r="D502" s="628" t="s">
        <v>1226</v>
      </c>
      <c r="E502" s="636">
        <f>'Ref-ComSources'!$AA$19</f>
        <v>3416.6569160000008</v>
      </c>
      <c r="F502" s="632" t="s">
        <v>27</v>
      </c>
      <c r="G502" s="637">
        <f>SUM('Ref-ComSources'!$V$25:$V$27)/SUM('Ref-ComSources'!$V$24:$V$33)</f>
        <v>0.90425531914893609</v>
      </c>
      <c r="H502" s="632" t="s">
        <v>66</v>
      </c>
      <c r="I502" s="682">
        <f>'Ref-BaselineControls'!$E$8</f>
        <v>1</v>
      </c>
      <c r="J502" s="632" t="s">
        <v>1097</v>
      </c>
      <c r="K502" s="632" t="s">
        <v>1020</v>
      </c>
      <c r="L502" s="632" t="s">
        <v>1227</v>
      </c>
      <c r="M502" s="632" t="s">
        <v>92</v>
      </c>
      <c r="N502" s="680">
        <f>E502*G502*'Ref-Savings Calculations'!$E$39*Applicability</f>
        <v>632.61808652380978</v>
      </c>
      <c r="O502" s="680">
        <f>E502*G502*'Ref-Savings Calculations'!$C$99*Applicability*ControlShare</f>
        <v>889.78469472000018</v>
      </c>
      <c r="P502" s="680">
        <f>E502*G502*'Ref-Savings Calculations'!$E$40*Applicability</f>
        <v>540.66778325000007</v>
      </c>
      <c r="Q502" s="680">
        <f>E502*G502*('Ref-Savings Calculations'!$C$99-'Ref-Savings Calculations'!$C$79)*Applicability*ControlShare</f>
        <v>197.72993215999995</v>
      </c>
      <c r="R502" s="37"/>
      <c r="S502" s="632" t="s">
        <v>44</v>
      </c>
      <c r="T502" s="632" t="s">
        <v>63</v>
      </c>
      <c r="U502" s="632" t="s">
        <v>69</v>
      </c>
      <c r="V502" s="632" t="s">
        <v>69</v>
      </c>
      <c r="W502" s="632" t="s">
        <v>76</v>
      </c>
      <c r="X502" s="37"/>
      <c r="Y502" s="37"/>
      <c r="Z502" s="632" t="s">
        <v>78</v>
      </c>
      <c r="AA502" s="632" t="s">
        <v>78</v>
      </c>
      <c r="AB502" s="37"/>
      <c r="AC502" s="634">
        <f>'Ref-ComHOU'!$G$111</f>
        <v>13.200000000000001</v>
      </c>
      <c r="AD502" s="680" t="s">
        <v>72</v>
      </c>
      <c r="AE502" s="632" t="s">
        <v>73</v>
      </c>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c r="CA502" s="393"/>
      <c r="CB502" s="393"/>
      <c r="CC502" s="393"/>
      <c r="CD502" s="393"/>
      <c r="CE502" s="393"/>
      <c r="CF502" s="393"/>
      <c r="CG502" s="393"/>
      <c r="CH502" s="393"/>
      <c r="CI502" s="393"/>
      <c r="CJ502" s="390"/>
      <c r="CK502" s="390"/>
      <c r="CL502" s="390"/>
      <c r="CM502" s="390"/>
      <c r="CN502" s="390"/>
      <c r="CO502" s="390"/>
      <c r="CP502" s="390"/>
      <c r="CQ502" s="390"/>
      <c r="CR502" s="390"/>
      <c r="CS502" s="390"/>
      <c r="CT502" s="390"/>
      <c r="CU502" s="390"/>
      <c r="CV502" s="390"/>
      <c r="CW502" s="390"/>
      <c r="CX502" s="390"/>
      <c r="CY502" s="390"/>
      <c r="CZ502" s="390"/>
      <c r="DA502" s="390"/>
      <c r="DB502" s="390"/>
      <c r="DC502" s="390"/>
    </row>
    <row r="503" spans="1:107" s="303" customFormat="1" ht="56.25">
      <c r="A503" s="37"/>
      <c r="B503" s="626" t="s">
        <v>23</v>
      </c>
      <c r="C503" s="632" t="s">
        <v>828</v>
      </c>
      <c r="D503" s="628" t="s">
        <v>1226</v>
      </c>
      <c r="E503" s="636">
        <f>'Ref-ComSources'!$AA$19</f>
        <v>3416.6569160000008</v>
      </c>
      <c r="F503" s="632" t="s">
        <v>27</v>
      </c>
      <c r="G503" s="637">
        <f>SUM('Ref-ComSources'!$V$25:$V$27)/SUM('Ref-ComSources'!$V$24:$V$33)</f>
        <v>0.90425531914893609</v>
      </c>
      <c r="H503" s="632" t="s">
        <v>66</v>
      </c>
      <c r="I503" s="682">
        <f>'Ref-BaselineControls'!$E$8</f>
        <v>1</v>
      </c>
      <c r="J503" s="632" t="s">
        <v>1097</v>
      </c>
      <c r="K503" s="632" t="s">
        <v>1020</v>
      </c>
      <c r="L503" s="632" t="s">
        <v>1227</v>
      </c>
      <c r="M503" s="632" t="s">
        <v>93</v>
      </c>
      <c r="N503" s="680">
        <f>E503*G503*'Ref-Savings Calculations'!$E$39*Applicability</f>
        <v>632.61808652380978</v>
      </c>
      <c r="O503" s="680">
        <f>E503*G503*'Ref-Savings Calculations'!$C$109*Applicability*ControlShare</f>
        <v>939.21717776000014</v>
      </c>
      <c r="P503" s="680">
        <f>E503*G503*'Ref-Savings Calculations'!$E$40*Applicability</f>
        <v>540.66778325000007</v>
      </c>
      <c r="Q503" s="680">
        <f>E503*G503*('Ref-Savings Calculations'!$C$109-'Ref-Savings Calculations'!$C$79)*Applicability*ControlShare</f>
        <v>247.1624152</v>
      </c>
      <c r="R503" s="37"/>
      <c r="S503" s="632" t="s">
        <v>44</v>
      </c>
      <c r="T503" s="632" t="s">
        <v>63</v>
      </c>
      <c r="U503" s="632" t="s">
        <v>44</v>
      </c>
      <c r="V503" s="632" t="s">
        <v>75</v>
      </c>
      <c r="W503" s="632" t="s">
        <v>76</v>
      </c>
      <c r="X503" s="37"/>
      <c r="Y503" s="37"/>
      <c r="Z503" s="632" t="s">
        <v>78</v>
      </c>
      <c r="AA503" s="632" t="s">
        <v>78</v>
      </c>
      <c r="AB503" s="37"/>
      <c r="AC503" s="634">
        <f>'Ref-ComHOU'!$G$111</f>
        <v>13.200000000000001</v>
      </c>
      <c r="AD503" s="680" t="s">
        <v>72</v>
      </c>
      <c r="AE503" s="632" t="s">
        <v>73</v>
      </c>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c r="CA503" s="393"/>
      <c r="CB503" s="393"/>
      <c r="CC503" s="393"/>
      <c r="CD503" s="393"/>
      <c r="CE503" s="393"/>
      <c r="CF503" s="393"/>
      <c r="CG503" s="393"/>
      <c r="CH503" s="393"/>
      <c r="CI503" s="393"/>
      <c r="CJ503" s="390"/>
      <c r="CK503" s="390"/>
      <c r="CL503" s="390"/>
      <c r="CM503" s="390"/>
      <c r="CN503" s="390"/>
      <c r="CO503" s="390"/>
      <c r="CP503" s="390"/>
      <c r="CQ503" s="390"/>
      <c r="CR503" s="390"/>
      <c r="CS503" s="390"/>
      <c r="CT503" s="390"/>
      <c r="CU503" s="390"/>
      <c r="CV503" s="390"/>
      <c r="CW503" s="390"/>
      <c r="CX503" s="390"/>
      <c r="CY503" s="390"/>
      <c r="CZ503" s="390"/>
      <c r="DA503" s="390"/>
      <c r="DB503" s="390"/>
      <c r="DC503" s="390"/>
    </row>
    <row r="504" spans="1:107" s="303" customFormat="1" ht="33.75">
      <c r="A504" s="37"/>
      <c r="B504" s="626" t="s">
        <v>23</v>
      </c>
      <c r="C504" s="632" t="s">
        <v>828</v>
      </c>
      <c r="D504" s="628" t="s">
        <v>1226</v>
      </c>
      <c r="E504" s="636">
        <f>'Ref-ComSources'!$AA$19</f>
        <v>3416.6569160000008</v>
      </c>
      <c r="F504" s="632" t="s">
        <v>1245</v>
      </c>
      <c r="G504" s="637">
        <f>'Ref-ComSources'!$V$29/SUM('Ref-ComSources'!$V$24:$V$33)</f>
        <v>4.2553191489361701E-2</v>
      </c>
      <c r="H504" s="632" t="s">
        <v>66</v>
      </c>
      <c r="I504" s="682">
        <f>'Ref-BaselineControls'!$E$8</f>
        <v>1</v>
      </c>
      <c r="J504" s="632" t="s">
        <v>994</v>
      </c>
      <c r="K504" s="632" t="s">
        <v>1020</v>
      </c>
      <c r="L504" s="632" t="s">
        <v>1227</v>
      </c>
      <c r="M504" s="632" t="s">
        <v>88</v>
      </c>
      <c r="N504" s="680">
        <f>E504*G504*'Ref-Savings Calculations'!$E$27*Applicability</f>
        <v>62.702015106825911</v>
      </c>
      <c r="O504" s="680">
        <f>E504*G504*'Ref-Savings Calculations'!$C$56*Applicability*ControlShare</f>
        <v>36.05663468800001</v>
      </c>
      <c r="P504" s="680">
        <f>E504*G504*'Ref-Savings Calculations'!$E$28*Applicability</f>
        <v>58.644908621100484</v>
      </c>
      <c r="Q504" s="680" t="s">
        <v>1109</v>
      </c>
      <c r="R504" s="37"/>
      <c r="S504" s="632" t="s">
        <v>44</v>
      </c>
      <c r="T504" s="632" t="s">
        <v>63</v>
      </c>
      <c r="U504" s="632" t="s">
        <v>69</v>
      </c>
      <c r="V504" s="632" t="s">
        <v>69</v>
      </c>
      <c r="W504" s="632" t="s">
        <v>76</v>
      </c>
      <c r="X504" s="37"/>
      <c r="Y504" s="37"/>
      <c r="Z504" s="632" t="s">
        <v>78</v>
      </c>
      <c r="AA504" s="632" t="s">
        <v>78</v>
      </c>
      <c r="AB504" s="37"/>
      <c r="AC504" s="634">
        <f>'Ref-ComHOU'!$G$111</f>
        <v>13.200000000000001</v>
      </c>
      <c r="AD504" s="680" t="s">
        <v>72</v>
      </c>
      <c r="AE504" s="632" t="s">
        <v>73</v>
      </c>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c r="CA504" s="393"/>
      <c r="CB504" s="393"/>
      <c r="CC504" s="393"/>
      <c r="CD504" s="393"/>
      <c r="CE504" s="393"/>
      <c r="CF504" s="393"/>
      <c r="CG504" s="393"/>
      <c r="CH504" s="393"/>
      <c r="CI504" s="393"/>
      <c r="CJ504" s="390"/>
      <c r="CK504" s="390"/>
      <c r="CL504" s="390"/>
      <c r="CM504" s="390"/>
      <c r="CN504" s="390"/>
      <c r="CO504" s="390"/>
      <c r="CP504" s="390"/>
      <c r="CQ504" s="390"/>
      <c r="CR504" s="390"/>
      <c r="CS504" s="390"/>
      <c r="CT504" s="390"/>
      <c r="CU504" s="390"/>
      <c r="CV504" s="390"/>
      <c r="CW504" s="390"/>
      <c r="CX504" s="390"/>
      <c r="CY504" s="390"/>
      <c r="CZ504" s="390"/>
      <c r="DA504" s="390"/>
      <c r="DB504" s="390"/>
      <c r="DC504" s="390"/>
    </row>
    <row r="505" spans="1:107" s="303" customFormat="1" ht="33.75">
      <c r="A505" s="37"/>
      <c r="B505" s="626" t="s">
        <v>23</v>
      </c>
      <c r="C505" s="632" t="s">
        <v>828</v>
      </c>
      <c r="D505" s="628" t="s">
        <v>1226</v>
      </c>
      <c r="E505" s="636">
        <f>'Ref-ComSources'!$AA$19</f>
        <v>3416.6569160000008</v>
      </c>
      <c r="F505" s="632" t="s">
        <v>1245</v>
      </c>
      <c r="G505" s="637">
        <f>'Ref-ComSources'!$V$29/SUM('Ref-ComSources'!$V$24:$V$33)</f>
        <v>4.2553191489361701E-2</v>
      </c>
      <c r="H505" s="632" t="s">
        <v>66</v>
      </c>
      <c r="I505" s="682">
        <f>'Ref-BaselineControls'!$E$8</f>
        <v>1</v>
      </c>
      <c r="J505" s="632" t="s">
        <v>994</v>
      </c>
      <c r="K505" s="632" t="s">
        <v>1020</v>
      </c>
      <c r="L505" s="632" t="s">
        <v>1227</v>
      </c>
      <c r="M505" s="632" t="s">
        <v>90</v>
      </c>
      <c r="N505" s="680">
        <f>E505*G505*'Ref-Savings Calculations'!$E$27*Applicability</f>
        <v>62.702015106825911</v>
      </c>
      <c r="O505" s="680">
        <f>E505*G505*'Ref-Savings Calculations'!$C$79*Applicability*ControlShare</f>
        <v>32.567282944000013</v>
      </c>
      <c r="P505" s="680">
        <f>E505*G505*'Ref-Savings Calculations'!$E$28*Applicability</f>
        <v>58.644908621100484</v>
      </c>
      <c r="Q505" s="680" t="s">
        <v>871</v>
      </c>
      <c r="R505" s="37"/>
      <c r="S505" s="632" t="s">
        <v>44</v>
      </c>
      <c r="T505" s="632" t="s">
        <v>63</v>
      </c>
      <c r="U505" s="632" t="s">
        <v>69</v>
      </c>
      <c r="V505" s="632" t="s">
        <v>69</v>
      </c>
      <c r="W505" s="632" t="s">
        <v>76</v>
      </c>
      <c r="X505" s="37"/>
      <c r="Y505" s="37"/>
      <c r="Z505" s="632" t="s">
        <v>78</v>
      </c>
      <c r="AA505" s="632" t="s">
        <v>78</v>
      </c>
      <c r="AB505" s="37"/>
      <c r="AC505" s="634">
        <f>'Ref-ComHOU'!$G$111</f>
        <v>13.200000000000001</v>
      </c>
      <c r="AD505" s="680" t="s">
        <v>72</v>
      </c>
      <c r="AE505" s="632" t="s">
        <v>73</v>
      </c>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c r="CA505" s="393"/>
      <c r="CB505" s="393"/>
      <c r="CC505" s="393"/>
      <c r="CD505" s="393"/>
      <c r="CE505" s="393"/>
      <c r="CF505" s="393"/>
      <c r="CG505" s="393"/>
      <c r="CH505" s="393"/>
      <c r="CI505" s="393"/>
      <c r="CJ505" s="390"/>
      <c r="CK505" s="390"/>
      <c r="CL505" s="390"/>
      <c r="CM505" s="390"/>
      <c r="CN505" s="390"/>
      <c r="CO505" s="390"/>
      <c r="CP505" s="390"/>
      <c r="CQ505" s="390"/>
      <c r="CR505" s="390"/>
      <c r="CS505" s="390"/>
      <c r="CT505" s="390"/>
      <c r="CU505" s="390"/>
      <c r="CV505" s="390"/>
      <c r="CW505" s="390"/>
      <c r="CX505" s="390"/>
      <c r="CY505" s="390"/>
      <c r="CZ505" s="390"/>
      <c r="DA505" s="390"/>
      <c r="DB505" s="390"/>
      <c r="DC505" s="390"/>
    </row>
    <row r="506" spans="1:107" s="303" customFormat="1" ht="33.75">
      <c r="A506" s="37"/>
      <c r="B506" s="626" t="s">
        <v>23</v>
      </c>
      <c r="C506" s="632" t="s">
        <v>828</v>
      </c>
      <c r="D506" s="628" t="s">
        <v>1226</v>
      </c>
      <c r="E506" s="636">
        <f>'Ref-ComSources'!$AA$19</f>
        <v>3416.6569160000008</v>
      </c>
      <c r="F506" s="632" t="s">
        <v>1245</v>
      </c>
      <c r="G506" s="637">
        <f>'Ref-ComSources'!$V$29/SUM('Ref-ComSources'!$V$24:$V$33)</f>
        <v>4.2553191489361701E-2</v>
      </c>
      <c r="H506" s="632" t="s">
        <v>66</v>
      </c>
      <c r="I506" s="682">
        <f>'Ref-BaselineControls'!$E$8</f>
        <v>1</v>
      </c>
      <c r="J506" s="632" t="s">
        <v>994</v>
      </c>
      <c r="K506" s="632" t="s">
        <v>1020</v>
      </c>
      <c r="L506" s="632" t="s">
        <v>1227</v>
      </c>
      <c r="M506" s="632" t="s">
        <v>91</v>
      </c>
      <c r="N506" s="680">
        <f>E506*G506*'Ref-Savings Calculations'!$E$27*Applicability</f>
        <v>62.702015106825911</v>
      </c>
      <c r="O506" s="680" t="s">
        <v>870</v>
      </c>
      <c r="P506" s="680">
        <f>E506*G506*'Ref-Savings Calculations'!$E$28*Applicability</f>
        <v>58.644908621100484</v>
      </c>
      <c r="Q506" s="680" t="s">
        <v>870</v>
      </c>
      <c r="R506" s="37"/>
      <c r="S506" s="632" t="s">
        <v>44</v>
      </c>
      <c r="T506" s="632" t="s">
        <v>63</v>
      </c>
      <c r="U506" s="632" t="s">
        <v>870</v>
      </c>
      <c r="V506" s="632" t="s">
        <v>870</v>
      </c>
      <c r="W506" s="632" t="s">
        <v>76</v>
      </c>
      <c r="X506" s="37"/>
      <c r="Y506" s="37"/>
      <c r="Z506" s="632" t="s">
        <v>78</v>
      </c>
      <c r="AA506" s="632" t="s">
        <v>78</v>
      </c>
      <c r="AB506" s="37"/>
      <c r="AC506" s="634">
        <f>'Ref-ComHOU'!$G$111</f>
        <v>13.200000000000001</v>
      </c>
      <c r="AD506" s="680" t="s">
        <v>72</v>
      </c>
      <c r="AE506" s="632" t="s">
        <v>73</v>
      </c>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c r="CA506" s="393"/>
      <c r="CB506" s="393"/>
      <c r="CC506" s="393"/>
      <c r="CD506" s="393"/>
      <c r="CE506" s="393"/>
      <c r="CF506" s="393"/>
      <c r="CG506" s="393"/>
      <c r="CH506" s="393"/>
      <c r="CI506" s="393"/>
      <c r="CJ506" s="390"/>
      <c r="CK506" s="390"/>
      <c r="CL506" s="390"/>
      <c r="CM506" s="390"/>
      <c r="CN506" s="390"/>
      <c r="CO506" s="390"/>
      <c r="CP506" s="390"/>
      <c r="CQ506" s="390"/>
      <c r="CR506" s="390"/>
      <c r="CS506" s="390"/>
      <c r="CT506" s="390"/>
      <c r="CU506" s="390"/>
      <c r="CV506" s="390"/>
      <c r="CW506" s="390"/>
      <c r="CX506" s="390"/>
      <c r="CY506" s="390"/>
      <c r="CZ506" s="390"/>
      <c r="DA506" s="390"/>
      <c r="DB506" s="390"/>
      <c r="DC506" s="390"/>
    </row>
    <row r="507" spans="1:107" s="303" customFormat="1" ht="33.75">
      <c r="A507" s="37"/>
      <c r="B507" s="626" t="s">
        <v>23</v>
      </c>
      <c r="C507" s="632" t="s">
        <v>828</v>
      </c>
      <c r="D507" s="628" t="s">
        <v>1226</v>
      </c>
      <c r="E507" s="636">
        <f>'Ref-ComSources'!$AA$19</f>
        <v>3416.6569160000008</v>
      </c>
      <c r="F507" s="632" t="s">
        <v>1245</v>
      </c>
      <c r="G507" s="637">
        <f>'Ref-ComSources'!$V$29/SUM('Ref-ComSources'!$V$24:$V$33)</f>
        <v>4.2553191489361701E-2</v>
      </c>
      <c r="H507" s="632" t="s">
        <v>66</v>
      </c>
      <c r="I507" s="682">
        <f>'Ref-BaselineControls'!$E$8</f>
        <v>1</v>
      </c>
      <c r="J507" s="632" t="s">
        <v>994</v>
      </c>
      <c r="K507" s="632" t="s">
        <v>1020</v>
      </c>
      <c r="L507" s="632" t="s">
        <v>1227</v>
      </c>
      <c r="M507" s="632" t="s">
        <v>92</v>
      </c>
      <c r="N507" s="680">
        <f>E507*G507*'Ref-Savings Calculations'!$E$27*Applicability</f>
        <v>62.702015106825911</v>
      </c>
      <c r="O507" s="680">
        <f>E507*G507*'Ref-Savings Calculations'!$C$99*Applicability*ControlShare</f>
        <v>41.872220928000011</v>
      </c>
      <c r="P507" s="680">
        <f>E507*G507*'Ref-Savings Calculations'!$E$28*Applicability</f>
        <v>58.644908621100484</v>
      </c>
      <c r="Q507" s="680">
        <f>E507*G507*('Ref-Savings Calculations'!$C$99-'Ref-Savings Calculations'!$C$79)*Applicability*ControlShare</f>
        <v>9.3049379839999968</v>
      </c>
      <c r="R507" s="37"/>
      <c r="S507" s="632" t="s">
        <v>44</v>
      </c>
      <c r="T507" s="632" t="s">
        <v>63</v>
      </c>
      <c r="U507" s="632" t="s">
        <v>69</v>
      </c>
      <c r="V507" s="632" t="s">
        <v>69</v>
      </c>
      <c r="W507" s="632" t="s">
        <v>76</v>
      </c>
      <c r="X507" s="37"/>
      <c r="Y507" s="37"/>
      <c r="Z507" s="632" t="s">
        <v>78</v>
      </c>
      <c r="AA507" s="632" t="s">
        <v>78</v>
      </c>
      <c r="AB507" s="37"/>
      <c r="AC507" s="634">
        <f>'Ref-ComHOU'!$G$111</f>
        <v>13.200000000000001</v>
      </c>
      <c r="AD507" s="680" t="s">
        <v>72</v>
      </c>
      <c r="AE507" s="632" t="s">
        <v>73</v>
      </c>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c r="CA507" s="393"/>
      <c r="CB507" s="393"/>
      <c r="CC507" s="393"/>
      <c r="CD507" s="393"/>
      <c r="CE507" s="393"/>
      <c r="CF507" s="393"/>
      <c r="CG507" s="393"/>
      <c r="CH507" s="393"/>
      <c r="CI507" s="393"/>
      <c r="CJ507" s="390"/>
      <c r="CK507" s="390"/>
      <c r="CL507" s="390"/>
      <c r="CM507" s="390"/>
      <c r="CN507" s="390"/>
      <c r="CO507" s="390"/>
      <c r="CP507" s="390"/>
      <c r="CQ507" s="390"/>
      <c r="CR507" s="390"/>
      <c r="CS507" s="390"/>
      <c r="CT507" s="390"/>
      <c r="CU507" s="390"/>
      <c r="CV507" s="390"/>
      <c r="CW507" s="390"/>
      <c r="CX507" s="390"/>
      <c r="CY507" s="390"/>
      <c r="CZ507" s="390"/>
      <c r="DA507" s="390"/>
      <c r="DB507" s="390"/>
      <c r="DC507" s="390"/>
    </row>
    <row r="508" spans="1:107" s="303" customFormat="1" ht="33.75">
      <c r="A508" s="37"/>
      <c r="B508" s="626" t="s">
        <v>23</v>
      </c>
      <c r="C508" s="632" t="s">
        <v>828</v>
      </c>
      <c r="D508" s="628" t="s">
        <v>1226</v>
      </c>
      <c r="E508" s="636">
        <f>'Ref-ComSources'!$AA$19</f>
        <v>3416.6569160000008</v>
      </c>
      <c r="F508" s="632" t="s">
        <v>1245</v>
      </c>
      <c r="G508" s="637">
        <f>'Ref-ComSources'!$V$29/SUM('Ref-ComSources'!$V$24:$V$33)</f>
        <v>4.2553191489361701E-2</v>
      </c>
      <c r="H508" s="632" t="s">
        <v>66</v>
      </c>
      <c r="I508" s="682">
        <f>'Ref-BaselineControls'!$E$8</f>
        <v>1</v>
      </c>
      <c r="J508" s="632" t="s">
        <v>994</v>
      </c>
      <c r="K508" s="632" t="s">
        <v>1020</v>
      </c>
      <c r="L508" s="632" t="s">
        <v>1227</v>
      </c>
      <c r="M508" s="632" t="s">
        <v>93</v>
      </c>
      <c r="N508" s="680">
        <f>E508*G508*'Ref-Savings Calculations'!$E$27*Applicability</f>
        <v>62.702015106825911</v>
      </c>
      <c r="O508" s="680">
        <f>E508*G508*'Ref-Savings Calculations'!$C$109*Applicability*ControlShare</f>
        <v>44.198455424000009</v>
      </c>
      <c r="P508" s="680">
        <f>E508*G508*'Ref-Savings Calculations'!$E$28*Applicability</f>
        <v>58.644908621100484</v>
      </c>
      <c r="Q508" s="680">
        <f>E508*G508*('Ref-Savings Calculations'!$C$109-'Ref-Savings Calculations'!$C$79)*Applicability*ControlShare</f>
        <v>11.63117248</v>
      </c>
      <c r="R508" s="37"/>
      <c r="S508" s="632" t="s">
        <v>44</v>
      </c>
      <c r="T508" s="632" t="s">
        <v>63</v>
      </c>
      <c r="U508" s="632" t="s">
        <v>44</v>
      </c>
      <c r="V508" s="632" t="s">
        <v>75</v>
      </c>
      <c r="W508" s="632" t="s">
        <v>76</v>
      </c>
      <c r="X508" s="37"/>
      <c r="Y508" s="37"/>
      <c r="Z508" s="632" t="s">
        <v>78</v>
      </c>
      <c r="AA508" s="632" t="s">
        <v>78</v>
      </c>
      <c r="AB508" s="37"/>
      <c r="AC508" s="634">
        <f>'Ref-ComHOU'!$G$111</f>
        <v>13.200000000000001</v>
      </c>
      <c r="AD508" s="680" t="s">
        <v>72</v>
      </c>
      <c r="AE508" s="632" t="s">
        <v>73</v>
      </c>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c r="CA508" s="393"/>
      <c r="CB508" s="393"/>
      <c r="CC508" s="393"/>
      <c r="CD508" s="393"/>
      <c r="CE508" s="393"/>
      <c r="CF508" s="393"/>
      <c r="CG508" s="393"/>
      <c r="CH508" s="393"/>
      <c r="CI508" s="393"/>
      <c r="CJ508" s="390"/>
      <c r="CK508" s="390"/>
      <c r="CL508" s="390"/>
      <c r="CM508" s="390"/>
      <c r="CN508" s="390"/>
      <c r="CO508" s="390"/>
      <c r="CP508" s="390"/>
      <c r="CQ508" s="390"/>
      <c r="CR508" s="390"/>
      <c r="CS508" s="390"/>
      <c r="CT508" s="390"/>
      <c r="CU508" s="390"/>
      <c r="CV508" s="390"/>
      <c r="CW508" s="390"/>
      <c r="CX508" s="390"/>
      <c r="CY508" s="390"/>
      <c r="CZ508" s="390"/>
      <c r="DA508" s="390"/>
      <c r="DB508" s="390"/>
      <c r="DC508" s="390"/>
    </row>
    <row r="509" spans="1:107" s="303" customFormat="1" ht="33.75">
      <c r="A509" s="37"/>
      <c r="B509" s="626" t="s">
        <v>23</v>
      </c>
      <c r="C509" s="632" t="s">
        <v>828</v>
      </c>
      <c r="D509" s="628" t="s">
        <v>1226</v>
      </c>
      <c r="E509" s="636">
        <f>'Ref-ComSources'!$AA$19</f>
        <v>3416.6569160000008</v>
      </c>
      <c r="F509" s="632" t="s">
        <v>1245</v>
      </c>
      <c r="G509" s="637">
        <f>'Ref-ComSources'!$V$29/SUM('Ref-ComSources'!$V$24:$V$33)</f>
        <v>4.2553191489361701E-2</v>
      </c>
      <c r="H509" s="632" t="s">
        <v>66</v>
      </c>
      <c r="I509" s="682">
        <f>'Ref-BaselineControls'!$E$8</f>
        <v>1</v>
      </c>
      <c r="J509" s="632" t="s">
        <v>994</v>
      </c>
      <c r="K509" s="632" t="s">
        <v>1020</v>
      </c>
      <c r="L509" s="632" t="s">
        <v>995</v>
      </c>
      <c r="M509" s="632" t="s">
        <v>88</v>
      </c>
      <c r="N509" s="680">
        <f>E509*G509*'Ref-Savings Calculations'!$E$19*Applicability</f>
        <v>28.119318083516493</v>
      </c>
      <c r="O509" s="680">
        <f>E509*G509*'Ref-Savings Calculations'!$C$56*Applicability*ControlShare</f>
        <v>36.05663468800001</v>
      </c>
      <c r="P509" s="680">
        <f>E509*G509*'Ref-Savings Calculations'!$E$20*Applicability</f>
        <v>22.991852576744193</v>
      </c>
      <c r="Q509" s="680" t="s">
        <v>1109</v>
      </c>
      <c r="R509" s="37"/>
      <c r="S509" s="632" t="s">
        <v>44</v>
      </c>
      <c r="T509" s="632" t="s">
        <v>69</v>
      </c>
      <c r="U509" s="632" t="s">
        <v>69</v>
      </c>
      <c r="V509" s="632" t="s">
        <v>69</v>
      </c>
      <c r="W509" s="632" t="s">
        <v>76</v>
      </c>
      <c r="X509" s="37"/>
      <c r="Y509" s="37"/>
      <c r="Z509" s="632" t="s">
        <v>78</v>
      </c>
      <c r="AA509" s="632" t="s">
        <v>78</v>
      </c>
      <c r="AB509" s="37"/>
      <c r="AC509" s="634">
        <f>'Ref-ComHOU'!$G$111</f>
        <v>13.200000000000001</v>
      </c>
      <c r="AD509" s="680" t="s">
        <v>72</v>
      </c>
      <c r="AE509" s="632" t="s">
        <v>73</v>
      </c>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c r="CA509" s="393"/>
      <c r="CB509" s="393"/>
      <c r="CC509" s="393"/>
      <c r="CD509" s="393"/>
      <c r="CE509" s="393"/>
      <c r="CF509" s="393"/>
      <c r="CG509" s="393"/>
      <c r="CH509" s="393"/>
      <c r="CI509" s="393"/>
      <c r="CJ509" s="390"/>
      <c r="CK509" s="390"/>
      <c r="CL509" s="390"/>
      <c r="CM509" s="390"/>
      <c r="CN509" s="390"/>
      <c r="CO509" s="390"/>
      <c r="CP509" s="390"/>
      <c r="CQ509" s="390"/>
      <c r="CR509" s="390"/>
      <c r="CS509" s="390"/>
      <c r="CT509" s="390"/>
      <c r="CU509" s="390"/>
      <c r="CV509" s="390"/>
      <c r="CW509" s="390"/>
      <c r="CX509" s="390"/>
      <c r="CY509" s="390"/>
      <c r="CZ509" s="390"/>
      <c r="DA509" s="390"/>
      <c r="DB509" s="390"/>
      <c r="DC509" s="390"/>
    </row>
    <row r="510" spans="1:107" s="303" customFormat="1" ht="33.75">
      <c r="A510" s="37"/>
      <c r="B510" s="626" t="s">
        <v>23</v>
      </c>
      <c r="C510" s="632" t="s">
        <v>828</v>
      </c>
      <c r="D510" s="628" t="s">
        <v>1226</v>
      </c>
      <c r="E510" s="636">
        <f>'Ref-ComSources'!$AA$19</f>
        <v>3416.6569160000008</v>
      </c>
      <c r="F510" s="632" t="s">
        <v>1245</v>
      </c>
      <c r="G510" s="637">
        <f>'Ref-ComSources'!$V$29/SUM('Ref-ComSources'!$V$24:$V$33)</f>
        <v>4.2553191489361701E-2</v>
      </c>
      <c r="H510" s="632" t="s">
        <v>66</v>
      </c>
      <c r="I510" s="682">
        <f>'Ref-BaselineControls'!$E$8</f>
        <v>1</v>
      </c>
      <c r="J510" s="632" t="s">
        <v>994</v>
      </c>
      <c r="K510" s="632" t="s">
        <v>1020</v>
      </c>
      <c r="L510" s="632" t="s">
        <v>995</v>
      </c>
      <c r="M510" s="632" t="s">
        <v>90</v>
      </c>
      <c r="N510" s="680">
        <f>E510*G510*'Ref-Savings Calculations'!$E$19*Applicability</f>
        <v>28.119318083516493</v>
      </c>
      <c r="O510" s="680">
        <f>E510*G510*'Ref-Savings Calculations'!$C$79*Applicability*ControlShare</f>
        <v>32.567282944000013</v>
      </c>
      <c r="P510" s="680">
        <f>E510*G510*'Ref-Savings Calculations'!$E$20*Applicability</f>
        <v>22.991852576744193</v>
      </c>
      <c r="Q510" s="680" t="s">
        <v>871</v>
      </c>
      <c r="R510" s="37"/>
      <c r="S510" s="632" t="s">
        <v>44</v>
      </c>
      <c r="T510" s="632" t="s">
        <v>69</v>
      </c>
      <c r="U510" s="632" t="s">
        <v>69</v>
      </c>
      <c r="V510" s="632" t="s">
        <v>69</v>
      </c>
      <c r="W510" s="632" t="s">
        <v>76</v>
      </c>
      <c r="X510" s="37"/>
      <c r="Y510" s="37"/>
      <c r="Z510" s="632" t="s">
        <v>78</v>
      </c>
      <c r="AA510" s="632" t="s">
        <v>78</v>
      </c>
      <c r="AB510" s="37"/>
      <c r="AC510" s="634">
        <f>'Ref-ComHOU'!$G$111</f>
        <v>13.200000000000001</v>
      </c>
      <c r="AD510" s="680" t="s">
        <v>72</v>
      </c>
      <c r="AE510" s="632" t="s">
        <v>73</v>
      </c>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c r="CA510" s="393"/>
      <c r="CB510" s="393"/>
      <c r="CC510" s="393"/>
      <c r="CD510" s="393"/>
      <c r="CE510" s="393"/>
      <c r="CF510" s="393"/>
      <c r="CG510" s="393"/>
      <c r="CH510" s="393"/>
      <c r="CI510" s="393"/>
      <c r="CJ510" s="390"/>
      <c r="CK510" s="390"/>
      <c r="CL510" s="390"/>
      <c r="CM510" s="390"/>
      <c r="CN510" s="390"/>
      <c r="CO510" s="390"/>
      <c r="CP510" s="390"/>
      <c r="CQ510" s="390"/>
      <c r="CR510" s="390"/>
      <c r="CS510" s="390"/>
      <c r="CT510" s="390"/>
      <c r="CU510" s="390"/>
      <c r="CV510" s="390"/>
      <c r="CW510" s="390"/>
      <c r="CX510" s="390"/>
      <c r="CY510" s="390"/>
      <c r="CZ510" s="390"/>
      <c r="DA510" s="390"/>
      <c r="DB510" s="390"/>
      <c r="DC510" s="390"/>
    </row>
    <row r="511" spans="1:107" s="303" customFormat="1" ht="33.75">
      <c r="A511" s="37"/>
      <c r="B511" s="626" t="s">
        <v>23</v>
      </c>
      <c r="C511" s="632" t="s">
        <v>828</v>
      </c>
      <c r="D511" s="628" t="s">
        <v>1226</v>
      </c>
      <c r="E511" s="636">
        <f>'Ref-ComSources'!$AA$19</f>
        <v>3416.6569160000008</v>
      </c>
      <c r="F511" s="632" t="s">
        <v>1245</v>
      </c>
      <c r="G511" s="637">
        <f>'Ref-ComSources'!$V$29/SUM('Ref-ComSources'!$V$24:$V$33)</f>
        <v>4.2553191489361701E-2</v>
      </c>
      <c r="H511" s="632" t="s">
        <v>66</v>
      </c>
      <c r="I511" s="682">
        <f>'Ref-BaselineControls'!$E$8</f>
        <v>1</v>
      </c>
      <c r="J511" s="632" t="s">
        <v>994</v>
      </c>
      <c r="K511" s="632" t="s">
        <v>1020</v>
      </c>
      <c r="L511" s="632" t="s">
        <v>995</v>
      </c>
      <c r="M511" s="632" t="s">
        <v>91</v>
      </c>
      <c r="N511" s="680">
        <f>E511*G511*'Ref-Savings Calculations'!$E$19*Applicability</f>
        <v>28.119318083516493</v>
      </c>
      <c r="O511" s="680" t="s">
        <v>870</v>
      </c>
      <c r="P511" s="680">
        <f>E511*G511*'Ref-Savings Calculations'!$E$20*Applicability</f>
        <v>22.991852576744193</v>
      </c>
      <c r="Q511" s="680" t="s">
        <v>870</v>
      </c>
      <c r="R511" s="37"/>
      <c r="S511" s="632" t="s">
        <v>44</v>
      </c>
      <c r="T511" s="632" t="s">
        <v>69</v>
      </c>
      <c r="U511" s="632" t="s">
        <v>870</v>
      </c>
      <c r="V511" s="632" t="s">
        <v>870</v>
      </c>
      <c r="W511" s="632" t="s">
        <v>76</v>
      </c>
      <c r="X511" s="37"/>
      <c r="Y511" s="37"/>
      <c r="Z511" s="632" t="s">
        <v>78</v>
      </c>
      <c r="AA511" s="632" t="s">
        <v>78</v>
      </c>
      <c r="AB511" s="37"/>
      <c r="AC511" s="634">
        <f>'Ref-ComHOU'!$G$111</f>
        <v>13.200000000000001</v>
      </c>
      <c r="AD511" s="680" t="s">
        <v>72</v>
      </c>
      <c r="AE511" s="632" t="s">
        <v>73</v>
      </c>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c r="CA511" s="393"/>
      <c r="CB511" s="393"/>
      <c r="CC511" s="393"/>
      <c r="CD511" s="393"/>
      <c r="CE511" s="393"/>
      <c r="CF511" s="393"/>
      <c r="CG511" s="393"/>
      <c r="CH511" s="393"/>
      <c r="CI511" s="393"/>
      <c r="CJ511" s="390"/>
      <c r="CK511" s="390"/>
      <c r="CL511" s="390"/>
      <c r="CM511" s="390"/>
      <c r="CN511" s="390"/>
      <c r="CO511" s="390"/>
      <c r="CP511" s="390"/>
      <c r="CQ511" s="390"/>
      <c r="CR511" s="390"/>
      <c r="CS511" s="390"/>
      <c r="CT511" s="390"/>
      <c r="CU511" s="390"/>
      <c r="CV511" s="390"/>
      <c r="CW511" s="390"/>
      <c r="CX511" s="390"/>
      <c r="CY511" s="390"/>
      <c r="CZ511" s="390"/>
      <c r="DA511" s="390"/>
      <c r="DB511" s="390"/>
      <c r="DC511" s="390"/>
    </row>
    <row r="512" spans="1:107" s="303" customFormat="1" ht="33.75">
      <c r="A512" s="37"/>
      <c r="B512" s="626" t="s">
        <v>23</v>
      </c>
      <c r="C512" s="632" t="s">
        <v>828</v>
      </c>
      <c r="D512" s="628" t="s">
        <v>1226</v>
      </c>
      <c r="E512" s="636">
        <f>'Ref-ComSources'!$AA$19</f>
        <v>3416.6569160000008</v>
      </c>
      <c r="F512" s="632" t="s">
        <v>1245</v>
      </c>
      <c r="G512" s="637">
        <f>'Ref-ComSources'!$V$29/SUM('Ref-ComSources'!$V$24:$V$33)</f>
        <v>4.2553191489361701E-2</v>
      </c>
      <c r="H512" s="632" t="s">
        <v>66</v>
      </c>
      <c r="I512" s="682">
        <f>'Ref-BaselineControls'!$E$8</f>
        <v>1</v>
      </c>
      <c r="J512" s="632" t="s">
        <v>994</v>
      </c>
      <c r="K512" s="632" t="s">
        <v>1020</v>
      </c>
      <c r="L512" s="632" t="s">
        <v>995</v>
      </c>
      <c r="M512" s="632" t="s">
        <v>92</v>
      </c>
      <c r="N512" s="680">
        <f>E512*G512*'Ref-Savings Calculations'!$E$19*Applicability</f>
        <v>28.119318083516493</v>
      </c>
      <c r="O512" s="680">
        <f>E512*G512*'Ref-Savings Calculations'!$C$99*Applicability*ControlShare</f>
        <v>41.872220928000011</v>
      </c>
      <c r="P512" s="680">
        <f>E512*G512*'Ref-Savings Calculations'!$E$20*Applicability</f>
        <v>22.991852576744193</v>
      </c>
      <c r="Q512" s="680">
        <f>E512*G512*('Ref-Savings Calculations'!$C$99-'Ref-Savings Calculations'!$C$79)*Applicability*ControlShare</f>
        <v>9.3049379839999968</v>
      </c>
      <c r="R512" s="37"/>
      <c r="S512" s="632" t="s">
        <v>44</v>
      </c>
      <c r="T512" s="632" t="s">
        <v>69</v>
      </c>
      <c r="U512" s="632" t="s">
        <v>69</v>
      </c>
      <c r="V512" s="632" t="s">
        <v>69</v>
      </c>
      <c r="W512" s="632" t="s">
        <v>76</v>
      </c>
      <c r="X512" s="37"/>
      <c r="Y512" s="37"/>
      <c r="Z512" s="632" t="s">
        <v>78</v>
      </c>
      <c r="AA512" s="632" t="s">
        <v>78</v>
      </c>
      <c r="AB512" s="37"/>
      <c r="AC512" s="634">
        <f>'Ref-ComHOU'!$G$111</f>
        <v>13.200000000000001</v>
      </c>
      <c r="AD512" s="680" t="s">
        <v>72</v>
      </c>
      <c r="AE512" s="632" t="s">
        <v>73</v>
      </c>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c r="CA512" s="393"/>
      <c r="CB512" s="393"/>
      <c r="CC512" s="393"/>
      <c r="CD512" s="393"/>
      <c r="CE512" s="393"/>
      <c r="CF512" s="393"/>
      <c r="CG512" s="393"/>
      <c r="CH512" s="393"/>
      <c r="CI512" s="393"/>
      <c r="CJ512" s="390"/>
      <c r="CK512" s="390"/>
      <c r="CL512" s="390"/>
      <c r="CM512" s="390"/>
      <c r="CN512" s="390"/>
      <c r="CO512" s="390"/>
      <c r="CP512" s="390"/>
      <c r="CQ512" s="390"/>
      <c r="CR512" s="390"/>
      <c r="CS512" s="390"/>
      <c r="CT512" s="390"/>
      <c r="CU512" s="390"/>
      <c r="CV512" s="390"/>
      <c r="CW512" s="390"/>
      <c r="CX512" s="390"/>
      <c r="CY512" s="390"/>
      <c r="CZ512" s="390"/>
      <c r="DA512" s="390"/>
      <c r="DB512" s="390"/>
      <c r="DC512" s="390"/>
    </row>
    <row r="513" spans="1:107" s="303" customFormat="1" ht="33.75">
      <c r="A513" s="37"/>
      <c r="B513" s="626" t="s">
        <v>23</v>
      </c>
      <c r="C513" s="632" t="s">
        <v>828</v>
      </c>
      <c r="D513" s="628" t="s">
        <v>1226</v>
      </c>
      <c r="E513" s="636">
        <f>'Ref-ComSources'!$AA$19</f>
        <v>3416.6569160000008</v>
      </c>
      <c r="F513" s="632" t="s">
        <v>1245</v>
      </c>
      <c r="G513" s="637">
        <f>'Ref-ComSources'!$V$29/SUM('Ref-ComSources'!$V$24:$V$33)</f>
        <v>4.2553191489361701E-2</v>
      </c>
      <c r="H513" s="632" t="s">
        <v>66</v>
      </c>
      <c r="I513" s="682">
        <f>'Ref-BaselineControls'!$E$8</f>
        <v>1</v>
      </c>
      <c r="J513" s="632" t="s">
        <v>994</v>
      </c>
      <c r="K513" s="632" t="s">
        <v>1020</v>
      </c>
      <c r="L513" s="632" t="s">
        <v>995</v>
      </c>
      <c r="M513" s="632" t="s">
        <v>93</v>
      </c>
      <c r="N513" s="680">
        <f>E513*G513*'Ref-Savings Calculations'!$E$19*Applicability</f>
        <v>28.119318083516493</v>
      </c>
      <c r="O513" s="680">
        <f>E513*G513*'Ref-Savings Calculations'!$C$109*Applicability*ControlShare</f>
        <v>44.198455424000009</v>
      </c>
      <c r="P513" s="680">
        <f>E513*G513*'Ref-Savings Calculations'!$E$20*Applicability</f>
        <v>22.991852576744193</v>
      </c>
      <c r="Q513" s="680">
        <f>E513*G513*('Ref-Savings Calculations'!$C$109-'Ref-Savings Calculations'!$C$79)*Applicability*ControlShare</f>
        <v>11.63117248</v>
      </c>
      <c r="R513" s="37"/>
      <c r="S513" s="632" t="s">
        <v>44</v>
      </c>
      <c r="T513" s="632" t="s">
        <v>69</v>
      </c>
      <c r="U513" s="632" t="s">
        <v>44</v>
      </c>
      <c r="V513" s="632" t="s">
        <v>75</v>
      </c>
      <c r="W513" s="632" t="s">
        <v>76</v>
      </c>
      <c r="X513" s="37"/>
      <c r="Y513" s="37"/>
      <c r="Z513" s="632" t="s">
        <v>78</v>
      </c>
      <c r="AA513" s="632" t="s">
        <v>78</v>
      </c>
      <c r="AB513" s="37"/>
      <c r="AC513" s="634">
        <f>'Ref-ComHOU'!$G$111</f>
        <v>13.200000000000001</v>
      </c>
      <c r="AD513" s="680" t="s">
        <v>72</v>
      </c>
      <c r="AE513" s="632" t="s">
        <v>73</v>
      </c>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c r="CA513" s="393"/>
      <c r="CB513" s="393"/>
      <c r="CC513" s="393"/>
      <c r="CD513" s="393"/>
      <c r="CE513" s="393"/>
      <c r="CF513" s="393"/>
      <c r="CG513" s="393"/>
      <c r="CH513" s="393"/>
      <c r="CI513" s="393"/>
      <c r="CJ513" s="390"/>
      <c r="CK513" s="390"/>
      <c r="CL513" s="390"/>
      <c r="CM513" s="390"/>
      <c r="CN513" s="390"/>
      <c r="CO513" s="390"/>
      <c r="CP513" s="390"/>
      <c r="CQ513" s="390"/>
      <c r="CR513" s="390"/>
      <c r="CS513" s="390"/>
      <c r="CT513" s="390"/>
      <c r="CU513" s="390"/>
      <c r="CV513" s="390"/>
      <c r="CW513" s="390"/>
      <c r="CX513" s="390"/>
      <c r="CY513" s="390"/>
      <c r="CZ513" s="390"/>
      <c r="DA513" s="390"/>
      <c r="DB513" s="390"/>
      <c r="DC513" s="390"/>
    </row>
    <row r="514" spans="1:107" s="303" customFormat="1" ht="33.75">
      <c r="A514" s="37"/>
      <c r="B514" s="626" t="s">
        <v>23</v>
      </c>
      <c r="C514" s="632" t="s">
        <v>828</v>
      </c>
      <c r="D514" s="628" t="s">
        <v>1226</v>
      </c>
      <c r="E514" s="636">
        <f>'Ref-ComSources'!$AA$19</f>
        <v>3416.6569160000008</v>
      </c>
      <c r="F514" s="632" t="s">
        <v>1245</v>
      </c>
      <c r="G514" s="637">
        <f>'Ref-ComSources'!$V$29/SUM('Ref-ComSources'!$V$24:$V$33)</f>
        <v>4.2553191489361701E-2</v>
      </c>
      <c r="H514" s="632" t="s">
        <v>66</v>
      </c>
      <c r="I514" s="682">
        <f>'Ref-BaselineControls'!$E$8</f>
        <v>1</v>
      </c>
      <c r="J514" s="632" t="s">
        <v>994</v>
      </c>
      <c r="K514" s="632" t="s">
        <v>1020</v>
      </c>
      <c r="L514" s="632" t="s">
        <v>1228</v>
      </c>
      <c r="M514" s="632" t="s">
        <v>88</v>
      </c>
      <c r="N514" s="680">
        <f>E514*G514*'Ref-Savings Calculations'!$E$17*Applicability</f>
        <v>22.250938657391313</v>
      </c>
      <c r="O514" s="680">
        <f>E514*G514*'Ref-Savings Calculations'!$C$56*Applicability*ControlShare</f>
        <v>36.05663468800001</v>
      </c>
      <c r="P514" s="680">
        <f>E514*G514*'Ref-Savings Calculations'!$E$18*Applicability</f>
        <v>16.845146350344827</v>
      </c>
      <c r="Q514" s="680" t="s">
        <v>1109</v>
      </c>
      <c r="R514" s="37"/>
      <c r="S514" s="632" t="s">
        <v>69</v>
      </c>
      <c r="T514" s="632" t="s">
        <v>69</v>
      </c>
      <c r="U514" s="632" t="s">
        <v>69</v>
      </c>
      <c r="V514" s="632" t="s">
        <v>69</v>
      </c>
      <c r="W514" s="632" t="s">
        <v>76</v>
      </c>
      <c r="X514" s="37"/>
      <c r="Y514" s="37"/>
      <c r="Z514" s="632" t="s">
        <v>78</v>
      </c>
      <c r="AA514" s="632" t="s">
        <v>78</v>
      </c>
      <c r="AB514" s="37"/>
      <c r="AC514" s="634">
        <f>'Ref-ComHOU'!$G$111</f>
        <v>13.200000000000001</v>
      </c>
      <c r="AD514" s="680" t="s">
        <v>72</v>
      </c>
      <c r="AE514" s="632" t="s">
        <v>73</v>
      </c>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c r="CA514" s="393"/>
      <c r="CB514" s="393"/>
      <c r="CC514" s="393"/>
      <c r="CD514" s="393"/>
      <c r="CE514" s="393"/>
      <c r="CF514" s="393"/>
      <c r="CG514" s="393"/>
      <c r="CH514" s="393"/>
      <c r="CI514" s="393"/>
      <c r="CJ514" s="390"/>
      <c r="CK514" s="390"/>
      <c r="CL514" s="390"/>
      <c r="CM514" s="390"/>
      <c r="CN514" s="390"/>
      <c r="CO514" s="390"/>
      <c r="CP514" s="390"/>
      <c r="CQ514" s="390"/>
      <c r="CR514" s="390"/>
      <c r="CS514" s="390"/>
      <c r="CT514" s="390"/>
      <c r="CU514" s="390"/>
      <c r="CV514" s="390"/>
      <c r="CW514" s="390"/>
      <c r="CX514" s="390"/>
      <c r="CY514" s="390"/>
      <c r="CZ514" s="390"/>
      <c r="DA514" s="390"/>
      <c r="DB514" s="390"/>
      <c r="DC514" s="390"/>
    </row>
    <row r="515" spans="1:107" s="303" customFormat="1" ht="33.75">
      <c r="A515" s="37"/>
      <c r="B515" s="626" t="s">
        <v>23</v>
      </c>
      <c r="C515" s="632" t="s">
        <v>828</v>
      </c>
      <c r="D515" s="628" t="s">
        <v>1226</v>
      </c>
      <c r="E515" s="636">
        <f>'Ref-ComSources'!$AA$19</f>
        <v>3416.6569160000008</v>
      </c>
      <c r="F515" s="632" t="s">
        <v>1245</v>
      </c>
      <c r="G515" s="637">
        <f>'Ref-ComSources'!$V$29/SUM('Ref-ComSources'!$V$24:$V$33)</f>
        <v>4.2553191489361701E-2</v>
      </c>
      <c r="H515" s="632" t="s">
        <v>66</v>
      </c>
      <c r="I515" s="682">
        <f>'Ref-BaselineControls'!$E$8</f>
        <v>1</v>
      </c>
      <c r="J515" s="632" t="s">
        <v>994</v>
      </c>
      <c r="K515" s="632" t="s">
        <v>1020</v>
      </c>
      <c r="L515" s="632" t="s">
        <v>1228</v>
      </c>
      <c r="M515" s="632" t="s">
        <v>90</v>
      </c>
      <c r="N515" s="680">
        <f>E515*G515*'Ref-Savings Calculations'!$E$17*Applicability</f>
        <v>22.250938657391313</v>
      </c>
      <c r="O515" s="680">
        <f>E515*G515*'Ref-Savings Calculations'!$C$79*Applicability*ControlShare</f>
        <v>32.567282944000013</v>
      </c>
      <c r="P515" s="680">
        <f>E515*G515*'Ref-Savings Calculations'!$E$18*Applicability</f>
        <v>16.845146350344827</v>
      </c>
      <c r="Q515" s="680" t="s">
        <v>871</v>
      </c>
      <c r="R515" s="37"/>
      <c r="S515" s="632" t="s">
        <v>69</v>
      </c>
      <c r="T515" s="632" t="s">
        <v>69</v>
      </c>
      <c r="U515" s="632" t="s">
        <v>69</v>
      </c>
      <c r="V515" s="632" t="s">
        <v>69</v>
      </c>
      <c r="W515" s="632" t="s">
        <v>76</v>
      </c>
      <c r="X515" s="37"/>
      <c r="Y515" s="37"/>
      <c r="Z515" s="632" t="s">
        <v>78</v>
      </c>
      <c r="AA515" s="632" t="s">
        <v>78</v>
      </c>
      <c r="AB515" s="37"/>
      <c r="AC515" s="634">
        <f>'Ref-ComHOU'!$G$111</f>
        <v>13.200000000000001</v>
      </c>
      <c r="AD515" s="680" t="s">
        <v>72</v>
      </c>
      <c r="AE515" s="632" t="s">
        <v>73</v>
      </c>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c r="CA515" s="393"/>
      <c r="CB515" s="393"/>
      <c r="CC515" s="393"/>
      <c r="CD515" s="393"/>
      <c r="CE515" s="393"/>
      <c r="CF515" s="393"/>
      <c r="CG515" s="393"/>
      <c r="CH515" s="393"/>
      <c r="CI515" s="393"/>
      <c r="CJ515" s="390"/>
      <c r="CK515" s="390"/>
      <c r="CL515" s="390"/>
      <c r="CM515" s="390"/>
      <c r="CN515" s="390"/>
      <c r="CO515" s="390"/>
      <c r="CP515" s="390"/>
      <c r="CQ515" s="390"/>
      <c r="CR515" s="390"/>
      <c r="CS515" s="390"/>
      <c r="CT515" s="390"/>
      <c r="CU515" s="390"/>
      <c r="CV515" s="390"/>
      <c r="CW515" s="390"/>
      <c r="CX515" s="390"/>
      <c r="CY515" s="390"/>
      <c r="CZ515" s="390"/>
      <c r="DA515" s="390"/>
      <c r="DB515" s="390"/>
      <c r="DC515" s="390"/>
    </row>
    <row r="516" spans="1:107" s="303" customFormat="1" ht="33.75">
      <c r="A516" s="37"/>
      <c r="B516" s="626" t="s">
        <v>23</v>
      </c>
      <c r="C516" s="632" t="s">
        <v>828</v>
      </c>
      <c r="D516" s="628" t="s">
        <v>1226</v>
      </c>
      <c r="E516" s="636">
        <f>'Ref-ComSources'!$AA$19</f>
        <v>3416.6569160000008</v>
      </c>
      <c r="F516" s="632" t="s">
        <v>1245</v>
      </c>
      <c r="G516" s="637">
        <f>'Ref-ComSources'!$V$29/SUM('Ref-ComSources'!$V$24:$V$33)</f>
        <v>4.2553191489361701E-2</v>
      </c>
      <c r="H516" s="632" t="s">
        <v>66</v>
      </c>
      <c r="I516" s="682">
        <f>'Ref-BaselineControls'!$E$8</f>
        <v>1</v>
      </c>
      <c r="J516" s="632" t="s">
        <v>994</v>
      </c>
      <c r="K516" s="632" t="s">
        <v>1020</v>
      </c>
      <c r="L516" s="632" t="s">
        <v>1228</v>
      </c>
      <c r="M516" s="632" t="s">
        <v>91</v>
      </c>
      <c r="N516" s="680">
        <f>E516*G516*'Ref-Savings Calculations'!$E$17*Applicability</f>
        <v>22.250938657391313</v>
      </c>
      <c r="O516" s="680" t="s">
        <v>870</v>
      </c>
      <c r="P516" s="680">
        <f>E516*G516*'Ref-Savings Calculations'!$E$18*Applicability</f>
        <v>16.845146350344827</v>
      </c>
      <c r="Q516" s="680" t="s">
        <v>870</v>
      </c>
      <c r="R516" s="37"/>
      <c r="S516" s="632" t="s">
        <v>69</v>
      </c>
      <c r="T516" s="632" t="s">
        <v>69</v>
      </c>
      <c r="U516" s="632" t="s">
        <v>870</v>
      </c>
      <c r="V516" s="632" t="s">
        <v>870</v>
      </c>
      <c r="W516" s="632" t="s">
        <v>76</v>
      </c>
      <c r="X516" s="37"/>
      <c r="Y516" s="37"/>
      <c r="Z516" s="632" t="s">
        <v>78</v>
      </c>
      <c r="AA516" s="632" t="s">
        <v>78</v>
      </c>
      <c r="AB516" s="37"/>
      <c r="AC516" s="634">
        <f>'Ref-ComHOU'!$G$111</f>
        <v>13.200000000000001</v>
      </c>
      <c r="AD516" s="680" t="s">
        <v>72</v>
      </c>
      <c r="AE516" s="632" t="s">
        <v>73</v>
      </c>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c r="CA516" s="393"/>
      <c r="CB516" s="393"/>
      <c r="CC516" s="393"/>
      <c r="CD516" s="393"/>
      <c r="CE516" s="393"/>
      <c r="CF516" s="393"/>
      <c r="CG516" s="393"/>
      <c r="CH516" s="393"/>
      <c r="CI516" s="393"/>
      <c r="CJ516" s="390"/>
      <c r="CK516" s="390"/>
      <c r="CL516" s="390"/>
      <c r="CM516" s="390"/>
      <c r="CN516" s="390"/>
      <c r="CO516" s="390"/>
      <c r="CP516" s="390"/>
      <c r="CQ516" s="390"/>
      <c r="CR516" s="390"/>
      <c r="CS516" s="390"/>
      <c r="CT516" s="390"/>
      <c r="CU516" s="390"/>
      <c r="CV516" s="390"/>
      <c r="CW516" s="390"/>
      <c r="CX516" s="390"/>
      <c r="CY516" s="390"/>
      <c r="CZ516" s="390"/>
      <c r="DA516" s="390"/>
      <c r="DB516" s="390"/>
      <c r="DC516" s="390"/>
    </row>
    <row r="517" spans="1:107" s="303" customFormat="1" ht="33.75">
      <c r="A517" s="37"/>
      <c r="B517" s="626" t="s">
        <v>23</v>
      </c>
      <c r="C517" s="632" t="s">
        <v>828</v>
      </c>
      <c r="D517" s="628" t="s">
        <v>1226</v>
      </c>
      <c r="E517" s="636">
        <f>'Ref-ComSources'!$AA$19</f>
        <v>3416.6569160000008</v>
      </c>
      <c r="F517" s="632" t="s">
        <v>1245</v>
      </c>
      <c r="G517" s="637">
        <f>'Ref-ComSources'!$V$29/SUM('Ref-ComSources'!$V$24:$V$33)</f>
        <v>4.2553191489361701E-2</v>
      </c>
      <c r="H517" s="632" t="s">
        <v>66</v>
      </c>
      <c r="I517" s="682">
        <f>'Ref-BaselineControls'!$E$8</f>
        <v>1</v>
      </c>
      <c r="J517" s="632" t="s">
        <v>994</v>
      </c>
      <c r="K517" s="632" t="s">
        <v>1020</v>
      </c>
      <c r="L517" s="632" t="s">
        <v>1228</v>
      </c>
      <c r="M517" s="632" t="s">
        <v>92</v>
      </c>
      <c r="N517" s="680">
        <f>E517*G517*'Ref-Savings Calculations'!$E$17*Applicability</f>
        <v>22.250938657391313</v>
      </c>
      <c r="O517" s="680">
        <f>E517*G517*'Ref-Savings Calculations'!$C$99*Applicability*ControlShare</f>
        <v>41.872220928000011</v>
      </c>
      <c r="P517" s="680">
        <f>E517*G517*'Ref-Savings Calculations'!$E$18*Applicability</f>
        <v>16.845146350344827</v>
      </c>
      <c r="Q517" s="680">
        <f>E517*G517*('Ref-Savings Calculations'!$C$99-'Ref-Savings Calculations'!$C$79)*Applicability*ControlShare</f>
        <v>9.3049379839999968</v>
      </c>
      <c r="R517" s="37"/>
      <c r="S517" s="632" t="s">
        <v>69</v>
      </c>
      <c r="T517" s="632" t="s">
        <v>69</v>
      </c>
      <c r="U517" s="632" t="s">
        <v>69</v>
      </c>
      <c r="V517" s="632" t="s">
        <v>69</v>
      </c>
      <c r="W517" s="632" t="s">
        <v>76</v>
      </c>
      <c r="X517" s="37"/>
      <c r="Y517" s="37"/>
      <c r="Z517" s="632" t="s">
        <v>78</v>
      </c>
      <c r="AA517" s="632" t="s">
        <v>78</v>
      </c>
      <c r="AB517" s="37"/>
      <c r="AC517" s="634">
        <f>'Ref-ComHOU'!$G$111</f>
        <v>13.200000000000001</v>
      </c>
      <c r="AD517" s="680" t="s">
        <v>72</v>
      </c>
      <c r="AE517" s="632" t="s">
        <v>73</v>
      </c>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c r="CA517" s="393"/>
      <c r="CB517" s="393"/>
      <c r="CC517" s="393"/>
      <c r="CD517" s="393"/>
      <c r="CE517" s="393"/>
      <c r="CF517" s="393"/>
      <c r="CG517" s="393"/>
      <c r="CH517" s="393"/>
      <c r="CI517" s="393"/>
      <c r="CJ517" s="390"/>
      <c r="CK517" s="390"/>
      <c r="CL517" s="390"/>
      <c r="CM517" s="390"/>
      <c r="CN517" s="390"/>
      <c r="CO517" s="390"/>
      <c r="CP517" s="390"/>
      <c r="CQ517" s="390"/>
      <c r="CR517" s="390"/>
      <c r="CS517" s="390"/>
      <c r="CT517" s="390"/>
      <c r="CU517" s="390"/>
      <c r="CV517" s="390"/>
      <c r="CW517" s="390"/>
      <c r="CX517" s="390"/>
      <c r="CY517" s="390"/>
      <c r="CZ517" s="390"/>
      <c r="DA517" s="390"/>
      <c r="DB517" s="390"/>
      <c r="DC517" s="390"/>
    </row>
    <row r="518" spans="1:107" s="303" customFormat="1" ht="33.75">
      <c r="A518" s="37"/>
      <c r="B518" s="626" t="s">
        <v>23</v>
      </c>
      <c r="C518" s="632" t="s">
        <v>828</v>
      </c>
      <c r="D518" s="628" t="s">
        <v>1226</v>
      </c>
      <c r="E518" s="636">
        <f>'Ref-ComSources'!$AA$19</f>
        <v>3416.6569160000008</v>
      </c>
      <c r="F518" s="632" t="s">
        <v>1245</v>
      </c>
      <c r="G518" s="637">
        <f>'Ref-ComSources'!$V$29/SUM('Ref-ComSources'!$V$24:$V$33)</f>
        <v>4.2553191489361701E-2</v>
      </c>
      <c r="H518" s="632" t="s">
        <v>66</v>
      </c>
      <c r="I518" s="682">
        <f>'Ref-BaselineControls'!$E$8</f>
        <v>1</v>
      </c>
      <c r="J518" s="632" t="s">
        <v>994</v>
      </c>
      <c r="K518" s="632" t="s">
        <v>1020</v>
      </c>
      <c r="L518" s="632" t="s">
        <v>1228</v>
      </c>
      <c r="M518" s="632" t="s">
        <v>93</v>
      </c>
      <c r="N518" s="680">
        <f>E518*G518*'Ref-Savings Calculations'!$E$17*Applicability</f>
        <v>22.250938657391313</v>
      </c>
      <c r="O518" s="680">
        <f>E518*G518*'Ref-Savings Calculations'!$C$109*Applicability*ControlShare</f>
        <v>44.198455424000009</v>
      </c>
      <c r="P518" s="680">
        <f>E518*G518*'Ref-Savings Calculations'!$E$18*Applicability</f>
        <v>16.845146350344827</v>
      </c>
      <c r="Q518" s="680">
        <f>E518*G518*('Ref-Savings Calculations'!$C$109-'Ref-Savings Calculations'!$C$79)*Applicability*ControlShare</f>
        <v>11.63117248</v>
      </c>
      <c r="R518" s="37"/>
      <c r="S518" s="632" t="s">
        <v>69</v>
      </c>
      <c r="T518" s="632" t="s">
        <v>69</v>
      </c>
      <c r="U518" s="632" t="s">
        <v>44</v>
      </c>
      <c r="V518" s="632" t="s">
        <v>75</v>
      </c>
      <c r="W518" s="632" t="s">
        <v>76</v>
      </c>
      <c r="X518" s="37"/>
      <c r="Y518" s="37"/>
      <c r="Z518" s="632" t="s">
        <v>78</v>
      </c>
      <c r="AA518" s="632" t="s">
        <v>78</v>
      </c>
      <c r="AB518" s="37"/>
      <c r="AC518" s="634">
        <f>'Ref-ComHOU'!$G$111</f>
        <v>13.200000000000001</v>
      </c>
      <c r="AD518" s="680" t="s">
        <v>72</v>
      </c>
      <c r="AE518" s="632" t="s">
        <v>73</v>
      </c>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c r="CA518" s="393"/>
      <c r="CB518" s="393"/>
      <c r="CC518" s="393"/>
      <c r="CD518" s="393"/>
      <c r="CE518" s="393"/>
      <c r="CF518" s="393"/>
      <c r="CG518" s="393"/>
      <c r="CH518" s="393"/>
      <c r="CI518" s="393"/>
      <c r="CJ518" s="390"/>
      <c r="CK518" s="390"/>
      <c r="CL518" s="390"/>
      <c r="CM518" s="390"/>
      <c r="CN518" s="390"/>
      <c r="CO518" s="390"/>
      <c r="CP518" s="390"/>
      <c r="CQ518" s="390"/>
      <c r="CR518" s="390"/>
      <c r="CS518" s="390"/>
      <c r="CT518" s="390"/>
      <c r="CU518" s="390"/>
      <c r="CV518" s="390"/>
      <c r="CW518" s="390"/>
      <c r="CX518" s="390"/>
      <c r="CY518" s="390"/>
      <c r="CZ518" s="390"/>
      <c r="DA518" s="390"/>
      <c r="DB518" s="390"/>
      <c r="DC518" s="390"/>
    </row>
    <row r="519" spans="1:107" s="303" customFormat="1" ht="56.25">
      <c r="A519" s="37"/>
      <c r="B519" s="464" t="s">
        <v>23</v>
      </c>
      <c r="C519" s="465" t="s">
        <v>541</v>
      </c>
      <c r="D519" s="466" t="s">
        <v>1220</v>
      </c>
      <c r="E519" s="467">
        <f>'Ref-ComSources'!$AB$14</f>
        <v>3383.5093556389602</v>
      </c>
      <c r="F519" s="465" t="s">
        <v>27</v>
      </c>
      <c r="G519" s="468">
        <f>'Ref-2013CSSsaturationsINT'!$F$165</f>
        <v>0.86423746645293475</v>
      </c>
      <c r="H519" s="465" t="s">
        <v>66</v>
      </c>
      <c r="I519" s="469">
        <f>'Ref-2013CSSsaturationsINT'!$J$165</f>
        <v>0.82010731195288333</v>
      </c>
      <c r="J519" s="465" t="s">
        <v>1097</v>
      </c>
      <c r="K519" s="465" t="s">
        <v>1012</v>
      </c>
      <c r="L519" s="465" t="s">
        <v>960</v>
      </c>
      <c r="M519" s="465" t="s">
        <v>88</v>
      </c>
      <c r="N519" s="470">
        <f>E519*G519*'Ref-Savings Calculations'!$E$33*Applicability</f>
        <v>431.8752817088814</v>
      </c>
      <c r="O519" s="470">
        <f>E519*G519*'Ref-Savings Calculations'!$C$54*Applicability*ControlShare</f>
        <v>460.43929929551427</v>
      </c>
      <c r="P519" s="470">
        <f>E519*G519*'Ref-Savings Calculations'!$E$34*Applicability</f>
        <v>374.29191081436375</v>
      </c>
      <c r="Q519" s="470">
        <f>E519*G519*('Ref-Savings Calculations'!$C$54-'Ref-Savings Calculations'!$C$124)*Applicability*ControlShare</f>
        <v>76.739883215919008</v>
      </c>
      <c r="R519" s="37"/>
      <c r="S519" s="344" t="s">
        <v>69</v>
      </c>
      <c r="T519" s="344" t="s">
        <v>69</v>
      </c>
      <c r="U519" s="344" t="s">
        <v>69</v>
      </c>
      <c r="V519" s="344" t="s">
        <v>69</v>
      </c>
      <c r="W519" s="344" t="s">
        <v>76</v>
      </c>
      <c r="X519" s="37"/>
      <c r="Y519" s="37"/>
      <c r="Z519" s="465" t="s">
        <v>78</v>
      </c>
      <c r="AA519" s="465" t="s">
        <v>78</v>
      </c>
      <c r="AB519" s="37"/>
      <c r="AC519" s="474">
        <f>'Ref-ComHOU'!$G$99</f>
        <v>9.4273972602739722</v>
      </c>
      <c r="AD519" s="470" t="s">
        <v>72</v>
      </c>
      <c r="AE519" s="465" t="s">
        <v>73</v>
      </c>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c r="CA519" s="393"/>
      <c r="CB519" s="393"/>
      <c r="CC519" s="393"/>
      <c r="CD519" s="393"/>
      <c r="CE519" s="393"/>
      <c r="CF519" s="393"/>
      <c r="CG519" s="393"/>
      <c r="CH519" s="393"/>
      <c r="CI519" s="393"/>
      <c r="CJ519" s="390"/>
      <c r="CK519" s="390"/>
      <c r="CL519" s="390"/>
      <c r="CM519" s="390"/>
      <c r="CN519" s="390"/>
      <c r="CO519" s="390"/>
      <c r="CP519" s="390"/>
      <c r="CQ519" s="390"/>
      <c r="CR519" s="390"/>
      <c r="CS519" s="390"/>
      <c r="CT519" s="390"/>
      <c r="CU519" s="390"/>
      <c r="CV519" s="390"/>
      <c r="CW519" s="390"/>
      <c r="CX519" s="390"/>
      <c r="CY519" s="390"/>
      <c r="CZ519" s="390"/>
      <c r="DA519" s="390"/>
      <c r="DB519" s="390"/>
      <c r="DC519" s="390"/>
    </row>
    <row r="520" spans="1:107" s="303" customFormat="1" ht="56.25">
      <c r="A520" s="37"/>
      <c r="B520" s="464" t="s">
        <v>23</v>
      </c>
      <c r="C520" s="465" t="s">
        <v>541</v>
      </c>
      <c r="D520" s="466" t="s">
        <v>1220</v>
      </c>
      <c r="E520" s="467">
        <f>'Ref-ComSources'!$AB$14</f>
        <v>3383.5093556389602</v>
      </c>
      <c r="F520" s="465" t="s">
        <v>27</v>
      </c>
      <c r="G520" s="468">
        <f>'Ref-2013CSSsaturationsINT'!$F$165</f>
        <v>0.86423746645293475</v>
      </c>
      <c r="H520" s="465" t="s">
        <v>66</v>
      </c>
      <c r="I520" s="469">
        <f>'Ref-2013CSSsaturationsINT'!$J$165</f>
        <v>0.82010731195288333</v>
      </c>
      <c r="J520" s="465" t="s">
        <v>1097</v>
      </c>
      <c r="K520" s="465" t="s">
        <v>1012</v>
      </c>
      <c r="L520" s="465" t="s">
        <v>960</v>
      </c>
      <c r="M520" s="465" t="s">
        <v>90</v>
      </c>
      <c r="N520" s="470">
        <f>E520*G520*'Ref-Savings Calculations'!$E$33*Applicability</f>
        <v>431.8752817088814</v>
      </c>
      <c r="O520" s="470">
        <f>E520*G520*'Ref-Savings Calculations'!$C$77*Applicability*ControlShare</f>
        <v>537.1791825114334</v>
      </c>
      <c r="P520" s="470">
        <f>E520*G520*'Ref-Savings Calculations'!$E$34*Applicability</f>
        <v>374.29191081436375</v>
      </c>
      <c r="Q520" s="470">
        <f>E520*G520*('Ref-Savings Calculations'!$C$77-'Ref-Savings Calculations'!$C$124)*Applicability*ControlShare</f>
        <v>153.47976643183816</v>
      </c>
      <c r="R520" s="37"/>
      <c r="S520" s="344" t="s">
        <v>69</v>
      </c>
      <c r="T520" s="344" t="s">
        <v>69</v>
      </c>
      <c r="U520" s="344" t="s">
        <v>69</v>
      </c>
      <c r="V520" s="344" t="s">
        <v>69</v>
      </c>
      <c r="W520" s="344" t="s">
        <v>76</v>
      </c>
      <c r="X520" s="37"/>
      <c r="Y520" s="37"/>
      <c r="Z520" s="465" t="s">
        <v>78</v>
      </c>
      <c r="AA520" s="465" t="s">
        <v>78</v>
      </c>
      <c r="AB520" s="37"/>
      <c r="AC520" s="474">
        <f>'Ref-ComHOU'!$G$99</f>
        <v>9.4273972602739722</v>
      </c>
      <c r="AD520" s="470" t="s">
        <v>72</v>
      </c>
      <c r="AE520" s="465" t="s">
        <v>73</v>
      </c>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c r="CA520" s="393"/>
      <c r="CB520" s="393"/>
      <c r="CC520" s="393"/>
      <c r="CD520" s="393"/>
      <c r="CE520" s="393"/>
      <c r="CF520" s="393"/>
      <c r="CG520" s="393"/>
      <c r="CH520" s="393"/>
      <c r="CI520" s="393"/>
      <c r="CJ520" s="390"/>
      <c r="CK520" s="390"/>
      <c r="CL520" s="390"/>
      <c r="CM520" s="390"/>
      <c r="CN520" s="390"/>
      <c r="CO520" s="390"/>
      <c r="CP520" s="390"/>
      <c r="CQ520" s="390"/>
      <c r="CR520" s="390"/>
      <c r="CS520" s="390"/>
      <c r="CT520" s="390"/>
      <c r="CU520" s="390"/>
      <c r="CV520" s="390"/>
      <c r="CW520" s="390"/>
      <c r="CX520" s="390"/>
      <c r="CY520" s="390"/>
      <c r="CZ520" s="390"/>
      <c r="DA520" s="390"/>
      <c r="DB520" s="390"/>
      <c r="DC520" s="390"/>
    </row>
    <row r="521" spans="1:107" s="303" customFormat="1" ht="56.25">
      <c r="A521" s="37"/>
      <c r="B521" s="464" t="s">
        <v>23</v>
      </c>
      <c r="C521" s="465" t="s">
        <v>541</v>
      </c>
      <c r="D521" s="466" t="s">
        <v>1220</v>
      </c>
      <c r="E521" s="467">
        <f>'Ref-ComSources'!$AB$14</f>
        <v>3383.5093556389602</v>
      </c>
      <c r="F521" s="465" t="s">
        <v>27</v>
      </c>
      <c r="G521" s="468">
        <f>'Ref-2013CSSsaturationsINT'!$F$165</f>
        <v>0.86423746645293475</v>
      </c>
      <c r="H521" s="465" t="s">
        <v>66</v>
      </c>
      <c r="I521" s="469">
        <f>'Ref-2013CSSsaturationsINT'!$J$165</f>
        <v>0.82010731195288333</v>
      </c>
      <c r="J521" s="465" t="s">
        <v>1097</v>
      </c>
      <c r="K521" s="465" t="s">
        <v>1012</v>
      </c>
      <c r="L521" s="465" t="s">
        <v>960</v>
      </c>
      <c r="M521" s="465" t="s">
        <v>91</v>
      </c>
      <c r="N521" s="470">
        <f>E521*G521*'Ref-Savings Calculations'!$E$33*Applicability</f>
        <v>431.8752817088814</v>
      </c>
      <c r="O521" s="470">
        <f>E521*G521*'Ref-Savings Calculations'!$C$89*Applicability*ControlShare</f>
        <v>594.7340949233726</v>
      </c>
      <c r="P521" s="470">
        <f>E521*G521*'Ref-Savings Calculations'!$E$34*Applicability</f>
        <v>374.29191081436375</v>
      </c>
      <c r="Q521" s="470">
        <f>E521*G521*('Ref-Savings Calculations'!$C$89-'Ref-Savings Calculations'!$C$124)*Applicability*ControlShare</f>
        <v>211.03467884377736</v>
      </c>
      <c r="R521" s="37"/>
      <c r="S521" s="344" t="s">
        <v>69</v>
      </c>
      <c r="T521" s="344" t="s">
        <v>69</v>
      </c>
      <c r="U521" s="344" t="s">
        <v>870</v>
      </c>
      <c r="V521" s="344" t="s">
        <v>870</v>
      </c>
      <c r="W521" s="344" t="s">
        <v>76</v>
      </c>
      <c r="X521" s="37"/>
      <c r="Y521" s="37"/>
      <c r="Z521" s="465" t="s">
        <v>78</v>
      </c>
      <c r="AA521" s="465" t="s">
        <v>78</v>
      </c>
      <c r="AB521" s="37"/>
      <c r="AC521" s="474">
        <f>'Ref-ComHOU'!$G$99</f>
        <v>9.4273972602739722</v>
      </c>
      <c r="AD521" s="470" t="s">
        <v>72</v>
      </c>
      <c r="AE521" s="465" t="s">
        <v>73</v>
      </c>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c r="CA521" s="393"/>
      <c r="CB521" s="393"/>
      <c r="CC521" s="393"/>
      <c r="CD521" s="393"/>
      <c r="CE521" s="393"/>
      <c r="CF521" s="393"/>
      <c r="CG521" s="393"/>
      <c r="CH521" s="393"/>
      <c r="CI521" s="393"/>
      <c r="CJ521" s="390"/>
      <c r="CK521" s="390"/>
      <c r="CL521" s="390"/>
      <c r="CM521" s="390"/>
      <c r="CN521" s="390"/>
      <c r="CO521" s="390"/>
      <c r="CP521" s="390"/>
      <c r="CQ521" s="390"/>
      <c r="CR521" s="390"/>
      <c r="CS521" s="390"/>
      <c r="CT521" s="390"/>
      <c r="CU521" s="390"/>
      <c r="CV521" s="390"/>
      <c r="CW521" s="390"/>
      <c r="CX521" s="390"/>
      <c r="CY521" s="390"/>
      <c r="CZ521" s="390"/>
      <c r="DA521" s="390"/>
      <c r="DB521" s="390"/>
      <c r="DC521" s="390"/>
    </row>
    <row r="522" spans="1:107" s="303" customFormat="1" ht="56.25">
      <c r="A522" s="37"/>
      <c r="B522" s="464" t="s">
        <v>23</v>
      </c>
      <c r="C522" s="465" t="s">
        <v>541</v>
      </c>
      <c r="D522" s="466" t="s">
        <v>1220</v>
      </c>
      <c r="E522" s="467">
        <f>'Ref-ComSources'!$AB$14</f>
        <v>3383.5093556389602</v>
      </c>
      <c r="F522" s="465" t="s">
        <v>27</v>
      </c>
      <c r="G522" s="468">
        <f>'Ref-2013CSSsaturationsINT'!$F$165</f>
        <v>0.86423746645293475</v>
      </c>
      <c r="H522" s="465" t="s">
        <v>66</v>
      </c>
      <c r="I522" s="469">
        <f>'Ref-2013CSSsaturationsINT'!$J$165</f>
        <v>0.82010731195288333</v>
      </c>
      <c r="J522" s="465" t="s">
        <v>1097</v>
      </c>
      <c r="K522" s="465" t="s">
        <v>1012</v>
      </c>
      <c r="L522" s="465" t="s">
        <v>960</v>
      </c>
      <c r="M522" s="465" t="s">
        <v>92</v>
      </c>
      <c r="N522" s="470">
        <f>E522*G522*'Ref-Savings Calculations'!$E$33*Applicability</f>
        <v>431.8752817088814</v>
      </c>
      <c r="O522" s="470">
        <f>E522*G522*'Ref-Savings Calculations'!$C$99*Applicability*ControlShare</f>
        <v>690.65894894327141</v>
      </c>
      <c r="P522" s="470">
        <f>E522*G522*'Ref-Savings Calculations'!$E$34*Applicability</f>
        <v>374.29191081436375</v>
      </c>
      <c r="Q522" s="470">
        <f>E522*G522*('Ref-Savings Calculations'!$C$99-'Ref-Savings Calculations'!$C$124)*Applicability*ControlShare</f>
        <v>306.9595328636762</v>
      </c>
      <c r="R522" s="37"/>
      <c r="S522" s="344" t="s">
        <v>69</v>
      </c>
      <c r="T522" s="344" t="s">
        <v>69</v>
      </c>
      <c r="U522" s="344" t="s">
        <v>69</v>
      </c>
      <c r="V522" s="344" t="s">
        <v>69</v>
      </c>
      <c r="W522" s="344" t="s">
        <v>76</v>
      </c>
      <c r="X522" s="37"/>
      <c r="Y522" s="37"/>
      <c r="Z522" s="465" t="s">
        <v>78</v>
      </c>
      <c r="AA522" s="465" t="s">
        <v>78</v>
      </c>
      <c r="AB522" s="37"/>
      <c r="AC522" s="474">
        <f>'Ref-ComHOU'!$G$99</f>
        <v>9.4273972602739722</v>
      </c>
      <c r="AD522" s="470" t="s">
        <v>72</v>
      </c>
      <c r="AE522" s="465" t="s">
        <v>73</v>
      </c>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c r="CA522" s="393"/>
      <c r="CB522" s="393"/>
      <c r="CC522" s="393"/>
      <c r="CD522" s="393"/>
      <c r="CE522" s="393"/>
      <c r="CF522" s="393"/>
      <c r="CG522" s="393"/>
      <c r="CH522" s="393"/>
      <c r="CI522" s="393"/>
      <c r="CJ522" s="390"/>
      <c r="CK522" s="390"/>
      <c r="CL522" s="390"/>
      <c r="CM522" s="390"/>
      <c r="CN522" s="390"/>
      <c r="CO522" s="390"/>
      <c r="CP522" s="390"/>
      <c r="CQ522" s="390"/>
      <c r="CR522" s="390"/>
      <c r="CS522" s="390"/>
      <c r="CT522" s="390"/>
      <c r="CU522" s="390"/>
      <c r="CV522" s="390"/>
      <c r="CW522" s="390"/>
      <c r="CX522" s="390"/>
      <c r="CY522" s="390"/>
      <c r="CZ522" s="390"/>
      <c r="DA522" s="390"/>
      <c r="DB522" s="390"/>
      <c r="DC522" s="390"/>
    </row>
    <row r="523" spans="1:107" s="303" customFormat="1" ht="56.25">
      <c r="A523" s="37"/>
      <c r="B523" s="464" t="s">
        <v>23</v>
      </c>
      <c r="C523" s="465" t="s">
        <v>541</v>
      </c>
      <c r="D523" s="466" t="s">
        <v>1220</v>
      </c>
      <c r="E523" s="467">
        <f>'Ref-ComSources'!$AB$14</f>
        <v>3383.5093556389602</v>
      </c>
      <c r="F523" s="465" t="s">
        <v>27</v>
      </c>
      <c r="G523" s="468">
        <f>'Ref-2013CSSsaturationsINT'!$F$165</f>
        <v>0.86423746645293475</v>
      </c>
      <c r="H523" s="465" t="s">
        <v>66</v>
      </c>
      <c r="I523" s="469">
        <f>'Ref-2013CSSsaturationsINT'!$J$165</f>
        <v>0.82010731195288333</v>
      </c>
      <c r="J523" s="465" t="s">
        <v>1097</v>
      </c>
      <c r="K523" s="465" t="s">
        <v>1012</v>
      </c>
      <c r="L523" s="465" t="s">
        <v>960</v>
      </c>
      <c r="M523" s="465" t="s">
        <v>93</v>
      </c>
      <c r="N523" s="470">
        <f>E523*G523*'Ref-Savings Calculations'!$E$33*Applicability</f>
        <v>431.8752817088814</v>
      </c>
      <c r="O523" s="470">
        <f>E523*G523*'Ref-Savings Calculations'!$C$109*Applicability*ControlShare</f>
        <v>729.02889055123103</v>
      </c>
      <c r="P523" s="470">
        <f>E523*G523*'Ref-Savings Calculations'!$E$34*Applicability</f>
        <v>374.29191081436375</v>
      </c>
      <c r="Q523" s="470">
        <f>E523*G523*('Ref-Savings Calculations'!$C$109-'Ref-Savings Calculations'!$C$124)*Applicability*ControlShare</f>
        <v>345.32947447163571</v>
      </c>
      <c r="R523" s="37"/>
      <c r="S523" s="344" t="s">
        <v>69</v>
      </c>
      <c r="T523" s="344" t="s">
        <v>69</v>
      </c>
      <c r="U523" s="344" t="s">
        <v>44</v>
      </c>
      <c r="V523" s="344" t="s">
        <v>75</v>
      </c>
      <c r="W523" s="344" t="s">
        <v>76</v>
      </c>
      <c r="X523" s="37"/>
      <c r="Y523" s="37"/>
      <c r="Z523" s="465" t="s">
        <v>78</v>
      </c>
      <c r="AA523" s="465" t="s">
        <v>78</v>
      </c>
      <c r="AB523" s="37"/>
      <c r="AC523" s="474">
        <f>'Ref-ComHOU'!$G$99</f>
        <v>9.4273972602739722</v>
      </c>
      <c r="AD523" s="470" t="s">
        <v>72</v>
      </c>
      <c r="AE523" s="465" t="s">
        <v>73</v>
      </c>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c r="CA523" s="393"/>
      <c r="CB523" s="393"/>
      <c r="CC523" s="393"/>
      <c r="CD523" s="393"/>
      <c r="CE523" s="393"/>
      <c r="CF523" s="393"/>
      <c r="CG523" s="393"/>
      <c r="CH523" s="393"/>
      <c r="CI523" s="393"/>
      <c r="CJ523" s="390"/>
      <c r="CK523" s="390"/>
      <c r="CL523" s="390"/>
      <c r="CM523" s="390"/>
      <c r="CN523" s="390"/>
      <c r="CO523" s="390"/>
      <c r="CP523" s="390"/>
      <c r="CQ523" s="390"/>
      <c r="CR523" s="390"/>
      <c r="CS523" s="390"/>
      <c r="CT523" s="390"/>
      <c r="CU523" s="390"/>
      <c r="CV523" s="390"/>
      <c r="CW523" s="390"/>
      <c r="CX523" s="390"/>
      <c r="CY523" s="390"/>
      <c r="CZ523" s="390"/>
      <c r="DA523" s="390"/>
      <c r="DB523" s="390"/>
      <c r="DC523" s="390"/>
    </row>
    <row r="524" spans="1:107" s="303" customFormat="1" ht="56.25">
      <c r="A524" s="37"/>
      <c r="B524" s="464" t="s">
        <v>23</v>
      </c>
      <c r="C524" s="465" t="s">
        <v>541</v>
      </c>
      <c r="D524" s="466" t="s">
        <v>1220</v>
      </c>
      <c r="E524" s="467">
        <f>'Ref-ComSources'!$AB$14</f>
        <v>3383.5093556389602</v>
      </c>
      <c r="F524" s="465" t="s">
        <v>27</v>
      </c>
      <c r="G524" s="468">
        <f>'Ref-2013CSSsaturationsINT'!$F$165</f>
        <v>0.86423746645293475</v>
      </c>
      <c r="H524" s="465" t="s">
        <v>66</v>
      </c>
      <c r="I524" s="469">
        <f>'Ref-2013CSSsaturationsINT'!$J$165</f>
        <v>0.82010731195288333</v>
      </c>
      <c r="J524" s="465" t="s">
        <v>1097</v>
      </c>
      <c r="K524" s="465" t="s">
        <v>1012</v>
      </c>
      <c r="L524" s="465" t="s">
        <v>15</v>
      </c>
      <c r="M524" s="465" t="s">
        <v>88</v>
      </c>
      <c r="N524" s="470">
        <f>E524*G524*'Ref-Savings Calculations'!$E$39*Applicability</f>
        <v>598.75566090095401</v>
      </c>
      <c r="O524" s="470">
        <f>E524*G524*'Ref-Savings Calculations'!$C$54*Applicability*ControlShare</f>
        <v>460.43929929551427</v>
      </c>
      <c r="P524" s="470">
        <f>E524*G524*'Ref-Savings Calculations'!$E$40*Applicability</f>
        <v>511.72722181651301</v>
      </c>
      <c r="Q524" s="470">
        <f>E524*G524*('Ref-Savings Calculations'!$C$54-'Ref-Savings Calculations'!$C$124)*Applicability*ControlShare</f>
        <v>76.739883215919008</v>
      </c>
      <c r="R524" s="37"/>
      <c r="S524" s="344" t="s">
        <v>44</v>
      </c>
      <c r="T524" s="344" t="s">
        <v>63</v>
      </c>
      <c r="U524" s="344" t="s">
        <v>69</v>
      </c>
      <c r="V524" s="344" t="s">
        <v>69</v>
      </c>
      <c r="W524" s="344" t="s">
        <v>76</v>
      </c>
      <c r="X524" s="37"/>
      <c r="Y524" s="37"/>
      <c r="Z524" s="465" t="s">
        <v>78</v>
      </c>
      <c r="AA524" s="465" t="s">
        <v>78</v>
      </c>
      <c r="AB524" s="37"/>
      <c r="AC524" s="474">
        <f>'Ref-ComHOU'!$G$99</f>
        <v>9.4273972602739722</v>
      </c>
      <c r="AD524" s="470" t="s">
        <v>72</v>
      </c>
      <c r="AE524" s="465" t="s">
        <v>73</v>
      </c>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c r="CA524" s="393"/>
      <c r="CB524" s="393"/>
      <c r="CC524" s="393"/>
      <c r="CD524" s="393"/>
      <c r="CE524" s="393"/>
      <c r="CF524" s="393"/>
      <c r="CG524" s="393"/>
      <c r="CH524" s="393"/>
      <c r="CI524" s="393"/>
      <c r="CJ524" s="390"/>
      <c r="CK524" s="390"/>
      <c r="CL524" s="390"/>
      <c r="CM524" s="390"/>
      <c r="CN524" s="390"/>
      <c r="CO524" s="390"/>
      <c r="CP524" s="390"/>
      <c r="CQ524" s="390"/>
      <c r="CR524" s="390"/>
      <c r="CS524" s="390"/>
      <c r="CT524" s="390"/>
      <c r="CU524" s="390"/>
      <c r="CV524" s="390"/>
      <c r="CW524" s="390"/>
      <c r="CX524" s="390"/>
      <c r="CY524" s="390"/>
      <c r="CZ524" s="390"/>
      <c r="DA524" s="390"/>
      <c r="DB524" s="390"/>
      <c r="DC524" s="390"/>
    </row>
    <row r="525" spans="1:107" s="303" customFormat="1" ht="56.25">
      <c r="A525" s="37"/>
      <c r="B525" s="464" t="s">
        <v>23</v>
      </c>
      <c r="C525" s="465" t="s">
        <v>541</v>
      </c>
      <c r="D525" s="466" t="s">
        <v>1220</v>
      </c>
      <c r="E525" s="467">
        <f>'Ref-ComSources'!$AB$14</f>
        <v>3383.5093556389602</v>
      </c>
      <c r="F525" s="465" t="s">
        <v>27</v>
      </c>
      <c r="G525" s="468">
        <f>'Ref-2013CSSsaturationsINT'!$F$165</f>
        <v>0.86423746645293475</v>
      </c>
      <c r="H525" s="465" t="s">
        <v>66</v>
      </c>
      <c r="I525" s="469">
        <f>'Ref-2013CSSsaturationsINT'!$J$165</f>
        <v>0.82010731195288333</v>
      </c>
      <c r="J525" s="465" t="s">
        <v>1097</v>
      </c>
      <c r="K525" s="465" t="s">
        <v>1012</v>
      </c>
      <c r="L525" s="465" t="s">
        <v>15</v>
      </c>
      <c r="M525" s="465" t="s">
        <v>90</v>
      </c>
      <c r="N525" s="470">
        <f>E525*G525*'Ref-Savings Calculations'!$E$39*Applicability</f>
        <v>598.75566090095401</v>
      </c>
      <c r="O525" s="470">
        <f>E525*G525*'Ref-Savings Calculations'!$C$77*Applicability*ControlShare</f>
        <v>537.1791825114334</v>
      </c>
      <c r="P525" s="470">
        <f>E525*G525*'Ref-Savings Calculations'!$E$40*Applicability</f>
        <v>511.72722181651301</v>
      </c>
      <c r="Q525" s="470">
        <f>E525*G525*('Ref-Savings Calculations'!$C$77-'Ref-Savings Calculations'!$C$124)*Applicability*ControlShare</f>
        <v>153.47976643183816</v>
      </c>
      <c r="R525" s="37"/>
      <c r="S525" s="344" t="s">
        <v>44</v>
      </c>
      <c r="T525" s="344" t="s">
        <v>63</v>
      </c>
      <c r="U525" s="344" t="s">
        <v>69</v>
      </c>
      <c r="V525" s="344" t="s">
        <v>69</v>
      </c>
      <c r="W525" s="344" t="s">
        <v>76</v>
      </c>
      <c r="X525" s="37"/>
      <c r="Y525" s="37"/>
      <c r="Z525" s="465" t="s">
        <v>78</v>
      </c>
      <c r="AA525" s="465" t="s">
        <v>78</v>
      </c>
      <c r="AB525" s="37"/>
      <c r="AC525" s="474">
        <f>'Ref-ComHOU'!$G$99</f>
        <v>9.4273972602739722</v>
      </c>
      <c r="AD525" s="470" t="s">
        <v>72</v>
      </c>
      <c r="AE525" s="465" t="s">
        <v>73</v>
      </c>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c r="CA525" s="393"/>
      <c r="CB525" s="393"/>
      <c r="CC525" s="393"/>
      <c r="CD525" s="393"/>
      <c r="CE525" s="393"/>
      <c r="CF525" s="393"/>
      <c r="CG525" s="393"/>
      <c r="CH525" s="393"/>
      <c r="CI525" s="393"/>
      <c r="CJ525" s="390"/>
      <c r="CK525" s="390"/>
      <c r="CL525" s="390"/>
      <c r="CM525" s="390"/>
      <c r="CN525" s="390"/>
      <c r="CO525" s="390"/>
      <c r="CP525" s="390"/>
      <c r="CQ525" s="390"/>
      <c r="CR525" s="390"/>
      <c r="CS525" s="390"/>
      <c r="CT525" s="390"/>
      <c r="CU525" s="390"/>
      <c r="CV525" s="390"/>
      <c r="CW525" s="390"/>
      <c r="CX525" s="390"/>
      <c r="CY525" s="390"/>
      <c r="CZ525" s="390"/>
      <c r="DA525" s="390"/>
      <c r="DB525" s="390"/>
      <c r="DC525" s="390"/>
    </row>
    <row r="526" spans="1:107" s="303" customFormat="1" ht="56.25">
      <c r="A526" s="37"/>
      <c r="B526" s="464" t="s">
        <v>23</v>
      </c>
      <c r="C526" s="465" t="s">
        <v>541</v>
      </c>
      <c r="D526" s="466" t="s">
        <v>1220</v>
      </c>
      <c r="E526" s="467">
        <f>'Ref-ComSources'!$AB$14</f>
        <v>3383.5093556389602</v>
      </c>
      <c r="F526" s="465" t="s">
        <v>27</v>
      </c>
      <c r="G526" s="468">
        <f>'Ref-2013CSSsaturationsINT'!$F$165</f>
        <v>0.86423746645293475</v>
      </c>
      <c r="H526" s="465" t="s">
        <v>66</v>
      </c>
      <c r="I526" s="469">
        <f>'Ref-2013CSSsaturationsINT'!$J$165</f>
        <v>0.82010731195288333</v>
      </c>
      <c r="J526" s="465" t="s">
        <v>1097</v>
      </c>
      <c r="K526" s="465" t="s">
        <v>1012</v>
      </c>
      <c r="L526" s="465" t="s">
        <v>15</v>
      </c>
      <c r="M526" s="465" t="s">
        <v>91</v>
      </c>
      <c r="N526" s="470">
        <f>E526*G526*'Ref-Savings Calculations'!$E$39*Applicability</f>
        <v>598.75566090095401</v>
      </c>
      <c r="O526" s="470">
        <f>E526*G526*'Ref-Savings Calculations'!$C$89*Applicability*ControlShare</f>
        <v>594.7340949233726</v>
      </c>
      <c r="P526" s="470">
        <f>E526*G526*'Ref-Savings Calculations'!$E$40*Applicability</f>
        <v>511.72722181651301</v>
      </c>
      <c r="Q526" s="470">
        <f>E526*G526*('Ref-Savings Calculations'!$C$89-'Ref-Savings Calculations'!$C$124)*Applicability*ControlShare</f>
        <v>211.03467884377736</v>
      </c>
      <c r="R526" s="37"/>
      <c r="S526" s="344" t="s">
        <v>44</v>
      </c>
      <c r="T526" s="344" t="s">
        <v>63</v>
      </c>
      <c r="U526" s="344" t="s">
        <v>870</v>
      </c>
      <c r="V526" s="344" t="s">
        <v>870</v>
      </c>
      <c r="W526" s="344" t="s">
        <v>76</v>
      </c>
      <c r="X526" s="37"/>
      <c r="Y526" s="37"/>
      <c r="Z526" s="465" t="s">
        <v>78</v>
      </c>
      <c r="AA526" s="465" t="s">
        <v>78</v>
      </c>
      <c r="AB526" s="37"/>
      <c r="AC526" s="474">
        <f>'Ref-ComHOU'!$G$99</f>
        <v>9.4273972602739722</v>
      </c>
      <c r="AD526" s="470" t="s">
        <v>72</v>
      </c>
      <c r="AE526" s="465" t="s">
        <v>73</v>
      </c>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c r="CA526" s="393"/>
      <c r="CB526" s="393"/>
      <c r="CC526" s="393"/>
      <c r="CD526" s="393"/>
      <c r="CE526" s="393"/>
      <c r="CF526" s="393"/>
      <c r="CG526" s="393"/>
      <c r="CH526" s="393"/>
      <c r="CI526" s="393"/>
      <c r="CJ526" s="390"/>
      <c r="CK526" s="390"/>
      <c r="CL526" s="390"/>
      <c r="CM526" s="390"/>
      <c r="CN526" s="390"/>
      <c r="CO526" s="390"/>
      <c r="CP526" s="390"/>
      <c r="CQ526" s="390"/>
      <c r="CR526" s="390"/>
      <c r="CS526" s="390"/>
      <c r="CT526" s="390"/>
      <c r="CU526" s="390"/>
      <c r="CV526" s="390"/>
      <c r="CW526" s="390"/>
      <c r="CX526" s="390"/>
      <c r="CY526" s="390"/>
      <c r="CZ526" s="390"/>
      <c r="DA526" s="390"/>
      <c r="DB526" s="390"/>
      <c r="DC526" s="390"/>
    </row>
    <row r="527" spans="1:107" s="303" customFormat="1" ht="56.25">
      <c r="A527" s="37"/>
      <c r="B527" s="464" t="s">
        <v>23</v>
      </c>
      <c r="C527" s="465" t="s">
        <v>541</v>
      </c>
      <c r="D527" s="466" t="s">
        <v>1220</v>
      </c>
      <c r="E527" s="467">
        <f>'Ref-ComSources'!$AB$14</f>
        <v>3383.5093556389602</v>
      </c>
      <c r="F527" s="465" t="s">
        <v>27</v>
      </c>
      <c r="G527" s="468">
        <f>'Ref-2013CSSsaturationsINT'!$F$165</f>
        <v>0.86423746645293475</v>
      </c>
      <c r="H527" s="465" t="s">
        <v>66</v>
      </c>
      <c r="I527" s="469">
        <f>'Ref-2013CSSsaturationsINT'!$J$165</f>
        <v>0.82010731195288333</v>
      </c>
      <c r="J527" s="465" t="s">
        <v>1097</v>
      </c>
      <c r="K527" s="465" t="s">
        <v>1012</v>
      </c>
      <c r="L527" s="465" t="s">
        <v>15</v>
      </c>
      <c r="M527" s="465" t="s">
        <v>92</v>
      </c>
      <c r="N527" s="470">
        <f>E527*G527*'Ref-Savings Calculations'!$E$39*Applicability</f>
        <v>598.75566090095401</v>
      </c>
      <c r="O527" s="470">
        <f>E527*G527*'Ref-Savings Calculations'!$C$99*Applicability*ControlShare</f>
        <v>690.65894894327141</v>
      </c>
      <c r="P527" s="470">
        <f>E527*G527*'Ref-Savings Calculations'!$E$40*Applicability</f>
        <v>511.72722181651301</v>
      </c>
      <c r="Q527" s="470">
        <f>E527*G527*('Ref-Savings Calculations'!$C$99-'Ref-Savings Calculations'!$C$124)*Applicability*ControlShare</f>
        <v>306.9595328636762</v>
      </c>
      <c r="R527" s="37"/>
      <c r="S527" s="344" t="s">
        <v>44</v>
      </c>
      <c r="T527" s="344" t="s">
        <v>63</v>
      </c>
      <c r="U527" s="344" t="s">
        <v>69</v>
      </c>
      <c r="V527" s="344" t="s">
        <v>69</v>
      </c>
      <c r="W527" s="344" t="s">
        <v>76</v>
      </c>
      <c r="X527" s="37"/>
      <c r="Y527" s="37"/>
      <c r="Z527" s="465" t="s">
        <v>78</v>
      </c>
      <c r="AA527" s="465" t="s">
        <v>78</v>
      </c>
      <c r="AB527" s="37"/>
      <c r="AC527" s="474">
        <f>'Ref-ComHOU'!$G$99</f>
        <v>9.4273972602739722</v>
      </c>
      <c r="AD527" s="470" t="s">
        <v>72</v>
      </c>
      <c r="AE527" s="465" t="s">
        <v>73</v>
      </c>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c r="CA527" s="393"/>
      <c r="CB527" s="393"/>
      <c r="CC527" s="393"/>
      <c r="CD527" s="393"/>
      <c r="CE527" s="393"/>
      <c r="CF527" s="393"/>
      <c r="CG527" s="393"/>
      <c r="CH527" s="393"/>
      <c r="CI527" s="393"/>
      <c r="CJ527" s="390"/>
      <c r="CK527" s="390"/>
      <c r="CL527" s="390"/>
      <c r="CM527" s="390"/>
      <c r="CN527" s="390"/>
      <c r="CO527" s="390"/>
      <c r="CP527" s="390"/>
      <c r="CQ527" s="390"/>
      <c r="CR527" s="390"/>
      <c r="CS527" s="390"/>
      <c r="CT527" s="390"/>
      <c r="CU527" s="390"/>
      <c r="CV527" s="390"/>
      <c r="CW527" s="390"/>
      <c r="CX527" s="390"/>
      <c r="CY527" s="390"/>
      <c r="CZ527" s="390"/>
      <c r="DA527" s="390"/>
      <c r="DB527" s="390"/>
      <c r="DC527" s="390"/>
    </row>
    <row r="528" spans="1:107" s="303" customFormat="1" ht="56.25">
      <c r="A528" s="37"/>
      <c r="B528" s="464" t="s">
        <v>23</v>
      </c>
      <c r="C528" s="465" t="s">
        <v>541</v>
      </c>
      <c r="D528" s="466" t="s">
        <v>1220</v>
      </c>
      <c r="E528" s="467">
        <f>'Ref-ComSources'!$AB$14</f>
        <v>3383.5093556389602</v>
      </c>
      <c r="F528" s="465" t="s">
        <v>27</v>
      </c>
      <c r="G528" s="468">
        <f>'Ref-2013CSSsaturationsINT'!$F$165</f>
        <v>0.86423746645293475</v>
      </c>
      <c r="H528" s="465" t="s">
        <v>66</v>
      </c>
      <c r="I528" s="469">
        <f>'Ref-2013CSSsaturationsINT'!$J$165</f>
        <v>0.82010731195288333</v>
      </c>
      <c r="J528" s="465" t="s">
        <v>1097</v>
      </c>
      <c r="K528" s="465" t="s">
        <v>1012</v>
      </c>
      <c r="L528" s="465" t="s">
        <v>15</v>
      </c>
      <c r="M528" s="465" t="s">
        <v>93</v>
      </c>
      <c r="N528" s="470">
        <f>E528*G528*'Ref-Savings Calculations'!$E$39*Applicability</f>
        <v>598.75566090095401</v>
      </c>
      <c r="O528" s="470">
        <f>E528*G528*'Ref-Savings Calculations'!$C$109*Applicability*ControlShare</f>
        <v>729.02889055123103</v>
      </c>
      <c r="P528" s="470">
        <f>E528*G528*'Ref-Savings Calculations'!$E$40*Applicability</f>
        <v>511.72722181651301</v>
      </c>
      <c r="Q528" s="470">
        <f>E528*G528*('Ref-Savings Calculations'!$C$109-'Ref-Savings Calculations'!$C$124)*Applicability*ControlShare</f>
        <v>345.32947447163571</v>
      </c>
      <c r="R528" s="37"/>
      <c r="S528" s="344" t="s">
        <v>44</v>
      </c>
      <c r="T528" s="344" t="s">
        <v>63</v>
      </c>
      <c r="U528" s="344" t="s">
        <v>44</v>
      </c>
      <c r="V528" s="344" t="s">
        <v>75</v>
      </c>
      <c r="W528" s="344" t="s">
        <v>76</v>
      </c>
      <c r="X528" s="37"/>
      <c r="Y528" s="37"/>
      <c r="Z528" s="465" t="s">
        <v>78</v>
      </c>
      <c r="AA528" s="465" t="s">
        <v>78</v>
      </c>
      <c r="AB528" s="37"/>
      <c r="AC528" s="474">
        <f>'Ref-ComHOU'!$G$99</f>
        <v>9.4273972602739722</v>
      </c>
      <c r="AD528" s="470" t="s">
        <v>72</v>
      </c>
      <c r="AE528" s="465" t="s">
        <v>73</v>
      </c>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c r="CA528" s="393"/>
      <c r="CB528" s="393"/>
      <c r="CC528" s="393"/>
      <c r="CD528" s="393"/>
      <c r="CE528" s="393"/>
      <c r="CF528" s="393"/>
      <c r="CG528" s="393"/>
      <c r="CH528" s="393"/>
      <c r="CI528" s="393"/>
      <c r="CJ528" s="390"/>
      <c r="CK528" s="390"/>
      <c r="CL528" s="390"/>
      <c r="CM528" s="390"/>
      <c r="CN528" s="390"/>
      <c r="CO528" s="390"/>
      <c r="CP528" s="390"/>
      <c r="CQ528" s="390"/>
      <c r="CR528" s="390"/>
      <c r="CS528" s="390"/>
      <c r="CT528" s="390"/>
      <c r="CU528" s="390"/>
      <c r="CV528" s="390"/>
      <c r="CW528" s="390"/>
      <c r="CX528" s="390"/>
      <c r="CY528" s="390"/>
      <c r="CZ528" s="390"/>
      <c r="DA528" s="390"/>
      <c r="DB528" s="390"/>
      <c r="DC528" s="390"/>
    </row>
    <row r="529" spans="1:107" s="303" customFormat="1" ht="24">
      <c r="A529" s="37"/>
      <c r="B529" s="464" t="s">
        <v>23</v>
      </c>
      <c r="C529" s="465" t="s">
        <v>541</v>
      </c>
      <c r="D529" s="466" t="s">
        <v>1220</v>
      </c>
      <c r="E529" s="467">
        <f>'Ref-ComSources'!$AB$14</f>
        <v>3383.5093556389602</v>
      </c>
      <c r="F529" s="465" t="s">
        <v>24</v>
      </c>
      <c r="G529" s="468">
        <f>'Ref-2013CSSsaturationsINT'!$F$168</f>
        <v>7.2507540613082427E-2</v>
      </c>
      <c r="H529" s="465" t="s">
        <v>66</v>
      </c>
      <c r="I529" s="469">
        <f>'Ref-2013CSSsaturationsINT'!$J$168</f>
        <v>0.98702449444855689</v>
      </c>
      <c r="J529" s="465" t="s">
        <v>25</v>
      </c>
      <c r="K529" s="465" t="s">
        <v>1012</v>
      </c>
      <c r="L529" s="465" t="s">
        <v>95</v>
      </c>
      <c r="M529" s="465" t="s">
        <v>88</v>
      </c>
      <c r="N529" s="470">
        <f>E529*G529*'Ref-Savings Calculations'!$E$7*Applicability</f>
        <v>45.291681603459011</v>
      </c>
      <c r="O529" s="470">
        <f>E529*G529*'Ref-Savings Calculations'!$C$54*Applicability*ControlShare</f>
        <v>46.49215910287429</v>
      </c>
      <c r="P529" s="470">
        <f>rMarketSolutions[[#This Row],[Lighting Savings
(lamp and/or ballast)]]</f>
        <v>45.291681603459011</v>
      </c>
      <c r="Q529" s="470">
        <f>E529*G529*('Ref-Savings Calculations'!$C$54-'Ref-Savings Calculations'!$C$124)*Applicability*ControlShare</f>
        <v>7.748693183812378</v>
      </c>
      <c r="R529" s="37"/>
      <c r="S529" s="344" t="s">
        <v>44</v>
      </c>
      <c r="T529" s="344" t="s">
        <v>63</v>
      </c>
      <c r="U529" s="344" t="s">
        <v>69</v>
      </c>
      <c r="V529" s="344" t="s">
        <v>69</v>
      </c>
      <c r="W529" s="344" t="s">
        <v>76</v>
      </c>
      <c r="X529" s="37"/>
      <c r="Y529" s="37"/>
      <c r="Z529" s="465" t="s">
        <v>78</v>
      </c>
      <c r="AA529" s="465" t="s">
        <v>78</v>
      </c>
      <c r="AB529" s="37"/>
      <c r="AC529" s="474">
        <f>'Ref-ComHOU'!$G$99</f>
        <v>9.4273972602739722</v>
      </c>
      <c r="AD529" s="470" t="s">
        <v>72</v>
      </c>
      <c r="AE529" s="465" t="s">
        <v>73</v>
      </c>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c r="CA529" s="393"/>
      <c r="CB529" s="393"/>
      <c r="CC529" s="393"/>
      <c r="CD529" s="393"/>
      <c r="CE529" s="393"/>
      <c r="CF529" s="393"/>
      <c r="CG529" s="393"/>
      <c r="CH529" s="393"/>
      <c r="CI529" s="393"/>
      <c r="CJ529" s="390"/>
      <c r="CK529" s="390"/>
      <c r="CL529" s="390"/>
      <c r="CM529" s="390"/>
      <c r="CN529" s="390"/>
      <c r="CO529" s="390"/>
      <c r="CP529" s="390"/>
      <c r="CQ529" s="390"/>
      <c r="CR529" s="390"/>
      <c r="CS529" s="390"/>
      <c r="CT529" s="390"/>
      <c r="CU529" s="390"/>
      <c r="CV529" s="390"/>
      <c r="CW529" s="390"/>
      <c r="CX529" s="390"/>
      <c r="CY529" s="390"/>
      <c r="CZ529" s="390"/>
      <c r="DA529" s="390"/>
      <c r="DB529" s="390"/>
      <c r="DC529" s="390"/>
    </row>
    <row r="530" spans="1:107" s="303" customFormat="1" ht="24">
      <c r="A530" s="37"/>
      <c r="B530" s="464" t="s">
        <v>23</v>
      </c>
      <c r="C530" s="465" t="s">
        <v>541</v>
      </c>
      <c r="D530" s="466" t="s">
        <v>1220</v>
      </c>
      <c r="E530" s="467">
        <f>'Ref-ComSources'!$AB$14</f>
        <v>3383.5093556389602</v>
      </c>
      <c r="F530" s="465" t="s">
        <v>24</v>
      </c>
      <c r="G530" s="468">
        <f>'Ref-2013CSSsaturationsINT'!$F$168</f>
        <v>7.2507540613082427E-2</v>
      </c>
      <c r="H530" s="465" t="s">
        <v>66</v>
      </c>
      <c r="I530" s="469">
        <f>'Ref-2013CSSsaturationsINT'!$J$168</f>
        <v>0.98702449444855689</v>
      </c>
      <c r="J530" s="465" t="s">
        <v>25</v>
      </c>
      <c r="K530" s="465" t="s">
        <v>1012</v>
      </c>
      <c r="L530" s="465" t="s">
        <v>95</v>
      </c>
      <c r="M530" s="465" t="s">
        <v>90</v>
      </c>
      <c r="N530" s="470">
        <f>E530*G530*'Ref-Savings Calculations'!$E$7*Applicability</f>
        <v>45.291681603459011</v>
      </c>
      <c r="O530" s="470">
        <f>E530*G530*'Ref-Savings Calculations'!$C$77*Applicability*ControlShare</f>
        <v>54.240852286686689</v>
      </c>
      <c r="P530" s="470">
        <f>rMarketSolutions[[#This Row],[Lighting Savings
(lamp and/or ballast)]]</f>
        <v>45.291681603459011</v>
      </c>
      <c r="Q530" s="470">
        <f>E530*G530*('Ref-Savings Calculations'!$C$77-'Ref-Savings Calculations'!$C$124)*Applicability*ControlShare</f>
        <v>15.497386367624767</v>
      </c>
      <c r="R530" s="37"/>
      <c r="S530" s="344" t="s">
        <v>44</v>
      </c>
      <c r="T530" s="344" t="s">
        <v>63</v>
      </c>
      <c r="U530" s="344" t="s">
        <v>69</v>
      </c>
      <c r="V530" s="344" t="s">
        <v>69</v>
      </c>
      <c r="W530" s="344" t="s">
        <v>76</v>
      </c>
      <c r="X530" s="37"/>
      <c r="Y530" s="37"/>
      <c r="Z530" s="465" t="s">
        <v>78</v>
      </c>
      <c r="AA530" s="465" t="s">
        <v>78</v>
      </c>
      <c r="AB530" s="37"/>
      <c r="AC530" s="474">
        <f>'Ref-ComHOU'!$G$99</f>
        <v>9.4273972602739722</v>
      </c>
      <c r="AD530" s="470" t="s">
        <v>72</v>
      </c>
      <c r="AE530" s="465" t="s">
        <v>73</v>
      </c>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c r="CA530" s="393"/>
      <c r="CB530" s="393"/>
      <c r="CC530" s="393"/>
      <c r="CD530" s="393"/>
      <c r="CE530" s="393"/>
      <c r="CF530" s="393"/>
      <c r="CG530" s="393"/>
      <c r="CH530" s="393"/>
      <c r="CI530" s="393"/>
      <c r="CJ530" s="390"/>
      <c r="CK530" s="390"/>
      <c r="CL530" s="390"/>
      <c r="CM530" s="390"/>
      <c r="CN530" s="390"/>
      <c r="CO530" s="390"/>
      <c r="CP530" s="390"/>
      <c r="CQ530" s="390"/>
      <c r="CR530" s="390"/>
      <c r="CS530" s="390"/>
      <c r="CT530" s="390"/>
      <c r="CU530" s="390"/>
      <c r="CV530" s="390"/>
      <c r="CW530" s="390"/>
      <c r="CX530" s="390"/>
      <c r="CY530" s="390"/>
      <c r="CZ530" s="390"/>
      <c r="DA530" s="390"/>
      <c r="DB530" s="390"/>
      <c r="DC530" s="390"/>
    </row>
    <row r="531" spans="1:107" s="303" customFormat="1" ht="24">
      <c r="A531" s="37"/>
      <c r="B531" s="464" t="s">
        <v>23</v>
      </c>
      <c r="C531" s="465" t="s">
        <v>541</v>
      </c>
      <c r="D531" s="466" t="s">
        <v>1220</v>
      </c>
      <c r="E531" s="467">
        <f>'Ref-ComSources'!$AB$14</f>
        <v>3383.5093556389602</v>
      </c>
      <c r="F531" s="465" t="s">
        <v>24</v>
      </c>
      <c r="G531" s="468">
        <f>'Ref-2013CSSsaturationsINT'!$F$168</f>
        <v>7.2507540613082427E-2</v>
      </c>
      <c r="H531" s="465" t="s">
        <v>66</v>
      </c>
      <c r="I531" s="469">
        <f>'Ref-2013CSSsaturationsINT'!$J$168</f>
        <v>0.98702449444855689</v>
      </c>
      <c r="J531" s="465" t="s">
        <v>25</v>
      </c>
      <c r="K531" s="465" t="s">
        <v>1012</v>
      </c>
      <c r="L531" s="465" t="s">
        <v>95</v>
      </c>
      <c r="M531" s="465" t="s">
        <v>91</v>
      </c>
      <c r="N531" s="470">
        <f>E531*G531*'Ref-Savings Calculations'!$E$7*Applicability</f>
        <v>45.291681603459011</v>
      </c>
      <c r="O531" s="470">
        <f>E531*G531*'Ref-Savings Calculations'!$C$89*Applicability*ControlShare</f>
        <v>60.052372174545965</v>
      </c>
      <c r="P531" s="470">
        <f>rMarketSolutions[[#This Row],[Lighting Savings
(lamp and/or ballast)]]</f>
        <v>45.291681603459011</v>
      </c>
      <c r="Q531" s="470">
        <f>E531*G531*('Ref-Savings Calculations'!$C$89-'Ref-Savings Calculations'!$C$124)*Applicability*ControlShare</f>
        <v>21.308906255484047</v>
      </c>
      <c r="R531" s="37"/>
      <c r="S531" s="344" t="s">
        <v>44</v>
      </c>
      <c r="T531" s="344" t="s">
        <v>63</v>
      </c>
      <c r="U531" s="344" t="s">
        <v>870</v>
      </c>
      <c r="V531" s="344" t="s">
        <v>870</v>
      </c>
      <c r="W531" s="344" t="s">
        <v>76</v>
      </c>
      <c r="X531" s="37"/>
      <c r="Y531" s="37"/>
      <c r="Z531" s="465" t="s">
        <v>78</v>
      </c>
      <c r="AA531" s="465" t="s">
        <v>78</v>
      </c>
      <c r="AB531" s="37"/>
      <c r="AC531" s="474">
        <f>'Ref-ComHOU'!$G$99</f>
        <v>9.4273972602739722</v>
      </c>
      <c r="AD531" s="470" t="s">
        <v>72</v>
      </c>
      <c r="AE531" s="465" t="s">
        <v>73</v>
      </c>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c r="CA531" s="393"/>
      <c r="CB531" s="393"/>
      <c r="CC531" s="393"/>
      <c r="CD531" s="393"/>
      <c r="CE531" s="393"/>
      <c r="CF531" s="393"/>
      <c r="CG531" s="393"/>
      <c r="CH531" s="393"/>
      <c r="CI531" s="393"/>
      <c r="CJ531" s="390"/>
      <c r="CK531" s="390"/>
      <c r="CL531" s="390"/>
      <c r="CM531" s="390"/>
      <c r="CN531" s="390"/>
      <c r="CO531" s="390"/>
      <c r="CP531" s="390"/>
      <c r="CQ531" s="390"/>
      <c r="CR531" s="390"/>
      <c r="CS531" s="390"/>
      <c r="CT531" s="390"/>
      <c r="CU531" s="390"/>
      <c r="CV531" s="390"/>
      <c r="CW531" s="390"/>
      <c r="CX531" s="390"/>
      <c r="CY531" s="390"/>
      <c r="CZ531" s="390"/>
      <c r="DA531" s="390"/>
      <c r="DB531" s="390"/>
      <c r="DC531" s="390"/>
    </row>
    <row r="532" spans="1:107" s="303" customFormat="1" ht="24">
      <c r="A532" s="37"/>
      <c r="B532" s="464" t="s">
        <v>23</v>
      </c>
      <c r="C532" s="465" t="s">
        <v>541</v>
      </c>
      <c r="D532" s="466" t="s">
        <v>1220</v>
      </c>
      <c r="E532" s="467">
        <f>'Ref-ComSources'!$AB$14</f>
        <v>3383.5093556389602</v>
      </c>
      <c r="F532" s="465" t="s">
        <v>24</v>
      </c>
      <c r="G532" s="468">
        <f>'Ref-2013CSSsaturationsINT'!$F$168</f>
        <v>7.2507540613082427E-2</v>
      </c>
      <c r="H532" s="465" t="s">
        <v>66</v>
      </c>
      <c r="I532" s="469">
        <f>'Ref-2013CSSsaturationsINT'!$J$168</f>
        <v>0.98702449444855689</v>
      </c>
      <c r="J532" s="465" t="s">
        <v>25</v>
      </c>
      <c r="K532" s="465" t="s">
        <v>1012</v>
      </c>
      <c r="L532" s="465" t="s">
        <v>95</v>
      </c>
      <c r="M532" s="465" t="s">
        <v>92</v>
      </c>
      <c r="N532" s="470">
        <f>E532*G532*'Ref-Savings Calculations'!$E$7*Applicability</f>
        <v>45.291681603459011</v>
      </c>
      <c r="O532" s="470">
        <f>E532*G532*'Ref-Savings Calculations'!$C$99*Applicability*ControlShare</f>
        <v>69.738238654311431</v>
      </c>
      <c r="P532" s="470">
        <f>rMarketSolutions[[#This Row],[Lighting Savings
(lamp and/or ballast)]]</f>
        <v>45.291681603459011</v>
      </c>
      <c r="Q532" s="470">
        <f>E532*G532*('Ref-Savings Calculations'!$C$99-'Ref-Savings Calculations'!$C$124)*Applicability*ControlShare</f>
        <v>30.994772735249523</v>
      </c>
      <c r="R532" s="37"/>
      <c r="S532" s="344" t="s">
        <v>44</v>
      </c>
      <c r="T532" s="344" t="s">
        <v>63</v>
      </c>
      <c r="U532" s="344" t="s">
        <v>69</v>
      </c>
      <c r="V532" s="344" t="s">
        <v>69</v>
      </c>
      <c r="W532" s="344" t="s">
        <v>76</v>
      </c>
      <c r="X532" s="37"/>
      <c r="Y532" s="37"/>
      <c r="Z532" s="465" t="s">
        <v>78</v>
      </c>
      <c r="AA532" s="465" t="s">
        <v>78</v>
      </c>
      <c r="AB532" s="37"/>
      <c r="AC532" s="474">
        <f>'Ref-ComHOU'!$G$99</f>
        <v>9.4273972602739722</v>
      </c>
      <c r="AD532" s="470" t="s">
        <v>72</v>
      </c>
      <c r="AE532" s="465" t="s">
        <v>73</v>
      </c>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c r="CA532" s="393"/>
      <c r="CB532" s="393"/>
      <c r="CC532" s="393"/>
      <c r="CD532" s="393"/>
      <c r="CE532" s="393"/>
      <c r="CF532" s="393"/>
      <c r="CG532" s="393"/>
      <c r="CH532" s="393"/>
      <c r="CI532" s="393"/>
      <c r="CJ532" s="390"/>
      <c r="CK532" s="390"/>
      <c r="CL532" s="390"/>
      <c r="CM532" s="390"/>
      <c r="CN532" s="390"/>
      <c r="CO532" s="390"/>
      <c r="CP532" s="390"/>
      <c r="CQ532" s="390"/>
      <c r="CR532" s="390"/>
      <c r="CS532" s="390"/>
      <c r="CT532" s="390"/>
      <c r="CU532" s="390"/>
      <c r="CV532" s="390"/>
      <c r="CW532" s="390"/>
      <c r="CX532" s="390"/>
      <c r="CY532" s="390"/>
      <c r="CZ532" s="390"/>
      <c r="DA532" s="390"/>
      <c r="DB532" s="390"/>
      <c r="DC532" s="390"/>
    </row>
    <row r="533" spans="1:107" s="303" customFormat="1" ht="24">
      <c r="A533" s="37"/>
      <c r="B533" s="464" t="s">
        <v>23</v>
      </c>
      <c r="C533" s="465" t="s">
        <v>541</v>
      </c>
      <c r="D533" s="466" t="s">
        <v>1220</v>
      </c>
      <c r="E533" s="467">
        <f>'Ref-ComSources'!$AB$14</f>
        <v>3383.5093556389602</v>
      </c>
      <c r="F533" s="465" t="s">
        <v>24</v>
      </c>
      <c r="G533" s="468">
        <f>'Ref-2013CSSsaturationsINT'!$F$168</f>
        <v>7.2507540613082427E-2</v>
      </c>
      <c r="H533" s="465" t="s">
        <v>66</v>
      </c>
      <c r="I533" s="469">
        <f>'Ref-2013CSSsaturationsINT'!$J$168</f>
        <v>0.98702449444855689</v>
      </c>
      <c r="J533" s="465" t="s">
        <v>25</v>
      </c>
      <c r="K533" s="465" t="s">
        <v>1012</v>
      </c>
      <c r="L533" s="465" t="s">
        <v>95</v>
      </c>
      <c r="M533" s="465" t="s">
        <v>93</v>
      </c>
      <c r="N533" s="470">
        <f>E533*G533*'Ref-Savings Calculations'!$E$7*Applicability</f>
        <v>45.291681603459011</v>
      </c>
      <c r="O533" s="470">
        <f>E533*G533*'Ref-Savings Calculations'!$C$109*Applicability*ControlShare</f>
        <v>73.612585246217634</v>
      </c>
      <c r="P533" s="470">
        <f>rMarketSolutions[[#This Row],[Lighting Savings
(lamp and/or ballast)]]</f>
        <v>45.291681603459011</v>
      </c>
      <c r="Q533" s="470">
        <f>E533*G533*('Ref-Savings Calculations'!$C$109-'Ref-Savings Calculations'!$C$124)*Applicability*ControlShare</f>
        <v>34.869119327155715</v>
      </c>
      <c r="R533" s="37"/>
      <c r="S533" s="344" t="s">
        <v>44</v>
      </c>
      <c r="T533" s="344" t="s">
        <v>63</v>
      </c>
      <c r="U533" s="344" t="s">
        <v>44</v>
      </c>
      <c r="V533" s="344" t="s">
        <v>75</v>
      </c>
      <c r="W533" s="344" t="s">
        <v>76</v>
      </c>
      <c r="X533" s="37"/>
      <c r="Y533" s="37"/>
      <c r="Z533" s="465" t="s">
        <v>78</v>
      </c>
      <c r="AA533" s="465" t="s">
        <v>78</v>
      </c>
      <c r="AB533" s="37"/>
      <c r="AC533" s="474">
        <f>'Ref-ComHOU'!$G$99</f>
        <v>9.4273972602739722</v>
      </c>
      <c r="AD533" s="470" t="s">
        <v>72</v>
      </c>
      <c r="AE533" s="465" t="s">
        <v>73</v>
      </c>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c r="CA533" s="393"/>
      <c r="CB533" s="393"/>
      <c r="CC533" s="393"/>
      <c r="CD533" s="393"/>
      <c r="CE533" s="393"/>
      <c r="CF533" s="393"/>
      <c r="CG533" s="393"/>
      <c r="CH533" s="393"/>
      <c r="CI533" s="393"/>
      <c r="CJ533" s="390"/>
      <c r="CK533" s="390"/>
      <c r="CL533" s="390"/>
      <c r="CM533" s="390"/>
      <c r="CN533" s="390"/>
      <c r="CO533" s="390"/>
      <c r="CP533" s="390"/>
      <c r="CQ533" s="390"/>
      <c r="CR533" s="390"/>
      <c r="CS533" s="390"/>
      <c r="CT533" s="390"/>
      <c r="CU533" s="390"/>
      <c r="CV533" s="390"/>
      <c r="CW533" s="390"/>
      <c r="CX533" s="390"/>
      <c r="CY533" s="390"/>
      <c r="CZ533" s="390"/>
      <c r="DA533" s="390"/>
      <c r="DB533" s="390"/>
      <c r="DC533" s="390"/>
    </row>
    <row r="534" spans="1:107" s="803" customFormat="1" ht="56.25">
      <c r="A534" s="37"/>
      <c r="B534" s="801" t="s">
        <v>30</v>
      </c>
      <c r="C534" s="582" t="s">
        <v>1185</v>
      </c>
      <c r="D534" s="585" t="s">
        <v>1043</v>
      </c>
      <c r="E534" s="584">
        <f>'Ref-ComSources'!$W$47</f>
        <v>1943.9497008859194</v>
      </c>
      <c r="F534" s="585" t="s">
        <v>27</v>
      </c>
      <c r="G534" s="586">
        <f>'Ref-2013CSSsaturationsEXT'!$F$11</f>
        <v>0.7023056986264814</v>
      </c>
      <c r="H534" s="582" t="s">
        <v>867</v>
      </c>
      <c r="I534" s="684">
        <f>'Ref-2013CSSsaturationsEXT'!$J$11</f>
        <v>0.59303679625769268</v>
      </c>
      <c r="J534" s="582" t="s">
        <v>1097</v>
      </c>
      <c r="K534" s="582" t="s">
        <v>1042</v>
      </c>
      <c r="L534" s="582" t="s">
        <v>15</v>
      </c>
      <c r="M534" s="582" t="s">
        <v>88</v>
      </c>
      <c r="N534" s="588">
        <f>E534*G534*'Ref-Savings Calculations'!$E$41*Applicability</f>
        <v>392.07091977140414</v>
      </c>
      <c r="O534" s="588">
        <f>G534*E534*'Ref-Savings Calculations'!$C$75*Applicability*ControlShare</f>
        <v>142.49693549951476</v>
      </c>
      <c r="P534" s="588">
        <f>E534*G534*'Ref-Savings Calculations'!$E$42*Applicability</f>
        <v>364.06585407344676</v>
      </c>
      <c r="Q534" s="588" t="s">
        <v>871</v>
      </c>
      <c r="R534" s="37"/>
      <c r="S534" s="582" t="s">
        <v>44</v>
      </c>
      <c r="T534" s="582" t="s">
        <v>63</v>
      </c>
      <c r="U534" s="582" t="s">
        <v>69</v>
      </c>
      <c r="V534" s="582" t="s">
        <v>69</v>
      </c>
      <c r="W534" s="582" t="s">
        <v>76</v>
      </c>
      <c r="X534" s="37"/>
      <c r="Y534" s="37"/>
      <c r="Z534" s="585" t="s">
        <v>78</v>
      </c>
      <c r="AA534" s="585" t="s">
        <v>78</v>
      </c>
      <c r="AB534" s="37"/>
      <c r="AC534" s="815">
        <f>'Ref-DOE'!$M$29</f>
        <v>15.712499999999999</v>
      </c>
      <c r="AD534" s="582" t="s">
        <v>72</v>
      </c>
      <c r="AE534" s="585" t="s">
        <v>73</v>
      </c>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c r="CA534" s="393"/>
      <c r="CB534" s="393"/>
      <c r="CC534" s="393"/>
      <c r="CD534" s="393"/>
      <c r="CE534" s="393"/>
      <c r="CF534" s="393"/>
      <c r="CG534" s="393"/>
      <c r="CH534" s="393"/>
      <c r="CI534" s="393"/>
      <c r="CJ534" s="802"/>
      <c r="CK534" s="802"/>
      <c r="CL534" s="802"/>
      <c r="CM534" s="802"/>
      <c r="CN534" s="802"/>
      <c r="CO534" s="802"/>
      <c r="CP534" s="802"/>
      <c r="CQ534" s="802"/>
      <c r="CR534" s="802"/>
      <c r="CS534" s="802"/>
      <c r="CT534" s="802"/>
      <c r="CU534" s="802"/>
      <c r="CV534" s="802"/>
      <c r="CW534" s="802"/>
      <c r="CX534" s="802"/>
      <c r="CY534" s="802"/>
      <c r="CZ534" s="802"/>
      <c r="DA534" s="802"/>
      <c r="DB534" s="802"/>
      <c r="DC534" s="802"/>
    </row>
    <row r="535" spans="1:107" s="803" customFormat="1" ht="56.25">
      <c r="A535" s="37"/>
      <c r="B535" s="801" t="s">
        <v>30</v>
      </c>
      <c r="C535" s="582" t="s">
        <v>1185</v>
      </c>
      <c r="D535" s="585" t="s">
        <v>1043</v>
      </c>
      <c r="E535" s="584">
        <f>'Ref-ComSources'!$W$47</f>
        <v>1943.9497008859194</v>
      </c>
      <c r="F535" s="585" t="s">
        <v>27</v>
      </c>
      <c r="G535" s="586">
        <f>'Ref-2013CSSsaturationsEXT'!$F$11</f>
        <v>0.7023056986264814</v>
      </c>
      <c r="H535" s="582" t="s">
        <v>867</v>
      </c>
      <c r="I535" s="684">
        <f>'Ref-2013CSSsaturationsEXT'!$J$11</f>
        <v>0.59303679625769268</v>
      </c>
      <c r="J535" s="582" t="s">
        <v>1097</v>
      </c>
      <c r="K535" s="582" t="s">
        <v>1042</v>
      </c>
      <c r="L535" s="582" t="s">
        <v>15</v>
      </c>
      <c r="M535" s="582" t="s">
        <v>90</v>
      </c>
      <c r="N535" s="588">
        <f>E535*G535*'Ref-Savings Calculations'!$E$41*Applicability</f>
        <v>392.07091977140414</v>
      </c>
      <c r="O535" s="588">
        <f>G535*E535*'Ref-Savings Calculations'!$C$88*Applicability*ControlShare</f>
        <v>123.06553520412638</v>
      </c>
      <c r="P535" s="588">
        <f>E535*G535*'Ref-Savings Calculations'!$E$42*Applicability</f>
        <v>364.06585407344676</v>
      </c>
      <c r="Q535" s="588" t="s">
        <v>871</v>
      </c>
      <c r="R535" s="37"/>
      <c r="S535" s="582" t="s">
        <v>44</v>
      </c>
      <c r="T535" s="582" t="s">
        <v>63</v>
      </c>
      <c r="U535" s="582" t="s">
        <v>69</v>
      </c>
      <c r="V535" s="582" t="s">
        <v>69</v>
      </c>
      <c r="W535" s="582" t="s">
        <v>76</v>
      </c>
      <c r="X535" s="37"/>
      <c r="Y535" s="37"/>
      <c r="Z535" s="585" t="s">
        <v>78</v>
      </c>
      <c r="AA535" s="585" t="s">
        <v>78</v>
      </c>
      <c r="AB535" s="37"/>
      <c r="AC535" s="815">
        <f>'Ref-DOE'!$M$29</f>
        <v>15.712499999999999</v>
      </c>
      <c r="AD535" s="582" t="s">
        <v>72</v>
      </c>
      <c r="AE535" s="585" t="s">
        <v>73</v>
      </c>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c r="CA535" s="393"/>
      <c r="CB535" s="393"/>
      <c r="CC535" s="393"/>
      <c r="CD535" s="393"/>
      <c r="CE535" s="393"/>
      <c r="CF535" s="393"/>
      <c r="CG535" s="393"/>
      <c r="CH535" s="393"/>
      <c r="CI535" s="393"/>
      <c r="CJ535" s="802"/>
      <c r="CK535" s="802"/>
      <c r="CL535" s="802"/>
      <c r="CM535" s="802"/>
      <c r="CN535" s="802"/>
      <c r="CO535" s="802"/>
      <c r="CP535" s="802"/>
      <c r="CQ535" s="802"/>
      <c r="CR535" s="802"/>
      <c r="CS535" s="802"/>
      <c r="CT535" s="802"/>
      <c r="CU535" s="802"/>
      <c r="CV535" s="802"/>
      <c r="CW535" s="802"/>
      <c r="CX535" s="802"/>
      <c r="CY535" s="802"/>
      <c r="CZ535" s="802"/>
      <c r="DA535" s="802"/>
      <c r="DB535" s="802"/>
      <c r="DC535" s="802"/>
    </row>
    <row r="536" spans="1:107" s="803" customFormat="1" ht="56.25">
      <c r="A536" s="37"/>
      <c r="B536" s="801" t="s">
        <v>30</v>
      </c>
      <c r="C536" s="582" t="s">
        <v>1185</v>
      </c>
      <c r="D536" s="585" t="s">
        <v>1043</v>
      </c>
      <c r="E536" s="584">
        <f>'Ref-ComSources'!$W$47</f>
        <v>1943.9497008859194</v>
      </c>
      <c r="F536" s="585" t="s">
        <v>27</v>
      </c>
      <c r="G536" s="586">
        <f>'Ref-2013CSSsaturationsEXT'!$F$11</f>
        <v>0.7023056986264814</v>
      </c>
      <c r="H536" s="582" t="s">
        <v>867</v>
      </c>
      <c r="I536" s="684">
        <f>'Ref-2013CSSsaturationsEXT'!$J$11</f>
        <v>0.59303679625769268</v>
      </c>
      <c r="J536" s="582" t="s">
        <v>1097</v>
      </c>
      <c r="K536" s="582" t="s">
        <v>1042</v>
      </c>
      <c r="L536" s="582" t="s">
        <v>15</v>
      </c>
      <c r="M536" s="582" t="s">
        <v>91</v>
      </c>
      <c r="N536" s="588">
        <f>E536*G536*'Ref-Savings Calculations'!$E$41*Applicability</f>
        <v>392.07091977140414</v>
      </c>
      <c r="O536" s="588" t="s">
        <v>870</v>
      </c>
      <c r="P536" s="588">
        <f>E536*G536*'Ref-Savings Calculations'!$E$42*Applicability</f>
        <v>364.06585407344676</v>
      </c>
      <c r="Q536" s="588" t="s">
        <v>870</v>
      </c>
      <c r="R536" s="37"/>
      <c r="S536" s="582" t="s">
        <v>44</v>
      </c>
      <c r="T536" s="582" t="s">
        <v>63</v>
      </c>
      <c r="U536" s="582" t="s">
        <v>870</v>
      </c>
      <c r="V536" s="582" t="s">
        <v>870</v>
      </c>
      <c r="W536" s="582" t="s">
        <v>76</v>
      </c>
      <c r="X536" s="37"/>
      <c r="Y536" s="37"/>
      <c r="Z536" s="585" t="s">
        <v>78</v>
      </c>
      <c r="AA536" s="585" t="s">
        <v>78</v>
      </c>
      <c r="AB536" s="37"/>
      <c r="AC536" s="815">
        <f>'Ref-DOE'!$M$29</f>
        <v>15.712499999999999</v>
      </c>
      <c r="AD536" s="582" t="s">
        <v>72</v>
      </c>
      <c r="AE536" s="585" t="s">
        <v>73</v>
      </c>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c r="CA536" s="393"/>
      <c r="CB536" s="393"/>
      <c r="CC536" s="393"/>
      <c r="CD536" s="393"/>
      <c r="CE536" s="393"/>
      <c r="CF536" s="393"/>
      <c r="CG536" s="393"/>
      <c r="CH536" s="393"/>
      <c r="CI536" s="393"/>
      <c r="CJ536" s="802"/>
      <c r="CK536" s="802"/>
      <c r="CL536" s="802"/>
      <c r="CM536" s="802"/>
      <c r="CN536" s="802"/>
      <c r="CO536" s="802"/>
      <c r="CP536" s="802"/>
      <c r="CQ536" s="802"/>
      <c r="CR536" s="802"/>
      <c r="CS536" s="802"/>
      <c r="CT536" s="802"/>
      <c r="CU536" s="802"/>
      <c r="CV536" s="802"/>
      <c r="CW536" s="802"/>
      <c r="CX536" s="802"/>
      <c r="CY536" s="802"/>
      <c r="CZ536" s="802"/>
      <c r="DA536" s="802"/>
      <c r="DB536" s="802"/>
      <c r="DC536" s="802"/>
    </row>
    <row r="537" spans="1:107" s="803" customFormat="1" ht="56.25">
      <c r="A537" s="37"/>
      <c r="B537" s="801" t="s">
        <v>30</v>
      </c>
      <c r="C537" s="582" t="s">
        <v>1185</v>
      </c>
      <c r="D537" s="585" t="s">
        <v>1043</v>
      </c>
      <c r="E537" s="584">
        <f>'Ref-ComSources'!$W$47</f>
        <v>1943.9497008859194</v>
      </c>
      <c r="F537" s="585" t="s">
        <v>27</v>
      </c>
      <c r="G537" s="586">
        <f>'Ref-2013CSSsaturationsEXT'!$F$11</f>
        <v>0.7023056986264814</v>
      </c>
      <c r="H537" s="582" t="s">
        <v>867</v>
      </c>
      <c r="I537" s="684">
        <f>'Ref-2013CSSsaturationsEXT'!$J$11</f>
        <v>0.59303679625769268</v>
      </c>
      <c r="J537" s="582" t="s">
        <v>1097</v>
      </c>
      <c r="K537" s="582" t="s">
        <v>1042</v>
      </c>
      <c r="L537" s="582" t="s">
        <v>15</v>
      </c>
      <c r="M537" s="582" t="s">
        <v>92</v>
      </c>
      <c r="N537" s="588">
        <f>E537*G537*'Ref-Savings Calculations'!$E$41*Applicability</f>
        <v>392.07091977140414</v>
      </c>
      <c r="O537" s="588">
        <f>G537*E537*'Ref-Savings Calculations'!$C$99*Applicability*ControlShare</f>
        <v>233.17680354466052</v>
      </c>
      <c r="P537" s="588">
        <f>E537*G537*'Ref-Savings Calculations'!$E$42*Applicability</f>
        <v>364.06585407344676</v>
      </c>
      <c r="Q537" s="588" t="s">
        <v>1055</v>
      </c>
      <c r="R537" s="37"/>
      <c r="S537" s="582" t="s">
        <v>44</v>
      </c>
      <c r="T537" s="582" t="s">
        <v>63</v>
      </c>
      <c r="U537" s="582" t="s">
        <v>69</v>
      </c>
      <c r="V537" s="582" t="s">
        <v>69</v>
      </c>
      <c r="W537" s="582" t="s">
        <v>76</v>
      </c>
      <c r="X537" s="37"/>
      <c r="Y537" s="37"/>
      <c r="Z537" s="585" t="s">
        <v>78</v>
      </c>
      <c r="AA537" s="585" t="s">
        <v>78</v>
      </c>
      <c r="AB537" s="37"/>
      <c r="AC537" s="815">
        <f>'Ref-DOE'!$M$29</f>
        <v>15.712499999999999</v>
      </c>
      <c r="AD537" s="582" t="s">
        <v>72</v>
      </c>
      <c r="AE537" s="585" t="s">
        <v>73</v>
      </c>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c r="CA537" s="393"/>
      <c r="CB537" s="393"/>
      <c r="CC537" s="393"/>
      <c r="CD537" s="393"/>
      <c r="CE537" s="393"/>
      <c r="CF537" s="393"/>
      <c r="CG537" s="393"/>
      <c r="CH537" s="393"/>
      <c r="CI537" s="393"/>
      <c r="CJ537" s="802"/>
      <c r="CK537" s="802"/>
      <c r="CL537" s="802"/>
      <c r="CM537" s="802"/>
      <c r="CN537" s="802"/>
      <c r="CO537" s="802"/>
      <c r="CP537" s="802"/>
      <c r="CQ537" s="802"/>
      <c r="CR537" s="802"/>
      <c r="CS537" s="802"/>
      <c r="CT537" s="802"/>
      <c r="CU537" s="802"/>
      <c r="CV537" s="802"/>
      <c r="CW537" s="802"/>
      <c r="CX537" s="802"/>
      <c r="CY537" s="802"/>
      <c r="CZ537" s="802"/>
      <c r="DA537" s="802"/>
      <c r="DB537" s="802"/>
      <c r="DC537" s="802"/>
    </row>
    <row r="538" spans="1:107" s="803" customFormat="1" ht="56.25">
      <c r="A538" s="37"/>
      <c r="B538" s="801" t="s">
        <v>30</v>
      </c>
      <c r="C538" s="582" t="s">
        <v>1185</v>
      </c>
      <c r="D538" s="585" t="s">
        <v>1043</v>
      </c>
      <c r="E538" s="584">
        <f>'Ref-ComSources'!$W$47</f>
        <v>1943.9497008859194</v>
      </c>
      <c r="F538" s="585" t="s">
        <v>27</v>
      </c>
      <c r="G538" s="586">
        <f>'Ref-2013CSSsaturationsEXT'!$F$11</f>
        <v>0.7023056986264814</v>
      </c>
      <c r="H538" s="582" t="s">
        <v>867</v>
      </c>
      <c r="I538" s="684">
        <f>'Ref-2013CSSsaturationsEXT'!$J$11</f>
        <v>0.59303679625769268</v>
      </c>
      <c r="J538" s="582" t="s">
        <v>1097</v>
      </c>
      <c r="K538" s="582" t="s">
        <v>1042</v>
      </c>
      <c r="L538" s="582" t="s">
        <v>15</v>
      </c>
      <c r="M538" s="582" t="s">
        <v>93</v>
      </c>
      <c r="N538" s="588">
        <f>E538*G538*'Ref-Savings Calculations'!$E$41*Applicability</f>
        <v>392.07091977140414</v>
      </c>
      <c r="O538" s="588">
        <f>G538*E538*'Ref-Savings Calculations'!$C$123*Applicability*ControlShare</f>
        <v>265.56247070364111</v>
      </c>
      <c r="P538" s="588">
        <f>E538*G538*'Ref-Savings Calculations'!$E$42*Applicability</f>
        <v>364.06585407344676</v>
      </c>
      <c r="Q538" s="588" t="s">
        <v>871</v>
      </c>
      <c r="R538" s="37"/>
      <c r="S538" s="582" t="s">
        <v>44</v>
      </c>
      <c r="T538" s="582" t="s">
        <v>63</v>
      </c>
      <c r="U538" s="582" t="s">
        <v>44</v>
      </c>
      <c r="V538" s="582" t="s">
        <v>75</v>
      </c>
      <c r="W538" s="582" t="s">
        <v>76</v>
      </c>
      <c r="X538" s="37"/>
      <c r="Y538" s="37"/>
      <c r="Z538" s="585" t="s">
        <v>78</v>
      </c>
      <c r="AA538" s="585" t="s">
        <v>78</v>
      </c>
      <c r="AB538" s="37"/>
      <c r="AC538" s="815">
        <f>'Ref-DOE'!$M$29</f>
        <v>15.712499999999999</v>
      </c>
      <c r="AD538" s="582" t="s">
        <v>72</v>
      </c>
      <c r="AE538" s="585" t="s">
        <v>73</v>
      </c>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c r="CA538" s="393"/>
      <c r="CB538" s="393"/>
      <c r="CC538" s="393"/>
      <c r="CD538" s="393"/>
      <c r="CE538" s="393"/>
      <c r="CF538" s="393"/>
      <c r="CG538" s="393"/>
      <c r="CH538" s="393"/>
      <c r="CI538" s="393"/>
      <c r="CJ538" s="802"/>
      <c r="CK538" s="802"/>
      <c r="CL538" s="802"/>
      <c r="CM538" s="802"/>
      <c r="CN538" s="802"/>
      <c r="CO538" s="802"/>
      <c r="CP538" s="802"/>
      <c r="CQ538" s="802"/>
      <c r="CR538" s="802"/>
      <c r="CS538" s="802"/>
      <c r="CT538" s="802"/>
      <c r="CU538" s="802"/>
      <c r="CV538" s="802"/>
      <c r="CW538" s="802"/>
      <c r="CX538" s="802"/>
      <c r="CY538" s="802"/>
      <c r="CZ538" s="802"/>
      <c r="DA538" s="802"/>
      <c r="DB538" s="802"/>
      <c r="DC538" s="802"/>
    </row>
    <row r="539" spans="1:107" s="803" customFormat="1" ht="56.25">
      <c r="A539" s="37"/>
      <c r="B539" s="801" t="s">
        <v>30</v>
      </c>
      <c r="C539" s="582" t="s">
        <v>1185</v>
      </c>
      <c r="D539" s="585" t="s">
        <v>1043</v>
      </c>
      <c r="E539" s="584">
        <f>'Ref-ComSources'!$W$47</f>
        <v>1943.9497008859194</v>
      </c>
      <c r="F539" s="585" t="s">
        <v>27</v>
      </c>
      <c r="G539" s="586">
        <f>'Ref-2013CSSsaturationsEXT'!$F$11</f>
        <v>0.7023056986264814</v>
      </c>
      <c r="H539" s="582" t="s">
        <v>867</v>
      </c>
      <c r="I539" s="684">
        <f>'Ref-2013CSSsaturationsEXT'!$J$11</f>
        <v>0.59303679625769268</v>
      </c>
      <c r="J539" s="582" t="s">
        <v>1097</v>
      </c>
      <c r="K539" s="582" t="s">
        <v>1042</v>
      </c>
      <c r="L539" s="582" t="s">
        <v>960</v>
      </c>
      <c r="M539" s="582" t="s">
        <v>88</v>
      </c>
      <c r="N539" s="588">
        <f>E539*G539*'Ref-Savings Calculations'!$E$35*Applicability</f>
        <v>160.73850915695573</v>
      </c>
      <c r="O539" s="588">
        <f>G539*E539*'Ref-Savings Calculations'!$C$75*Applicability*ControlShare</f>
        <v>142.49693549951476</v>
      </c>
      <c r="P539" s="588">
        <f>E539*G539*'Ref-Savings Calculations'!$E$36*Applicability</f>
        <v>131.06370746644077</v>
      </c>
      <c r="Q539" s="588" t="s">
        <v>871</v>
      </c>
      <c r="R539" s="37"/>
      <c r="S539" s="582" t="s">
        <v>69</v>
      </c>
      <c r="T539" s="582" t="s">
        <v>69</v>
      </c>
      <c r="U539" s="582" t="s">
        <v>69</v>
      </c>
      <c r="V539" s="582" t="s">
        <v>69</v>
      </c>
      <c r="W539" s="582" t="s">
        <v>76</v>
      </c>
      <c r="X539" s="37"/>
      <c r="Y539" s="37"/>
      <c r="Z539" s="585" t="s">
        <v>78</v>
      </c>
      <c r="AA539" s="585" t="s">
        <v>78</v>
      </c>
      <c r="AB539" s="37"/>
      <c r="AC539" s="815">
        <f>'Ref-DOE'!$M$29</f>
        <v>15.712499999999999</v>
      </c>
      <c r="AD539" s="582" t="s">
        <v>72</v>
      </c>
      <c r="AE539" s="585" t="s">
        <v>73</v>
      </c>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c r="CA539" s="393"/>
      <c r="CB539" s="393"/>
      <c r="CC539" s="393"/>
      <c r="CD539" s="393"/>
      <c r="CE539" s="393"/>
      <c r="CF539" s="393"/>
      <c r="CG539" s="393"/>
      <c r="CH539" s="393"/>
      <c r="CI539" s="393"/>
      <c r="CJ539" s="802"/>
      <c r="CK539" s="802"/>
      <c r="CL539" s="802"/>
      <c r="CM539" s="802"/>
      <c r="CN539" s="802"/>
      <c r="CO539" s="802"/>
      <c r="CP539" s="802"/>
      <c r="CQ539" s="802"/>
      <c r="CR539" s="802"/>
      <c r="CS539" s="802"/>
      <c r="CT539" s="802"/>
      <c r="CU539" s="802"/>
      <c r="CV539" s="802"/>
      <c r="CW539" s="802"/>
      <c r="CX539" s="802"/>
      <c r="CY539" s="802"/>
      <c r="CZ539" s="802"/>
      <c r="DA539" s="802"/>
      <c r="DB539" s="802"/>
      <c r="DC539" s="802"/>
    </row>
    <row r="540" spans="1:107" s="803" customFormat="1" ht="56.25">
      <c r="A540" s="37"/>
      <c r="B540" s="801" t="s">
        <v>30</v>
      </c>
      <c r="C540" s="582" t="s">
        <v>1185</v>
      </c>
      <c r="D540" s="585" t="s">
        <v>1043</v>
      </c>
      <c r="E540" s="584">
        <f>'Ref-ComSources'!$W$47</f>
        <v>1943.9497008859194</v>
      </c>
      <c r="F540" s="585" t="s">
        <v>27</v>
      </c>
      <c r="G540" s="586">
        <f>'Ref-2013CSSsaturationsEXT'!$F$11</f>
        <v>0.7023056986264814</v>
      </c>
      <c r="H540" s="582" t="s">
        <v>867</v>
      </c>
      <c r="I540" s="684">
        <f>'Ref-2013CSSsaturationsEXT'!$J$11</f>
        <v>0.59303679625769268</v>
      </c>
      <c r="J540" s="582" t="s">
        <v>1097</v>
      </c>
      <c r="K540" s="582" t="s">
        <v>1042</v>
      </c>
      <c r="L540" s="582" t="s">
        <v>960</v>
      </c>
      <c r="M540" s="582" t="s">
        <v>90</v>
      </c>
      <c r="N540" s="588">
        <f>E540*G540*'Ref-Savings Calculations'!$E$35*Applicability</f>
        <v>160.73850915695573</v>
      </c>
      <c r="O540" s="588">
        <f>G540*E540*'Ref-Savings Calculations'!$C$88*Applicability*ControlShare</f>
        <v>123.06553520412638</v>
      </c>
      <c r="P540" s="588">
        <f>E540*G540*'Ref-Savings Calculations'!$E$36*Applicability</f>
        <v>131.06370746644077</v>
      </c>
      <c r="Q540" s="588" t="s">
        <v>871</v>
      </c>
      <c r="R540" s="37"/>
      <c r="S540" s="582" t="s">
        <v>69</v>
      </c>
      <c r="T540" s="582" t="s">
        <v>69</v>
      </c>
      <c r="U540" s="582" t="s">
        <v>69</v>
      </c>
      <c r="V540" s="582" t="s">
        <v>69</v>
      </c>
      <c r="W540" s="582" t="s">
        <v>76</v>
      </c>
      <c r="X540" s="37"/>
      <c r="Y540" s="37"/>
      <c r="Z540" s="585" t="s">
        <v>78</v>
      </c>
      <c r="AA540" s="585" t="s">
        <v>78</v>
      </c>
      <c r="AB540" s="37"/>
      <c r="AC540" s="815">
        <f>'Ref-DOE'!$M$29</f>
        <v>15.712499999999999</v>
      </c>
      <c r="AD540" s="582" t="s">
        <v>72</v>
      </c>
      <c r="AE540" s="585" t="s">
        <v>73</v>
      </c>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c r="CA540" s="393"/>
      <c r="CB540" s="393"/>
      <c r="CC540" s="393"/>
      <c r="CD540" s="393"/>
      <c r="CE540" s="393"/>
      <c r="CF540" s="393"/>
      <c r="CG540" s="393"/>
      <c r="CH540" s="393"/>
      <c r="CI540" s="393"/>
      <c r="CJ540" s="802"/>
      <c r="CK540" s="802"/>
      <c r="CL540" s="802"/>
      <c r="CM540" s="802"/>
      <c r="CN540" s="802"/>
      <c r="CO540" s="802"/>
      <c r="CP540" s="802"/>
      <c r="CQ540" s="802"/>
      <c r="CR540" s="802"/>
      <c r="CS540" s="802"/>
      <c r="CT540" s="802"/>
      <c r="CU540" s="802"/>
      <c r="CV540" s="802"/>
      <c r="CW540" s="802"/>
      <c r="CX540" s="802"/>
      <c r="CY540" s="802"/>
      <c r="CZ540" s="802"/>
      <c r="DA540" s="802"/>
      <c r="DB540" s="802"/>
      <c r="DC540" s="802"/>
    </row>
    <row r="541" spans="1:107" s="803" customFormat="1" ht="56.25">
      <c r="A541" s="37"/>
      <c r="B541" s="801" t="s">
        <v>30</v>
      </c>
      <c r="C541" s="582" t="s">
        <v>1185</v>
      </c>
      <c r="D541" s="585" t="s">
        <v>1043</v>
      </c>
      <c r="E541" s="584">
        <f>'Ref-ComSources'!$W$47</f>
        <v>1943.9497008859194</v>
      </c>
      <c r="F541" s="585" t="s">
        <v>27</v>
      </c>
      <c r="G541" s="586">
        <f>'Ref-2013CSSsaturationsEXT'!$F$11</f>
        <v>0.7023056986264814</v>
      </c>
      <c r="H541" s="582" t="s">
        <v>867</v>
      </c>
      <c r="I541" s="684">
        <f>'Ref-2013CSSsaturationsEXT'!$J$11</f>
        <v>0.59303679625769268</v>
      </c>
      <c r="J541" s="582" t="s">
        <v>1097</v>
      </c>
      <c r="K541" s="582" t="s">
        <v>1042</v>
      </c>
      <c r="L541" s="582" t="s">
        <v>960</v>
      </c>
      <c r="M541" s="582" t="s">
        <v>91</v>
      </c>
      <c r="N541" s="588">
        <f>E541*G541*'Ref-Savings Calculations'!$E$35*Applicability</f>
        <v>160.73850915695573</v>
      </c>
      <c r="O541" s="588" t="s">
        <v>870</v>
      </c>
      <c r="P541" s="588">
        <f>E541*G541*'Ref-Savings Calculations'!$E$36*Applicability</f>
        <v>131.06370746644077</v>
      </c>
      <c r="Q541" s="588" t="s">
        <v>870</v>
      </c>
      <c r="R541" s="37"/>
      <c r="S541" s="582" t="s">
        <v>69</v>
      </c>
      <c r="T541" s="582" t="s">
        <v>69</v>
      </c>
      <c r="U541" s="582" t="s">
        <v>870</v>
      </c>
      <c r="V541" s="582" t="s">
        <v>870</v>
      </c>
      <c r="W541" s="582" t="s">
        <v>76</v>
      </c>
      <c r="X541" s="37"/>
      <c r="Y541" s="37"/>
      <c r="Z541" s="585" t="s">
        <v>78</v>
      </c>
      <c r="AA541" s="585" t="s">
        <v>78</v>
      </c>
      <c r="AB541" s="37"/>
      <c r="AC541" s="815">
        <f>'Ref-DOE'!$M$29</f>
        <v>15.712499999999999</v>
      </c>
      <c r="AD541" s="582" t="s">
        <v>72</v>
      </c>
      <c r="AE541" s="585" t="s">
        <v>73</v>
      </c>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c r="CA541" s="393"/>
      <c r="CB541" s="393"/>
      <c r="CC541" s="393"/>
      <c r="CD541" s="393"/>
      <c r="CE541" s="393"/>
      <c r="CF541" s="393"/>
      <c r="CG541" s="393"/>
      <c r="CH541" s="393"/>
      <c r="CI541" s="393"/>
      <c r="CJ541" s="802"/>
      <c r="CK541" s="802"/>
      <c r="CL541" s="802"/>
      <c r="CM541" s="802"/>
      <c r="CN541" s="802"/>
      <c r="CO541" s="802"/>
      <c r="CP541" s="802"/>
      <c r="CQ541" s="802"/>
      <c r="CR541" s="802"/>
      <c r="CS541" s="802"/>
      <c r="CT541" s="802"/>
      <c r="CU541" s="802"/>
      <c r="CV541" s="802"/>
      <c r="CW541" s="802"/>
      <c r="CX541" s="802"/>
      <c r="CY541" s="802"/>
      <c r="CZ541" s="802"/>
      <c r="DA541" s="802"/>
      <c r="DB541" s="802"/>
      <c r="DC541" s="802"/>
    </row>
    <row r="542" spans="1:107" s="803" customFormat="1" ht="56.25">
      <c r="A542" s="37"/>
      <c r="B542" s="801" t="s">
        <v>30</v>
      </c>
      <c r="C542" s="582" t="s">
        <v>1185</v>
      </c>
      <c r="D542" s="585" t="s">
        <v>1043</v>
      </c>
      <c r="E542" s="584">
        <f>'Ref-ComSources'!$W$47</f>
        <v>1943.9497008859194</v>
      </c>
      <c r="F542" s="585" t="s">
        <v>27</v>
      </c>
      <c r="G542" s="586">
        <f>'Ref-2013CSSsaturationsEXT'!$F$11</f>
        <v>0.7023056986264814</v>
      </c>
      <c r="H542" s="582" t="s">
        <v>867</v>
      </c>
      <c r="I542" s="684">
        <f>'Ref-2013CSSsaturationsEXT'!$J$11</f>
        <v>0.59303679625769268</v>
      </c>
      <c r="J542" s="582" t="s">
        <v>1097</v>
      </c>
      <c r="K542" s="582" t="s">
        <v>1042</v>
      </c>
      <c r="L542" s="582" t="s">
        <v>960</v>
      </c>
      <c r="M542" s="582" t="s">
        <v>92</v>
      </c>
      <c r="N542" s="588">
        <f>E542*G542*'Ref-Savings Calculations'!$E$35*Applicability</f>
        <v>160.73850915695573</v>
      </c>
      <c r="O542" s="588">
        <f>G542*E542*'Ref-Savings Calculations'!$C$99*Applicability*ControlShare</f>
        <v>233.17680354466052</v>
      </c>
      <c r="P542" s="588">
        <f>E542*G542*'Ref-Savings Calculations'!$E$36*Applicability</f>
        <v>131.06370746644077</v>
      </c>
      <c r="Q542" s="588" t="s">
        <v>1055</v>
      </c>
      <c r="R542" s="37"/>
      <c r="S542" s="582" t="s">
        <v>69</v>
      </c>
      <c r="T542" s="582" t="s">
        <v>69</v>
      </c>
      <c r="U542" s="582" t="s">
        <v>69</v>
      </c>
      <c r="V542" s="582" t="s">
        <v>69</v>
      </c>
      <c r="W542" s="582" t="s">
        <v>76</v>
      </c>
      <c r="X542" s="37"/>
      <c r="Y542" s="37"/>
      <c r="Z542" s="585" t="s">
        <v>78</v>
      </c>
      <c r="AA542" s="585" t="s">
        <v>78</v>
      </c>
      <c r="AB542" s="37"/>
      <c r="AC542" s="815">
        <f>'Ref-DOE'!$M$29</f>
        <v>15.712499999999999</v>
      </c>
      <c r="AD542" s="582" t="s">
        <v>72</v>
      </c>
      <c r="AE542" s="585" t="s">
        <v>73</v>
      </c>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c r="CA542" s="393"/>
      <c r="CB542" s="393"/>
      <c r="CC542" s="393"/>
      <c r="CD542" s="393"/>
      <c r="CE542" s="393"/>
      <c r="CF542" s="393"/>
      <c r="CG542" s="393"/>
      <c r="CH542" s="393"/>
      <c r="CI542" s="393"/>
      <c r="CJ542" s="802"/>
      <c r="CK542" s="802"/>
      <c r="CL542" s="802"/>
      <c r="CM542" s="802"/>
      <c r="CN542" s="802"/>
      <c r="CO542" s="802"/>
      <c r="CP542" s="802"/>
      <c r="CQ542" s="802"/>
      <c r="CR542" s="802"/>
      <c r="CS542" s="802"/>
      <c r="CT542" s="802"/>
      <c r="CU542" s="802"/>
      <c r="CV542" s="802"/>
      <c r="CW542" s="802"/>
      <c r="CX542" s="802"/>
      <c r="CY542" s="802"/>
      <c r="CZ542" s="802"/>
      <c r="DA542" s="802"/>
      <c r="DB542" s="802"/>
      <c r="DC542" s="802"/>
    </row>
    <row r="543" spans="1:107" s="803" customFormat="1" ht="56.25">
      <c r="A543" s="37"/>
      <c r="B543" s="801" t="s">
        <v>30</v>
      </c>
      <c r="C543" s="582" t="s">
        <v>1185</v>
      </c>
      <c r="D543" s="585" t="s">
        <v>1043</v>
      </c>
      <c r="E543" s="584">
        <f>'Ref-ComSources'!$W$47</f>
        <v>1943.9497008859194</v>
      </c>
      <c r="F543" s="585" t="s">
        <v>27</v>
      </c>
      <c r="G543" s="586">
        <f>'Ref-2013CSSsaturationsEXT'!$F$11</f>
        <v>0.7023056986264814</v>
      </c>
      <c r="H543" s="582" t="s">
        <v>867</v>
      </c>
      <c r="I543" s="684">
        <f>'Ref-2013CSSsaturationsEXT'!$J$11</f>
        <v>0.59303679625769268</v>
      </c>
      <c r="J543" s="582" t="s">
        <v>1097</v>
      </c>
      <c r="K543" s="582" t="s">
        <v>1042</v>
      </c>
      <c r="L543" s="582" t="s">
        <v>960</v>
      </c>
      <c r="M543" s="582" t="s">
        <v>93</v>
      </c>
      <c r="N543" s="588">
        <f>E543*G543*'Ref-Savings Calculations'!$E$35*Applicability</f>
        <v>160.73850915695573</v>
      </c>
      <c r="O543" s="588">
        <f>G543*E543*'Ref-Savings Calculations'!$C$123*Applicability*ControlShare</f>
        <v>265.56247070364111</v>
      </c>
      <c r="P543" s="588">
        <f>E543*G543*'Ref-Savings Calculations'!$E$36*Applicability</f>
        <v>131.06370746644077</v>
      </c>
      <c r="Q543" s="588" t="s">
        <v>871</v>
      </c>
      <c r="R543" s="37"/>
      <c r="S543" s="582" t="s">
        <v>69</v>
      </c>
      <c r="T543" s="582" t="s">
        <v>69</v>
      </c>
      <c r="U543" s="582" t="s">
        <v>44</v>
      </c>
      <c r="V543" s="582" t="s">
        <v>75</v>
      </c>
      <c r="W543" s="582" t="s">
        <v>76</v>
      </c>
      <c r="X543" s="37"/>
      <c r="Y543" s="37"/>
      <c r="Z543" s="585" t="s">
        <v>78</v>
      </c>
      <c r="AA543" s="585" t="s">
        <v>78</v>
      </c>
      <c r="AB543" s="37"/>
      <c r="AC543" s="815">
        <f>'Ref-DOE'!$M$29</f>
        <v>15.712499999999999</v>
      </c>
      <c r="AD543" s="582" t="s">
        <v>72</v>
      </c>
      <c r="AE543" s="585" t="s">
        <v>73</v>
      </c>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c r="CA543" s="393"/>
      <c r="CB543" s="393"/>
      <c r="CC543" s="393"/>
      <c r="CD543" s="393"/>
      <c r="CE543" s="393"/>
      <c r="CF543" s="393"/>
      <c r="CG543" s="393"/>
      <c r="CH543" s="393"/>
      <c r="CI543" s="393"/>
      <c r="CJ543" s="802"/>
      <c r="CK543" s="802"/>
      <c r="CL543" s="802"/>
      <c r="CM543" s="802"/>
      <c r="CN543" s="802"/>
      <c r="CO543" s="802"/>
      <c r="CP543" s="802"/>
      <c r="CQ543" s="802"/>
      <c r="CR543" s="802"/>
      <c r="CS543" s="802"/>
      <c r="CT543" s="802"/>
      <c r="CU543" s="802"/>
      <c r="CV543" s="802"/>
      <c r="CW543" s="802"/>
      <c r="CX543" s="802"/>
      <c r="CY543" s="802"/>
      <c r="CZ543" s="802"/>
      <c r="DA543" s="802"/>
      <c r="DB543" s="802"/>
      <c r="DC543" s="802"/>
    </row>
    <row r="544" spans="1:107" s="803" customFormat="1" ht="24">
      <c r="A544" s="37"/>
      <c r="B544" s="801" t="s">
        <v>30</v>
      </c>
      <c r="C544" s="582" t="s">
        <v>1185</v>
      </c>
      <c r="D544" s="585" t="s">
        <v>1043</v>
      </c>
      <c r="E544" s="584">
        <f>'Ref-ComSources'!$W$47</f>
        <v>1943.9497008859194</v>
      </c>
      <c r="F544" s="585" t="s">
        <v>24</v>
      </c>
      <c r="G544" s="586">
        <f>'Ref-2013CSSsaturationsEXT'!$F$17</f>
        <v>0.18551852338336328</v>
      </c>
      <c r="H544" s="582" t="s">
        <v>867</v>
      </c>
      <c r="I544" s="684">
        <f>'Ref-2013CSSsaturationsEXT'!$J$17</f>
        <v>0.81566302642684119</v>
      </c>
      <c r="J544" s="582" t="s">
        <v>25</v>
      </c>
      <c r="K544" s="582" t="s">
        <v>1042</v>
      </c>
      <c r="L544" s="582" t="s">
        <v>95</v>
      </c>
      <c r="M544" s="582" t="s">
        <v>88</v>
      </c>
      <c r="N544" s="588">
        <f>E544*G544*'Ref-Savings Calculations'!$E$7*Applicability</f>
        <v>66.579448253517512</v>
      </c>
      <c r="O544" s="588">
        <f>G544*E544*'Ref-Savings Calculations'!$C$75*Applicability*ControlShare</f>
        <v>51.772095861479663</v>
      </c>
      <c r="P544" s="588">
        <f>E544*G544*'Ref-Savings Calculations'!$E$7*Applicability</f>
        <v>66.579448253517512</v>
      </c>
      <c r="Q544" s="588" t="s">
        <v>871</v>
      </c>
      <c r="R544" s="37"/>
      <c r="S544" s="585"/>
      <c r="T544" s="585"/>
      <c r="U544" s="585"/>
      <c r="V544" s="585"/>
      <c r="W544" s="585"/>
      <c r="X544" s="37"/>
      <c r="Y544" s="37"/>
      <c r="Z544" s="585" t="s">
        <v>78</v>
      </c>
      <c r="AA544" s="585" t="s">
        <v>78</v>
      </c>
      <c r="AB544" s="37"/>
      <c r="AC544" s="815">
        <f>'Ref-DOE'!$M$29</f>
        <v>15.712499999999999</v>
      </c>
      <c r="AD544" s="582" t="s">
        <v>72</v>
      </c>
      <c r="AE544" s="585" t="s">
        <v>73</v>
      </c>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c r="CA544" s="393"/>
      <c r="CB544" s="393"/>
      <c r="CC544" s="393"/>
      <c r="CD544" s="393"/>
      <c r="CE544" s="393"/>
      <c r="CF544" s="393"/>
      <c r="CG544" s="393"/>
      <c r="CH544" s="393"/>
      <c r="CI544" s="393"/>
      <c r="CJ544" s="802"/>
      <c r="CK544" s="802"/>
      <c r="CL544" s="802"/>
      <c r="CM544" s="802"/>
      <c r="CN544" s="802"/>
      <c r="CO544" s="802"/>
      <c r="CP544" s="802"/>
      <c r="CQ544" s="802"/>
      <c r="CR544" s="802"/>
      <c r="CS544" s="802"/>
      <c r="CT544" s="802"/>
      <c r="CU544" s="802"/>
      <c r="CV544" s="802"/>
      <c r="CW544" s="802"/>
      <c r="CX544" s="802"/>
      <c r="CY544" s="802"/>
      <c r="CZ544" s="802"/>
      <c r="DA544" s="802"/>
      <c r="DB544" s="802"/>
      <c r="DC544" s="802"/>
    </row>
    <row r="545" spans="1:107" s="803" customFormat="1" ht="24">
      <c r="A545" s="37"/>
      <c r="B545" s="801" t="s">
        <v>30</v>
      </c>
      <c r="C545" s="582" t="s">
        <v>1185</v>
      </c>
      <c r="D545" s="585" t="s">
        <v>1043</v>
      </c>
      <c r="E545" s="584">
        <f>'Ref-ComSources'!$W$47</f>
        <v>1943.9497008859194</v>
      </c>
      <c r="F545" s="585" t="s">
        <v>24</v>
      </c>
      <c r="G545" s="586">
        <f>'Ref-2013CSSsaturationsEXT'!$F$17</f>
        <v>0.18551852338336328</v>
      </c>
      <c r="H545" s="582" t="s">
        <v>867</v>
      </c>
      <c r="I545" s="684">
        <f>'Ref-2013CSSsaturationsEXT'!$J$17</f>
        <v>0.81566302642684119</v>
      </c>
      <c r="J545" s="582" t="s">
        <v>25</v>
      </c>
      <c r="K545" s="582" t="s">
        <v>1042</v>
      </c>
      <c r="L545" s="582" t="s">
        <v>95</v>
      </c>
      <c r="M545" s="582" t="s">
        <v>90</v>
      </c>
      <c r="N545" s="588">
        <f>E545*G545*'Ref-Savings Calculations'!$E$7*Applicability</f>
        <v>66.579448253517512</v>
      </c>
      <c r="O545" s="588">
        <f>G545*E545*'Ref-Savings Calculations'!$C$88*Applicability*ControlShare</f>
        <v>44.712264607641536</v>
      </c>
      <c r="P545" s="588">
        <f>E545*G545*'Ref-Savings Calculations'!$E$7*Applicability</f>
        <v>66.579448253517512</v>
      </c>
      <c r="Q545" s="588" t="s">
        <v>871</v>
      </c>
      <c r="R545" s="37"/>
      <c r="S545" s="585"/>
      <c r="T545" s="585"/>
      <c r="U545" s="585"/>
      <c r="V545" s="585"/>
      <c r="W545" s="585"/>
      <c r="X545" s="37"/>
      <c r="Y545" s="37"/>
      <c r="Z545" s="585" t="s">
        <v>78</v>
      </c>
      <c r="AA545" s="585" t="s">
        <v>78</v>
      </c>
      <c r="AB545" s="37"/>
      <c r="AC545" s="815">
        <f>'Ref-DOE'!$M$29</f>
        <v>15.712499999999999</v>
      </c>
      <c r="AD545" s="582" t="s">
        <v>72</v>
      </c>
      <c r="AE545" s="585" t="s">
        <v>73</v>
      </c>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c r="CA545" s="393"/>
      <c r="CB545" s="393"/>
      <c r="CC545" s="393"/>
      <c r="CD545" s="393"/>
      <c r="CE545" s="393"/>
      <c r="CF545" s="393"/>
      <c r="CG545" s="393"/>
      <c r="CH545" s="393"/>
      <c r="CI545" s="393"/>
      <c r="CJ545" s="802"/>
      <c r="CK545" s="802"/>
      <c r="CL545" s="802"/>
      <c r="CM545" s="802"/>
      <c r="CN545" s="802"/>
      <c r="CO545" s="802"/>
      <c r="CP545" s="802"/>
      <c r="CQ545" s="802"/>
      <c r="CR545" s="802"/>
      <c r="CS545" s="802"/>
      <c r="CT545" s="802"/>
      <c r="CU545" s="802"/>
      <c r="CV545" s="802"/>
      <c r="CW545" s="802"/>
      <c r="CX545" s="802"/>
      <c r="CY545" s="802"/>
      <c r="CZ545" s="802"/>
      <c r="DA545" s="802"/>
      <c r="DB545" s="802"/>
      <c r="DC545" s="802"/>
    </row>
    <row r="546" spans="1:107" s="803" customFormat="1" ht="24">
      <c r="A546" s="37"/>
      <c r="B546" s="801" t="s">
        <v>30</v>
      </c>
      <c r="C546" s="582" t="s">
        <v>1185</v>
      </c>
      <c r="D546" s="585" t="s">
        <v>1043</v>
      </c>
      <c r="E546" s="584">
        <f>'Ref-ComSources'!$W$47</f>
        <v>1943.9497008859194</v>
      </c>
      <c r="F546" s="585" t="s">
        <v>24</v>
      </c>
      <c r="G546" s="586">
        <f>'Ref-2013CSSsaturationsEXT'!$F$17</f>
        <v>0.18551852338336328</v>
      </c>
      <c r="H546" s="582" t="s">
        <v>867</v>
      </c>
      <c r="I546" s="684">
        <f>'Ref-2013CSSsaturationsEXT'!$J$17</f>
        <v>0.81566302642684119</v>
      </c>
      <c r="J546" s="582" t="s">
        <v>25</v>
      </c>
      <c r="K546" s="582" t="s">
        <v>1042</v>
      </c>
      <c r="L546" s="582" t="s">
        <v>95</v>
      </c>
      <c r="M546" s="582" t="s">
        <v>91</v>
      </c>
      <c r="N546" s="588">
        <f>E546*G546*'Ref-Savings Calculations'!$E$7*Applicability</f>
        <v>66.579448253517512</v>
      </c>
      <c r="O546" s="588" t="s">
        <v>870</v>
      </c>
      <c r="P546" s="588">
        <f>E546*G546*'Ref-Savings Calculations'!$E$7*Applicability</f>
        <v>66.579448253517512</v>
      </c>
      <c r="Q546" s="588" t="s">
        <v>870</v>
      </c>
      <c r="R546" s="37"/>
      <c r="S546" s="585"/>
      <c r="T546" s="585"/>
      <c r="U546" s="585"/>
      <c r="V546" s="585"/>
      <c r="W546" s="585"/>
      <c r="X546" s="37"/>
      <c r="Y546" s="37"/>
      <c r="Z546" s="585" t="s">
        <v>78</v>
      </c>
      <c r="AA546" s="585" t="s">
        <v>78</v>
      </c>
      <c r="AB546" s="37"/>
      <c r="AC546" s="815">
        <f>'Ref-DOE'!$M$29</f>
        <v>15.712499999999999</v>
      </c>
      <c r="AD546" s="582" t="s">
        <v>72</v>
      </c>
      <c r="AE546" s="585" t="s">
        <v>73</v>
      </c>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c r="CA546" s="393"/>
      <c r="CB546" s="393"/>
      <c r="CC546" s="393"/>
      <c r="CD546" s="393"/>
      <c r="CE546" s="393"/>
      <c r="CF546" s="393"/>
      <c r="CG546" s="393"/>
      <c r="CH546" s="393"/>
      <c r="CI546" s="393"/>
      <c r="CJ546" s="802"/>
      <c r="CK546" s="802"/>
      <c r="CL546" s="802"/>
      <c r="CM546" s="802"/>
      <c r="CN546" s="802"/>
      <c r="CO546" s="802"/>
      <c r="CP546" s="802"/>
      <c r="CQ546" s="802"/>
      <c r="CR546" s="802"/>
      <c r="CS546" s="802"/>
      <c r="CT546" s="802"/>
      <c r="CU546" s="802"/>
      <c r="CV546" s="802"/>
      <c r="CW546" s="802"/>
      <c r="CX546" s="802"/>
      <c r="CY546" s="802"/>
      <c r="CZ546" s="802"/>
      <c r="DA546" s="802"/>
      <c r="DB546" s="802"/>
      <c r="DC546" s="802"/>
    </row>
    <row r="547" spans="1:107" s="803" customFormat="1" ht="24">
      <c r="A547" s="37"/>
      <c r="B547" s="801" t="s">
        <v>30</v>
      </c>
      <c r="C547" s="582" t="s">
        <v>1185</v>
      </c>
      <c r="D547" s="585" t="s">
        <v>1043</v>
      </c>
      <c r="E547" s="584">
        <f>'Ref-ComSources'!$W$47</f>
        <v>1943.9497008859194</v>
      </c>
      <c r="F547" s="585" t="s">
        <v>24</v>
      </c>
      <c r="G547" s="586">
        <f>'Ref-2013CSSsaturationsEXT'!$F$17</f>
        <v>0.18551852338336328</v>
      </c>
      <c r="H547" s="582" t="s">
        <v>867</v>
      </c>
      <c r="I547" s="684">
        <f>'Ref-2013CSSsaturationsEXT'!$J$17</f>
        <v>0.81566302642684119</v>
      </c>
      <c r="J547" s="582" t="s">
        <v>25</v>
      </c>
      <c r="K547" s="582" t="s">
        <v>1042</v>
      </c>
      <c r="L547" s="582" t="s">
        <v>95</v>
      </c>
      <c r="M547" s="582" t="s">
        <v>92</v>
      </c>
      <c r="N547" s="588">
        <f>E547*G547*'Ref-Savings Calculations'!$E$7*Applicability</f>
        <v>66.579448253517512</v>
      </c>
      <c r="O547" s="588">
        <f>G547*E547*'Ref-Savings Calculations'!$C$99*Applicability*ControlShare</f>
        <v>84.717975046057646</v>
      </c>
      <c r="P547" s="588">
        <f>E547*G547*'Ref-Savings Calculations'!$E$7*Applicability</f>
        <v>66.579448253517512</v>
      </c>
      <c r="Q547" s="588" t="s">
        <v>1055</v>
      </c>
      <c r="R547" s="37"/>
      <c r="S547" s="585"/>
      <c r="T547" s="585"/>
      <c r="U547" s="585"/>
      <c r="V547" s="585"/>
      <c r="W547" s="585"/>
      <c r="X547" s="37"/>
      <c r="Y547" s="37"/>
      <c r="Z547" s="585" t="s">
        <v>78</v>
      </c>
      <c r="AA547" s="585" t="s">
        <v>78</v>
      </c>
      <c r="AB547" s="37"/>
      <c r="AC547" s="815">
        <f>'Ref-DOE'!$M$29</f>
        <v>15.712499999999999</v>
      </c>
      <c r="AD547" s="582" t="s">
        <v>72</v>
      </c>
      <c r="AE547" s="585" t="s">
        <v>73</v>
      </c>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c r="CA547" s="393"/>
      <c r="CB547" s="393"/>
      <c r="CC547" s="393"/>
      <c r="CD547" s="393"/>
      <c r="CE547" s="393"/>
      <c r="CF547" s="393"/>
      <c r="CG547" s="393"/>
      <c r="CH547" s="393"/>
      <c r="CI547" s="393"/>
      <c r="CJ547" s="802"/>
      <c r="CK547" s="802"/>
      <c r="CL547" s="802"/>
      <c r="CM547" s="802"/>
      <c r="CN547" s="802"/>
      <c r="CO547" s="802"/>
      <c r="CP547" s="802"/>
      <c r="CQ547" s="802"/>
      <c r="CR547" s="802"/>
      <c r="CS547" s="802"/>
      <c r="CT547" s="802"/>
      <c r="CU547" s="802"/>
      <c r="CV547" s="802"/>
      <c r="CW547" s="802"/>
      <c r="CX547" s="802"/>
      <c r="CY547" s="802"/>
      <c r="CZ547" s="802"/>
      <c r="DA547" s="802"/>
      <c r="DB547" s="802"/>
      <c r="DC547" s="802"/>
    </row>
    <row r="548" spans="1:107" s="803" customFormat="1" ht="24">
      <c r="A548" s="37"/>
      <c r="B548" s="801" t="s">
        <v>30</v>
      </c>
      <c r="C548" s="582" t="s">
        <v>1185</v>
      </c>
      <c r="D548" s="585" t="s">
        <v>1043</v>
      </c>
      <c r="E548" s="584">
        <f>'Ref-ComSources'!$W$47</f>
        <v>1943.9497008859194</v>
      </c>
      <c r="F548" s="585" t="s">
        <v>24</v>
      </c>
      <c r="G548" s="586">
        <f>'Ref-2013CSSsaturationsEXT'!$F$17</f>
        <v>0.18551852338336328</v>
      </c>
      <c r="H548" s="582" t="s">
        <v>867</v>
      </c>
      <c r="I548" s="684">
        <f>'Ref-2013CSSsaturationsEXT'!$J$17</f>
        <v>0.81566302642684119</v>
      </c>
      <c r="J548" s="582" t="s">
        <v>25</v>
      </c>
      <c r="K548" s="582" t="s">
        <v>1042</v>
      </c>
      <c r="L548" s="582" t="s">
        <v>95</v>
      </c>
      <c r="M548" s="582" t="s">
        <v>93</v>
      </c>
      <c r="N548" s="588">
        <f>E548*G548*'Ref-Savings Calculations'!$E$7*Applicability</f>
        <v>66.579448253517512</v>
      </c>
      <c r="O548" s="588">
        <f>G548*E548*'Ref-Savings Calculations'!$C$123*Applicability*ControlShare</f>
        <v>96.484360469121199</v>
      </c>
      <c r="P548" s="588">
        <f>E548*G548*'Ref-Savings Calculations'!$E$7*Applicability</f>
        <v>66.579448253517512</v>
      </c>
      <c r="Q548" s="588" t="s">
        <v>871</v>
      </c>
      <c r="R548" s="37"/>
      <c r="S548" s="585"/>
      <c r="T548" s="585"/>
      <c r="U548" s="585"/>
      <c r="V548" s="585"/>
      <c r="W548" s="585"/>
      <c r="X548" s="37"/>
      <c r="Y548" s="37"/>
      <c r="Z548" s="585" t="s">
        <v>78</v>
      </c>
      <c r="AA548" s="585" t="s">
        <v>78</v>
      </c>
      <c r="AB548" s="37"/>
      <c r="AC548" s="815">
        <f>'Ref-DOE'!$M$29</f>
        <v>15.712499999999999</v>
      </c>
      <c r="AD548" s="582" t="s">
        <v>72</v>
      </c>
      <c r="AE548" s="585" t="s">
        <v>73</v>
      </c>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c r="CA548" s="393"/>
      <c r="CB548" s="393"/>
      <c r="CC548" s="393"/>
      <c r="CD548" s="393"/>
      <c r="CE548" s="393"/>
      <c r="CF548" s="393"/>
      <c r="CG548" s="393"/>
      <c r="CH548" s="393"/>
      <c r="CI548" s="393"/>
      <c r="CJ548" s="802"/>
      <c r="CK548" s="802"/>
      <c r="CL548" s="802"/>
      <c r="CM548" s="802"/>
      <c r="CN548" s="802"/>
      <c r="CO548" s="802"/>
      <c r="CP548" s="802"/>
      <c r="CQ548" s="802"/>
      <c r="CR548" s="802"/>
      <c r="CS548" s="802"/>
      <c r="CT548" s="802"/>
      <c r="CU548" s="802"/>
      <c r="CV548" s="802"/>
      <c r="CW548" s="802"/>
      <c r="CX548" s="802"/>
      <c r="CY548" s="802"/>
      <c r="CZ548" s="802"/>
      <c r="DA548" s="802"/>
      <c r="DB548" s="802"/>
      <c r="DC548" s="802"/>
    </row>
    <row r="549" spans="1:107" s="303" customFormat="1" ht="56.25">
      <c r="A549" s="37"/>
      <c r="B549" s="692" t="s">
        <v>30</v>
      </c>
      <c r="C549" s="567" t="s">
        <v>1185</v>
      </c>
      <c r="D549" s="568" t="s">
        <v>1172</v>
      </c>
      <c r="E549" s="571">
        <f>'Ref-ComSources'!$W$46</f>
        <v>2459.6914582638165</v>
      </c>
      <c r="F549" s="569" t="s">
        <v>27</v>
      </c>
      <c r="G549" s="570">
        <f>'Ref-2013CSSsaturationsEXT'!$F$3</f>
        <v>5.1757584804418277E-2</v>
      </c>
      <c r="H549" s="567" t="s">
        <v>110</v>
      </c>
      <c r="I549" s="693">
        <f>'Ref-2013CSSsaturationsEXT'!$J$3</f>
        <v>0.94971461823496628</v>
      </c>
      <c r="J549" s="567" t="s">
        <v>1097</v>
      </c>
      <c r="K549" s="567" t="s">
        <v>111</v>
      </c>
      <c r="L549" s="567" t="s">
        <v>1270</v>
      </c>
      <c r="M549" s="567" t="s">
        <v>88</v>
      </c>
      <c r="N549" s="572">
        <f>E549*G549*'Ref-Savings Calculations'!$E$41*Applicability</f>
        <v>36.560156911037915</v>
      </c>
      <c r="O549" s="572">
        <f>G549*E549*'Ref-Savings Calculations'!$C$75*Applicability*ControlShare</f>
        <v>21.279451333983804</v>
      </c>
      <c r="P549" s="572">
        <f>E549*G549*'Ref-Savings Calculations'!$E$42*Applicability</f>
        <v>33.948717131678073</v>
      </c>
      <c r="Q549" s="572">
        <f>G549*E549*'Ref-Savings Calculations'!$C$75*(1-'Ref-Savings Calculations'!B50)*Applicability*ControlShare</f>
        <v>14.895615933788662</v>
      </c>
      <c r="R549" s="37"/>
      <c r="S549" s="567" t="s">
        <v>44</v>
      </c>
      <c r="T549" s="567" t="s">
        <v>63</v>
      </c>
      <c r="U549" s="567" t="s">
        <v>69</v>
      </c>
      <c r="V549" s="567" t="s">
        <v>69</v>
      </c>
      <c r="W549" s="567" t="s">
        <v>76</v>
      </c>
      <c r="X549" s="37"/>
      <c r="Y549" s="37"/>
      <c r="Z549" s="569" t="s">
        <v>78</v>
      </c>
      <c r="AA549" s="569" t="s">
        <v>78</v>
      </c>
      <c r="AB549" s="37"/>
      <c r="AC549" s="697">
        <f>'Ref-DOE'!$M$29</f>
        <v>15.712499999999999</v>
      </c>
      <c r="AD549" s="567" t="s">
        <v>84</v>
      </c>
      <c r="AE549" s="569" t="s">
        <v>73</v>
      </c>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c r="CA549" s="393"/>
      <c r="CB549" s="393"/>
      <c r="CC549" s="393"/>
      <c r="CD549" s="393"/>
      <c r="CE549" s="393"/>
      <c r="CF549" s="393"/>
      <c r="CG549" s="393"/>
      <c r="CH549" s="393"/>
      <c r="CI549" s="393"/>
      <c r="CJ549" s="390"/>
      <c r="CK549" s="390"/>
      <c r="CL549" s="390"/>
      <c r="CM549" s="390"/>
      <c r="CN549" s="390"/>
      <c r="CO549" s="390"/>
      <c r="CP549" s="390"/>
      <c r="CQ549" s="390"/>
      <c r="CR549" s="390"/>
      <c r="CS549" s="390"/>
      <c r="CT549" s="390"/>
      <c r="CU549" s="390"/>
      <c r="CV549" s="390"/>
      <c r="CW549" s="390"/>
      <c r="CX549" s="390"/>
      <c r="CY549" s="390"/>
      <c r="CZ549" s="390"/>
      <c r="DA549" s="390"/>
      <c r="DB549" s="390"/>
      <c r="DC549" s="390"/>
    </row>
    <row r="550" spans="1:107" s="303" customFormat="1" ht="56.25">
      <c r="A550" s="37"/>
      <c r="B550" s="692" t="s">
        <v>30</v>
      </c>
      <c r="C550" s="567" t="s">
        <v>1185</v>
      </c>
      <c r="D550" s="568" t="s">
        <v>1172</v>
      </c>
      <c r="E550" s="571">
        <f>'Ref-ComSources'!$W$46</f>
        <v>2459.6914582638165</v>
      </c>
      <c r="F550" s="569" t="s">
        <v>27</v>
      </c>
      <c r="G550" s="570">
        <f>'Ref-2013CSSsaturationsEXT'!$F$3</f>
        <v>5.1757584804418277E-2</v>
      </c>
      <c r="H550" s="567" t="s">
        <v>110</v>
      </c>
      <c r="I550" s="693">
        <f>'Ref-2013CSSsaturationsEXT'!$J$3</f>
        <v>0.94971461823496628</v>
      </c>
      <c r="J550" s="567" t="s">
        <v>1097</v>
      </c>
      <c r="K550" s="567" t="s">
        <v>111</v>
      </c>
      <c r="L550" s="567" t="s">
        <v>1270</v>
      </c>
      <c r="M550" s="567" t="s">
        <v>90</v>
      </c>
      <c r="N550" s="572">
        <f>E550*G550*'Ref-Savings Calculations'!$E$41*Applicability</f>
        <v>36.560156911037915</v>
      </c>
      <c r="O550" s="572" t="s">
        <v>871</v>
      </c>
      <c r="P550" s="572">
        <f>E550*G550*'Ref-Savings Calculations'!$E$42*Applicability</f>
        <v>33.948717131678073</v>
      </c>
      <c r="Q550" s="572" t="s">
        <v>871</v>
      </c>
      <c r="R550" s="37"/>
      <c r="S550" s="567" t="s">
        <v>44</v>
      </c>
      <c r="T550" s="567" t="s">
        <v>63</v>
      </c>
      <c r="U550" s="567" t="s">
        <v>69</v>
      </c>
      <c r="V550" s="567" t="s">
        <v>69</v>
      </c>
      <c r="W550" s="567" t="s">
        <v>76</v>
      </c>
      <c r="X550" s="37"/>
      <c r="Y550" s="37"/>
      <c r="Z550" s="569" t="s">
        <v>78</v>
      </c>
      <c r="AA550" s="569" t="s">
        <v>78</v>
      </c>
      <c r="AB550" s="37"/>
      <c r="AC550" s="697">
        <f>'Ref-DOE'!$M$29</f>
        <v>15.712499999999999</v>
      </c>
      <c r="AD550" s="567" t="s">
        <v>84</v>
      </c>
      <c r="AE550" s="569" t="s">
        <v>73</v>
      </c>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c r="CA550" s="393"/>
      <c r="CB550" s="393"/>
      <c r="CC550" s="393"/>
      <c r="CD550" s="393"/>
      <c r="CE550" s="393"/>
      <c r="CF550" s="393"/>
      <c r="CG550" s="393"/>
      <c r="CH550" s="393"/>
      <c r="CI550" s="393"/>
      <c r="CJ550" s="390"/>
      <c r="CK550" s="390"/>
      <c r="CL550" s="390"/>
      <c r="CM550" s="390"/>
      <c r="CN550" s="390"/>
      <c r="CO550" s="390"/>
      <c r="CP550" s="390"/>
      <c r="CQ550" s="390"/>
      <c r="CR550" s="390"/>
      <c r="CS550" s="390"/>
      <c r="CT550" s="390"/>
      <c r="CU550" s="390"/>
      <c r="CV550" s="390"/>
      <c r="CW550" s="390"/>
      <c r="CX550" s="390"/>
      <c r="CY550" s="390"/>
      <c r="CZ550" s="390"/>
      <c r="DA550" s="390"/>
      <c r="DB550" s="390"/>
      <c r="DC550" s="390"/>
    </row>
    <row r="551" spans="1:107" s="303" customFormat="1" ht="56.25">
      <c r="A551" s="37"/>
      <c r="B551" s="692" t="s">
        <v>30</v>
      </c>
      <c r="C551" s="567" t="s">
        <v>1185</v>
      </c>
      <c r="D551" s="568" t="s">
        <v>1172</v>
      </c>
      <c r="E551" s="571">
        <f>'Ref-ComSources'!$W$46</f>
        <v>2459.6914582638165</v>
      </c>
      <c r="F551" s="569" t="s">
        <v>27</v>
      </c>
      <c r="G551" s="570">
        <f>'Ref-2013CSSsaturationsEXT'!$F$3</f>
        <v>5.1757584804418277E-2</v>
      </c>
      <c r="H551" s="567" t="s">
        <v>110</v>
      </c>
      <c r="I551" s="693">
        <f>'Ref-2013CSSsaturationsEXT'!$J$3</f>
        <v>0.94971461823496628</v>
      </c>
      <c r="J551" s="567" t="s">
        <v>1097</v>
      </c>
      <c r="K551" s="567" t="s">
        <v>111</v>
      </c>
      <c r="L551" s="567" t="s">
        <v>1270</v>
      </c>
      <c r="M551" s="567" t="s">
        <v>91</v>
      </c>
      <c r="N551" s="572">
        <f>E551*G551*'Ref-Savings Calculations'!$E$41*Applicability</f>
        <v>36.560156911037915</v>
      </c>
      <c r="O551" s="572" t="s">
        <v>870</v>
      </c>
      <c r="P551" s="572">
        <f>E551*G551*'Ref-Savings Calculations'!$E$42*Applicability</f>
        <v>33.948717131678073</v>
      </c>
      <c r="Q551" s="572" t="s">
        <v>870</v>
      </c>
      <c r="R551" s="37"/>
      <c r="S551" s="567" t="s">
        <v>44</v>
      </c>
      <c r="T551" s="567" t="s">
        <v>63</v>
      </c>
      <c r="U551" s="567" t="s">
        <v>870</v>
      </c>
      <c r="V551" s="567" t="s">
        <v>870</v>
      </c>
      <c r="W551" s="567" t="s">
        <v>76</v>
      </c>
      <c r="X551" s="37"/>
      <c r="Y551" s="37"/>
      <c r="Z551" s="569" t="s">
        <v>78</v>
      </c>
      <c r="AA551" s="569" t="s">
        <v>78</v>
      </c>
      <c r="AB551" s="37"/>
      <c r="AC551" s="697">
        <f>'Ref-DOE'!$M$29</f>
        <v>15.712499999999999</v>
      </c>
      <c r="AD551" s="567" t="s">
        <v>84</v>
      </c>
      <c r="AE551" s="569" t="s">
        <v>73</v>
      </c>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c r="CA551" s="393"/>
      <c r="CB551" s="393"/>
      <c r="CC551" s="393"/>
      <c r="CD551" s="393"/>
      <c r="CE551" s="393"/>
      <c r="CF551" s="393"/>
      <c r="CG551" s="393"/>
      <c r="CH551" s="393"/>
      <c r="CI551" s="393"/>
      <c r="CJ551" s="390"/>
      <c r="CK551" s="390"/>
      <c r="CL551" s="390"/>
      <c r="CM551" s="390"/>
      <c r="CN551" s="390"/>
      <c r="CO551" s="390"/>
      <c r="CP551" s="390"/>
      <c r="CQ551" s="390"/>
      <c r="CR551" s="390"/>
      <c r="CS551" s="390"/>
      <c r="CT551" s="390"/>
      <c r="CU551" s="390"/>
      <c r="CV551" s="390"/>
      <c r="CW551" s="390"/>
      <c r="CX551" s="390"/>
      <c r="CY551" s="390"/>
      <c r="CZ551" s="390"/>
      <c r="DA551" s="390"/>
      <c r="DB551" s="390"/>
      <c r="DC551" s="390"/>
    </row>
    <row r="552" spans="1:107" s="303" customFormat="1" ht="56.25">
      <c r="A552" s="37"/>
      <c r="B552" s="692" t="s">
        <v>30</v>
      </c>
      <c r="C552" s="567" t="s">
        <v>1185</v>
      </c>
      <c r="D552" s="568" t="s">
        <v>1172</v>
      </c>
      <c r="E552" s="571">
        <f>'Ref-ComSources'!$W$46</f>
        <v>2459.6914582638165</v>
      </c>
      <c r="F552" s="569" t="s">
        <v>27</v>
      </c>
      <c r="G552" s="570">
        <f>'Ref-2013CSSsaturationsEXT'!$F$3</f>
        <v>5.1757584804418277E-2</v>
      </c>
      <c r="H552" s="567" t="s">
        <v>110</v>
      </c>
      <c r="I552" s="693">
        <f>'Ref-2013CSSsaturationsEXT'!$J$3</f>
        <v>0.94971461823496628</v>
      </c>
      <c r="J552" s="567" t="s">
        <v>1097</v>
      </c>
      <c r="K552" s="567" t="s">
        <v>111</v>
      </c>
      <c r="L552" s="567" t="s">
        <v>1270</v>
      </c>
      <c r="M552" s="567" t="s">
        <v>92</v>
      </c>
      <c r="N552" s="572">
        <f>E552*G552*'Ref-Savings Calculations'!$E$41*Applicability</f>
        <v>36.560156911037915</v>
      </c>
      <c r="O552" s="572">
        <f>G552*E552*'Ref-Savings Calculations'!$C$99*Applicability*ControlShare</f>
        <v>34.820920364700768</v>
      </c>
      <c r="P552" s="572">
        <f>E552*G552*'Ref-Savings Calculations'!$E$42*Applicability</f>
        <v>33.948717131678073</v>
      </c>
      <c r="Q552" s="572">
        <f>G552*E552*('Ref-Savings Calculations'!$C$99-('Ref-Savings Calculations'!$C$75*(1-'Ref-Savings Calculations'!$B$50)))*Applicability*ControlShare</f>
        <v>19.925304430912107</v>
      </c>
      <c r="R552" s="37"/>
      <c r="S552" s="567" t="s">
        <v>44</v>
      </c>
      <c r="T552" s="567" t="s">
        <v>63</v>
      </c>
      <c r="U552" s="567" t="s">
        <v>69</v>
      </c>
      <c r="V552" s="567" t="s">
        <v>69</v>
      </c>
      <c r="W552" s="567" t="s">
        <v>76</v>
      </c>
      <c r="X552" s="37"/>
      <c r="Y552" s="37"/>
      <c r="Z552" s="569" t="s">
        <v>78</v>
      </c>
      <c r="AA552" s="569" t="s">
        <v>78</v>
      </c>
      <c r="AB552" s="37"/>
      <c r="AC552" s="697">
        <f>'Ref-DOE'!$M$29</f>
        <v>15.712499999999999</v>
      </c>
      <c r="AD552" s="567" t="s">
        <v>84</v>
      </c>
      <c r="AE552" s="569" t="s">
        <v>73</v>
      </c>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c r="CA552" s="393"/>
      <c r="CB552" s="393"/>
      <c r="CC552" s="393"/>
      <c r="CD552" s="393"/>
      <c r="CE552" s="393"/>
      <c r="CF552" s="393"/>
      <c r="CG552" s="393"/>
      <c r="CH552" s="393"/>
      <c r="CI552" s="393"/>
      <c r="CJ552" s="390"/>
      <c r="CK552" s="390"/>
      <c r="CL552" s="390"/>
      <c r="CM552" s="390"/>
      <c r="CN552" s="390"/>
      <c r="CO552" s="390"/>
      <c r="CP552" s="390"/>
      <c r="CQ552" s="390"/>
      <c r="CR552" s="390"/>
      <c r="CS552" s="390"/>
      <c r="CT552" s="390"/>
      <c r="CU552" s="390"/>
      <c r="CV552" s="390"/>
      <c r="CW552" s="390"/>
      <c r="CX552" s="390"/>
      <c r="CY552" s="390"/>
      <c r="CZ552" s="390"/>
      <c r="DA552" s="390"/>
      <c r="DB552" s="390"/>
      <c r="DC552" s="390"/>
    </row>
    <row r="553" spans="1:107" s="303" customFormat="1" ht="56.25">
      <c r="A553" s="37"/>
      <c r="B553" s="692" t="s">
        <v>30</v>
      </c>
      <c r="C553" s="567" t="s">
        <v>1185</v>
      </c>
      <c r="D553" s="568" t="s">
        <v>1172</v>
      </c>
      <c r="E553" s="571">
        <f>'Ref-ComSources'!$W$46</f>
        <v>2459.6914582638165</v>
      </c>
      <c r="F553" s="569" t="s">
        <v>27</v>
      </c>
      <c r="G553" s="570">
        <f>'Ref-2013CSSsaturationsEXT'!$F$3</f>
        <v>5.1757584804418277E-2</v>
      </c>
      <c r="H553" s="567" t="s">
        <v>110</v>
      </c>
      <c r="I553" s="693">
        <f>'Ref-2013CSSsaturationsEXT'!$J$3</f>
        <v>0.94971461823496628</v>
      </c>
      <c r="J553" s="567" t="s">
        <v>1097</v>
      </c>
      <c r="K553" s="567" t="s">
        <v>111</v>
      </c>
      <c r="L553" s="567" t="s">
        <v>1270</v>
      </c>
      <c r="M553" s="567" t="s">
        <v>93</v>
      </c>
      <c r="N553" s="572">
        <f>E553*G553*'Ref-Savings Calculations'!$E$41*Applicability</f>
        <v>36.560156911037915</v>
      </c>
      <c r="O553" s="572">
        <f>G553*E553*'Ref-Savings Calculations'!$C$123*Applicability*ControlShare</f>
        <v>39.657159304242548</v>
      </c>
      <c r="P553" s="572">
        <f>E553*G553*'Ref-Savings Calculations'!$E$42*Applicability</f>
        <v>33.948717131678073</v>
      </c>
      <c r="Q553" s="572">
        <f>G553*E553*('Ref-Savings Calculations'!$C$123-('Ref-Savings Calculations'!$C$75*(1-'Ref-Savings Calculations'!$B$50)))*Applicability*ControlShare</f>
        <v>24.761543370453882</v>
      </c>
      <c r="R553" s="37"/>
      <c r="S553" s="567" t="s">
        <v>44</v>
      </c>
      <c r="T553" s="567" t="s">
        <v>63</v>
      </c>
      <c r="U553" s="567" t="s">
        <v>44</v>
      </c>
      <c r="V553" s="567" t="s">
        <v>75</v>
      </c>
      <c r="W553" s="567" t="s">
        <v>76</v>
      </c>
      <c r="X553" s="37"/>
      <c r="Y553" s="37"/>
      <c r="Z553" s="569" t="s">
        <v>78</v>
      </c>
      <c r="AA553" s="569" t="s">
        <v>78</v>
      </c>
      <c r="AB553" s="37"/>
      <c r="AC553" s="697">
        <f>'Ref-DOE'!$M$29</f>
        <v>15.712499999999999</v>
      </c>
      <c r="AD553" s="567" t="s">
        <v>84</v>
      </c>
      <c r="AE553" s="569" t="s">
        <v>73</v>
      </c>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c r="CA553" s="393"/>
      <c r="CB553" s="393"/>
      <c r="CC553" s="393"/>
      <c r="CD553" s="393"/>
      <c r="CE553" s="393"/>
      <c r="CF553" s="393"/>
      <c r="CG553" s="393"/>
      <c r="CH553" s="393"/>
      <c r="CI553" s="393"/>
      <c r="CJ553" s="390"/>
      <c r="CK553" s="390"/>
      <c r="CL553" s="390"/>
      <c r="CM553" s="390"/>
      <c r="CN553" s="390"/>
      <c r="CO553" s="390"/>
      <c r="CP553" s="390"/>
      <c r="CQ553" s="390"/>
      <c r="CR553" s="390"/>
      <c r="CS553" s="390"/>
      <c r="CT553" s="390"/>
      <c r="CU553" s="390"/>
      <c r="CV553" s="390"/>
      <c r="CW553" s="390"/>
      <c r="CX553" s="390"/>
      <c r="CY553" s="390"/>
      <c r="CZ553" s="390"/>
      <c r="DA553" s="390"/>
      <c r="DB553" s="390"/>
      <c r="DC553" s="390"/>
    </row>
    <row r="554" spans="1:107" s="303" customFormat="1" ht="56.25">
      <c r="A554" s="37"/>
      <c r="B554" s="692" t="s">
        <v>30</v>
      </c>
      <c r="C554" s="567" t="s">
        <v>1185</v>
      </c>
      <c r="D554" s="568" t="s">
        <v>1172</v>
      </c>
      <c r="E554" s="571">
        <f>'Ref-ComSources'!$W$46</f>
        <v>2459.6914582638165</v>
      </c>
      <c r="F554" s="569" t="s">
        <v>27</v>
      </c>
      <c r="G554" s="570">
        <f>'Ref-2013CSSsaturationsEXT'!$F$3</f>
        <v>5.1757584804418277E-2</v>
      </c>
      <c r="H554" s="567" t="s">
        <v>110</v>
      </c>
      <c r="I554" s="693">
        <f>'Ref-2013CSSsaturationsEXT'!$J$3</f>
        <v>0.94971461823496628</v>
      </c>
      <c r="J554" s="567" t="s">
        <v>1097</v>
      </c>
      <c r="K554" s="567" t="s">
        <v>111</v>
      </c>
      <c r="L554" s="567" t="s">
        <v>960</v>
      </c>
      <c r="M554" s="567" t="s">
        <v>88</v>
      </c>
      <c r="N554" s="572">
        <f>E554*G554*'Ref-Savings Calculations'!$E$35*Applicability</f>
        <v>14.988678884552201</v>
      </c>
      <c r="O554" s="572">
        <f>G554*E554*'Ref-Savings Calculations'!$C$75*Applicability*ControlShare</f>
        <v>21.279451333983804</v>
      </c>
      <c r="P554" s="572">
        <f>E554*G554*'Ref-Savings Calculations'!$E$36*Applicability</f>
        <v>12.2215381674041</v>
      </c>
      <c r="Q554" s="572">
        <f>G554*E554*'Ref-Savings Calculations'!$C$75*(1-'Ref-Savings Calculations'!B55)*Applicability*ControlShare</f>
        <v>21.279451333983804</v>
      </c>
      <c r="R554" s="37"/>
      <c r="S554" s="567" t="s">
        <v>69</v>
      </c>
      <c r="T554" s="567" t="s">
        <v>69</v>
      </c>
      <c r="U554" s="567" t="s">
        <v>69</v>
      </c>
      <c r="V554" s="567" t="s">
        <v>69</v>
      </c>
      <c r="W554" s="567" t="s">
        <v>76</v>
      </c>
      <c r="X554" s="37"/>
      <c r="Y554" s="37"/>
      <c r="Z554" s="569" t="s">
        <v>78</v>
      </c>
      <c r="AA554" s="569" t="s">
        <v>78</v>
      </c>
      <c r="AB554" s="37"/>
      <c r="AC554" s="697">
        <f>'Ref-DOE'!$M$29</f>
        <v>15.712499999999999</v>
      </c>
      <c r="AD554" s="567" t="s">
        <v>84</v>
      </c>
      <c r="AE554" s="569" t="s">
        <v>73</v>
      </c>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c r="CA554" s="393"/>
      <c r="CB554" s="393"/>
      <c r="CC554" s="393"/>
      <c r="CD554" s="393"/>
      <c r="CE554" s="393"/>
      <c r="CF554" s="393"/>
      <c r="CG554" s="393"/>
      <c r="CH554" s="393"/>
      <c r="CI554" s="393"/>
      <c r="CJ554" s="390"/>
      <c r="CK554" s="390"/>
      <c r="CL554" s="390"/>
      <c r="CM554" s="390"/>
      <c r="CN554" s="390"/>
      <c r="CO554" s="390"/>
      <c r="CP554" s="390"/>
      <c r="CQ554" s="390"/>
      <c r="CR554" s="390"/>
      <c r="CS554" s="390"/>
      <c r="CT554" s="390"/>
      <c r="CU554" s="390"/>
      <c r="CV554" s="390"/>
      <c r="CW554" s="390"/>
      <c r="CX554" s="390"/>
      <c r="CY554" s="390"/>
      <c r="CZ554" s="390"/>
      <c r="DA554" s="390"/>
      <c r="DB554" s="390"/>
      <c r="DC554" s="390"/>
    </row>
    <row r="555" spans="1:107" s="303" customFormat="1" ht="56.25">
      <c r="A555" s="37"/>
      <c r="B555" s="692" t="s">
        <v>30</v>
      </c>
      <c r="C555" s="567" t="s">
        <v>1185</v>
      </c>
      <c r="D555" s="568" t="s">
        <v>1172</v>
      </c>
      <c r="E555" s="571">
        <f>'Ref-ComSources'!$W$46</f>
        <v>2459.6914582638165</v>
      </c>
      <c r="F555" s="569" t="s">
        <v>27</v>
      </c>
      <c r="G555" s="570">
        <f>'Ref-2013CSSsaturationsEXT'!$F$3</f>
        <v>5.1757584804418277E-2</v>
      </c>
      <c r="H555" s="567" t="s">
        <v>110</v>
      </c>
      <c r="I555" s="693">
        <f>'Ref-2013CSSsaturationsEXT'!$J$3</f>
        <v>0.94971461823496628</v>
      </c>
      <c r="J555" s="567" t="s">
        <v>1097</v>
      </c>
      <c r="K555" s="567" t="s">
        <v>111</v>
      </c>
      <c r="L555" s="567" t="s">
        <v>960</v>
      </c>
      <c r="M555" s="567" t="s">
        <v>90</v>
      </c>
      <c r="N555" s="572">
        <f>E555*G555*'Ref-Savings Calculations'!$E$35*Applicability</f>
        <v>14.988678884552201</v>
      </c>
      <c r="O555" s="572" t="s">
        <v>871</v>
      </c>
      <c r="P555" s="572">
        <f>E555*G555*'Ref-Savings Calculations'!$E$36*Applicability</f>
        <v>12.2215381674041</v>
      </c>
      <c r="Q555" s="572" t="s">
        <v>871</v>
      </c>
      <c r="R555" s="37"/>
      <c r="S555" s="567" t="s">
        <v>69</v>
      </c>
      <c r="T555" s="567" t="s">
        <v>69</v>
      </c>
      <c r="U555" s="567" t="s">
        <v>69</v>
      </c>
      <c r="V555" s="567" t="s">
        <v>69</v>
      </c>
      <c r="W555" s="567" t="s">
        <v>76</v>
      </c>
      <c r="X555" s="37"/>
      <c r="Y555" s="37"/>
      <c r="Z555" s="569" t="s">
        <v>78</v>
      </c>
      <c r="AA555" s="569" t="s">
        <v>78</v>
      </c>
      <c r="AB555" s="37"/>
      <c r="AC555" s="697">
        <f>'Ref-DOE'!$M$29</f>
        <v>15.712499999999999</v>
      </c>
      <c r="AD555" s="567" t="s">
        <v>84</v>
      </c>
      <c r="AE555" s="569" t="s">
        <v>73</v>
      </c>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c r="CA555" s="393"/>
      <c r="CB555" s="393"/>
      <c r="CC555" s="393"/>
      <c r="CD555" s="393"/>
      <c r="CE555" s="393"/>
      <c r="CF555" s="393"/>
      <c r="CG555" s="393"/>
      <c r="CH555" s="393"/>
      <c r="CI555" s="393"/>
      <c r="CJ555" s="390"/>
      <c r="CK555" s="390"/>
      <c r="CL555" s="390"/>
      <c r="CM555" s="390"/>
      <c r="CN555" s="390"/>
      <c r="CO555" s="390"/>
      <c r="CP555" s="390"/>
      <c r="CQ555" s="390"/>
      <c r="CR555" s="390"/>
      <c r="CS555" s="390"/>
      <c r="CT555" s="390"/>
      <c r="CU555" s="390"/>
      <c r="CV555" s="390"/>
      <c r="CW555" s="390"/>
      <c r="CX555" s="390"/>
      <c r="CY555" s="390"/>
      <c r="CZ555" s="390"/>
      <c r="DA555" s="390"/>
      <c r="DB555" s="390"/>
      <c r="DC555" s="390"/>
    </row>
    <row r="556" spans="1:107" s="303" customFormat="1" ht="56.25">
      <c r="A556" s="37"/>
      <c r="B556" s="692" t="s">
        <v>30</v>
      </c>
      <c r="C556" s="567" t="s">
        <v>1185</v>
      </c>
      <c r="D556" s="568" t="s">
        <v>1172</v>
      </c>
      <c r="E556" s="571">
        <f>'Ref-ComSources'!$W$46</f>
        <v>2459.6914582638165</v>
      </c>
      <c r="F556" s="569" t="s">
        <v>27</v>
      </c>
      <c r="G556" s="570">
        <f>'Ref-2013CSSsaturationsEXT'!$F$3</f>
        <v>5.1757584804418277E-2</v>
      </c>
      <c r="H556" s="567" t="s">
        <v>110</v>
      </c>
      <c r="I556" s="693">
        <f>'Ref-2013CSSsaturationsEXT'!$J$3</f>
        <v>0.94971461823496628</v>
      </c>
      <c r="J556" s="567" t="s">
        <v>1097</v>
      </c>
      <c r="K556" s="567" t="s">
        <v>111</v>
      </c>
      <c r="L556" s="567" t="s">
        <v>960</v>
      </c>
      <c r="M556" s="567" t="s">
        <v>91</v>
      </c>
      <c r="N556" s="572">
        <f>E556*G556*'Ref-Savings Calculations'!$E$35*Applicability</f>
        <v>14.988678884552201</v>
      </c>
      <c r="O556" s="572" t="s">
        <v>870</v>
      </c>
      <c r="P556" s="572">
        <f>E556*G556*'Ref-Savings Calculations'!$E$36*Applicability</f>
        <v>12.2215381674041</v>
      </c>
      <c r="Q556" s="572" t="s">
        <v>870</v>
      </c>
      <c r="R556" s="37"/>
      <c r="S556" s="567" t="s">
        <v>69</v>
      </c>
      <c r="T556" s="567" t="s">
        <v>69</v>
      </c>
      <c r="U556" s="567" t="s">
        <v>870</v>
      </c>
      <c r="V556" s="567" t="s">
        <v>870</v>
      </c>
      <c r="W556" s="567" t="s">
        <v>76</v>
      </c>
      <c r="X556" s="37"/>
      <c r="Y556" s="37"/>
      <c r="Z556" s="569" t="s">
        <v>78</v>
      </c>
      <c r="AA556" s="569" t="s">
        <v>78</v>
      </c>
      <c r="AB556" s="37"/>
      <c r="AC556" s="697">
        <f>'Ref-DOE'!$M$29</f>
        <v>15.712499999999999</v>
      </c>
      <c r="AD556" s="567" t="s">
        <v>84</v>
      </c>
      <c r="AE556" s="569" t="s">
        <v>73</v>
      </c>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c r="CA556" s="393"/>
      <c r="CB556" s="393"/>
      <c r="CC556" s="393"/>
      <c r="CD556" s="393"/>
      <c r="CE556" s="393"/>
      <c r="CF556" s="393"/>
      <c r="CG556" s="393"/>
      <c r="CH556" s="393"/>
      <c r="CI556" s="393"/>
      <c r="CJ556" s="390"/>
      <c r="CK556" s="390"/>
      <c r="CL556" s="390"/>
      <c r="CM556" s="390"/>
      <c r="CN556" s="390"/>
      <c r="CO556" s="390"/>
      <c r="CP556" s="390"/>
      <c r="CQ556" s="390"/>
      <c r="CR556" s="390"/>
      <c r="CS556" s="390"/>
      <c r="CT556" s="390"/>
      <c r="CU556" s="390"/>
      <c r="CV556" s="390"/>
      <c r="CW556" s="390"/>
      <c r="CX556" s="390"/>
      <c r="CY556" s="390"/>
      <c r="CZ556" s="390"/>
      <c r="DA556" s="390"/>
      <c r="DB556" s="390"/>
      <c r="DC556" s="390"/>
    </row>
    <row r="557" spans="1:107" s="303" customFormat="1" ht="56.25">
      <c r="A557" s="37"/>
      <c r="B557" s="692" t="s">
        <v>30</v>
      </c>
      <c r="C557" s="567" t="s">
        <v>1185</v>
      </c>
      <c r="D557" s="568" t="s">
        <v>1172</v>
      </c>
      <c r="E557" s="571">
        <f>'Ref-ComSources'!$W$46</f>
        <v>2459.6914582638165</v>
      </c>
      <c r="F557" s="569" t="s">
        <v>27</v>
      </c>
      <c r="G557" s="570">
        <f>'Ref-2013CSSsaturationsEXT'!$F$3</f>
        <v>5.1757584804418277E-2</v>
      </c>
      <c r="H557" s="567" t="s">
        <v>110</v>
      </c>
      <c r="I557" s="693">
        <f>'Ref-2013CSSsaturationsEXT'!$J$3</f>
        <v>0.94971461823496628</v>
      </c>
      <c r="J557" s="567" t="s">
        <v>1097</v>
      </c>
      <c r="K557" s="567" t="s">
        <v>111</v>
      </c>
      <c r="L557" s="567" t="s">
        <v>960</v>
      </c>
      <c r="M557" s="567" t="s">
        <v>92</v>
      </c>
      <c r="N557" s="572">
        <f>E557*G557*'Ref-Savings Calculations'!$E$35*Applicability</f>
        <v>14.988678884552201</v>
      </c>
      <c r="O557" s="572">
        <f>G557*E557*'Ref-Savings Calculations'!$C$99*Applicability*ControlShare</f>
        <v>34.820920364700768</v>
      </c>
      <c r="P557" s="572">
        <f>E557*G557*'Ref-Savings Calculations'!$E$36*Applicability</f>
        <v>12.2215381674041</v>
      </c>
      <c r="Q557" s="572">
        <f>G557*E557*('Ref-Savings Calculations'!$C$99-('Ref-Savings Calculations'!$C$75*(1-'Ref-Savings Calculations'!$B$50)))*Applicability*ControlShare</f>
        <v>19.925304430912107</v>
      </c>
      <c r="R557" s="37"/>
      <c r="S557" s="567" t="s">
        <v>69</v>
      </c>
      <c r="T557" s="567" t="s">
        <v>69</v>
      </c>
      <c r="U557" s="567" t="s">
        <v>69</v>
      </c>
      <c r="V557" s="567" t="s">
        <v>69</v>
      </c>
      <c r="W557" s="567" t="s">
        <v>76</v>
      </c>
      <c r="X557" s="37"/>
      <c r="Y557" s="37"/>
      <c r="Z557" s="569" t="s">
        <v>78</v>
      </c>
      <c r="AA557" s="569" t="s">
        <v>78</v>
      </c>
      <c r="AB557" s="37"/>
      <c r="AC557" s="697">
        <f>'Ref-DOE'!$M$29</f>
        <v>15.712499999999999</v>
      </c>
      <c r="AD557" s="567" t="s">
        <v>84</v>
      </c>
      <c r="AE557" s="569" t="s">
        <v>73</v>
      </c>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c r="CA557" s="393"/>
      <c r="CB557" s="393"/>
      <c r="CC557" s="393"/>
      <c r="CD557" s="393"/>
      <c r="CE557" s="393"/>
      <c r="CF557" s="393"/>
      <c r="CG557" s="393"/>
      <c r="CH557" s="393"/>
      <c r="CI557" s="393"/>
      <c r="CJ557" s="390"/>
      <c r="CK557" s="390"/>
      <c r="CL557" s="390"/>
      <c r="CM557" s="390"/>
      <c r="CN557" s="390"/>
      <c r="CO557" s="390"/>
      <c r="CP557" s="390"/>
      <c r="CQ557" s="390"/>
      <c r="CR557" s="390"/>
      <c r="CS557" s="390"/>
      <c r="CT557" s="390"/>
      <c r="CU557" s="390"/>
      <c r="CV557" s="390"/>
      <c r="CW557" s="390"/>
      <c r="CX557" s="390"/>
      <c r="CY557" s="390"/>
      <c r="CZ557" s="390"/>
      <c r="DA557" s="390"/>
      <c r="DB557" s="390"/>
      <c r="DC557" s="390"/>
    </row>
    <row r="558" spans="1:107" s="303" customFormat="1" ht="56.25">
      <c r="A558" s="37"/>
      <c r="B558" s="692" t="s">
        <v>30</v>
      </c>
      <c r="C558" s="567" t="s">
        <v>1185</v>
      </c>
      <c r="D558" s="568" t="s">
        <v>1172</v>
      </c>
      <c r="E558" s="571">
        <f>'Ref-ComSources'!$W$46</f>
        <v>2459.6914582638165</v>
      </c>
      <c r="F558" s="569" t="s">
        <v>27</v>
      </c>
      <c r="G558" s="570">
        <f>'Ref-2013CSSsaturationsEXT'!$F$3</f>
        <v>5.1757584804418277E-2</v>
      </c>
      <c r="H558" s="567" t="s">
        <v>110</v>
      </c>
      <c r="I558" s="693">
        <f>'Ref-2013CSSsaturationsEXT'!$J$3</f>
        <v>0.94971461823496628</v>
      </c>
      <c r="J558" s="567" t="s">
        <v>1097</v>
      </c>
      <c r="K558" s="567" t="s">
        <v>111</v>
      </c>
      <c r="L558" s="567" t="s">
        <v>960</v>
      </c>
      <c r="M558" s="567" t="s">
        <v>93</v>
      </c>
      <c r="N558" s="572">
        <f>E558*G558*'Ref-Savings Calculations'!$E$35*Applicability</f>
        <v>14.988678884552201</v>
      </c>
      <c r="O558" s="572">
        <f>G558*E558*'Ref-Savings Calculations'!$C$123*Applicability*ControlShare</f>
        <v>39.657159304242548</v>
      </c>
      <c r="P558" s="572">
        <f>E558*G558*'Ref-Savings Calculations'!$E$36*Applicability</f>
        <v>12.2215381674041</v>
      </c>
      <c r="Q558" s="572">
        <f>G558*E558*('Ref-Savings Calculations'!$C$123-('Ref-Savings Calculations'!$C$75*(1-'Ref-Savings Calculations'!$B$50)))*Applicability*ControlShare</f>
        <v>24.761543370453882</v>
      </c>
      <c r="R558" s="37"/>
      <c r="S558" s="567" t="s">
        <v>69</v>
      </c>
      <c r="T558" s="567" t="s">
        <v>69</v>
      </c>
      <c r="U558" s="567" t="s">
        <v>44</v>
      </c>
      <c r="V558" s="567" t="s">
        <v>75</v>
      </c>
      <c r="W558" s="567" t="s">
        <v>76</v>
      </c>
      <c r="X558" s="37"/>
      <c r="Y558" s="37"/>
      <c r="Z558" s="569" t="s">
        <v>78</v>
      </c>
      <c r="AA558" s="569" t="s">
        <v>78</v>
      </c>
      <c r="AB558" s="37"/>
      <c r="AC558" s="697">
        <f>'Ref-DOE'!$M$29</f>
        <v>15.712499999999999</v>
      </c>
      <c r="AD558" s="567" t="s">
        <v>84</v>
      </c>
      <c r="AE558" s="569" t="s">
        <v>73</v>
      </c>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c r="CA558" s="393"/>
      <c r="CB558" s="393"/>
      <c r="CC558" s="393"/>
      <c r="CD558" s="393"/>
      <c r="CE558" s="393"/>
      <c r="CF558" s="393"/>
      <c r="CG558" s="393"/>
      <c r="CH558" s="393"/>
      <c r="CI558" s="393"/>
      <c r="CJ558" s="390"/>
      <c r="CK558" s="390"/>
      <c r="CL558" s="390"/>
      <c r="CM558" s="390"/>
      <c r="CN558" s="390"/>
      <c r="CO558" s="390"/>
      <c r="CP558" s="390"/>
      <c r="CQ558" s="390"/>
      <c r="CR558" s="390"/>
      <c r="CS558" s="390"/>
      <c r="CT558" s="390"/>
      <c r="CU558" s="390"/>
      <c r="CV558" s="390"/>
      <c r="CW558" s="390"/>
      <c r="CX558" s="390"/>
      <c r="CY558" s="390"/>
      <c r="CZ558" s="390"/>
      <c r="DA558" s="390"/>
      <c r="DB558" s="390"/>
      <c r="DC558" s="390"/>
    </row>
    <row r="559" spans="1:107" s="303" customFormat="1" ht="45">
      <c r="A559" s="37"/>
      <c r="B559" s="692" t="s">
        <v>30</v>
      </c>
      <c r="C559" s="567" t="s">
        <v>1185</v>
      </c>
      <c r="D559" s="568" t="s">
        <v>1172</v>
      </c>
      <c r="E559" s="571">
        <f>'Ref-ComSources'!$W$46</f>
        <v>2459.6914582638165</v>
      </c>
      <c r="F559" s="569" t="s">
        <v>1245</v>
      </c>
      <c r="G559" s="570">
        <f>'Ref-2013CSSsaturationsEXT'!$F$6</f>
        <v>0.67727715656069643</v>
      </c>
      <c r="H559" s="567" t="s">
        <v>110</v>
      </c>
      <c r="I559" s="693">
        <f>'Ref-2013CSSsaturationsEXT'!$J$6</f>
        <v>0.33050057310858838</v>
      </c>
      <c r="J559" s="567" t="s">
        <v>994</v>
      </c>
      <c r="K559" s="567" t="s">
        <v>111</v>
      </c>
      <c r="L559" s="567" t="s">
        <v>1270</v>
      </c>
      <c r="M559" s="567" t="s">
        <v>88</v>
      </c>
      <c r="N559" s="572">
        <f>E559*G559*'Ref-Savings Calculations'!$E$23*Applicability</f>
        <v>718.44752025376283</v>
      </c>
      <c r="O559" s="572">
        <f>G559*E559*'Ref-Savings Calculations'!$C$75*Applicability*ControlShare</f>
        <v>96.901822568826631</v>
      </c>
      <c r="P559" s="572">
        <f>E559*G559*'Ref-Savings Calculations'!$E$24*Applicability</f>
        <v>671.96068742855152</v>
      </c>
      <c r="Q559" s="572">
        <f>G559*E559*'Ref-Savings Calculations'!$C$75*(1-'Ref-Savings Calculations'!B60)*Applicability*ControlShare</f>
        <v>96.901822568826631</v>
      </c>
      <c r="R559" s="37"/>
      <c r="S559" s="567" t="s">
        <v>44</v>
      </c>
      <c r="T559" s="567" t="s">
        <v>63</v>
      </c>
      <c r="U559" s="567" t="s">
        <v>69</v>
      </c>
      <c r="V559" s="567" t="s">
        <v>69</v>
      </c>
      <c r="W559" s="567" t="s">
        <v>76</v>
      </c>
      <c r="X559" s="37"/>
      <c r="Y559" s="37"/>
      <c r="Z559" s="569" t="s">
        <v>78</v>
      </c>
      <c r="AA559" s="569" t="s">
        <v>78</v>
      </c>
      <c r="AB559" s="37"/>
      <c r="AC559" s="697">
        <f>'Ref-DOE'!$M$29</f>
        <v>15.712499999999999</v>
      </c>
      <c r="AD559" s="567" t="s">
        <v>84</v>
      </c>
      <c r="AE559" s="569" t="s">
        <v>73</v>
      </c>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c r="CA559" s="393"/>
      <c r="CB559" s="393"/>
      <c r="CC559" s="393"/>
      <c r="CD559" s="393"/>
      <c r="CE559" s="393"/>
      <c r="CF559" s="393"/>
      <c r="CG559" s="393"/>
      <c r="CH559" s="393"/>
      <c r="CI559" s="393"/>
      <c r="CJ559" s="390"/>
      <c r="CK559" s="390"/>
      <c r="CL559" s="390"/>
      <c r="CM559" s="390"/>
      <c r="CN559" s="390"/>
      <c r="CO559" s="390"/>
      <c r="CP559" s="390"/>
      <c r="CQ559" s="390"/>
      <c r="CR559" s="390"/>
      <c r="CS559" s="390"/>
      <c r="CT559" s="390"/>
      <c r="CU559" s="390"/>
      <c r="CV559" s="390"/>
      <c r="CW559" s="390"/>
      <c r="CX559" s="390"/>
      <c r="CY559" s="390"/>
      <c r="CZ559" s="390"/>
      <c r="DA559" s="390"/>
      <c r="DB559" s="390"/>
      <c r="DC559" s="390"/>
    </row>
    <row r="560" spans="1:107" s="303" customFormat="1" ht="45">
      <c r="A560" s="37"/>
      <c r="B560" s="692" t="s">
        <v>30</v>
      </c>
      <c r="C560" s="567" t="s">
        <v>1185</v>
      </c>
      <c r="D560" s="568" t="s">
        <v>1172</v>
      </c>
      <c r="E560" s="571">
        <f>'Ref-ComSources'!$W$46</f>
        <v>2459.6914582638165</v>
      </c>
      <c r="F560" s="569" t="s">
        <v>1245</v>
      </c>
      <c r="G560" s="570">
        <f>'Ref-2013CSSsaturationsEXT'!$F$6</f>
        <v>0.67727715656069643</v>
      </c>
      <c r="H560" s="567" t="s">
        <v>110</v>
      </c>
      <c r="I560" s="693">
        <f>'Ref-2013CSSsaturationsEXT'!$J$6</f>
        <v>0.33050057310858838</v>
      </c>
      <c r="J560" s="567" t="s">
        <v>994</v>
      </c>
      <c r="K560" s="567" t="s">
        <v>111</v>
      </c>
      <c r="L560" s="567" t="s">
        <v>1270</v>
      </c>
      <c r="M560" s="567" t="s">
        <v>90</v>
      </c>
      <c r="N560" s="572">
        <f>E560*G560*'Ref-Savings Calculations'!$E$23*Applicability</f>
        <v>718.44752025376283</v>
      </c>
      <c r="O560" s="572" t="s">
        <v>871</v>
      </c>
      <c r="P560" s="572">
        <f>E560*G560*'Ref-Savings Calculations'!$E$24*Applicability</f>
        <v>671.96068742855152</v>
      </c>
      <c r="Q560" s="572" t="s">
        <v>871</v>
      </c>
      <c r="R560" s="37"/>
      <c r="S560" s="567" t="s">
        <v>44</v>
      </c>
      <c r="T560" s="567" t="s">
        <v>63</v>
      </c>
      <c r="U560" s="567" t="s">
        <v>69</v>
      </c>
      <c r="V560" s="567" t="s">
        <v>69</v>
      </c>
      <c r="W560" s="567" t="s">
        <v>76</v>
      </c>
      <c r="X560" s="37"/>
      <c r="Y560" s="37"/>
      <c r="Z560" s="569" t="s">
        <v>78</v>
      </c>
      <c r="AA560" s="569" t="s">
        <v>78</v>
      </c>
      <c r="AB560" s="37"/>
      <c r="AC560" s="697">
        <f>'Ref-DOE'!$M$29</f>
        <v>15.712499999999999</v>
      </c>
      <c r="AD560" s="567" t="s">
        <v>84</v>
      </c>
      <c r="AE560" s="569" t="s">
        <v>73</v>
      </c>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c r="CA560" s="393"/>
      <c r="CB560" s="393"/>
      <c r="CC560" s="393"/>
      <c r="CD560" s="393"/>
      <c r="CE560" s="393"/>
      <c r="CF560" s="393"/>
      <c r="CG560" s="393"/>
      <c r="CH560" s="393"/>
      <c r="CI560" s="393"/>
      <c r="CJ560" s="390"/>
      <c r="CK560" s="390"/>
      <c r="CL560" s="390"/>
      <c r="CM560" s="390"/>
      <c r="CN560" s="390"/>
      <c r="CO560" s="390"/>
      <c r="CP560" s="390"/>
      <c r="CQ560" s="390"/>
      <c r="CR560" s="390"/>
      <c r="CS560" s="390"/>
      <c r="CT560" s="390"/>
      <c r="CU560" s="390"/>
      <c r="CV560" s="390"/>
      <c r="CW560" s="390"/>
      <c r="CX560" s="390"/>
      <c r="CY560" s="390"/>
      <c r="CZ560" s="390"/>
      <c r="DA560" s="390"/>
      <c r="DB560" s="390"/>
      <c r="DC560" s="390"/>
    </row>
    <row r="561" spans="1:107" s="303" customFormat="1" ht="45">
      <c r="A561" s="37"/>
      <c r="B561" s="692" t="s">
        <v>30</v>
      </c>
      <c r="C561" s="567" t="s">
        <v>1185</v>
      </c>
      <c r="D561" s="568" t="s">
        <v>1172</v>
      </c>
      <c r="E561" s="571">
        <f>'Ref-ComSources'!$W$46</f>
        <v>2459.6914582638165</v>
      </c>
      <c r="F561" s="569" t="s">
        <v>1245</v>
      </c>
      <c r="G561" s="570">
        <f>'Ref-2013CSSsaturationsEXT'!$F$6</f>
        <v>0.67727715656069643</v>
      </c>
      <c r="H561" s="567" t="s">
        <v>110</v>
      </c>
      <c r="I561" s="693">
        <f>'Ref-2013CSSsaturationsEXT'!$J$6</f>
        <v>0.33050057310858838</v>
      </c>
      <c r="J561" s="567" t="s">
        <v>994</v>
      </c>
      <c r="K561" s="567" t="s">
        <v>111</v>
      </c>
      <c r="L561" s="567" t="s">
        <v>1270</v>
      </c>
      <c r="M561" s="567" t="s">
        <v>91</v>
      </c>
      <c r="N561" s="572">
        <f>E561*G561*'Ref-Savings Calculations'!$E$23*Applicability</f>
        <v>718.44752025376283</v>
      </c>
      <c r="O561" s="572" t="s">
        <v>870</v>
      </c>
      <c r="P561" s="572">
        <f>E561*G561*'Ref-Savings Calculations'!$E$24*Applicability</f>
        <v>671.96068742855152</v>
      </c>
      <c r="Q561" s="572" t="s">
        <v>870</v>
      </c>
      <c r="R561" s="37"/>
      <c r="S561" s="567" t="s">
        <v>44</v>
      </c>
      <c r="T561" s="567" t="s">
        <v>63</v>
      </c>
      <c r="U561" s="567" t="s">
        <v>870</v>
      </c>
      <c r="V561" s="567" t="s">
        <v>870</v>
      </c>
      <c r="W561" s="567" t="s">
        <v>76</v>
      </c>
      <c r="X561" s="37"/>
      <c r="Y561" s="37"/>
      <c r="Z561" s="569" t="s">
        <v>78</v>
      </c>
      <c r="AA561" s="569" t="s">
        <v>78</v>
      </c>
      <c r="AB561" s="37"/>
      <c r="AC561" s="697">
        <f>'Ref-DOE'!$M$29</f>
        <v>15.712499999999999</v>
      </c>
      <c r="AD561" s="567" t="s">
        <v>84</v>
      </c>
      <c r="AE561" s="569" t="s">
        <v>73</v>
      </c>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c r="CA561" s="393"/>
      <c r="CB561" s="393"/>
      <c r="CC561" s="393"/>
      <c r="CD561" s="393"/>
      <c r="CE561" s="393"/>
      <c r="CF561" s="393"/>
      <c r="CG561" s="393"/>
      <c r="CH561" s="393"/>
      <c r="CI561" s="393"/>
      <c r="CJ561" s="390"/>
      <c r="CK561" s="390"/>
      <c r="CL561" s="390"/>
      <c r="CM561" s="390"/>
      <c r="CN561" s="390"/>
      <c r="CO561" s="390"/>
      <c r="CP561" s="390"/>
      <c r="CQ561" s="390"/>
      <c r="CR561" s="390"/>
      <c r="CS561" s="390"/>
      <c r="CT561" s="390"/>
      <c r="CU561" s="390"/>
      <c r="CV561" s="390"/>
      <c r="CW561" s="390"/>
      <c r="CX561" s="390"/>
      <c r="CY561" s="390"/>
      <c r="CZ561" s="390"/>
      <c r="DA561" s="390"/>
      <c r="DB561" s="390"/>
      <c r="DC561" s="390"/>
    </row>
    <row r="562" spans="1:107" s="303" customFormat="1" ht="45">
      <c r="A562" s="37"/>
      <c r="B562" s="692" t="s">
        <v>30</v>
      </c>
      <c r="C562" s="567" t="s">
        <v>1185</v>
      </c>
      <c r="D562" s="568" t="s">
        <v>1172</v>
      </c>
      <c r="E562" s="571">
        <f>'Ref-ComSources'!$W$46</f>
        <v>2459.6914582638165</v>
      </c>
      <c r="F562" s="569" t="s">
        <v>1245</v>
      </c>
      <c r="G562" s="570">
        <f>'Ref-2013CSSsaturationsEXT'!$F$6</f>
        <v>0.67727715656069643</v>
      </c>
      <c r="H562" s="567" t="s">
        <v>110</v>
      </c>
      <c r="I562" s="693">
        <f>'Ref-2013CSSsaturationsEXT'!$J$6</f>
        <v>0.33050057310858838</v>
      </c>
      <c r="J562" s="567" t="s">
        <v>994</v>
      </c>
      <c r="K562" s="567" t="s">
        <v>111</v>
      </c>
      <c r="L562" s="567" t="s">
        <v>1270</v>
      </c>
      <c r="M562" s="567" t="s">
        <v>92</v>
      </c>
      <c r="N562" s="572">
        <f>E562*G562*'Ref-Savings Calculations'!$E$23*Applicability</f>
        <v>718.44752025376283</v>
      </c>
      <c r="O562" s="572">
        <f>G562*E562*'Ref-Savings Calculations'!$C$99*Applicability*ControlShare</f>
        <v>158.56661874898904</v>
      </c>
      <c r="P562" s="572">
        <f>E562*G562*'Ref-Savings Calculations'!$E$24*Applicability</f>
        <v>671.96068742855152</v>
      </c>
      <c r="Q562" s="572">
        <f>G562*E562*('Ref-Savings Calculations'!$C$99-('Ref-Savings Calculations'!$C$75*(1-'Ref-Savings Calculations'!$B$50)))*Applicability*ControlShare</f>
        <v>90.735342950810406</v>
      </c>
      <c r="R562" s="37"/>
      <c r="S562" s="567" t="s">
        <v>44</v>
      </c>
      <c r="T562" s="567" t="s">
        <v>63</v>
      </c>
      <c r="U562" s="567" t="s">
        <v>69</v>
      </c>
      <c r="V562" s="567" t="s">
        <v>69</v>
      </c>
      <c r="W562" s="567" t="s">
        <v>76</v>
      </c>
      <c r="X562" s="37"/>
      <c r="Y562" s="37"/>
      <c r="Z562" s="569" t="s">
        <v>78</v>
      </c>
      <c r="AA562" s="569" t="s">
        <v>78</v>
      </c>
      <c r="AB562" s="37"/>
      <c r="AC562" s="697">
        <f>'Ref-DOE'!$M$29</f>
        <v>15.712499999999999</v>
      </c>
      <c r="AD562" s="567" t="s">
        <v>84</v>
      </c>
      <c r="AE562" s="569" t="s">
        <v>73</v>
      </c>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c r="CA562" s="393"/>
      <c r="CB562" s="393"/>
      <c r="CC562" s="393"/>
      <c r="CD562" s="393"/>
      <c r="CE562" s="393"/>
      <c r="CF562" s="393"/>
      <c r="CG562" s="393"/>
      <c r="CH562" s="393"/>
      <c r="CI562" s="393"/>
      <c r="CJ562" s="390"/>
      <c r="CK562" s="390"/>
      <c r="CL562" s="390"/>
      <c r="CM562" s="390"/>
      <c r="CN562" s="390"/>
      <c r="CO562" s="390"/>
      <c r="CP562" s="390"/>
      <c r="CQ562" s="390"/>
      <c r="CR562" s="390"/>
      <c r="CS562" s="390"/>
      <c r="CT562" s="390"/>
      <c r="CU562" s="390"/>
      <c r="CV562" s="390"/>
      <c r="CW562" s="390"/>
      <c r="CX562" s="390"/>
      <c r="CY562" s="390"/>
      <c r="CZ562" s="390"/>
      <c r="DA562" s="390"/>
      <c r="DB562" s="390"/>
      <c r="DC562" s="390"/>
    </row>
    <row r="563" spans="1:107" s="303" customFormat="1" ht="45">
      <c r="A563" s="37"/>
      <c r="B563" s="692" t="s">
        <v>30</v>
      </c>
      <c r="C563" s="567" t="s">
        <v>1185</v>
      </c>
      <c r="D563" s="568" t="s">
        <v>1172</v>
      </c>
      <c r="E563" s="571">
        <f>'Ref-ComSources'!$W$46</f>
        <v>2459.6914582638165</v>
      </c>
      <c r="F563" s="569" t="s">
        <v>1245</v>
      </c>
      <c r="G563" s="570">
        <f>'Ref-2013CSSsaturationsEXT'!$F$6</f>
        <v>0.67727715656069643</v>
      </c>
      <c r="H563" s="567" t="s">
        <v>110</v>
      </c>
      <c r="I563" s="693">
        <f>'Ref-2013CSSsaturationsEXT'!$J$6</f>
        <v>0.33050057310858838</v>
      </c>
      <c r="J563" s="567" t="s">
        <v>994</v>
      </c>
      <c r="K563" s="567" t="s">
        <v>111</v>
      </c>
      <c r="L563" s="567" t="s">
        <v>1270</v>
      </c>
      <c r="M563" s="567" t="s">
        <v>93</v>
      </c>
      <c r="N563" s="572">
        <f>E563*G563*'Ref-Savings Calculations'!$E$23*Applicability</f>
        <v>718.44752025376283</v>
      </c>
      <c r="O563" s="572">
        <f>G563*E563*'Ref-Savings Calculations'!$C$123*Applicability*ControlShare</f>
        <v>180.5897602419042</v>
      </c>
      <c r="P563" s="572">
        <f>E563*G563*'Ref-Savings Calculations'!$E$24*Applicability</f>
        <v>671.96068742855152</v>
      </c>
      <c r="Q563" s="572">
        <f>G563*E563*('Ref-Savings Calculations'!$C$123-('Ref-Savings Calculations'!$C$75*(1-'Ref-Savings Calculations'!$B$50)))*Applicability*ControlShare</f>
        <v>112.75848444372555</v>
      </c>
      <c r="R563" s="37"/>
      <c r="S563" s="567" t="s">
        <v>44</v>
      </c>
      <c r="T563" s="567" t="s">
        <v>63</v>
      </c>
      <c r="U563" s="567" t="s">
        <v>44</v>
      </c>
      <c r="V563" s="567" t="s">
        <v>75</v>
      </c>
      <c r="W563" s="567" t="s">
        <v>76</v>
      </c>
      <c r="X563" s="37"/>
      <c r="Y563" s="37"/>
      <c r="Z563" s="569" t="s">
        <v>78</v>
      </c>
      <c r="AA563" s="569" t="s">
        <v>78</v>
      </c>
      <c r="AB563" s="37"/>
      <c r="AC563" s="697">
        <f>'Ref-DOE'!$M$29</f>
        <v>15.712499999999999</v>
      </c>
      <c r="AD563" s="567" t="s">
        <v>84</v>
      </c>
      <c r="AE563" s="569" t="s">
        <v>73</v>
      </c>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c r="CA563" s="393"/>
      <c r="CB563" s="393"/>
      <c r="CC563" s="393"/>
      <c r="CD563" s="393"/>
      <c r="CE563" s="393"/>
      <c r="CF563" s="393"/>
      <c r="CG563" s="393"/>
      <c r="CH563" s="393"/>
      <c r="CI563" s="393"/>
      <c r="CJ563" s="390"/>
      <c r="CK563" s="390"/>
      <c r="CL563" s="390"/>
      <c r="CM563" s="390"/>
      <c r="CN563" s="390"/>
      <c r="CO563" s="390"/>
      <c r="CP563" s="390"/>
      <c r="CQ563" s="390"/>
      <c r="CR563" s="390"/>
      <c r="CS563" s="390"/>
      <c r="CT563" s="390"/>
      <c r="CU563" s="390"/>
      <c r="CV563" s="390"/>
      <c r="CW563" s="390"/>
      <c r="CX563" s="390"/>
      <c r="CY563" s="390"/>
      <c r="CZ563" s="390"/>
      <c r="DA563" s="390"/>
      <c r="DB563" s="390"/>
      <c r="DC563" s="390"/>
    </row>
    <row r="564" spans="1:107" s="303" customFormat="1" ht="45">
      <c r="A564" s="37"/>
      <c r="B564" s="692" t="s">
        <v>30</v>
      </c>
      <c r="C564" s="567" t="s">
        <v>1185</v>
      </c>
      <c r="D564" s="568" t="s">
        <v>1172</v>
      </c>
      <c r="E564" s="571">
        <f>'Ref-ComSources'!$W$46</f>
        <v>2459.6914582638165</v>
      </c>
      <c r="F564" s="569" t="s">
        <v>1245</v>
      </c>
      <c r="G564" s="570">
        <f>'Ref-2013CSSsaturationsEXT'!$F$6</f>
        <v>0.67727715656069643</v>
      </c>
      <c r="H564" s="567" t="s">
        <v>110</v>
      </c>
      <c r="I564" s="693">
        <f>'Ref-2013CSSsaturationsEXT'!$J$6</f>
        <v>0.33050057310858838</v>
      </c>
      <c r="J564" s="567" t="s">
        <v>994</v>
      </c>
      <c r="K564" s="567" t="s">
        <v>111</v>
      </c>
      <c r="L564" s="567" t="s">
        <v>101</v>
      </c>
      <c r="M564" s="567" t="s">
        <v>88</v>
      </c>
      <c r="N564" s="572">
        <f>E564*G564*'Ref-Savings Calculations'!$E$14*Applicability</f>
        <v>182.48540012508693</v>
      </c>
      <c r="O564" s="572">
        <f>G564*E564*'Ref-Savings Calculations'!$C$75*Applicability*ControlShare</f>
        <v>96.901822568826631</v>
      </c>
      <c r="P564" s="572">
        <f>E564*G564*'Ref-Savings Calculations'!$E$15*Applicability</f>
        <v>182.48540012508693</v>
      </c>
      <c r="Q564" s="572">
        <f>G564*E564*'Ref-Savings Calculations'!$C$75*(1-'Ref-Savings Calculations'!B65)*Applicability*ControlShare</f>
        <v>96.901822568826631</v>
      </c>
      <c r="R564" s="37"/>
      <c r="S564" s="567" t="s">
        <v>68</v>
      </c>
      <c r="T564" s="567" t="s">
        <v>63</v>
      </c>
      <c r="U564" s="567" t="s">
        <v>69</v>
      </c>
      <c r="V564" s="567" t="s">
        <v>69</v>
      </c>
      <c r="W564" s="567" t="s">
        <v>76</v>
      </c>
      <c r="X564" s="37"/>
      <c r="Y564" s="37"/>
      <c r="Z564" s="569" t="s">
        <v>78</v>
      </c>
      <c r="AA564" s="569" t="s">
        <v>78</v>
      </c>
      <c r="AB564" s="37"/>
      <c r="AC564" s="697">
        <f>'Ref-DOE'!$M$29</f>
        <v>15.712499999999999</v>
      </c>
      <c r="AD564" s="567" t="s">
        <v>84</v>
      </c>
      <c r="AE564" s="569" t="s">
        <v>73</v>
      </c>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c r="CA564" s="393"/>
      <c r="CB564" s="393"/>
      <c r="CC564" s="393"/>
      <c r="CD564" s="393"/>
      <c r="CE564" s="393"/>
      <c r="CF564" s="393"/>
      <c r="CG564" s="393"/>
      <c r="CH564" s="393"/>
      <c r="CI564" s="393"/>
      <c r="CJ564" s="390"/>
      <c r="CK564" s="390"/>
      <c r="CL564" s="390"/>
      <c r="CM564" s="390"/>
      <c r="CN564" s="390"/>
      <c r="CO564" s="390"/>
      <c r="CP564" s="390"/>
      <c r="CQ564" s="390"/>
      <c r="CR564" s="390"/>
      <c r="CS564" s="390"/>
      <c r="CT564" s="390"/>
      <c r="CU564" s="390"/>
      <c r="CV564" s="390"/>
      <c r="CW564" s="390"/>
      <c r="CX564" s="390"/>
      <c r="CY564" s="390"/>
      <c r="CZ564" s="390"/>
      <c r="DA564" s="390"/>
      <c r="DB564" s="390"/>
      <c r="DC564" s="390"/>
    </row>
    <row r="565" spans="1:107" s="303" customFormat="1" ht="45">
      <c r="A565" s="37"/>
      <c r="B565" s="692" t="s">
        <v>30</v>
      </c>
      <c r="C565" s="567" t="s">
        <v>1185</v>
      </c>
      <c r="D565" s="568" t="s">
        <v>1172</v>
      </c>
      <c r="E565" s="571">
        <f>'Ref-ComSources'!$W$46</f>
        <v>2459.6914582638165</v>
      </c>
      <c r="F565" s="569" t="s">
        <v>1245</v>
      </c>
      <c r="G565" s="570">
        <f>'Ref-2013CSSsaturationsEXT'!$F$6</f>
        <v>0.67727715656069643</v>
      </c>
      <c r="H565" s="567" t="s">
        <v>110</v>
      </c>
      <c r="I565" s="693">
        <f>'Ref-2013CSSsaturationsEXT'!$J$6</f>
        <v>0.33050057310858838</v>
      </c>
      <c r="J565" s="567" t="s">
        <v>994</v>
      </c>
      <c r="K565" s="567" t="s">
        <v>111</v>
      </c>
      <c r="L565" s="567" t="s">
        <v>101</v>
      </c>
      <c r="M565" s="567" t="s">
        <v>90</v>
      </c>
      <c r="N565" s="572">
        <f>E565*G565*'Ref-Savings Calculations'!$E$14*Applicability</f>
        <v>182.48540012508693</v>
      </c>
      <c r="O565" s="572" t="s">
        <v>1049</v>
      </c>
      <c r="P565" s="572">
        <f>E565*G565*'Ref-Savings Calculations'!$E$15*Applicability</f>
        <v>182.48540012508693</v>
      </c>
      <c r="Q565" s="572" t="s">
        <v>871</v>
      </c>
      <c r="R565" s="37"/>
      <c r="S565" s="567" t="s">
        <v>68</v>
      </c>
      <c r="T565" s="567" t="s">
        <v>63</v>
      </c>
      <c r="U565" s="567" t="s">
        <v>69</v>
      </c>
      <c r="V565" s="567" t="s">
        <v>69</v>
      </c>
      <c r="W565" s="567" t="s">
        <v>76</v>
      </c>
      <c r="X565" s="37"/>
      <c r="Y565" s="37"/>
      <c r="Z565" s="569" t="s">
        <v>78</v>
      </c>
      <c r="AA565" s="569" t="s">
        <v>78</v>
      </c>
      <c r="AB565" s="37"/>
      <c r="AC565" s="697">
        <f>'Ref-DOE'!$M$29</f>
        <v>15.712499999999999</v>
      </c>
      <c r="AD565" s="567" t="s">
        <v>84</v>
      </c>
      <c r="AE565" s="569" t="s">
        <v>73</v>
      </c>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c r="CA565" s="393"/>
      <c r="CB565" s="393"/>
      <c r="CC565" s="393"/>
      <c r="CD565" s="393"/>
      <c r="CE565" s="393"/>
      <c r="CF565" s="393"/>
      <c r="CG565" s="393"/>
      <c r="CH565" s="393"/>
      <c r="CI565" s="393"/>
      <c r="CJ565" s="390"/>
      <c r="CK565" s="390"/>
      <c r="CL565" s="390"/>
      <c r="CM565" s="390"/>
      <c r="CN565" s="390"/>
      <c r="CO565" s="390"/>
      <c r="CP565" s="390"/>
      <c r="CQ565" s="390"/>
      <c r="CR565" s="390"/>
      <c r="CS565" s="390"/>
      <c r="CT565" s="390"/>
      <c r="CU565" s="390"/>
      <c r="CV565" s="390"/>
      <c r="CW565" s="390"/>
      <c r="CX565" s="390"/>
      <c r="CY565" s="390"/>
      <c r="CZ565" s="390"/>
      <c r="DA565" s="390"/>
      <c r="DB565" s="390"/>
      <c r="DC565" s="390"/>
    </row>
    <row r="566" spans="1:107" s="303" customFormat="1" ht="45">
      <c r="A566" s="37"/>
      <c r="B566" s="692" t="s">
        <v>30</v>
      </c>
      <c r="C566" s="567" t="s">
        <v>1185</v>
      </c>
      <c r="D566" s="568" t="s">
        <v>1172</v>
      </c>
      <c r="E566" s="571">
        <f>'Ref-ComSources'!$W$46</f>
        <v>2459.6914582638165</v>
      </c>
      <c r="F566" s="569" t="s">
        <v>1245</v>
      </c>
      <c r="G566" s="570">
        <f>'Ref-2013CSSsaturationsEXT'!$F$6</f>
        <v>0.67727715656069643</v>
      </c>
      <c r="H566" s="567" t="s">
        <v>110</v>
      </c>
      <c r="I566" s="693">
        <f>'Ref-2013CSSsaturationsEXT'!$J$6</f>
        <v>0.33050057310858838</v>
      </c>
      <c r="J566" s="567" t="s">
        <v>994</v>
      </c>
      <c r="K566" s="567" t="s">
        <v>111</v>
      </c>
      <c r="L566" s="567" t="s">
        <v>101</v>
      </c>
      <c r="M566" s="567" t="s">
        <v>91</v>
      </c>
      <c r="N566" s="572">
        <f>E566*G566*'Ref-Savings Calculations'!$E$14*Applicability</f>
        <v>182.48540012508693</v>
      </c>
      <c r="O566" s="572" t="s">
        <v>870</v>
      </c>
      <c r="P566" s="572">
        <f>E566*G566*'Ref-Savings Calculations'!$E$15*Applicability</f>
        <v>182.48540012508693</v>
      </c>
      <c r="Q566" s="572" t="s">
        <v>870</v>
      </c>
      <c r="R566" s="37"/>
      <c r="S566" s="567" t="s">
        <v>68</v>
      </c>
      <c r="T566" s="567" t="s">
        <v>63</v>
      </c>
      <c r="U566" s="567" t="s">
        <v>69</v>
      </c>
      <c r="V566" s="567" t="s">
        <v>69</v>
      </c>
      <c r="W566" s="567" t="s">
        <v>76</v>
      </c>
      <c r="X566" s="37"/>
      <c r="Y566" s="37"/>
      <c r="Z566" s="569" t="s">
        <v>78</v>
      </c>
      <c r="AA566" s="569" t="s">
        <v>78</v>
      </c>
      <c r="AB566" s="37"/>
      <c r="AC566" s="697">
        <f>'Ref-DOE'!$M$29</f>
        <v>15.712499999999999</v>
      </c>
      <c r="AD566" s="567" t="s">
        <v>84</v>
      </c>
      <c r="AE566" s="569" t="s">
        <v>73</v>
      </c>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c r="CA566" s="393"/>
      <c r="CB566" s="393"/>
      <c r="CC566" s="393"/>
      <c r="CD566" s="393"/>
      <c r="CE566" s="393"/>
      <c r="CF566" s="393"/>
      <c r="CG566" s="393"/>
      <c r="CH566" s="393"/>
      <c r="CI566" s="393"/>
      <c r="CJ566" s="390"/>
      <c r="CK566" s="390"/>
      <c r="CL566" s="390"/>
      <c r="CM566" s="390"/>
      <c r="CN566" s="390"/>
      <c r="CO566" s="390"/>
      <c r="CP566" s="390"/>
      <c r="CQ566" s="390"/>
      <c r="CR566" s="390"/>
      <c r="CS566" s="390"/>
      <c r="CT566" s="390"/>
      <c r="CU566" s="390"/>
      <c r="CV566" s="390"/>
      <c r="CW566" s="390"/>
      <c r="CX566" s="390"/>
      <c r="CY566" s="390"/>
      <c r="CZ566" s="390"/>
      <c r="DA566" s="390"/>
      <c r="DB566" s="390"/>
      <c r="DC566" s="390"/>
    </row>
    <row r="567" spans="1:107" s="303" customFormat="1" ht="45">
      <c r="A567" s="37"/>
      <c r="B567" s="692" t="s">
        <v>30</v>
      </c>
      <c r="C567" s="567" t="s">
        <v>1185</v>
      </c>
      <c r="D567" s="568" t="s">
        <v>1172</v>
      </c>
      <c r="E567" s="571">
        <f>'Ref-ComSources'!$W$46</f>
        <v>2459.6914582638165</v>
      </c>
      <c r="F567" s="569" t="s">
        <v>1245</v>
      </c>
      <c r="G567" s="570">
        <f>'Ref-2013CSSsaturationsEXT'!$F$6</f>
        <v>0.67727715656069643</v>
      </c>
      <c r="H567" s="567" t="s">
        <v>110</v>
      </c>
      <c r="I567" s="693">
        <f>'Ref-2013CSSsaturationsEXT'!$J$6</f>
        <v>0.33050057310858838</v>
      </c>
      <c r="J567" s="567" t="s">
        <v>994</v>
      </c>
      <c r="K567" s="567" t="s">
        <v>111</v>
      </c>
      <c r="L567" s="567" t="s">
        <v>101</v>
      </c>
      <c r="M567" s="567" t="s">
        <v>92</v>
      </c>
      <c r="N567" s="572">
        <f>E567*G567*'Ref-Savings Calculations'!$E$14*Applicability</f>
        <v>182.48540012508693</v>
      </c>
      <c r="O567" s="572">
        <f>G567*E567*'Ref-Savings Calculations'!$C$99*Applicability*ControlShare</f>
        <v>158.56661874898904</v>
      </c>
      <c r="P567" s="572">
        <f>E567*G567*'Ref-Savings Calculations'!$E$15*Applicability</f>
        <v>182.48540012508693</v>
      </c>
      <c r="Q567" s="572">
        <f>G567*E567*('Ref-Savings Calculations'!$C$99-('Ref-Savings Calculations'!$C$75*(1-'Ref-Savings Calculations'!$B$50)))*Applicability*ControlShare</f>
        <v>90.735342950810406</v>
      </c>
      <c r="R567" s="37"/>
      <c r="S567" s="567" t="s">
        <v>68</v>
      </c>
      <c r="T567" s="567" t="s">
        <v>63</v>
      </c>
      <c r="U567" s="567" t="s">
        <v>69</v>
      </c>
      <c r="V567" s="567" t="s">
        <v>69</v>
      </c>
      <c r="W567" s="567" t="s">
        <v>76</v>
      </c>
      <c r="X567" s="37"/>
      <c r="Y567" s="37"/>
      <c r="Z567" s="569" t="s">
        <v>78</v>
      </c>
      <c r="AA567" s="569" t="s">
        <v>78</v>
      </c>
      <c r="AB567" s="37"/>
      <c r="AC567" s="697">
        <f>'Ref-DOE'!$M$29</f>
        <v>15.712499999999999</v>
      </c>
      <c r="AD567" s="567" t="s">
        <v>84</v>
      </c>
      <c r="AE567" s="569" t="s">
        <v>73</v>
      </c>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c r="CA567" s="393"/>
      <c r="CB567" s="393"/>
      <c r="CC567" s="393"/>
      <c r="CD567" s="393"/>
      <c r="CE567" s="393"/>
      <c r="CF567" s="393"/>
      <c r="CG567" s="393"/>
      <c r="CH567" s="393"/>
      <c r="CI567" s="393"/>
      <c r="CJ567" s="390"/>
      <c r="CK567" s="390"/>
      <c r="CL567" s="390"/>
      <c r="CM567" s="390"/>
      <c r="CN567" s="390"/>
      <c r="CO567" s="390"/>
      <c r="CP567" s="390"/>
      <c r="CQ567" s="390"/>
      <c r="CR567" s="390"/>
      <c r="CS567" s="390"/>
      <c r="CT567" s="390"/>
      <c r="CU567" s="390"/>
      <c r="CV567" s="390"/>
      <c r="CW567" s="390"/>
      <c r="CX567" s="390"/>
      <c r="CY567" s="390"/>
      <c r="CZ567" s="390"/>
      <c r="DA567" s="390"/>
      <c r="DB567" s="390"/>
      <c r="DC567" s="390"/>
    </row>
    <row r="568" spans="1:107" s="303" customFormat="1" ht="45">
      <c r="A568" s="37"/>
      <c r="B568" s="692" t="s">
        <v>30</v>
      </c>
      <c r="C568" s="567" t="s">
        <v>1185</v>
      </c>
      <c r="D568" s="568" t="s">
        <v>1172</v>
      </c>
      <c r="E568" s="571">
        <f>'Ref-ComSources'!$W$46</f>
        <v>2459.6914582638165</v>
      </c>
      <c r="F568" s="569" t="s">
        <v>1245</v>
      </c>
      <c r="G568" s="570">
        <f>'Ref-2013CSSsaturationsEXT'!$F$6</f>
        <v>0.67727715656069643</v>
      </c>
      <c r="H568" s="567" t="s">
        <v>110</v>
      </c>
      <c r="I568" s="693">
        <f>'Ref-2013CSSsaturationsEXT'!$J$6</f>
        <v>0.33050057310858838</v>
      </c>
      <c r="J568" s="567" t="s">
        <v>994</v>
      </c>
      <c r="K568" s="567" t="s">
        <v>111</v>
      </c>
      <c r="L568" s="567" t="s">
        <v>101</v>
      </c>
      <c r="M568" s="567" t="s">
        <v>93</v>
      </c>
      <c r="N568" s="572">
        <f>E568*G568*'Ref-Savings Calculations'!$E$14*Applicability</f>
        <v>182.48540012508693</v>
      </c>
      <c r="O568" s="572">
        <f>G568*E568*'Ref-Savings Calculations'!$C$123*Applicability*ControlShare</f>
        <v>180.5897602419042</v>
      </c>
      <c r="P568" s="572">
        <f>E568*G568*'Ref-Savings Calculations'!$E$15*Applicability</f>
        <v>182.48540012508693</v>
      </c>
      <c r="Q568" s="572">
        <f>G568*E568*('Ref-Savings Calculations'!$C$123-('Ref-Savings Calculations'!$C$75*(1-'Ref-Savings Calculations'!$B$50)))*Applicability*ControlShare</f>
        <v>112.75848444372555</v>
      </c>
      <c r="R568" s="37"/>
      <c r="S568" s="567" t="s">
        <v>68</v>
      </c>
      <c r="T568" s="567" t="s">
        <v>63</v>
      </c>
      <c r="U568" s="567" t="s">
        <v>69</v>
      </c>
      <c r="V568" s="567" t="s">
        <v>69</v>
      </c>
      <c r="W568" s="567" t="s">
        <v>76</v>
      </c>
      <c r="X568" s="37"/>
      <c r="Y568" s="37"/>
      <c r="Z568" s="569" t="s">
        <v>78</v>
      </c>
      <c r="AA568" s="569" t="s">
        <v>78</v>
      </c>
      <c r="AB568" s="37"/>
      <c r="AC568" s="697">
        <f>'Ref-DOE'!$M$29</f>
        <v>15.712499999999999</v>
      </c>
      <c r="AD568" s="567" t="s">
        <v>84</v>
      </c>
      <c r="AE568" s="569" t="s">
        <v>73</v>
      </c>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c r="CA568" s="393"/>
      <c r="CB568" s="393"/>
      <c r="CC568" s="393"/>
      <c r="CD568" s="393"/>
      <c r="CE568" s="393"/>
      <c r="CF568" s="393"/>
      <c r="CG568" s="393"/>
      <c r="CH568" s="393"/>
      <c r="CI568" s="393"/>
      <c r="CJ568" s="390"/>
      <c r="CK568" s="390"/>
      <c r="CL568" s="390"/>
      <c r="CM568" s="390"/>
      <c r="CN568" s="390"/>
      <c r="CO568" s="390"/>
      <c r="CP568" s="390"/>
      <c r="CQ568" s="390"/>
      <c r="CR568" s="390"/>
      <c r="CS568" s="390"/>
      <c r="CT568" s="390"/>
      <c r="CU568" s="390"/>
      <c r="CV568" s="390"/>
      <c r="CW568" s="390"/>
      <c r="CX568" s="390"/>
      <c r="CY568" s="390"/>
      <c r="CZ568" s="390"/>
      <c r="DA568" s="390"/>
      <c r="DB568" s="390"/>
      <c r="DC568" s="390"/>
    </row>
    <row r="569" spans="1:107" s="303" customFormat="1" ht="45">
      <c r="A569" s="37"/>
      <c r="B569" s="692" t="s">
        <v>30</v>
      </c>
      <c r="C569" s="567" t="s">
        <v>1185</v>
      </c>
      <c r="D569" s="568" t="s">
        <v>1172</v>
      </c>
      <c r="E569" s="571">
        <f>'Ref-ComSources'!$W$46</f>
        <v>2459.6914582638165</v>
      </c>
      <c r="F569" s="569" t="s">
        <v>1256</v>
      </c>
      <c r="G569" s="570">
        <f>'Ref-2013CSSsaturationsEXT'!$F$7</f>
        <v>0.13764237591009837</v>
      </c>
      <c r="H569" s="567" t="s">
        <v>110</v>
      </c>
      <c r="I569" s="693">
        <f>'Ref-2013CSSsaturationsEXT'!$J$15</f>
        <v>0.97114627565951095</v>
      </c>
      <c r="J569" s="569" t="s">
        <v>32</v>
      </c>
      <c r="K569" s="567" t="s">
        <v>111</v>
      </c>
      <c r="L569" s="567" t="s">
        <v>1270</v>
      </c>
      <c r="M569" s="567" t="s">
        <v>88</v>
      </c>
      <c r="N569" s="572">
        <f>E569*G569*'Ref-Savings Calculations'!$E$22*Applicability</f>
        <v>198.91383831205064</v>
      </c>
      <c r="O569" s="572">
        <f>G569*E569*'Ref-Savings Calculations'!$C$75*Applicability*ControlShare</f>
        <v>57.866885748303311</v>
      </c>
      <c r="P569" s="572">
        <f>E569*G569*'Ref-Savings Calculations'!$E$22*Applicability</f>
        <v>198.91383831205064</v>
      </c>
      <c r="Q569" s="572">
        <f>G569*E569*'Ref-Savings Calculations'!$C$75*(1-'Ref-Savings Calculations'!B70)*Applicability*ControlShare</f>
        <v>57.866885748303311</v>
      </c>
      <c r="R569" s="37"/>
      <c r="S569" s="567" t="s">
        <v>44</v>
      </c>
      <c r="T569" s="567" t="s">
        <v>63</v>
      </c>
      <c r="U569" s="567" t="s">
        <v>69</v>
      </c>
      <c r="V569" s="567" t="s">
        <v>69</v>
      </c>
      <c r="W569" s="567" t="s">
        <v>76</v>
      </c>
      <c r="X569" s="37"/>
      <c r="Y569" s="37"/>
      <c r="Z569" s="569" t="s">
        <v>78</v>
      </c>
      <c r="AA569" s="569" t="s">
        <v>78</v>
      </c>
      <c r="AB569" s="37"/>
      <c r="AC569" s="697">
        <f>'Ref-DOE'!$M$29</f>
        <v>15.712499999999999</v>
      </c>
      <c r="AD569" s="567" t="s">
        <v>84</v>
      </c>
      <c r="AE569" s="569" t="s">
        <v>73</v>
      </c>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c r="CA569" s="393"/>
      <c r="CB569" s="393"/>
      <c r="CC569" s="393"/>
      <c r="CD569" s="393"/>
      <c r="CE569" s="393"/>
      <c r="CF569" s="393"/>
      <c r="CG569" s="393"/>
      <c r="CH569" s="393"/>
      <c r="CI569" s="393"/>
      <c r="CJ569" s="390"/>
      <c r="CK569" s="390"/>
      <c r="CL569" s="390"/>
      <c r="CM569" s="390"/>
      <c r="CN569" s="390"/>
      <c r="CO569" s="390"/>
      <c r="CP569" s="390"/>
      <c r="CQ569" s="390"/>
      <c r="CR569" s="390"/>
      <c r="CS569" s="390"/>
      <c r="CT569" s="390"/>
      <c r="CU569" s="390"/>
      <c r="CV569" s="390"/>
      <c r="CW569" s="390"/>
      <c r="CX569" s="390"/>
      <c r="CY569" s="390"/>
      <c r="CZ569" s="390"/>
      <c r="DA569" s="390"/>
      <c r="DB569" s="390"/>
      <c r="DC569" s="390"/>
    </row>
    <row r="570" spans="1:107" s="303" customFormat="1" ht="45">
      <c r="A570" s="37"/>
      <c r="B570" s="692" t="s">
        <v>30</v>
      </c>
      <c r="C570" s="567" t="s">
        <v>1185</v>
      </c>
      <c r="D570" s="568" t="s">
        <v>1172</v>
      </c>
      <c r="E570" s="571">
        <f>'Ref-ComSources'!$W$46</f>
        <v>2459.6914582638165</v>
      </c>
      <c r="F570" s="569" t="s">
        <v>1256</v>
      </c>
      <c r="G570" s="570">
        <f>'Ref-2013CSSsaturationsEXT'!$F$7</f>
        <v>0.13764237591009837</v>
      </c>
      <c r="H570" s="567" t="s">
        <v>110</v>
      </c>
      <c r="I570" s="693">
        <f>'Ref-2013CSSsaturationsEXT'!$J$15</f>
        <v>0.97114627565951095</v>
      </c>
      <c r="J570" s="569" t="s">
        <v>32</v>
      </c>
      <c r="K570" s="567" t="s">
        <v>111</v>
      </c>
      <c r="L570" s="567" t="s">
        <v>1270</v>
      </c>
      <c r="M570" s="567" t="s">
        <v>90</v>
      </c>
      <c r="N570" s="572">
        <f>E570*G570*'Ref-Savings Calculations'!$E$22*Applicability</f>
        <v>198.91383831205064</v>
      </c>
      <c r="O570" s="572" t="s">
        <v>871</v>
      </c>
      <c r="P570" s="572">
        <f>E570*G570*'Ref-Savings Calculations'!$E$22*Applicability</f>
        <v>198.91383831205064</v>
      </c>
      <c r="Q570" s="572" t="s">
        <v>871</v>
      </c>
      <c r="R570" s="37"/>
      <c r="S570" s="567" t="s">
        <v>44</v>
      </c>
      <c r="T570" s="567" t="s">
        <v>63</v>
      </c>
      <c r="U570" s="567" t="s">
        <v>69</v>
      </c>
      <c r="V570" s="567" t="s">
        <v>69</v>
      </c>
      <c r="W570" s="567" t="s">
        <v>76</v>
      </c>
      <c r="X570" s="37"/>
      <c r="Y570" s="37"/>
      <c r="Z570" s="569" t="s">
        <v>78</v>
      </c>
      <c r="AA570" s="569" t="s">
        <v>78</v>
      </c>
      <c r="AB570" s="37"/>
      <c r="AC570" s="697">
        <f>'Ref-DOE'!$M$29</f>
        <v>15.712499999999999</v>
      </c>
      <c r="AD570" s="567" t="s">
        <v>84</v>
      </c>
      <c r="AE570" s="569" t="s">
        <v>73</v>
      </c>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c r="CA570" s="393"/>
      <c r="CB570" s="393"/>
      <c r="CC570" s="393"/>
      <c r="CD570" s="393"/>
      <c r="CE570" s="393"/>
      <c r="CF570" s="393"/>
      <c r="CG570" s="393"/>
      <c r="CH570" s="393"/>
      <c r="CI570" s="393"/>
      <c r="CJ570" s="390"/>
      <c r="CK570" s="390"/>
      <c r="CL570" s="390"/>
      <c r="CM570" s="390"/>
      <c r="CN570" s="390"/>
      <c r="CO570" s="390"/>
      <c r="CP570" s="390"/>
      <c r="CQ570" s="390"/>
      <c r="CR570" s="390"/>
      <c r="CS570" s="390"/>
      <c r="CT570" s="390"/>
      <c r="CU570" s="390"/>
      <c r="CV570" s="390"/>
      <c r="CW570" s="390"/>
      <c r="CX570" s="390"/>
      <c r="CY570" s="390"/>
      <c r="CZ570" s="390"/>
      <c r="DA570" s="390"/>
      <c r="DB570" s="390"/>
      <c r="DC570" s="390"/>
    </row>
    <row r="571" spans="1:107" s="303" customFormat="1" ht="45">
      <c r="A571" s="37"/>
      <c r="B571" s="692" t="s">
        <v>30</v>
      </c>
      <c r="C571" s="567" t="s">
        <v>1185</v>
      </c>
      <c r="D571" s="568" t="s">
        <v>1172</v>
      </c>
      <c r="E571" s="571">
        <f>'Ref-ComSources'!$W$46</f>
        <v>2459.6914582638165</v>
      </c>
      <c r="F571" s="569" t="s">
        <v>1256</v>
      </c>
      <c r="G571" s="570">
        <f>'Ref-2013CSSsaturationsEXT'!$F$7</f>
        <v>0.13764237591009837</v>
      </c>
      <c r="H571" s="567" t="s">
        <v>110</v>
      </c>
      <c r="I571" s="693">
        <f>'Ref-2013CSSsaturationsEXT'!$J$15</f>
        <v>0.97114627565951095</v>
      </c>
      <c r="J571" s="569" t="s">
        <v>32</v>
      </c>
      <c r="K571" s="567" t="s">
        <v>111</v>
      </c>
      <c r="L571" s="567" t="s">
        <v>1270</v>
      </c>
      <c r="M571" s="567" t="s">
        <v>91</v>
      </c>
      <c r="N571" s="572">
        <f>E571*G571*'Ref-Savings Calculations'!$E$22*Applicability</f>
        <v>198.91383831205064</v>
      </c>
      <c r="O571" s="572" t="s">
        <v>870</v>
      </c>
      <c r="P571" s="572">
        <f>E571*G571*'Ref-Savings Calculations'!$E$22*Applicability</f>
        <v>198.91383831205064</v>
      </c>
      <c r="Q571" s="572" t="s">
        <v>870</v>
      </c>
      <c r="R571" s="37"/>
      <c r="S571" s="567" t="s">
        <v>44</v>
      </c>
      <c r="T571" s="567" t="s">
        <v>63</v>
      </c>
      <c r="U571" s="567" t="s">
        <v>870</v>
      </c>
      <c r="V571" s="567" t="s">
        <v>870</v>
      </c>
      <c r="W571" s="567" t="s">
        <v>76</v>
      </c>
      <c r="X571" s="37"/>
      <c r="Y571" s="37"/>
      <c r="Z571" s="569" t="s">
        <v>78</v>
      </c>
      <c r="AA571" s="569" t="s">
        <v>78</v>
      </c>
      <c r="AB571" s="37"/>
      <c r="AC571" s="697">
        <f>'Ref-DOE'!$M$29</f>
        <v>15.712499999999999</v>
      </c>
      <c r="AD571" s="567" t="s">
        <v>84</v>
      </c>
      <c r="AE571" s="569" t="s">
        <v>73</v>
      </c>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c r="CA571" s="393"/>
      <c r="CB571" s="393"/>
      <c r="CC571" s="393"/>
      <c r="CD571" s="393"/>
      <c r="CE571" s="393"/>
      <c r="CF571" s="393"/>
      <c r="CG571" s="393"/>
      <c r="CH571" s="393"/>
      <c r="CI571" s="393"/>
      <c r="CJ571" s="390"/>
      <c r="CK571" s="390"/>
      <c r="CL571" s="390"/>
      <c r="CM571" s="390"/>
      <c r="CN571" s="390"/>
      <c r="CO571" s="390"/>
      <c r="CP571" s="390"/>
      <c r="CQ571" s="390"/>
      <c r="CR571" s="390"/>
      <c r="CS571" s="390"/>
      <c r="CT571" s="390"/>
      <c r="CU571" s="390"/>
      <c r="CV571" s="390"/>
      <c r="CW571" s="390"/>
      <c r="CX571" s="390"/>
      <c r="CY571" s="390"/>
      <c r="CZ571" s="390"/>
      <c r="DA571" s="390"/>
      <c r="DB571" s="390"/>
      <c r="DC571" s="390"/>
    </row>
    <row r="572" spans="1:107" s="303" customFormat="1" ht="45">
      <c r="A572" s="37"/>
      <c r="B572" s="692" t="s">
        <v>30</v>
      </c>
      <c r="C572" s="567" t="s">
        <v>1185</v>
      </c>
      <c r="D572" s="568" t="s">
        <v>1172</v>
      </c>
      <c r="E572" s="571">
        <f>'Ref-ComSources'!$W$46</f>
        <v>2459.6914582638165</v>
      </c>
      <c r="F572" s="569" t="s">
        <v>1256</v>
      </c>
      <c r="G572" s="570">
        <f>'Ref-2013CSSsaturationsEXT'!$F$7</f>
        <v>0.13764237591009837</v>
      </c>
      <c r="H572" s="567" t="s">
        <v>110</v>
      </c>
      <c r="I572" s="693">
        <f>'Ref-2013CSSsaturationsEXT'!$J$15</f>
        <v>0.97114627565951095</v>
      </c>
      <c r="J572" s="569" t="s">
        <v>32</v>
      </c>
      <c r="K572" s="567" t="s">
        <v>111</v>
      </c>
      <c r="L572" s="567" t="s">
        <v>1270</v>
      </c>
      <c r="M572" s="567" t="s">
        <v>92</v>
      </c>
      <c r="N572" s="572">
        <f>E572*G572*'Ref-Savings Calculations'!$E$22*Applicability</f>
        <v>198.91383831205064</v>
      </c>
      <c r="O572" s="572">
        <f>G572*E572*'Ref-Savings Calculations'!$C$99*Applicability*ControlShare</f>
        <v>94.691267588132689</v>
      </c>
      <c r="P572" s="572">
        <f>E572*G572*'Ref-Savings Calculations'!$E$22*Applicability</f>
        <v>198.91383831205064</v>
      </c>
      <c r="Q572" s="572">
        <f>G572*E572*('Ref-Savings Calculations'!$C$99-('Ref-Savings Calculations'!$C$75*(1-'Ref-Savings Calculations'!$B$50)))*Applicability*ControlShare</f>
        <v>54.184447564320379</v>
      </c>
      <c r="R572" s="37"/>
      <c r="S572" s="567" t="s">
        <v>44</v>
      </c>
      <c r="T572" s="567" t="s">
        <v>63</v>
      </c>
      <c r="U572" s="567" t="s">
        <v>69</v>
      </c>
      <c r="V572" s="567" t="s">
        <v>69</v>
      </c>
      <c r="W572" s="567" t="s">
        <v>76</v>
      </c>
      <c r="X572" s="37"/>
      <c r="Y572" s="37"/>
      <c r="Z572" s="569" t="s">
        <v>78</v>
      </c>
      <c r="AA572" s="569" t="s">
        <v>78</v>
      </c>
      <c r="AB572" s="37"/>
      <c r="AC572" s="697">
        <f>'Ref-DOE'!$M$29</f>
        <v>15.712499999999999</v>
      </c>
      <c r="AD572" s="567" t="s">
        <v>84</v>
      </c>
      <c r="AE572" s="569" t="s">
        <v>73</v>
      </c>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c r="CA572" s="393"/>
      <c r="CB572" s="393"/>
      <c r="CC572" s="393"/>
      <c r="CD572" s="393"/>
      <c r="CE572" s="393"/>
      <c r="CF572" s="393"/>
      <c r="CG572" s="393"/>
      <c r="CH572" s="393"/>
      <c r="CI572" s="393"/>
      <c r="CJ572" s="390"/>
      <c r="CK572" s="390"/>
      <c r="CL572" s="390"/>
      <c r="CM572" s="390"/>
      <c r="CN572" s="390"/>
      <c r="CO572" s="390"/>
      <c r="CP572" s="390"/>
      <c r="CQ572" s="390"/>
      <c r="CR572" s="390"/>
      <c r="CS572" s="390"/>
      <c r="CT572" s="390"/>
      <c r="CU572" s="390"/>
      <c r="CV572" s="390"/>
      <c r="CW572" s="390"/>
      <c r="CX572" s="390"/>
      <c r="CY572" s="390"/>
      <c r="CZ572" s="390"/>
      <c r="DA572" s="390"/>
      <c r="DB572" s="390"/>
      <c r="DC572" s="390"/>
    </row>
    <row r="573" spans="1:107" s="303" customFormat="1" ht="45">
      <c r="A573" s="37"/>
      <c r="B573" s="692" t="s">
        <v>30</v>
      </c>
      <c r="C573" s="567" t="s">
        <v>1185</v>
      </c>
      <c r="D573" s="568" t="s">
        <v>1172</v>
      </c>
      <c r="E573" s="571">
        <f>'Ref-ComSources'!$W$46</f>
        <v>2459.6914582638165</v>
      </c>
      <c r="F573" s="569" t="s">
        <v>1256</v>
      </c>
      <c r="G573" s="570">
        <f>'Ref-2013CSSsaturationsEXT'!$F$7</f>
        <v>0.13764237591009837</v>
      </c>
      <c r="H573" s="567" t="s">
        <v>110</v>
      </c>
      <c r="I573" s="693">
        <f>'Ref-2013CSSsaturationsEXT'!$J$15</f>
        <v>0.97114627565951095</v>
      </c>
      <c r="J573" s="569" t="s">
        <v>32</v>
      </c>
      <c r="K573" s="567" t="s">
        <v>111</v>
      </c>
      <c r="L573" s="567" t="s">
        <v>1270</v>
      </c>
      <c r="M573" s="567" t="s">
        <v>93</v>
      </c>
      <c r="N573" s="572">
        <f>E573*G573*'Ref-Savings Calculations'!$E$22*Applicability</f>
        <v>198.91383831205064</v>
      </c>
      <c r="O573" s="572">
        <f>G573*E573*'Ref-Savings Calculations'!$C$123*Applicability*ControlShare</f>
        <v>107.84283253092892</v>
      </c>
      <c r="P573" s="572">
        <f>E573*G573*'Ref-Savings Calculations'!$E$22*Applicability</f>
        <v>198.91383831205064</v>
      </c>
      <c r="Q573" s="572">
        <f>G573*E573*('Ref-Savings Calculations'!$C$123-('Ref-Savings Calculations'!$C$75*(1-'Ref-Savings Calculations'!$B$50)))*Applicability*ControlShare</f>
        <v>67.336012507116592</v>
      </c>
      <c r="R573" s="37"/>
      <c r="S573" s="567" t="s">
        <v>44</v>
      </c>
      <c r="T573" s="567" t="s">
        <v>63</v>
      </c>
      <c r="U573" s="567" t="s">
        <v>44</v>
      </c>
      <c r="V573" s="567" t="s">
        <v>75</v>
      </c>
      <c r="W573" s="567" t="s">
        <v>76</v>
      </c>
      <c r="X573" s="37"/>
      <c r="Y573" s="37"/>
      <c r="Z573" s="569" t="s">
        <v>78</v>
      </c>
      <c r="AA573" s="569" t="s">
        <v>78</v>
      </c>
      <c r="AB573" s="37"/>
      <c r="AC573" s="697">
        <f>'Ref-DOE'!$M$29</f>
        <v>15.712499999999999</v>
      </c>
      <c r="AD573" s="567" t="s">
        <v>84</v>
      </c>
      <c r="AE573" s="569" t="s">
        <v>73</v>
      </c>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c r="CA573" s="393"/>
      <c r="CB573" s="393"/>
      <c r="CC573" s="393"/>
      <c r="CD573" s="393"/>
      <c r="CE573" s="393"/>
      <c r="CF573" s="393"/>
      <c r="CG573" s="393"/>
      <c r="CH573" s="393"/>
      <c r="CI573" s="393"/>
      <c r="CJ573" s="390"/>
      <c r="CK573" s="390"/>
      <c r="CL573" s="390"/>
      <c r="CM573" s="390"/>
      <c r="CN573" s="390"/>
      <c r="CO573" s="390"/>
      <c r="CP573" s="390"/>
      <c r="CQ573" s="390"/>
      <c r="CR573" s="390"/>
      <c r="CS573" s="390"/>
      <c r="CT573" s="390"/>
      <c r="CU573" s="390"/>
      <c r="CV573" s="390"/>
      <c r="CW573" s="390"/>
      <c r="CX573" s="390"/>
      <c r="CY573" s="390"/>
      <c r="CZ573" s="390"/>
      <c r="DA573" s="390"/>
      <c r="DB573" s="390"/>
      <c r="DC573" s="390"/>
    </row>
    <row r="574" spans="1:107" s="303" customFormat="1" ht="45">
      <c r="A574" s="37"/>
      <c r="B574" s="692" t="s">
        <v>30</v>
      </c>
      <c r="C574" s="567" t="s">
        <v>1185</v>
      </c>
      <c r="D574" s="568" t="s">
        <v>1172</v>
      </c>
      <c r="E574" s="571">
        <f>'Ref-ComSources'!$W$46</f>
        <v>2459.6914582638165</v>
      </c>
      <c r="F574" s="569" t="s">
        <v>1256</v>
      </c>
      <c r="G574" s="570">
        <f>'Ref-2013CSSsaturationsEXT'!$F$7</f>
        <v>0.13764237591009837</v>
      </c>
      <c r="H574" s="567" t="s">
        <v>110</v>
      </c>
      <c r="I574" s="693">
        <f>'Ref-2013CSSsaturationsEXT'!$J$15</f>
        <v>0.97114627565951095</v>
      </c>
      <c r="J574" s="569" t="s">
        <v>32</v>
      </c>
      <c r="K574" s="567" t="s">
        <v>111</v>
      </c>
      <c r="L574" s="567" t="s">
        <v>995</v>
      </c>
      <c r="M574" s="567" t="s">
        <v>88</v>
      </c>
      <c r="N574" s="572">
        <f>E574*G574*'Ref-Savings Calculations'!$E$21*Applicability</f>
        <v>86.955892023551925</v>
      </c>
      <c r="O574" s="572">
        <f>G574*E574*'Ref-Savings Calculations'!$C$75*Applicability*ControlShare</f>
        <v>57.866885748303311</v>
      </c>
      <c r="P574" s="572">
        <f>E574*G574*'Ref-Savings Calculations'!$E$21*Applicability</f>
        <v>86.955892023551925</v>
      </c>
      <c r="Q574" s="572">
        <f>G574*E574*'Ref-Savings Calculations'!$C$75*(1-'Ref-Savings Calculations'!B75)*Applicability*ControlShare</f>
        <v>57.866885748303311</v>
      </c>
      <c r="R574" s="37"/>
      <c r="S574" s="567" t="s">
        <v>1273</v>
      </c>
      <c r="T574" s="567" t="s">
        <v>69</v>
      </c>
      <c r="U574" s="567" t="s">
        <v>69</v>
      </c>
      <c r="V574" s="567" t="s">
        <v>69</v>
      </c>
      <c r="W574" s="567" t="s">
        <v>76</v>
      </c>
      <c r="X574" s="37"/>
      <c r="Y574" s="37"/>
      <c r="Z574" s="569" t="s">
        <v>78</v>
      </c>
      <c r="AA574" s="569" t="s">
        <v>78</v>
      </c>
      <c r="AB574" s="37"/>
      <c r="AC574" s="697">
        <f>'Ref-DOE'!$M$29</f>
        <v>15.712499999999999</v>
      </c>
      <c r="AD574" s="567" t="s">
        <v>84</v>
      </c>
      <c r="AE574" s="569" t="s">
        <v>73</v>
      </c>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c r="CA574" s="393"/>
      <c r="CB574" s="393"/>
      <c r="CC574" s="393"/>
      <c r="CD574" s="393"/>
      <c r="CE574" s="393"/>
      <c r="CF574" s="393"/>
      <c r="CG574" s="393"/>
      <c r="CH574" s="393"/>
      <c r="CI574" s="393"/>
      <c r="CJ574" s="390"/>
      <c r="CK574" s="390"/>
      <c r="CL574" s="390"/>
      <c r="CM574" s="390"/>
      <c r="CN574" s="390"/>
      <c r="CO574" s="390"/>
      <c r="CP574" s="390"/>
      <c r="CQ574" s="390"/>
      <c r="CR574" s="390"/>
      <c r="CS574" s="390"/>
      <c r="CT574" s="390"/>
      <c r="CU574" s="390"/>
      <c r="CV574" s="390"/>
      <c r="CW574" s="390"/>
      <c r="CX574" s="390"/>
      <c r="CY574" s="390"/>
      <c r="CZ574" s="390"/>
      <c r="DA574" s="390"/>
      <c r="DB574" s="390"/>
      <c r="DC574" s="390"/>
    </row>
    <row r="575" spans="1:107" s="303" customFormat="1" ht="45">
      <c r="A575" s="37"/>
      <c r="B575" s="692" t="s">
        <v>30</v>
      </c>
      <c r="C575" s="567" t="s">
        <v>1185</v>
      </c>
      <c r="D575" s="568" t="s">
        <v>1172</v>
      </c>
      <c r="E575" s="571">
        <f>'Ref-ComSources'!$W$46</f>
        <v>2459.6914582638165</v>
      </c>
      <c r="F575" s="569" t="s">
        <v>1256</v>
      </c>
      <c r="G575" s="570">
        <f>'Ref-2013CSSsaturationsEXT'!$F$7</f>
        <v>0.13764237591009837</v>
      </c>
      <c r="H575" s="567" t="s">
        <v>110</v>
      </c>
      <c r="I575" s="693">
        <f>'Ref-2013CSSsaturationsEXT'!$J$15</f>
        <v>0.97114627565951095</v>
      </c>
      <c r="J575" s="569" t="s">
        <v>32</v>
      </c>
      <c r="K575" s="567" t="s">
        <v>111</v>
      </c>
      <c r="L575" s="567" t="s">
        <v>995</v>
      </c>
      <c r="M575" s="567" t="s">
        <v>90</v>
      </c>
      <c r="N575" s="572">
        <f>E575*G575*'Ref-Savings Calculations'!$E$21*Applicability</f>
        <v>86.955892023551925</v>
      </c>
      <c r="O575" s="572" t="s">
        <v>871</v>
      </c>
      <c r="P575" s="572">
        <f>E575*G575*'Ref-Savings Calculations'!$E$21*Applicability</f>
        <v>86.955892023551925</v>
      </c>
      <c r="Q575" s="572" t="s">
        <v>871</v>
      </c>
      <c r="R575" s="37"/>
      <c r="S575" s="567" t="s">
        <v>1273</v>
      </c>
      <c r="T575" s="567" t="s">
        <v>69</v>
      </c>
      <c r="U575" s="567" t="s">
        <v>69</v>
      </c>
      <c r="V575" s="567" t="s">
        <v>69</v>
      </c>
      <c r="W575" s="567" t="s">
        <v>76</v>
      </c>
      <c r="X575" s="37"/>
      <c r="Y575" s="37"/>
      <c r="Z575" s="569" t="s">
        <v>78</v>
      </c>
      <c r="AA575" s="569" t="s">
        <v>78</v>
      </c>
      <c r="AB575" s="37"/>
      <c r="AC575" s="697">
        <f>'Ref-DOE'!$M$29</f>
        <v>15.712499999999999</v>
      </c>
      <c r="AD575" s="567" t="s">
        <v>84</v>
      </c>
      <c r="AE575" s="569" t="s">
        <v>73</v>
      </c>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c r="CA575" s="393"/>
      <c r="CB575" s="393"/>
      <c r="CC575" s="393"/>
      <c r="CD575" s="393"/>
      <c r="CE575" s="393"/>
      <c r="CF575" s="393"/>
      <c r="CG575" s="393"/>
      <c r="CH575" s="393"/>
      <c r="CI575" s="393"/>
      <c r="CJ575" s="390"/>
      <c r="CK575" s="390"/>
      <c r="CL575" s="390"/>
      <c r="CM575" s="390"/>
      <c r="CN575" s="390"/>
      <c r="CO575" s="390"/>
      <c r="CP575" s="390"/>
      <c r="CQ575" s="390"/>
      <c r="CR575" s="390"/>
      <c r="CS575" s="390"/>
      <c r="CT575" s="390"/>
      <c r="CU575" s="390"/>
      <c r="CV575" s="390"/>
      <c r="CW575" s="390"/>
      <c r="CX575" s="390"/>
      <c r="CY575" s="390"/>
      <c r="CZ575" s="390"/>
      <c r="DA575" s="390"/>
      <c r="DB575" s="390"/>
      <c r="DC575" s="390"/>
    </row>
    <row r="576" spans="1:107" s="303" customFormat="1" ht="45">
      <c r="A576" s="37"/>
      <c r="B576" s="692" t="s">
        <v>30</v>
      </c>
      <c r="C576" s="567" t="s">
        <v>1185</v>
      </c>
      <c r="D576" s="568" t="s">
        <v>1172</v>
      </c>
      <c r="E576" s="571">
        <f>'Ref-ComSources'!$W$46</f>
        <v>2459.6914582638165</v>
      </c>
      <c r="F576" s="569" t="s">
        <v>1256</v>
      </c>
      <c r="G576" s="570">
        <f>'Ref-2013CSSsaturationsEXT'!$F$7</f>
        <v>0.13764237591009837</v>
      </c>
      <c r="H576" s="567" t="s">
        <v>110</v>
      </c>
      <c r="I576" s="693">
        <f>'Ref-2013CSSsaturationsEXT'!$J$15</f>
        <v>0.97114627565951095</v>
      </c>
      <c r="J576" s="569" t="s">
        <v>32</v>
      </c>
      <c r="K576" s="567" t="s">
        <v>111</v>
      </c>
      <c r="L576" s="567" t="s">
        <v>995</v>
      </c>
      <c r="M576" s="567" t="s">
        <v>91</v>
      </c>
      <c r="N576" s="572">
        <f>E576*G576*'Ref-Savings Calculations'!$E$21*Applicability</f>
        <v>86.955892023551925</v>
      </c>
      <c r="O576" s="572" t="s">
        <v>870</v>
      </c>
      <c r="P576" s="572">
        <f>E576*G576*'Ref-Savings Calculations'!$E$21*Applicability</f>
        <v>86.955892023551925</v>
      </c>
      <c r="Q576" s="572" t="s">
        <v>870</v>
      </c>
      <c r="R576" s="37"/>
      <c r="S576" s="567" t="s">
        <v>1273</v>
      </c>
      <c r="T576" s="567" t="s">
        <v>69</v>
      </c>
      <c r="U576" s="567" t="s">
        <v>69</v>
      </c>
      <c r="V576" s="567" t="s">
        <v>69</v>
      </c>
      <c r="W576" s="567" t="s">
        <v>76</v>
      </c>
      <c r="X576" s="37"/>
      <c r="Y576" s="37"/>
      <c r="Z576" s="569" t="s">
        <v>78</v>
      </c>
      <c r="AA576" s="569" t="s">
        <v>78</v>
      </c>
      <c r="AB576" s="37"/>
      <c r="AC576" s="697">
        <f>'Ref-DOE'!$M$29</f>
        <v>15.712499999999999</v>
      </c>
      <c r="AD576" s="567" t="s">
        <v>84</v>
      </c>
      <c r="AE576" s="569" t="s">
        <v>73</v>
      </c>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c r="CA576" s="393"/>
      <c r="CB576" s="393"/>
      <c r="CC576" s="393"/>
      <c r="CD576" s="393"/>
      <c r="CE576" s="393"/>
      <c r="CF576" s="393"/>
      <c r="CG576" s="393"/>
      <c r="CH576" s="393"/>
      <c r="CI576" s="393"/>
      <c r="CJ576" s="390"/>
      <c r="CK576" s="390"/>
      <c r="CL576" s="390"/>
      <c r="CM576" s="390"/>
      <c r="CN576" s="390"/>
      <c r="CO576" s="390"/>
      <c r="CP576" s="390"/>
      <c r="CQ576" s="390"/>
      <c r="CR576" s="390"/>
      <c r="CS576" s="390"/>
      <c r="CT576" s="390"/>
      <c r="CU576" s="390"/>
      <c r="CV576" s="390"/>
      <c r="CW576" s="390"/>
      <c r="CX576" s="390"/>
      <c r="CY576" s="390"/>
      <c r="CZ576" s="390"/>
      <c r="DA576" s="390"/>
      <c r="DB576" s="390"/>
      <c r="DC576" s="390"/>
    </row>
    <row r="577" spans="1:107" s="303" customFormat="1" ht="45">
      <c r="A577" s="37"/>
      <c r="B577" s="692" t="s">
        <v>30</v>
      </c>
      <c r="C577" s="567" t="s">
        <v>1185</v>
      </c>
      <c r="D577" s="568" t="s">
        <v>1172</v>
      </c>
      <c r="E577" s="571">
        <f>'Ref-ComSources'!$W$46</f>
        <v>2459.6914582638165</v>
      </c>
      <c r="F577" s="569" t="s">
        <v>1256</v>
      </c>
      <c r="G577" s="570">
        <f>'Ref-2013CSSsaturationsEXT'!$F$7</f>
        <v>0.13764237591009837</v>
      </c>
      <c r="H577" s="567" t="s">
        <v>110</v>
      </c>
      <c r="I577" s="693">
        <f>'Ref-2013CSSsaturationsEXT'!$J$15</f>
        <v>0.97114627565951095</v>
      </c>
      <c r="J577" s="569" t="s">
        <v>32</v>
      </c>
      <c r="K577" s="567" t="s">
        <v>111</v>
      </c>
      <c r="L577" s="567" t="s">
        <v>995</v>
      </c>
      <c r="M577" s="567" t="s">
        <v>92</v>
      </c>
      <c r="N577" s="572">
        <f>E577*G577*'Ref-Savings Calculations'!$E$21*Applicability</f>
        <v>86.955892023551925</v>
      </c>
      <c r="O577" s="572">
        <f>G577*E577*'Ref-Savings Calculations'!$C$99*Applicability*ControlShare</f>
        <v>94.691267588132689</v>
      </c>
      <c r="P577" s="572">
        <f>E577*G577*'Ref-Savings Calculations'!$E$21*Applicability</f>
        <v>86.955892023551925</v>
      </c>
      <c r="Q577" s="572">
        <f>G577*E577*('Ref-Savings Calculations'!$C$99-('Ref-Savings Calculations'!$C$75*(1-'Ref-Savings Calculations'!$B$50)))*Applicability*ControlShare</f>
        <v>54.184447564320379</v>
      </c>
      <c r="R577" s="37"/>
      <c r="S577" s="567" t="s">
        <v>1273</v>
      </c>
      <c r="T577" s="567" t="s">
        <v>69</v>
      </c>
      <c r="U577" s="567" t="s">
        <v>69</v>
      </c>
      <c r="V577" s="567" t="s">
        <v>69</v>
      </c>
      <c r="W577" s="567" t="s">
        <v>76</v>
      </c>
      <c r="X577" s="37"/>
      <c r="Y577" s="37"/>
      <c r="Z577" s="569" t="s">
        <v>78</v>
      </c>
      <c r="AA577" s="569" t="s">
        <v>78</v>
      </c>
      <c r="AB577" s="37"/>
      <c r="AC577" s="697">
        <f>'Ref-DOE'!$M$29</f>
        <v>15.712499999999999</v>
      </c>
      <c r="AD577" s="567" t="s">
        <v>84</v>
      </c>
      <c r="AE577" s="569" t="s">
        <v>73</v>
      </c>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c r="CA577" s="393"/>
      <c r="CB577" s="393"/>
      <c r="CC577" s="393"/>
      <c r="CD577" s="393"/>
      <c r="CE577" s="393"/>
      <c r="CF577" s="393"/>
      <c r="CG577" s="393"/>
      <c r="CH577" s="393"/>
      <c r="CI577" s="393"/>
      <c r="CJ577" s="390"/>
      <c r="CK577" s="390"/>
      <c r="CL577" s="390"/>
      <c r="CM577" s="390"/>
      <c r="CN577" s="390"/>
      <c r="CO577" s="390"/>
      <c r="CP577" s="390"/>
      <c r="CQ577" s="390"/>
      <c r="CR577" s="390"/>
      <c r="CS577" s="390"/>
      <c r="CT577" s="390"/>
      <c r="CU577" s="390"/>
      <c r="CV577" s="390"/>
      <c r="CW577" s="390"/>
      <c r="CX577" s="390"/>
      <c r="CY577" s="390"/>
      <c r="CZ577" s="390"/>
      <c r="DA577" s="390"/>
      <c r="DB577" s="390"/>
      <c r="DC577" s="390"/>
    </row>
    <row r="578" spans="1:107" s="303" customFormat="1" ht="45">
      <c r="A578" s="37"/>
      <c r="B578" s="692" t="s">
        <v>30</v>
      </c>
      <c r="C578" s="567" t="s">
        <v>1185</v>
      </c>
      <c r="D578" s="568" t="s">
        <v>1172</v>
      </c>
      <c r="E578" s="571">
        <f>'Ref-ComSources'!$W$46</f>
        <v>2459.6914582638165</v>
      </c>
      <c r="F578" s="569" t="s">
        <v>1256</v>
      </c>
      <c r="G578" s="570">
        <f>'Ref-2013CSSsaturationsEXT'!$F$7</f>
        <v>0.13764237591009837</v>
      </c>
      <c r="H578" s="567" t="s">
        <v>110</v>
      </c>
      <c r="I578" s="693">
        <f>'Ref-2013CSSsaturationsEXT'!$J$15</f>
        <v>0.97114627565951095</v>
      </c>
      <c r="J578" s="569" t="s">
        <v>32</v>
      </c>
      <c r="K578" s="567" t="s">
        <v>111</v>
      </c>
      <c r="L578" s="567" t="s">
        <v>995</v>
      </c>
      <c r="M578" s="567" t="s">
        <v>93</v>
      </c>
      <c r="N578" s="572">
        <f>E578*G578*'Ref-Savings Calculations'!$E$21*Applicability</f>
        <v>86.955892023551925</v>
      </c>
      <c r="O578" s="572">
        <f>G578*E578*'Ref-Savings Calculations'!$C$123*Applicability*ControlShare</f>
        <v>107.84283253092892</v>
      </c>
      <c r="P578" s="572">
        <f>E578*G578*'Ref-Savings Calculations'!$E$21*Applicability</f>
        <v>86.955892023551925</v>
      </c>
      <c r="Q578" s="572">
        <f>G578*E578*('Ref-Savings Calculations'!$C$123-('Ref-Savings Calculations'!$C$75*(1-'Ref-Savings Calculations'!$B$50)))*Applicability*ControlShare</f>
        <v>67.336012507116592</v>
      </c>
      <c r="R578" s="37"/>
      <c r="S578" s="567" t="s">
        <v>1273</v>
      </c>
      <c r="T578" s="567" t="s">
        <v>69</v>
      </c>
      <c r="U578" s="567" t="s">
        <v>69</v>
      </c>
      <c r="V578" s="567" t="s">
        <v>69</v>
      </c>
      <c r="W578" s="567" t="s">
        <v>76</v>
      </c>
      <c r="X578" s="37"/>
      <c r="Y578" s="37"/>
      <c r="Z578" s="569" t="s">
        <v>78</v>
      </c>
      <c r="AA578" s="569" t="s">
        <v>78</v>
      </c>
      <c r="AB578" s="37"/>
      <c r="AC578" s="697">
        <f>'Ref-DOE'!$M$29</f>
        <v>15.712499999999999</v>
      </c>
      <c r="AD578" s="567" t="s">
        <v>84</v>
      </c>
      <c r="AE578" s="569" t="s">
        <v>73</v>
      </c>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c r="CA578" s="393"/>
      <c r="CB578" s="393"/>
      <c r="CC578" s="393"/>
      <c r="CD578" s="393"/>
      <c r="CE578" s="393"/>
      <c r="CF578" s="393"/>
      <c r="CG578" s="393"/>
      <c r="CH578" s="393"/>
      <c r="CI578" s="393"/>
      <c r="CJ578" s="390"/>
      <c r="CK578" s="390"/>
      <c r="CL578" s="390"/>
      <c r="CM578" s="390"/>
      <c r="CN578" s="390"/>
      <c r="CO578" s="390"/>
      <c r="CP578" s="390"/>
      <c r="CQ578" s="390"/>
      <c r="CR578" s="390"/>
      <c r="CS578" s="390"/>
      <c r="CT578" s="390"/>
      <c r="CU578" s="390"/>
      <c r="CV578" s="390"/>
      <c r="CW578" s="390"/>
      <c r="CX578" s="390"/>
      <c r="CY578" s="390"/>
      <c r="CZ578" s="390"/>
      <c r="DA578" s="390"/>
      <c r="DB578" s="390"/>
      <c r="DC578" s="390"/>
    </row>
    <row r="579" spans="1:107" s="303" customFormat="1" ht="45">
      <c r="A579" s="37"/>
      <c r="B579" s="692" t="s">
        <v>30</v>
      </c>
      <c r="C579" s="567" t="s">
        <v>1185</v>
      </c>
      <c r="D579" s="568" t="s">
        <v>1172</v>
      </c>
      <c r="E579" s="571">
        <f>'Ref-ComSources'!$W$46</f>
        <v>2459.6914582638165</v>
      </c>
      <c r="F579" s="569" t="s">
        <v>1256</v>
      </c>
      <c r="G579" s="570">
        <f>'Ref-2013CSSsaturationsEXT'!$F$7</f>
        <v>0.13764237591009837</v>
      </c>
      <c r="H579" s="567" t="s">
        <v>110</v>
      </c>
      <c r="I579" s="693">
        <f>'Ref-2013CSSsaturationsEXT'!$J$15</f>
        <v>0.97114627565951095</v>
      </c>
      <c r="J579" s="569" t="s">
        <v>32</v>
      </c>
      <c r="K579" s="567" t="s">
        <v>111</v>
      </c>
      <c r="L579" s="567" t="s">
        <v>101</v>
      </c>
      <c r="M579" s="567" t="s">
        <v>88</v>
      </c>
      <c r="N579" s="572">
        <f>E579*G579*'Ref-Savings Calculations'!$E$16*Applicability</f>
        <v>110.70016904852906</v>
      </c>
      <c r="O579" s="572">
        <f>G579*E579*'Ref-Savings Calculations'!$C$75*Applicability*ControlShare</f>
        <v>57.866885748303311</v>
      </c>
      <c r="P579" s="572">
        <f>E579*G579*'Ref-Savings Calculations'!$E$16*Applicability</f>
        <v>110.70016904852906</v>
      </c>
      <c r="Q579" s="572">
        <f>G579*E579*'Ref-Savings Calculations'!$C$75*(1-'Ref-Savings Calculations'!B75)*Applicability*ControlShare</f>
        <v>57.866885748303311</v>
      </c>
      <c r="R579" s="37"/>
      <c r="S579" s="567" t="s">
        <v>68</v>
      </c>
      <c r="T579" s="567" t="s">
        <v>63</v>
      </c>
      <c r="U579" s="567" t="s">
        <v>69</v>
      </c>
      <c r="V579" s="567" t="s">
        <v>69</v>
      </c>
      <c r="W579" s="567" t="s">
        <v>76</v>
      </c>
      <c r="X579" s="37"/>
      <c r="Y579" s="37"/>
      <c r="Z579" s="569" t="s">
        <v>78</v>
      </c>
      <c r="AA579" s="569" t="s">
        <v>78</v>
      </c>
      <c r="AB579" s="37"/>
      <c r="AC579" s="697">
        <f>'Ref-DOE'!$M$29</f>
        <v>15.712499999999999</v>
      </c>
      <c r="AD579" s="567" t="s">
        <v>84</v>
      </c>
      <c r="AE579" s="569" t="s">
        <v>73</v>
      </c>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c r="CA579" s="393"/>
      <c r="CB579" s="393"/>
      <c r="CC579" s="393"/>
      <c r="CD579" s="393"/>
      <c r="CE579" s="393"/>
      <c r="CF579" s="393"/>
      <c r="CG579" s="393"/>
      <c r="CH579" s="393"/>
      <c r="CI579" s="393"/>
      <c r="CJ579" s="390"/>
      <c r="CK579" s="390"/>
      <c r="CL579" s="390"/>
      <c r="CM579" s="390"/>
      <c r="CN579" s="390"/>
      <c r="CO579" s="390"/>
      <c r="CP579" s="390"/>
      <c r="CQ579" s="390"/>
      <c r="CR579" s="390"/>
      <c r="CS579" s="390"/>
      <c r="CT579" s="390"/>
      <c r="CU579" s="390"/>
      <c r="CV579" s="390"/>
      <c r="CW579" s="390"/>
      <c r="CX579" s="390"/>
      <c r="CY579" s="390"/>
      <c r="CZ579" s="390"/>
      <c r="DA579" s="390"/>
      <c r="DB579" s="390"/>
      <c r="DC579" s="390"/>
    </row>
    <row r="580" spans="1:107" s="303" customFormat="1" ht="45">
      <c r="A580" s="37"/>
      <c r="B580" s="692" t="s">
        <v>30</v>
      </c>
      <c r="C580" s="567" t="s">
        <v>1185</v>
      </c>
      <c r="D580" s="568" t="s">
        <v>1172</v>
      </c>
      <c r="E580" s="571">
        <f>'Ref-ComSources'!$W$46</f>
        <v>2459.6914582638165</v>
      </c>
      <c r="F580" s="569" t="s">
        <v>1256</v>
      </c>
      <c r="G580" s="570">
        <f>'Ref-2013CSSsaturationsEXT'!$F$7</f>
        <v>0.13764237591009837</v>
      </c>
      <c r="H580" s="567" t="s">
        <v>110</v>
      </c>
      <c r="I580" s="693">
        <f>'Ref-2013CSSsaturationsEXT'!$J$15</f>
        <v>0.97114627565951095</v>
      </c>
      <c r="J580" s="569" t="s">
        <v>32</v>
      </c>
      <c r="K580" s="567" t="s">
        <v>111</v>
      </c>
      <c r="L580" s="567" t="s">
        <v>101</v>
      </c>
      <c r="M580" s="567" t="s">
        <v>90</v>
      </c>
      <c r="N580" s="572">
        <f>E580*G580*'Ref-Savings Calculations'!$E$16*Applicability</f>
        <v>110.70016904852906</v>
      </c>
      <c r="O580" s="572" t="s">
        <v>1049</v>
      </c>
      <c r="P580" s="572">
        <f>E580*G580*'Ref-Savings Calculations'!$E$16*Applicability</f>
        <v>110.70016904852906</v>
      </c>
      <c r="Q580" s="572" t="s">
        <v>871</v>
      </c>
      <c r="R580" s="37"/>
      <c r="S580" s="567" t="s">
        <v>68</v>
      </c>
      <c r="T580" s="567" t="s">
        <v>63</v>
      </c>
      <c r="U580" s="567" t="s">
        <v>69</v>
      </c>
      <c r="V580" s="567" t="s">
        <v>69</v>
      </c>
      <c r="W580" s="567" t="s">
        <v>76</v>
      </c>
      <c r="X580" s="37"/>
      <c r="Y580" s="37"/>
      <c r="Z580" s="569" t="s">
        <v>78</v>
      </c>
      <c r="AA580" s="569" t="s">
        <v>78</v>
      </c>
      <c r="AB580" s="37"/>
      <c r="AC580" s="697">
        <f>'Ref-DOE'!$M$29</f>
        <v>15.712499999999999</v>
      </c>
      <c r="AD580" s="567" t="s">
        <v>84</v>
      </c>
      <c r="AE580" s="569" t="s">
        <v>73</v>
      </c>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c r="CA580" s="393"/>
      <c r="CB580" s="393"/>
      <c r="CC580" s="393"/>
      <c r="CD580" s="393"/>
      <c r="CE580" s="393"/>
      <c r="CF580" s="393"/>
      <c r="CG580" s="393"/>
      <c r="CH580" s="393"/>
      <c r="CI580" s="393"/>
      <c r="CJ580" s="390"/>
      <c r="CK580" s="390"/>
      <c r="CL580" s="390"/>
      <c r="CM580" s="390"/>
      <c r="CN580" s="390"/>
      <c r="CO580" s="390"/>
      <c r="CP580" s="390"/>
      <c r="CQ580" s="390"/>
      <c r="CR580" s="390"/>
      <c r="CS580" s="390"/>
      <c r="CT580" s="390"/>
      <c r="CU580" s="390"/>
      <c r="CV580" s="390"/>
      <c r="CW580" s="390"/>
      <c r="CX580" s="390"/>
      <c r="CY580" s="390"/>
      <c r="CZ580" s="390"/>
      <c r="DA580" s="390"/>
      <c r="DB580" s="390"/>
      <c r="DC580" s="390"/>
    </row>
    <row r="581" spans="1:107" s="303" customFormat="1" ht="45">
      <c r="A581" s="37"/>
      <c r="B581" s="692" t="s">
        <v>30</v>
      </c>
      <c r="C581" s="567" t="s">
        <v>1185</v>
      </c>
      <c r="D581" s="568" t="s">
        <v>1172</v>
      </c>
      <c r="E581" s="571">
        <f>'Ref-ComSources'!$W$46</f>
        <v>2459.6914582638165</v>
      </c>
      <c r="F581" s="569" t="s">
        <v>1256</v>
      </c>
      <c r="G581" s="570">
        <f>'Ref-2013CSSsaturationsEXT'!$F$7</f>
        <v>0.13764237591009837</v>
      </c>
      <c r="H581" s="567" t="s">
        <v>110</v>
      </c>
      <c r="I581" s="693">
        <f>'Ref-2013CSSsaturationsEXT'!$J$15</f>
        <v>0.97114627565951095</v>
      </c>
      <c r="J581" s="569" t="s">
        <v>32</v>
      </c>
      <c r="K581" s="567" t="s">
        <v>111</v>
      </c>
      <c r="L581" s="567" t="s">
        <v>101</v>
      </c>
      <c r="M581" s="567" t="s">
        <v>91</v>
      </c>
      <c r="N581" s="572">
        <f>E581*G581*'Ref-Savings Calculations'!$E$16*Applicability</f>
        <v>110.70016904852906</v>
      </c>
      <c r="O581" s="572" t="s">
        <v>870</v>
      </c>
      <c r="P581" s="572">
        <f>E581*G581*'Ref-Savings Calculations'!$E$16*Applicability</f>
        <v>110.70016904852906</v>
      </c>
      <c r="Q581" s="572" t="s">
        <v>870</v>
      </c>
      <c r="R581" s="37"/>
      <c r="S581" s="567" t="s">
        <v>68</v>
      </c>
      <c r="T581" s="567" t="s">
        <v>63</v>
      </c>
      <c r="U581" s="567" t="s">
        <v>69</v>
      </c>
      <c r="V581" s="567" t="s">
        <v>69</v>
      </c>
      <c r="W581" s="567" t="s">
        <v>76</v>
      </c>
      <c r="X581" s="37"/>
      <c r="Y581" s="37"/>
      <c r="Z581" s="569" t="s">
        <v>78</v>
      </c>
      <c r="AA581" s="569" t="s">
        <v>78</v>
      </c>
      <c r="AB581" s="37"/>
      <c r="AC581" s="697">
        <f>'Ref-DOE'!$M$29</f>
        <v>15.712499999999999</v>
      </c>
      <c r="AD581" s="567" t="s">
        <v>84</v>
      </c>
      <c r="AE581" s="569" t="s">
        <v>73</v>
      </c>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c r="CA581" s="393"/>
      <c r="CB581" s="393"/>
      <c r="CC581" s="393"/>
      <c r="CD581" s="393"/>
      <c r="CE581" s="393"/>
      <c r="CF581" s="393"/>
      <c r="CG581" s="393"/>
      <c r="CH581" s="393"/>
      <c r="CI581" s="393"/>
      <c r="CJ581" s="390"/>
      <c r="CK581" s="390"/>
      <c r="CL581" s="390"/>
      <c r="CM581" s="390"/>
      <c r="CN581" s="390"/>
      <c r="CO581" s="390"/>
      <c r="CP581" s="390"/>
      <c r="CQ581" s="390"/>
      <c r="CR581" s="390"/>
      <c r="CS581" s="390"/>
      <c r="CT581" s="390"/>
      <c r="CU581" s="390"/>
      <c r="CV581" s="390"/>
      <c r="CW581" s="390"/>
      <c r="CX581" s="390"/>
      <c r="CY581" s="390"/>
      <c r="CZ581" s="390"/>
      <c r="DA581" s="390"/>
      <c r="DB581" s="390"/>
      <c r="DC581" s="390"/>
    </row>
    <row r="582" spans="1:107" s="303" customFormat="1" ht="45">
      <c r="A582" s="37"/>
      <c r="B582" s="692" t="s">
        <v>30</v>
      </c>
      <c r="C582" s="567" t="s">
        <v>1185</v>
      </c>
      <c r="D582" s="568" t="s">
        <v>1172</v>
      </c>
      <c r="E582" s="571">
        <f>'Ref-ComSources'!$W$46</f>
        <v>2459.6914582638165</v>
      </c>
      <c r="F582" s="569" t="s">
        <v>1256</v>
      </c>
      <c r="G582" s="570">
        <f>'Ref-2013CSSsaturationsEXT'!$F$7</f>
        <v>0.13764237591009837</v>
      </c>
      <c r="H582" s="567" t="s">
        <v>110</v>
      </c>
      <c r="I582" s="693">
        <f>'Ref-2013CSSsaturationsEXT'!$J$15</f>
        <v>0.97114627565951095</v>
      </c>
      <c r="J582" s="569" t="s">
        <v>32</v>
      </c>
      <c r="K582" s="567" t="s">
        <v>111</v>
      </c>
      <c r="L582" s="567" t="s">
        <v>101</v>
      </c>
      <c r="M582" s="567" t="s">
        <v>92</v>
      </c>
      <c r="N582" s="572">
        <f>E582*G582*'Ref-Savings Calculations'!$E$16*Applicability</f>
        <v>110.70016904852906</v>
      </c>
      <c r="O582" s="572">
        <f>G582*E582*'Ref-Savings Calculations'!$C$99*Applicability*ControlShare</f>
        <v>94.691267588132689</v>
      </c>
      <c r="P582" s="572">
        <f>E582*G582*'Ref-Savings Calculations'!$E$16*Applicability</f>
        <v>110.70016904852906</v>
      </c>
      <c r="Q582" s="572">
        <f>G582*E582*('Ref-Savings Calculations'!$C$99-('Ref-Savings Calculations'!$C$75*(1-'Ref-Savings Calculations'!$B$50)))*Applicability*ControlShare</f>
        <v>54.184447564320379</v>
      </c>
      <c r="R582" s="37"/>
      <c r="S582" s="567" t="s">
        <v>68</v>
      </c>
      <c r="T582" s="567" t="s">
        <v>63</v>
      </c>
      <c r="U582" s="567" t="s">
        <v>69</v>
      </c>
      <c r="V582" s="567" t="s">
        <v>69</v>
      </c>
      <c r="W582" s="567" t="s">
        <v>76</v>
      </c>
      <c r="X582" s="37"/>
      <c r="Y582" s="37"/>
      <c r="Z582" s="569" t="s">
        <v>78</v>
      </c>
      <c r="AA582" s="569" t="s">
        <v>78</v>
      </c>
      <c r="AB582" s="37"/>
      <c r="AC582" s="697">
        <f>'Ref-DOE'!$M$29</f>
        <v>15.712499999999999</v>
      </c>
      <c r="AD582" s="567" t="s">
        <v>84</v>
      </c>
      <c r="AE582" s="569" t="s">
        <v>73</v>
      </c>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c r="CA582" s="393"/>
      <c r="CB582" s="393"/>
      <c r="CC582" s="393"/>
      <c r="CD582" s="393"/>
      <c r="CE582" s="393"/>
      <c r="CF582" s="393"/>
      <c r="CG582" s="393"/>
      <c r="CH582" s="393"/>
      <c r="CI582" s="393"/>
      <c r="CJ582" s="390"/>
      <c r="CK582" s="390"/>
      <c r="CL582" s="390"/>
      <c r="CM582" s="390"/>
      <c r="CN582" s="390"/>
      <c r="CO582" s="390"/>
      <c r="CP582" s="390"/>
      <c r="CQ582" s="390"/>
      <c r="CR582" s="390"/>
      <c r="CS582" s="390"/>
      <c r="CT582" s="390"/>
      <c r="CU582" s="390"/>
      <c r="CV582" s="390"/>
      <c r="CW582" s="390"/>
      <c r="CX582" s="390"/>
      <c r="CY582" s="390"/>
      <c r="CZ582" s="390"/>
      <c r="DA582" s="390"/>
      <c r="DB582" s="390"/>
      <c r="DC582" s="390"/>
    </row>
    <row r="583" spans="1:107" s="303" customFormat="1" ht="45">
      <c r="A583" s="37"/>
      <c r="B583" s="692" t="s">
        <v>30</v>
      </c>
      <c r="C583" s="567" t="s">
        <v>1185</v>
      </c>
      <c r="D583" s="568" t="s">
        <v>1172</v>
      </c>
      <c r="E583" s="571">
        <f>'Ref-ComSources'!$W$46</f>
        <v>2459.6914582638165</v>
      </c>
      <c r="F583" s="569" t="s">
        <v>1256</v>
      </c>
      <c r="G583" s="570">
        <f>'Ref-2013CSSsaturationsEXT'!$F$7</f>
        <v>0.13764237591009837</v>
      </c>
      <c r="H583" s="567" t="s">
        <v>110</v>
      </c>
      <c r="I583" s="693">
        <f>'Ref-2013CSSsaturationsEXT'!$J$15</f>
        <v>0.97114627565951095</v>
      </c>
      <c r="J583" s="569" t="s">
        <v>32</v>
      </c>
      <c r="K583" s="567" t="s">
        <v>111</v>
      </c>
      <c r="L583" s="567" t="s">
        <v>101</v>
      </c>
      <c r="M583" s="567" t="s">
        <v>93</v>
      </c>
      <c r="N583" s="572">
        <f>E583*G583*'Ref-Savings Calculations'!$E$16*Applicability</f>
        <v>110.70016904852906</v>
      </c>
      <c r="O583" s="572">
        <f>G583*E583*'Ref-Savings Calculations'!$C$123*Applicability*ControlShare</f>
        <v>107.84283253092892</v>
      </c>
      <c r="P583" s="572">
        <f>E583*G583*'Ref-Savings Calculations'!$E$16*Applicability</f>
        <v>110.70016904852906</v>
      </c>
      <c r="Q583" s="572">
        <f>G583*E583*('Ref-Savings Calculations'!$C$123-('Ref-Savings Calculations'!$C$75*(1-'Ref-Savings Calculations'!$B$50)))*Applicability*ControlShare</f>
        <v>67.336012507116592</v>
      </c>
      <c r="R583" s="37"/>
      <c r="S583" s="567" t="s">
        <v>68</v>
      </c>
      <c r="T583" s="567" t="s">
        <v>63</v>
      </c>
      <c r="U583" s="567" t="s">
        <v>69</v>
      </c>
      <c r="V583" s="567" t="s">
        <v>69</v>
      </c>
      <c r="W583" s="567" t="s">
        <v>76</v>
      </c>
      <c r="X583" s="37"/>
      <c r="Y583" s="37"/>
      <c r="Z583" s="569" t="s">
        <v>78</v>
      </c>
      <c r="AA583" s="569" t="s">
        <v>78</v>
      </c>
      <c r="AB583" s="37"/>
      <c r="AC583" s="697">
        <f>'Ref-DOE'!$M$29</f>
        <v>15.712499999999999</v>
      </c>
      <c r="AD583" s="567" t="s">
        <v>84</v>
      </c>
      <c r="AE583" s="569" t="s">
        <v>73</v>
      </c>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c r="CA583" s="393"/>
      <c r="CB583" s="393"/>
      <c r="CC583" s="393"/>
      <c r="CD583" s="393"/>
      <c r="CE583" s="393"/>
      <c r="CF583" s="393"/>
      <c r="CG583" s="393"/>
      <c r="CH583" s="393"/>
      <c r="CI583" s="393"/>
      <c r="CJ583" s="390"/>
      <c r="CK583" s="390"/>
      <c r="CL583" s="390"/>
      <c r="CM583" s="390"/>
      <c r="CN583" s="390"/>
      <c r="CO583" s="390"/>
      <c r="CP583" s="390"/>
      <c r="CQ583" s="390"/>
      <c r="CR583" s="390"/>
      <c r="CS583" s="390"/>
      <c r="CT583" s="390"/>
      <c r="CU583" s="390"/>
      <c r="CV583" s="390"/>
      <c r="CW583" s="390"/>
      <c r="CX583" s="390"/>
      <c r="CY583" s="390"/>
      <c r="CZ583" s="390"/>
      <c r="DA583" s="390"/>
      <c r="DB583" s="390"/>
      <c r="DC583" s="390"/>
    </row>
    <row r="584" spans="1:107" s="303" customFormat="1" ht="56.25">
      <c r="A584" s="37"/>
      <c r="B584" s="694" t="s">
        <v>30</v>
      </c>
      <c r="C584" s="320" t="s">
        <v>1185</v>
      </c>
      <c r="D584" s="564" t="s">
        <v>1231</v>
      </c>
      <c r="E584" s="323">
        <f>'Ref-ComSources'!$W$45</f>
        <v>1030.2872247506953</v>
      </c>
      <c r="F584" s="565" t="s">
        <v>27</v>
      </c>
      <c r="G584" s="566">
        <f>'Ref-2013CSSsaturationsEXT'!$F$20</f>
        <v>7.8508223668573393E-2</v>
      </c>
      <c r="H584" s="320" t="s">
        <v>110</v>
      </c>
      <c r="I584" s="378">
        <f>'Ref-2013CSSsaturationsEXT'!$J$20</f>
        <v>0.94387211177801444</v>
      </c>
      <c r="J584" s="320" t="s">
        <v>1097</v>
      </c>
      <c r="K584" s="320" t="s">
        <v>114</v>
      </c>
      <c r="L584" s="320" t="s">
        <v>1270</v>
      </c>
      <c r="M584" s="320" t="s">
        <v>88</v>
      </c>
      <c r="N584" s="324">
        <f>E584*G584*'Ref-Savings Calculations'!$E$39*Applicability</f>
        <v>16.562375499975513</v>
      </c>
      <c r="O584" s="324">
        <f>G584*E584*'Ref-Savings Calculations'!$C$75*Applicability*ControlShare</f>
        <v>13.436906278550175</v>
      </c>
      <c r="P584" s="324">
        <f>E584*G584*'Ref-Savings Calculations'!$E$40*Applicability</f>
        <v>14.155053479630235</v>
      </c>
      <c r="Q584" s="324" t="s">
        <v>871</v>
      </c>
      <c r="R584" s="37"/>
      <c r="S584" s="320" t="s">
        <v>44</v>
      </c>
      <c r="T584" s="320" t="s">
        <v>63</v>
      </c>
      <c r="U584" s="320" t="s">
        <v>69</v>
      </c>
      <c r="V584" s="320" t="s">
        <v>69</v>
      </c>
      <c r="W584" s="320" t="s">
        <v>76</v>
      </c>
      <c r="X584" s="37"/>
      <c r="Y584" s="37"/>
      <c r="Z584" s="565" t="s">
        <v>78</v>
      </c>
      <c r="AA584" s="565" t="s">
        <v>78</v>
      </c>
      <c r="AB584" s="37"/>
      <c r="AC584" s="816">
        <f>'Ref-DOE'!$M$26</f>
        <v>8.7800000000000011</v>
      </c>
      <c r="AD584" s="565" t="s">
        <v>84</v>
      </c>
      <c r="AE584" s="565" t="s">
        <v>73</v>
      </c>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c r="CA584" s="393"/>
      <c r="CB584" s="393"/>
      <c r="CC584" s="393"/>
      <c r="CD584" s="393"/>
      <c r="CE584" s="393"/>
      <c r="CF584" s="393"/>
      <c r="CG584" s="393"/>
      <c r="CH584" s="393"/>
      <c r="CI584" s="393"/>
      <c r="CJ584" s="390"/>
      <c r="CK584" s="390"/>
      <c r="CL584" s="390"/>
      <c r="CM584" s="390"/>
      <c r="CN584" s="390"/>
      <c r="CO584" s="390"/>
      <c r="CP584" s="390"/>
      <c r="CQ584" s="390"/>
      <c r="CR584" s="390"/>
      <c r="CS584" s="390"/>
      <c r="CT584" s="390"/>
      <c r="CU584" s="390"/>
      <c r="CV584" s="390"/>
      <c r="CW584" s="390"/>
      <c r="CX584" s="390"/>
      <c r="CY584" s="390"/>
      <c r="CZ584" s="390"/>
      <c r="DA584" s="390"/>
      <c r="DB584" s="390"/>
      <c r="DC584" s="390"/>
    </row>
    <row r="585" spans="1:107" s="303" customFormat="1" ht="56.25">
      <c r="A585" s="37"/>
      <c r="B585" s="694" t="s">
        <v>30</v>
      </c>
      <c r="C585" s="320" t="s">
        <v>1185</v>
      </c>
      <c r="D585" s="564" t="s">
        <v>1231</v>
      </c>
      <c r="E585" s="323">
        <f>'Ref-ComSources'!$W$45</f>
        <v>1030.2872247506953</v>
      </c>
      <c r="F585" s="565" t="s">
        <v>27</v>
      </c>
      <c r="G585" s="566">
        <f>'Ref-2013CSSsaturationsEXT'!$F$20</f>
        <v>7.8508223668573393E-2</v>
      </c>
      <c r="H585" s="320" t="s">
        <v>110</v>
      </c>
      <c r="I585" s="378">
        <f>'Ref-2013CSSsaturationsEXT'!$J$20</f>
        <v>0.94387211177801444</v>
      </c>
      <c r="J585" s="320" t="s">
        <v>1097</v>
      </c>
      <c r="K585" s="320" t="s">
        <v>114</v>
      </c>
      <c r="L585" s="320" t="s">
        <v>1270</v>
      </c>
      <c r="M585" s="320" t="s">
        <v>90</v>
      </c>
      <c r="N585" s="324">
        <f>E585*G585*'Ref-Savings Calculations'!$E$39*Applicability</f>
        <v>16.562375499975513</v>
      </c>
      <c r="O585" s="324" t="s">
        <v>871</v>
      </c>
      <c r="P585" s="324">
        <f>E585*G585*'Ref-Savings Calculations'!$E$40*Applicability</f>
        <v>14.155053479630235</v>
      </c>
      <c r="Q585" s="324" t="s">
        <v>871</v>
      </c>
      <c r="R585" s="37"/>
      <c r="S585" s="320" t="s">
        <v>44</v>
      </c>
      <c r="T585" s="320" t="s">
        <v>63</v>
      </c>
      <c r="U585" s="320" t="s">
        <v>69</v>
      </c>
      <c r="V585" s="320" t="s">
        <v>69</v>
      </c>
      <c r="W585" s="320" t="s">
        <v>76</v>
      </c>
      <c r="X585" s="37"/>
      <c r="Y585" s="37"/>
      <c r="Z585" s="565" t="s">
        <v>78</v>
      </c>
      <c r="AA585" s="565" t="s">
        <v>78</v>
      </c>
      <c r="AB585" s="37"/>
      <c r="AC585" s="816">
        <f>'Ref-DOE'!$M$26</f>
        <v>8.7800000000000011</v>
      </c>
      <c r="AD585" s="565" t="s">
        <v>84</v>
      </c>
      <c r="AE585" s="565" t="s">
        <v>73</v>
      </c>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c r="CA585" s="393"/>
      <c r="CB585" s="393"/>
      <c r="CC585" s="393"/>
      <c r="CD585" s="393"/>
      <c r="CE585" s="393"/>
      <c r="CF585" s="393"/>
      <c r="CG585" s="393"/>
      <c r="CH585" s="393"/>
      <c r="CI585" s="393"/>
      <c r="CJ585" s="390"/>
      <c r="CK585" s="390"/>
      <c r="CL585" s="390"/>
      <c r="CM585" s="390"/>
      <c r="CN585" s="390"/>
      <c r="CO585" s="390"/>
      <c r="CP585" s="390"/>
      <c r="CQ585" s="390"/>
      <c r="CR585" s="390"/>
      <c r="CS585" s="390"/>
      <c r="CT585" s="390"/>
      <c r="CU585" s="390"/>
      <c r="CV585" s="390"/>
      <c r="CW585" s="390"/>
      <c r="CX585" s="390"/>
      <c r="CY585" s="390"/>
      <c r="CZ585" s="390"/>
      <c r="DA585" s="390"/>
      <c r="DB585" s="390"/>
      <c r="DC585" s="390"/>
    </row>
    <row r="586" spans="1:107" s="303" customFormat="1" ht="56.25">
      <c r="A586" s="37"/>
      <c r="B586" s="694" t="s">
        <v>30</v>
      </c>
      <c r="C586" s="320" t="s">
        <v>1185</v>
      </c>
      <c r="D586" s="564" t="s">
        <v>1231</v>
      </c>
      <c r="E586" s="323">
        <f>'Ref-ComSources'!$W$45</f>
        <v>1030.2872247506953</v>
      </c>
      <c r="F586" s="565" t="s">
        <v>27</v>
      </c>
      <c r="G586" s="566">
        <f>'Ref-2013CSSsaturationsEXT'!$F$20</f>
        <v>7.8508223668573393E-2</v>
      </c>
      <c r="H586" s="320" t="s">
        <v>110</v>
      </c>
      <c r="I586" s="378">
        <f>'Ref-2013CSSsaturationsEXT'!$J$20</f>
        <v>0.94387211177801444</v>
      </c>
      <c r="J586" s="320" t="s">
        <v>1097</v>
      </c>
      <c r="K586" s="320" t="s">
        <v>114</v>
      </c>
      <c r="L586" s="320" t="s">
        <v>1270</v>
      </c>
      <c r="M586" s="320" t="s">
        <v>91</v>
      </c>
      <c r="N586" s="324">
        <f>E586*G586*'Ref-Savings Calculations'!$E$39*Applicability</f>
        <v>16.562375499975513</v>
      </c>
      <c r="O586" s="324" t="s">
        <v>870</v>
      </c>
      <c r="P586" s="324">
        <f>E586*G586*'Ref-Savings Calculations'!$E$40*Applicability</f>
        <v>14.155053479630235</v>
      </c>
      <c r="Q586" s="324" t="s">
        <v>870</v>
      </c>
      <c r="R586" s="37"/>
      <c r="S586" s="320" t="s">
        <v>44</v>
      </c>
      <c r="T586" s="320" t="s">
        <v>63</v>
      </c>
      <c r="U586" s="320" t="s">
        <v>870</v>
      </c>
      <c r="V586" s="320" t="s">
        <v>870</v>
      </c>
      <c r="W586" s="320" t="s">
        <v>76</v>
      </c>
      <c r="X586" s="37"/>
      <c r="Y586" s="37"/>
      <c r="Z586" s="565" t="s">
        <v>78</v>
      </c>
      <c r="AA586" s="565" t="s">
        <v>78</v>
      </c>
      <c r="AB586" s="37"/>
      <c r="AC586" s="816">
        <f>'Ref-DOE'!$M$26</f>
        <v>8.7800000000000011</v>
      </c>
      <c r="AD586" s="565" t="s">
        <v>84</v>
      </c>
      <c r="AE586" s="565" t="s">
        <v>73</v>
      </c>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c r="CA586" s="393"/>
      <c r="CB586" s="393"/>
      <c r="CC586" s="393"/>
      <c r="CD586" s="393"/>
      <c r="CE586" s="393"/>
      <c r="CF586" s="393"/>
      <c r="CG586" s="393"/>
      <c r="CH586" s="393"/>
      <c r="CI586" s="393"/>
      <c r="CJ586" s="390"/>
      <c r="CK586" s="390"/>
      <c r="CL586" s="390"/>
      <c r="CM586" s="390"/>
      <c r="CN586" s="390"/>
      <c r="CO586" s="390"/>
      <c r="CP586" s="390"/>
      <c r="CQ586" s="390"/>
      <c r="CR586" s="390"/>
      <c r="CS586" s="390"/>
      <c r="CT586" s="390"/>
      <c r="CU586" s="390"/>
      <c r="CV586" s="390"/>
      <c r="CW586" s="390"/>
      <c r="CX586" s="390"/>
      <c r="CY586" s="390"/>
      <c r="CZ586" s="390"/>
      <c r="DA586" s="390"/>
      <c r="DB586" s="390"/>
      <c r="DC586" s="390"/>
    </row>
    <row r="587" spans="1:107" s="303" customFormat="1" ht="56.25">
      <c r="A587" s="37"/>
      <c r="B587" s="694" t="s">
        <v>30</v>
      </c>
      <c r="C587" s="320" t="s">
        <v>1185</v>
      </c>
      <c r="D587" s="564" t="s">
        <v>1231</v>
      </c>
      <c r="E587" s="323">
        <f>'Ref-ComSources'!$W$45</f>
        <v>1030.2872247506953</v>
      </c>
      <c r="F587" s="565" t="s">
        <v>27</v>
      </c>
      <c r="G587" s="566">
        <f>'Ref-2013CSSsaturationsEXT'!$F$20</f>
        <v>7.8508223668573393E-2</v>
      </c>
      <c r="H587" s="320" t="s">
        <v>110</v>
      </c>
      <c r="I587" s="378">
        <f>'Ref-2013CSSsaturationsEXT'!$J$20</f>
        <v>0.94387211177801444</v>
      </c>
      <c r="J587" s="320" t="s">
        <v>1097</v>
      </c>
      <c r="K587" s="320" t="s">
        <v>114</v>
      </c>
      <c r="L587" s="320" t="s">
        <v>1270</v>
      </c>
      <c r="M587" s="320" t="s">
        <v>92</v>
      </c>
      <c r="N587" s="324">
        <f>E587*G587*'Ref-Savings Calculations'!$E$39*Applicability</f>
        <v>16.562375499975513</v>
      </c>
      <c r="O587" s="324">
        <f>G587*E587*'Ref-Savings Calculations'!$C$99*Applicability*ControlShare</f>
        <v>21.98766481944574</v>
      </c>
      <c r="P587" s="324">
        <f>E587*G587*'Ref-Savings Calculations'!$E$40*Applicability</f>
        <v>14.155053479630235</v>
      </c>
      <c r="Q587" s="324">
        <f>G587*E587*('Ref-Savings Calculations'!$C$99-'Ref-Savings Calculations'!$C$75)*Applicability*ControlShare</f>
        <v>8.5507585408955649</v>
      </c>
      <c r="R587" s="37"/>
      <c r="S587" s="320" t="s">
        <v>44</v>
      </c>
      <c r="T587" s="320" t="s">
        <v>63</v>
      </c>
      <c r="U587" s="320" t="s">
        <v>69</v>
      </c>
      <c r="V587" s="320" t="s">
        <v>69</v>
      </c>
      <c r="W587" s="320" t="s">
        <v>76</v>
      </c>
      <c r="X587" s="37"/>
      <c r="Y587" s="37"/>
      <c r="Z587" s="565" t="s">
        <v>78</v>
      </c>
      <c r="AA587" s="565" t="s">
        <v>78</v>
      </c>
      <c r="AB587" s="37"/>
      <c r="AC587" s="816">
        <f>'Ref-DOE'!$M$26</f>
        <v>8.7800000000000011</v>
      </c>
      <c r="AD587" s="565" t="s">
        <v>84</v>
      </c>
      <c r="AE587" s="565" t="s">
        <v>73</v>
      </c>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c r="CA587" s="393"/>
      <c r="CB587" s="393"/>
      <c r="CC587" s="393"/>
      <c r="CD587" s="393"/>
      <c r="CE587" s="393"/>
      <c r="CF587" s="393"/>
      <c r="CG587" s="393"/>
      <c r="CH587" s="393"/>
      <c r="CI587" s="393"/>
      <c r="CJ587" s="390"/>
      <c r="CK587" s="390"/>
      <c r="CL587" s="390"/>
      <c r="CM587" s="390"/>
      <c r="CN587" s="390"/>
      <c r="CO587" s="390"/>
      <c r="CP587" s="390"/>
      <c r="CQ587" s="390"/>
      <c r="CR587" s="390"/>
      <c r="CS587" s="390"/>
      <c r="CT587" s="390"/>
      <c r="CU587" s="390"/>
      <c r="CV587" s="390"/>
      <c r="CW587" s="390"/>
      <c r="CX587" s="390"/>
      <c r="CY587" s="390"/>
      <c r="CZ587" s="390"/>
      <c r="DA587" s="390"/>
      <c r="DB587" s="390"/>
      <c r="DC587" s="390"/>
    </row>
    <row r="588" spans="1:107" s="303" customFormat="1" ht="56.25">
      <c r="A588" s="37"/>
      <c r="B588" s="694" t="s">
        <v>30</v>
      </c>
      <c r="C588" s="320" t="s">
        <v>1185</v>
      </c>
      <c r="D588" s="564" t="s">
        <v>1231</v>
      </c>
      <c r="E588" s="323">
        <f>'Ref-ComSources'!$W$45</f>
        <v>1030.2872247506953</v>
      </c>
      <c r="F588" s="565" t="s">
        <v>27</v>
      </c>
      <c r="G588" s="566">
        <f>'Ref-2013CSSsaturationsEXT'!$F$20</f>
        <v>7.8508223668573393E-2</v>
      </c>
      <c r="H588" s="320" t="s">
        <v>110</v>
      </c>
      <c r="I588" s="378">
        <f>'Ref-2013CSSsaturationsEXT'!$J$20</f>
        <v>0.94387211177801444</v>
      </c>
      <c r="J588" s="320" t="s">
        <v>1097</v>
      </c>
      <c r="K588" s="320" t="s">
        <v>114</v>
      </c>
      <c r="L588" s="320" t="s">
        <v>1270</v>
      </c>
      <c r="M588" s="320" t="s">
        <v>93</v>
      </c>
      <c r="N588" s="324">
        <f>E588*G588*'Ref-Savings Calculations'!$E$39*Applicability</f>
        <v>16.562375499975513</v>
      </c>
      <c r="O588" s="324">
        <f>G588*E588*'Ref-Savings Calculations'!$C$109*Applicability*ControlShare</f>
        <v>23.209201753859393</v>
      </c>
      <c r="P588" s="324">
        <f>E588*G588*'Ref-Savings Calculations'!$E$40*Applicability</f>
        <v>14.155053479630235</v>
      </c>
      <c r="Q588" s="324">
        <f>G588*E588*('Ref-Savings Calculations'!$C$109-'Ref-Savings Calculations'!$C$75)*Applicability*ControlShare</f>
        <v>9.7722954753092175</v>
      </c>
      <c r="R588" s="37"/>
      <c r="S588" s="320" t="s">
        <v>44</v>
      </c>
      <c r="T588" s="320" t="s">
        <v>63</v>
      </c>
      <c r="U588" s="320" t="s">
        <v>44</v>
      </c>
      <c r="V588" s="320" t="s">
        <v>75</v>
      </c>
      <c r="W588" s="320" t="s">
        <v>76</v>
      </c>
      <c r="X588" s="37"/>
      <c r="Y588" s="37"/>
      <c r="Z588" s="565" t="s">
        <v>78</v>
      </c>
      <c r="AA588" s="565" t="s">
        <v>78</v>
      </c>
      <c r="AB588" s="37"/>
      <c r="AC588" s="816">
        <f>'Ref-DOE'!$M$26</f>
        <v>8.7800000000000011</v>
      </c>
      <c r="AD588" s="565" t="s">
        <v>84</v>
      </c>
      <c r="AE588" s="565" t="s">
        <v>73</v>
      </c>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c r="CA588" s="393"/>
      <c r="CB588" s="393"/>
      <c r="CC588" s="393"/>
      <c r="CD588" s="393"/>
      <c r="CE588" s="393"/>
      <c r="CF588" s="393"/>
      <c r="CG588" s="393"/>
      <c r="CH588" s="393"/>
      <c r="CI588" s="393"/>
      <c r="CJ588" s="390"/>
      <c r="CK588" s="390"/>
      <c r="CL588" s="390"/>
      <c r="CM588" s="390"/>
      <c r="CN588" s="390"/>
      <c r="CO588" s="390"/>
      <c r="CP588" s="390"/>
      <c r="CQ588" s="390"/>
      <c r="CR588" s="390"/>
      <c r="CS588" s="390"/>
      <c r="CT588" s="390"/>
      <c r="CU588" s="390"/>
      <c r="CV588" s="390"/>
      <c r="CW588" s="390"/>
      <c r="CX588" s="390"/>
      <c r="CY588" s="390"/>
      <c r="CZ588" s="390"/>
      <c r="DA588" s="390"/>
      <c r="DB588" s="390"/>
      <c r="DC588" s="390"/>
    </row>
    <row r="589" spans="1:107" s="303" customFormat="1" ht="56.25">
      <c r="A589" s="37"/>
      <c r="B589" s="694" t="s">
        <v>30</v>
      </c>
      <c r="C589" s="320" t="s">
        <v>1185</v>
      </c>
      <c r="D589" s="564" t="s">
        <v>1231</v>
      </c>
      <c r="E589" s="323">
        <f>'Ref-ComSources'!$W$45</f>
        <v>1030.2872247506953</v>
      </c>
      <c r="F589" s="565" t="s">
        <v>27</v>
      </c>
      <c r="G589" s="566">
        <f>'Ref-2013CSSsaturationsEXT'!$F$20</f>
        <v>7.8508223668573393E-2</v>
      </c>
      <c r="H589" s="320" t="s">
        <v>110</v>
      </c>
      <c r="I589" s="378">
        <f>'Ref-2013CSSsaturationsEXT'!$J$20</f>
        <v>0.94387211177801444</v>
      </c>
      <c r="J589" s="320" t="s">
        <v>1097</v>
      </c>
      <c r="K589" s="320" t="s">
        <v>114</v>
      </c>
      <c r="L589" s="320" t="s">
        <v>960</v>
      </c>
      <c r="M589" s="320" t="s">
        <v>88</v>
      </c>
      <c r="N589" s="324">
        <f>E589*G589*'Ref-Savings Calculations'!$E$25*Applicability</f>
        <v>34.8836126324736</v>
      </c>
      <c r="O589" s="324">
        <f>G589*E589*'Ref-Savings Calculations'!$C$75*Applicability*ControlShare</f>
        <v>13.436906278550175</v>
      </c>
      <c r="P589" s="324">
        <f>E589*G589*'Ref-Savings Calculations'!$E$26*Applicability</f>
        <v>32.626483721773965</v>
      </c>
      <c r="Q589" s="324" t="s">
        <v>871</v>
      </c>
      <c r="R589" s="37"/>
      <c r="S589" s="320" t="s">
        <v>69</v>
      </c>
      <c r="T589" s="320" t="s">
        <v>69</v>
      </c>
      <c r="U589" s="320" t="s">
        <v>69</v>
      </c>
      <c r="V589" s="320" t="s">
        <v>69</v>
      </c>
      <c r="W589" s="320" t="s">
        <v>76</v>
      </c>
      <c r="X589" s="37"/>
      <c r="Y589" s="37"/>
      <c r="Z589" s="565" t="s">
        <v>78</v>
      </c>
      <c r="AA589" s="565" t="s">
        <v>78</v>
      </c>
      <c r="AB589" s="37"/>
      <c r="AC589" s="816">
        <f>'Ref-DOE'!$M$26</f>
        <v>8.7800000000000011</v>
      </c>
      <c r="AD589" s="565" t="s">
        <v>84</v>
      </c>
      <c r="AE589" s="565" t="s">
        <v>73</v>
      </c>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c r="CA589" s="393"/>
      <c r="CB589" s="393"/>
      <c r="CC589" s="393"/>
      <c r="CD589" s="393"/>
      <c r="CE589" s="393"/>
      <c r="CF589" s="393"/>
      <c r="CG589" s="393"/>
      <c r="CH589" s="393"/>
      <c r="CI589" s="393"/>
      <c r="CJ589" s="390"/>
      <c r="CK589" s="390"/>
      <c r="CL589" s="390"/>
      <c r="CM589" s="390"/>
      <c r="CN589" s="390"/>
      <c r="CO589" s="390"/>
      <c r="CP589" s="390"/>
      <c r="CQ589" s="390"/>
      <c r="CR589" s="390"/>
      <c r="CS589" s="390"/>
      <c r="CT589" s="390"/>
      <c r="CU589" s="390"/>
      <c r="CV589" s="390"/>
      <c r="CW589" s="390"/>
      <c r="CX589" s="390"/>
      <c r="CY589" s="390"/>
      <c r="CZ589" s="390"/>
      <c r="DA589" s="390"/>
      <c r="DB589" s="390"/>
      <c r="DC589" s="390"/>
    </row>
    <row r="590" spans="1:107" s="303" customFormat="1" ht="56.25">
      <c r="A590" s="37"/>
      <c r="B590" s="694" t="s">
        <v>30</v>
      </c>
      <c r="C590" s="320" t="s">
        <v>1185</v>
      </c>
      <c r="D590" s="564" t="s">
        <v>1231</v>
      </c>
      <c r="E590" s="323">
        <f>'Ref-ComSources'!$W$45</f>
        <v>1030.2872247506953</v>
      </c>
      <c r="F590" s="565" t="s">
        <v>27</v>
      </c>
      <c r="G590" s="566">
        <f>'Ref-2013CSSsaturationsEXT'!$F$20</f>
        <v>7.8508223668573393E-2</v>
      </c>
      <c r="H590" s="320" t="s">
        <v>110</v>
      </c>
      <c r="I590" s="378">
        <f>'Ref-2013CSSsaturationsEXT'!$J$20</f>
        <v>0.94387211177801444</v>
      </c>
      <c r="J590" s="320" t="s">
        <v>1097</v>
      </c>
      <c r="K590" s="320" t="s">
        <v>114</v>
      </c>
      <c r="L590" s="320" t="s">
        <v>960</v>
      </c>
      <c r="M590" s="320" t="s">
        <v>90</v>
      </c>
      <c r="N590" s="324">
        <f>E590*G590*'Ref-Savings Calculations'!$E$25*Applicability</f>
        <v>34.8836126324736</v>
      </c>
      <c r="O590" s="324" t="s">
        <v>871</v>
      </c>
      <c r="P590" s="324">
        <f>E590*G590*'Ref-Savings Calculations'!$E$26*Applicability</f>
        <v>32.626483721773965</v>
      </c>
      <c r="Q590" s="324" t="s">
        <v>871</v>
      </c>
      <c r="R590" s="37"/>
      <c r="S590" s="320" t="s">
        <v>69</v>
      </c>
      <c r="T590" s="320" t="s">
        <v>69</v>
      </c>
      <c r="U590" s="320" t="s">
        <v>69</v>
      </c>
      <c r="V590" s="320" t="s">
        <v>69</v>
      </c>
      <c r="W590" s="320" t="s">
        <v>76</v>
      </c>
      <c r="X590" s="37"/>
      <c r="Y590" s="37"/>
      <c r="Z590" s="565" t="s">
        <v>78</v>
      </c>
      <c r="AA590" s="565" t="s">
        <v>78</v>
      </c>
      <c r="AB590" s="37"/>
      <c r="AC590" s="816">
        <f>'Ref-DOE'!$M$26</f>
        <v>8.7800000000000011</v>
      </c>
      <c r="AD590" s="565" t="s">
        <v>84</v>
      </c>
      <c r="AE590" s="565" t="s">
        <v>73</v>
      </c>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c r="CA590" s="393"/>
      <c r="CB590" s="393"/>
      <c r="CC590" s="393"/>
      <c r="CD590" s="393"/>
      <c r="CE590" s="393"/>
      <c r="CF590" s="393"/>
      <c r="CG590" s="393"/>
      <c r="CH590" s="393"/>
      <c r="CI590" s="393"/>
      <c r="CJ590" s="390"/>
      <c r="CK590" s="390"/>
      <c r="CL590" s="390"/>
      <c r="CM590" s="390"/>
      <c r="CN590" s="390"/>
      <c r="CO590" s="390"/>
      <c r="CP590" s="390"/>
      <c r="CQ590" s="390"/>
      <c r="CR590" s="390"/>
      <c r="CS590" s="390"/>
      <c r="CT590" s="390"/>
      <c r="CU590" s="390"/>
      <c r="CV590" s="390"/>
      <c r="CW590" s="390"/>
      <c r="CX590" s="390"/>
      <c r="CY590" s="390"/>
      <c r="CZ590" s="390"/>
      <c r="DA590" s="390"/>
      <c r="DB590" s="390"/>
      <c r="DC590" s="390"/>
    </row>
    <row r="591" spans="1:107" s="303" customFormat="1" ht="56.25">
      <c r="A591" s="37"/>
      <c r="B591" s="694" t="s">
        <v>30</v>
      </c>
      <c r="C591" s="320" t="s">
        <v>1185</v>
      </c>
      <c r="D591" s="564" t="s">
        <v>1231</v>
      </c>
      <c r="E591" s="323">
        <f>'Ref-ComSources'!$W$45</f>
        <v>1030.2872247506953</v>
      </c>
      <c r="F591" s="565" t="s">
        <v>27</v>
      </c>
      <c r="G591" s="566">
        <f>'Ref-2013CSSsaturationsEXT'!$F$20</f>
        <v>7.8508223668573393E-2</v>
      </c>
      <c r="H591" s="320" t="s">
        <v>110</v>
      </c>
      <c r="I591" s="378">
        <f>'Ref-2013CSSsaturationsEXT'!$J$20</f>
        <v>0.94387211177801444</v>
      </c>
      <c r="J591" s="320" t="s">
        <v>1097</v>
      </c>
      <c r="K591" s="320" t="s">
        <v>114</v>
      </c>
      <c r="L591" s="320" t="s">
        <v>960</v>
      </c>
      <c r="M591" s="320" t="s">
        <v>91</v>
      </c>
      <c r="N591" s="324">
        <f>E591*G591*'Ref-Savings Calculations'!$E$25*Applicability</f>
        <v>34.8836126324736</v>
      </c>
      <c r="O591" s="324" t="s">
        <v>870</v>
      </c>
      <c r="P591" s="324">
        <f>E591*G591*'Ref-Savings Calculations'!$E$26*Applicability</f>
        <v>32.626483721773965</v>
      </c>
      <c r="Q591" s="324" t="s">
        <v>870</v>
      </c>
      <c r="R591" s="37"/>
      <c r="S591" s="320" t="s">
        <v>69</v>
      </c>
      <c r="T591" s="320" t="s">
        <v>69</v>
      </c>
      <c r="U591" s="320" t="s">
        <v>870</v>
      </c>
      <c r="V591" s="320" t="s">
        <v>870</v>
      </c>
      <c r="W591" s="320" t="s">
        <v>76</v>
      </c>
      <c r="X591" s="37"/>
      <c r="Y591" s="37"/>
      <c r="Z591" s="565" t="s">
        <v>78</v>
      </c>
      <c r="AA591" s="565" t="s">
        <v>78</v>
      </c>
      <c r="AB591" s="37"/>
      <c r="AC591" s="816">
        <f>'Ref-DOE'!$M$26</f>
        <v>8.7800000000000011</v>
      </c>
      <c r="AD591" s="565" t="s">
        <v>84</v>
      </c>
      <c r="AE591" s="565" t="s">
        <v>73</v>
      </c>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c r="CA591" s="393"/>
      <c r="CB591" s="393"/>
      <c r="CC591" s="393"/>
      <c r="CD591" s="393"/>
      <c r="CE591" s="393"/>
      <c r="CF591" s="393"/>
      <c r="CG591" s="393"/>
      <c r="CH591" s="393"/>
      <c r="CI591" s="393"/>
      <c r="CJ591" s="390"/>
      <c r="CK591" s="390"/>
      <c r="CL591" s="390"/>
      <c r="CM591" s="390"/>
      <c r="CN591" s="390"/>
      <c r="CO591" s="390"/>
      <c r="CP591" s="390"/>
      <c r="CQ591" s="390"/>
      <c r="CR591" s="390"/>
      <c r="CS591" s="390"/>
      <c r="CT591" s="390"/>
      <c r="CU591" s="390"/>
      <c r="CV591" s="390"/>
      <c r="CW591" s="390"/>
      <c r="CX591" s="390"/>
      <c r="CY591" s="390"/>
      <c r="CZ591" s="390"/>
      <c r="DA591" s="390"/>
      <c r="DB591" s="390"/>
      <c r="DC591" s="390"/>
    </row>
    <row r="592" spans="1:107" s="303" customFormat="1" ht="56.25">
      <c r="A592" s="37"/>
      <c r="B592" s="694" t="s">
        <v>30</v>
      </c>
      <c r="C592" s="320" t="s">
        <v>1185</v>
      </c>
      <c r="D592" s="564" t="s">
        <v>1231</v>
      </c>
      <c r="E592" s="323">
        <f>'Ref-ComSources'!$W$45</f>
        <v>1030.2872247506953</v>
      </c>
      <c r="F592" s="565" t="s">
        <v>27</v>
      </c>
      <c r="G592" s="566">
        <f>'Ref-2013CSSsaturationsEXT'!$F$20</f>
        <v>7.8508223668573393E-2</v>
      </c>
      <c r="H592" s="320" t="s">
        <v>110</v>
      </c>
      <c r="I592" s="378">
        <f>'Ref-2013CSSsaturationsEXT'!$J$20</f>
        <v>0.94387211177801444</v>
      </c>
      <c r="J592" s="320" t="s">
        <v>1097</v>
      </c>
      <c r="K592" s="320" t="s">
        <v>114</v>
      </c>
      <c r="L592" s="320" t="s">
        <v>960</v>
      </c>
      <c r="M592" s="320" t="s">
        <v>92</v>
      </c>
      <c r="N592" s="324">
        <f>E592*G592*'Ref-Savings Calculations'!$E$25*Applicability</f>
        <v>34.8836126324736</v>
      </c>
      <c r="O592" s="324">
        <f>G592*E592*'Ref-Savings Calculations'!$C$99*Applicability*ControlShare</f>
        <v>21.98766481944574</v>
      </c>
      <c r="P592" s="324">
        <f>E592*G592*'Ref-Savings Calculations'!$E$26*Applicability</f>
        <v>32.626483721773965</v>
      </c>
      <c r="Q592" s="324">
        <f>G592*E592*('Ref-Savings Calculations'!$C$99-'Ref-Savings Calculations'!$C$75)*Applicability*ControlShare</f>
        <v>8.5507585408955649</v>
      </c>
      <c r="R592" s="37"/>
      <c r="S592" s="320" t="s">
        <v>69</v>
      </c>
      <c r="T592" s="320" t="s">
        <v>69</v>
      </c>
      <c r="U592" s="320" t="s">
        <v>69</v>
      </c>
      <c r="V592" s="320" t="s">
        <v>69</v>
      </c>
      <c r="W592" s="320" t="s">
        <v>76</v>
      </c>
      <c r="X592" s="37"/>
      <c r="Y592" s="37"/>
      <c r="Z592" s="565" t="s">
        <v>78</v>
      </c>
      <c r="AA592" s="565" t="s">
        <v>78</v>
      </c>
      <c r="AB592" s="37"/>
      <c r="AC592" s="816">
        <f>'Ref-DOE'!$M$26</f>
        <v>8.7800000000000011</v>
      </c>
      <c r="AD592" s="565" t="s">
        <v>84</v>
      </c>
      <c r="AE592" s="565" t="s">
        <v>73</v>
      </c>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c r="CA592" s="393"/>
      <c r="CB592" s="393"/>
      <c r="CC592" s="393"/>
      <c r="CD592" s="393"/>
      <c r="CE592" s="393"/>
      <c r="CF592" s="393"/>
      <c r="CG592" s="393"/>
      <c r="CH592" s="393"/>
      <c r="CI592" s="393"/>
      <c r="CJ592" s="390"/>
      <c r="CK592" s="390"/>
      <c r="CL592" s="390"/>
      <c r="CM592" s="390"/>
      <c r="CN592" s="390"/>
      <c r="CO592" s="390"/>
      <c r="CP592" s="390"/>
      <c r="CQ592" s="390"/>
      <c r="CR592" s="390"/>
      <c r="CS592" s="390"/>
      <c r="CT592" s="390"/>
      <c r="CU592" s="390"/>
      <c r="CV592" s="390"/>
      <c r="CW592" s="390"/>
      <c r="CX592" s="390"/>
      <c r="CY592" s="390"/>
      <c r="CZ592" s="390"/>
      <c r="DA592" s="390"/>
      <c r="DB592" s="390"/>
      <c r="DC592" s="390"/>
    </row>
    <row r="593" spans="1:107" s="303" customFormat="1" ht="56.25">
      <c r="A593" s="37"/>
      <c r="B593" s="694" t="s">
        <v>30</v>
      </c>
      <c r="C593" s="320" t="s">
        <v>1185</v>
      </c>
      <c r="D593" s="564" t="s">
        <v>1231</v>
      </c>
      <c r="E593" s="323">
        <f>'Ref-ComSources'!$W$45</f>
        <v>1030.2872247506953</v>
      </c>
      <c r="F593" s="565" t="s">
        <v>27</v>
      </c>
      <c r="G593" s="566">
        <f>'Ref-2013CSSsaturationsEXT'!$F$20</f>
        <v>7.8508223668573393E-2</v>
      </c>
      <c r="H593" s="320" t="s">
        <v>110</v>
      </c>
      <c r="I593" s="378">
        <f>'Ref-2013CSSsaturationsEXT'!$J$20</f>
        <v>0.94387211177801444</v>
      </c>
      <c r="J593" s="320" t="s">
        <v>1097</v>
      </c>
      <c r="K593" s="320" t="s">
        <v>114</v>
      </c>
      <c r="L593" s="320" t="s">
        <v>960</v>
      </c>
      <c r="M593" s="320" t="s">
        <v>93</v>
      </c>
      <c r="N593" s="324">
        <f>E593*G593*'Ref-Savings Calculations'!$E$25*Applicability</f>
        <v>34.8836126324736</v>
      </c>
      <c r="O593" s="324">
        <f>G593*E593*'Ref-Savings Calculations'!$C$109*Applicability*ControlShare</f>
        <v>23.209201753859393</v>
      </c>
      <c r="P593" s="324">
        <f>E593*G593*'Ref-Savings Calculations'!$E$26*Applicability</f>
        <v>32.626483721773965</v>
      </c>
      <c r="Q593" s="324">
        <f>G593*E593*('Ref-Savings Calculations'!$C$109-'Ref-Savings Calculations'!$C$75)*Applicability*ControlShare</f>
        <v>9.7722954753092175</v>
      </c>
      <c r="R593" s="37"/>
      <c r="S593" s="320" t="s">
        <v>69</v>
      </c>
      <c r="T593" s="320" t="s">
        <v>69</v>
      </c>
      <c r="U593" s="320" t="s">
        <v>44</v>
      </c>
      <c r="V593" s="320" t="s">
        <v>75</v>
      </c>
      <c r="W593" s="320" t="s">
        <v>76</v>
      </c>
      <c r="X593" s="37"/>
      <c r="Y593" s="37"/>
      <c r="Z593" s="565" t="s">
        <v>78</v>
      </c>
      <c r="AA593" s="565" t="s">
        <v>78</v>
      </c>
      <c r="AB593" s="37"/>
      <c r="AC593" s="816">
        <f>'Ref-DOE'!$M$26</f>
        <v>8.7800000000000011</v>
      </c>
      <c r="AD593" s="565" t="s">
        <v>84</v>
      </c>
      <c r="AE593" s="565" t="s">
        <v>73</v>
      </c>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c r="CA593" s="393"/>
      <c r="CB593" s="393"/>
      <c r="CC593" s="393"/>
      <c r="CD593" s="393"/>
      <c r="CE593" s="393"/>
      <c r="CF593" s="393"/>
      <c r="CG593" s="393"/>
      <c r="CH593" s="393"/>
      <c r="CI593" s="393"/>
      <c r="CJ593" s="390"/>
      <c r="CK593" s="390"/>
      <c r="CL593" s="390"/>
      <c r="CM593" s="390"/>
      <c r="CN593" s="390"/>
      <c r="CO593" s="390"/>
      <c r="CP593" s="390"/>
      <c r="CQ593" s="390"/>
      <c r="CR593" s="390"/>
      <c r="CS593" s="390"/>
      <c r="CT593" s="390"/>
      <c r="CU593" s="390"/>
      <c r="CV593" s="390"/>
      <c r="CW593" s="390"/>
      <c r="CX593" s="390"/>
      <c r="CY593" s="390"/>
      <c r="CZ593" s="390"/>
      <c r="DA593" s="390"/>
      <c r="DB593" s="390"/>
      <c r="DC593" s="390"/>
    </row>
    <row r="594" spans="1:107" s="303" customFormat="1" ht="33.75">
      <c r="A594" s="37"/>
      <c r="B594" s="694" t="s">
        <v>30</v>
      </c>
      <c r="C594" s="320" t="s">
        <v>1185</v>
      </c>
      <c r="D594" s="564" t="s">
        <v>1231</v>
      </c>
      <c r="E594" s="323">
        <f>'Ref-ComSources'!$W$45</f>
        <v>1030.2872247506953</v>
      </c>
      <c r="F594" s="565" t="s">
        <v>846</v>
      </c>
      <c r="G594" s="566">
        <f>'Ref-2013CSSsaturationsEXT'!$F$21</f>
        <v>9.300176094017075E-2</v>
      </c>
      <c r="H594" s="320" t="s">
        <v>110</v>
      </c>
      <c r="I594" s="378">
        <f>'Ref-2013CSSsaturationsEXT'!$J$21</f>
        <v>0.91808838242670321</v>
      </c>
      <c r="J594" s="320" t="s">
        <v>25</v>
      </c>
      <c r="K594" s="320" t="s">
        <v>114</v>
      </c>
      <c r="L594" s="320" t="s">
        <v>1270</v>
      </c>
      <c r="M594" s="320" t="s">
        <v>88</v>
      </c>
      <c r="N594" s="324">
        <f>E594*G594*'Ref-Savings Calculations'!$E$9*Applicability</f>
        <v>60.68506657811821</v>
      </c>
      <c r="O594" s="324">
        <f>G594*E594*'Ref-Savings Calculations'!$C$75*Applicability*ControlShare</f>
        <v>15.482698123800628</v>
      </c>
      <c r="P594" s="324">
        <f>E594*G594*'Ref-Savings Calculations'!$E$9*Applicability</f>
        <v>60.68506657811821</v>
      </c>
      <c r="Q594" s="324" t="s">
        <v>871</v>
      </c>
      <c r="R594" s="37"/>
      <c r="S594" s="320" t="s">
        <v>44</v>
      </c>
      <c r="T594" s="320" t="s">
        <v>63</v>
      </c>
      <c r="U594" s="320" t="s">
        <v>69</v>
      </c>
      <c r="V594" s="320" t="s">
        <v>69</v>
      </c>
      <c r="W594" s="320" t="s">
        <v>76</v>
      </c>
      <c r="X594" s="37"/>
      <c r="Y594" s="37"/>
      <c r="Z594" s="565" t="s">
        <v>78</v>
      </c>
      <c r="AA594" s="565" t="s">
        <v>78</v>
      </c>
      <c r="AB594" s="37"/>
      <c r="AC594" s="816">
        <f>'Ref-DOE'!$M$26</f>
        <v>8.7800000000000011</v>
      </c>
      <c r="AD594" s="565" t="s">
        <v>84</v>
      </c>
      <c r="AE594" s="565" t="s">
        <v>73</v>
      </c>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c r="CA594" s="393"/>
      <c r="CB594" s="393"/>
      <c r="CC594" s="393"/>
      <c r="CD594" s="393"/>
      <c r="CE594" s="393"/>
      <c r="CF594" s="393"/>
      <c r="CG594" s="393"/>
      <c r="CH594" s="393"/>
      <c r="CI594" s="393"/>
      <c r="CJ594" s="390"/>
      <c r="CK594" s="390"/>
      <c r="CL594" s="390"/>
      <c r="CM594" s="390"/>
      <c r="CN594" s="390"/>
      <c r="CO594" s="390"/>
      <c r="CP594" s="390"/>
      <c r="CQ594" s="390"/>
      <c r="CR594" s="390"/>
      <c r="CS594" s="390"/>
      <c r="CT594" s="390"/>
      <c r="CU594" s="390"/>
      <c r="CV594" s="390"/>
      <c r="CW594" s="390"/>
      <c r="CX594" s="390"/>
      <c r="CY594" s="390"/>
      <c r="CZ594" s="390"/>
      <c r="DA594" s="390"/>
      <c r="DB594" s="390"/>
      <c r="DC594" s="390"/>
    </row>
    <row r="595" spans="1:107" s="303" customFormat="1" ht="33.75">
      <c r="A595" s="37"/>
      <c r="B595" s="694" t="s">
        <v>30</v>
      </c>
      <c r="C595" s="320" t="s">
        <v>1185</v>
      </c>
      <c r="D595" s="564" t="s">
        <v>1231</v>
      </c>
      <c r="E595" s="323">
        <f>'Ref-ComSources'!$W$45</f>
        <v>1030.2872247506953</v>
      </c>
      <c r="F595" s="565" t="s">
        <v>846</v>
      </c>
      <c r="G595" s="566">
        <f>'Ref-2013CSSsaturationsEXT'!$F$21</f>
        <v>9.300176094017075E-2</v>
      </c>
      <c r="H595" s="320" t="s">
        <v>110</v>
      </c>
      <c r="I595" s="378">
        <f>'Ref-2013CSSsaturationsEXT'!$J$21</f>
        <v>0.91808838242670321</v>
      </c>
      <c r="J595" s="320" t="s">
        <v>25</v>
      </c>
      <c r="K595" s="320" t="s">
        <v>114</v>
      </c>
      <c r="L595" s="320" t="s">
        <v>1270</v>
      </c>
      <c r="M595" s="320" t="s">
        <v>90</v>
      </c>
      <c r="N595" s="324">
        <f>E595*G595*'Ref-Savings Calculations'!$E$9*Applicability</f>
        <v>60.68506657811821</v>
      </c>
      <c r="O595" s="324" t="s">
        <v>871</v>
      </c>
      <c r="P595" s="324">
        <f>E595*G595*'Ref-Savings Calculations'!$E$9*Applicability</f>
        <v>60.68506657811821</v>
      </c>
      <c r="Q595" s="324" t="s">
        <v>871</v>
      </c>
      <c r="R595" s="37"/>
      <c r="S595" s="320" t="s">
        <v>44</v>
      </c>
      <c r="T595" s="320" t="s">
        <v>63</v>
      </c>
      <c r="U595" s="320" t="s">
        <v>69</v>
      </c>
      <c r="V595" s="320" t="s">
        <v>69</v>
      </c>
      <c r="W595" s="320" t="s">
        <v>76</v>
      </c>
      <c r="X595" s="37"/>
      <c r="Y595" s="37"/>
      <c r="Z595" s="565" t="s">
        <v>78</v>
      </c>
      <c r="AA595" s="565" t="s">
        <v>78</v>
      </c>
      <c r="AB595" s="37"/>
      <c r="AC595" s="816">
        <f>'Ref-DOE'!$M$26</f>
        <v>8.7800000000000011</v>
      </c>
      <c r="AD595" s="565" t="s">
        <v>84</v>
      </c>
      <c r="AE595" s="565" t="s">
        <v>73</v>
      </c>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c r="CA595" s="393"/>
      <c r="CB595" s="393"/>
      <c r="CC595" s="393"/>
      <c r="CD595" s="393"/>
      <c r="CE595" s="393"/>
      <c r="CF595" s="393"/>
      <c r="CG595" s="393"/>
      <c r="CH595" s="393"/>
      <c r="CI595" s="393"/>
      <c r="CJ595" s="390"/>
      <c r="CK595" s="390"/>
      <c r="CL595" s="390"/>
      <c r="CM595" s="390"/>
      <c r="CN595" s="390"/>
      <c r="CO595" s="390"/>
      <c r="CP595" s="390"/>
      <c r="CQ595" s="390"/>
      <c r="CR595" s="390"/>
      <c r="CS595" s="390"/>
      <c r="CT595" s="390"/>
      <c r="CU595" s="390"/>
      <c r="CV595" s="390"/>
      <c r="CW595" s="390"/>
      <c r="CX595" s="390"/>
      <c r="CY595" s="390"/>
      <c r="CZ595" s="390"/>
      <c r="DA595" s="390"/>
      <c r="DB595" s="390"/>
      <c r="DC595" s="390"/>
    </row>
    <row r="596" spans="1:107" s="303" customFormat="1" ht="33.75">
      <c r="A596" s="37"/>
      <c r="B596" s="694" t="s">
        <v>30</v>
      </c>
      <c r="C596" s="320" t="s">
        <v>1185</v>
      </c>
      <c r="D596" s="564" t="s">
        <v>1231</v>
      </c>
      <c r="E596" s="323">
        <f>'Ref-ComSources'!$W$45</f>
        <v>1030.2872247506953</v>
      </c>
      <c r="F596" s="565" t="s">
        <v>846</v>
      </c>
      <c r="G596" s="566">
        <f>'Ref-2013CSSsaturationsEXT'!$F$21</f>
        <v>9.300176094017075E-2</v>
      </c>
      <c r="H596" s="320" t="s">
        <v>110</v>
      </c>
      <c r="I596" s="378">
        <f>'Ref-2013CSSsaturationsEXT'!$J$21</f>
        <v>0.91808838242670321</v>
      </c>
      <c r="J596" s="320" t="s">
        <v>25</v>
      </c>
      <c r="K596" s="320" t="s">
        <v>114</v>
      </c>
      <c r="L596" s="320" t="s">
        <v>1270</v>
      </c>
      <c r="M596" s="320" t="s">
        <v>91</v>
      </c>
      <c r="N596" s="324">
        <f>E596*G596*'Ref-Savings Calculations'!$E$9*Applicability</f>
        <v>60.68506657811821</v>
      </c>
      <c r="O596" s="324" t="s">
        <v>870</v>
      </c>
      <c r="P596" s="324">
        <f>E596*G596*'Ref-Savings Calculations'!$E$9*Applicability</f>
        <v>60.68506657811821</v>
      </c>
      <c r="Q596" s="324" t="s">
        <v>870</v>
      </c>
      <c r="R596" s="37"/>
      <c r="S596" s="320" t="s">
        <v>44</v>
      </c>
      <c r="T596" s="320" t="s">
        <v>63</v>
      </c>
      <c r="U596" s="320" t="s">
        <v>870</v>
      </c>
      <c r="V596" s="320" t="s">
        <v>870</v>
      </c>
      <c r="W596" s="320" t="s">
        <v>76</v>
      </c>
      <c r="X596" s="37"/>
      <c r="Y596" s="37"/>
      <c r="Z596" s="565" t="s">
        <v>78</v>
      </c>
      <c r="AA596" s="565" t="s">
        <v>78</v>
      </c>
      <c r="AB596" s="37"/>
      <c r="AC596" s="816">
        <f>'Ref-DOE'!$M$26</f>
        <v>8.7800000000000011</v>
      </c>
      <c r="AD596" s="565" t="s">
        <v>84</v>
      </c>
      <c r="AE596" s="565" t="s">
        <v>73</v>
      </c>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c r="CA596" s="393"/>
      <c r="CB596" s="393"/>
      <c r="CC596" s="393"/>
      <c r="CD596" s="393"/>
      <c r="CE596" s="393"/>
      <c r="CF596" s="393"/>
      <c r="CG596" s="393"/>
      <c r="CH596" s="393"/>
      <c r="CI596" s="393"/>
      <c r="CJ596" s="390"/>
      <c r="CK596" s="390"/>
      <c r="CL596" s="390"/>
      <c r="CM596" s="390"/>
      <c r="CN596" s="390"/>
      <c r="CO596" s="390"/>
      <c r="CP596" s="390"/>
      <c r="CQ596" s="390"/>
      <c r="CR596" s="390"/>
      <c r="CS596" s="390"/>
      <c r="CT596" s="390"/>
      <c r="CU596" s="390"/>
      <c r="CV596" s="390"/>
      <c r="CW596" s="390"/>
      <c r="CX596" s="390"/>
      <c r="CY596" s="390"/>
      <c r="CZ596" s="390"/>
      <c r="DA596" s="390"/>
      <c r="DB596" s="390"/>
      <c r="DC596" s="390"/>
    </row>
    <row r="597" spans="1:107" s="303" customFormat="1" ht="33.75">
      <c r="A597" s="37"/>
      <c r="B597" s="694" t="s">
        <v>30</v>
      </c>
      <c r="C597" s="320" t="s">
        <v>1185</v>
      </c>
      <c r="D597" s="564" t="s">
        <v>1231</v>
      </c>
      <c r="E597" s="323">
        <f>'Ref-ComSources'!$W$45</f>
        <v>1030.2872247506953</v>
      </c>
      <c r="F597" s="565" t="s">
        <v>846</v>
      </c>
      <c r="G597" s="566">
        <f>'Ref-2013CSSsaturationsEXT'!$F$21</f>
        <v>9.300176094017075E-2</v>
      </c>
      <c r="H597" s="320" t="s">
        <v>110</v>
      </c>
      <c r="I597" s="378">
        <f>'Ref-2013CSSsaturationsEXT'!$J$21</f>
        <v>0.91808838242670321</v>
      </c>
      <c r="J597" s="320" t="s">
        <v>25</v>
      </c>
      <c r="K597" s="320" t="s">
        <v>114</v>
      </c>
      <c r="L597" s="320" t="s">
        <v>1270</v>
      </c>
      <c r="M597" s="320" t="s">
        <v>92</v>
      </c>
      <c r="N597" s="324">
        <f>E597*G597*'Ref-Savings Calculations'!$E$9*Applicability</f>
        <v>60.68506657811821</v>
      </c>
      <c r="O597" s="324">
        <f>G597*E597*'Ref-Savings Calculations'!$C$99*Applicability*ControlShare</f>
        <v>25.335324202582843</v>
      </c>
      <c r="P597" s="324">
        <f>E597*G597*'Ref-Savings Calculations'!$E$9*Applicability</f>
        <v>60.68506657811821</v>
      </c>
      <c r="Q597" s="324">
        <f>G597*E597*('Ref-Savings Calculations'!$C$99-'Ref-Savings Calculations'!$C$75)*Applicability*ControlShare</f>
        <v>9.8526260787822171</v>
      </c>
      <c r="R597" s="37"/>
      <c r="S597" s="320" t="s">
        <v>44</v>
      </c>
      <c r="T597" s="320" t="s">
        <v>63</v>
      </c>
      <c r="U597" s="320" t="s">
        <v>69</v>
      </c>
      <c r="V597" s="320" t="s">
        <v>69</v>
      </c>
      <c r="W597" s="320" t="s">
        <v>76</v>
      </c>
      <c r="X597" s="37"/>
      <c r="Y597" s="37"/>
      <c r="Z597" s="565" t="s">
        <v>78</v>
      </c>
      <c r="AA597" s="565" t="s">
        <v>78</v>
      </c>
      <c r="AB597" s="37"/>
      <c r="AC597" s="816">
        <f>'Ref-DOE'!$M$26</f>
        <v>8.7800000000000011</v>
      </c>
      <c r="AD597" s="565" t="s">
        <v>84</v>
      </c>
      <c r="AE597" s="565" t="s">
        <v>73</v>
      </c>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c r="CA597" s="393"/>
      <c r="CB597" s="393"/>
      <c r="CC597" s="393"/>
      <c r="CD597" s="393"/>
      <c r="CE597" s="393"/>
      <c r="CF597" s="393"/>
      <c r="CG597" s="393"/>
      <c r="CH597" s="393"/>
      <c r="CI597" s="393"/>
      <c r="CJ597" s="390"/>
      <c r="CK597" s="390"/>
      <c r="CL597" s="390"/>
      <c r="CM597" s="390"/>
      <c r="CN597" s="390"/>
      <c r="CO597" s="390"/>
      <c r="CP597" s="390"/>
      <c r="CQ597" s="390"/>
      <c r="CR597" s="390"/>
      <c r="CS597" s="390"/>
      <c r="CT597" s="390"/>
      <c r="CU597" s="390"/>
      <c r="CV597" s="390"/>
      <c r="CW597" s="390"/>
      <c r="CX597" s="390"/>
      <c r="CY597" s="390"/>
      <c r="CZ597" s="390"/>
      <c r="DA597" s="390"/>
      <c r="DB597" s="390"/>
      <c r="DC597" s="390"/>
    </row>
    <row r="598" spans="1:107" s="303" customFormat="1" ht="33.75">
      <c r="A598" s="37"/>
      <c r="B598" s="694" t="s">
        <v>30</v>
      </c>
      <c r="C598" s="320" t="s">
        <v>1185</v>
      </c>
      <c r="D598" s="564" t="s">
        <v>1231</v>
      </c>
      <c r="E598" s="323">
        <f>'Ref-ComSources'!$W$45</f>
        <v>1030.2872247506953</v>
      </c>
      <c r="F598" s="565" t="s">
        <v>846</v>
      </c>
      <c r="G598" s="566">
        <f>'Ref-2013CSSsaturationsEXT'!$F$21</f>
        <v>9.300176094017075E-2</v>
      </c>
      <c r="H598" s="320" t="s">
        <v>110</v>
      </c>
      <c r="I598" s="378">
        <f>'Ref-2013CSSsaturationsEXT'!$J$21</f>
        <v>0.91808838242670321</v>
      </c>
      <c r="J598" s="320" t="s">
        <v>25</v>
      </c>
      <c r="K598" s="320" t="s">
        <v>114</v>
      </c>
      <c r="L598" s="320" t="s">
        <v>1270</v>
      </c>
      <c r="M598" s="320" t="s">
        <v>93</v>
      </c>
      <c r="N598" s="324">
        <f>E598*G598*'Ref-Savings Calculations'!$E$9*Applicability</f>
        <v>60.68506657811821</v>
      </c>
      <c r="O598" s="324">
        <f>G598*E598*'Ref-Savings Calculations'!$C$109*Applicability*ControlShare</f>
        <v>26.742842213837445</v>
      </c>
      <c r="P598" s="324">
        <f>E598*G598*'Ref-Savings Calculations'!$E$9*Applicability</f>
        <v>60.68506657811821</v>
      </c>
      <c r="Q598" s="324">
        <f>G598*E598*('Ref-Savings Calculations'!$C$109-'Ref-Savings Calculations'!$C$75)*Applicability*ControlShare</f>
        <v>11.260144090036819</v>
      </c>
      <c r="R598" s="37"/>
      <c r="S598" s="320" t="s">
        <v>44</v>
      </c>
      <c r="T598" s="320" t="s">
        <v>63</v>
      </c>
      <c r="U598" s="320" t="s">
        <v>44</v>
      </c>
      <c r="V598" s="320" t="s">
        <v>75</v>
      </c>
      <c r="W598" s="320" t="s">
        <v>76</v>
      </c>
      <c r="X598" s="37"/>
      <c r="Y598" s="37"/>
      <c r="Z598" s="565" t="s">
        <v>78</v>
      </c>
      <c r="AA598" s="565" t="s">
        <v>78</v>
      </c>
      <c r="AB598" s="37"/>
      <c r="AC598" s="816">
        <f>'Ref-DOE'!$M$26</f>
        <v>8.7800000000000011</v>
      </c>
      <c r="AD598" s="565" t="s">
        <v>84</v>
      </c>
      <c r="AE598" s="565" t="s">
        <v>73</v>
      </c>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c r="CA598" s="393"/>
      <c r="CB598" s="393"/>
      <c r="CC598" s="393"/>
      <c r="CD598" s="393"/>
      <c r="CE598" s="393"/>
      <c r="CF598" s="393"/>
      <c r="CG598" s="393"/>
      <c r="CH598" s="393"/>
      <c r="CI598" s="393"/>
      <c r="CJ598" s="390"/>
      <c r="CK598" s="390"/>
      <c r="CL598" s="390"/>
      <c r="CM598" s="390"/>
      <c r="CN598" s="390"/>
      <c r="CO598" s="390"/>
      <c r="CP598" s="390"/>
      <c r="CQ598" s="390"/>
      <c r="CR598" s="390"/>
      <c r="CS598" s="390"/>
      <c r="CT598" s="390"/>
      <c r="CU598" s="390"/>
      <c r="CV598" s="390"/>
      <c r="CW598" s="390"/>
      <c r="CX598" s="390"/>
      <c r="CY598" s="390"/>
      <c r="CZ598" s="390"/>
      <c r="DA598" s="390"/>
      <c r="DB598" s="390"/>
      <c r="DC598" s="390"/>
    </row>
    <row r="599" spans="1:107" s="303" customFormat="1" ht="33.75">
      <c r="A599" s="37"/>
      <c r="B599" s="694" t="s">
        <v>30</v>
      </c>
      <c r="C599" s="320" t="s">
        <v>1185</v>
      </c>
      <c r="D599" s="564" t="s">
        <v>1231</v>
      </c>
      <c r="E599" s="323">
        <f>'Ref-ComSources'!$W$45</f>
        <v>1030.2872247506953</v>
      </c>
      <c r="F599" s="565" t="s">
        <v>846</v>
      </c>
      <c r="G599" s="566">
        <f>'Ref-2013CSSsaturationsEXT'!$F$21</f>
        <v>9.300176094017075E-2</v>
      </c>
      <c r="H599" s="320" t="s">
        <v>110</v>
      </c>
      <c r="I599" s="378">
        <f>'Ref-2013CSSsaturationsEXT'!$J$21</f>
        <v>0.91808838242670321</v>
      </c>
      <c r="J599" s="320" t="s">
        <v>25</v>
      </c>
      <c r="K599" s="320" t="s">
        <v>114</v>
      </c>
      <c r="L599" s="320" t="s">
        <v>24</v>
      </c>
      <c r="M599" s="320" t="s">
        <v>88</v>
      </c>
      <c r="N599" s="324">
        <f>E599*G599*'Ref-Savings Calculations'!$E$8*Applicability</f>
        <v>55.894140269319408</v>
      </c>
      <c r="O599" s="324">
        <f>G599*E599*'Ref-Savings Calculations'!$C$75*Applicability*ControlShare</f>
        <v>15.482698123800628</v>
      </c>
      <c r="P599" s="324">
        <f>E599*G599*'Ref-Savings Calculations'!$E$8*Applicability</f>
        <v>55.894140269319408</v>
      </c>
      <c r="Q599" s="324" t="s">
        <v>871</v>
      </c>
      <c r="R599" s="37"/>
      <c r="S599" s="565" t="s">
        <v>68</v>
      </c>
      <c r="T599" s="565" t="s">
        <v>63</v>
      </c>
      <c r="U599" s="320" t="s">
        <v>69</v>
      </c>
      <c r="V599" s="320" t="s">
        <v>69</v>
      </c>
      <c r="W599" s="565" t="s">
        <v>70</v>
      </c>
      <c r="X599" s="37"/>
      <c r="Y599" s="37"/>
      <c r="Z599" s="565" t="s">
        <v>78</v>
      </c>
      <c r="AA599" s="565" t="s">
        <v>78</v>
      </c>
      <c r="AB599" s="37"/>
      <c r="AC599" s="816">
        <f>'Ref-DOE'!$M$26</f>
        <v>8.7800000000000011</v>
      </c>
      <c r="AD599" s="565" t="s">
        <v>84</v>
      </c>
      <c r="AE599" s="565" t="s">
        <v>73</v>
      </c>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c r="CA599" s="393"/>
      <c r="CB599" s="393"/>
      <c r="CC599" s="393"/>
      <c r="CD599" s="393"/>
      <c r="CE599" s="393"/>
      <c r="CF599" s="393"/>
      <c r="CG599" s="393"/>
      <c r="CH599" s="393"/>
      <c r="CI599" s="393"/>
      <c r="CJ599" s="390"/>
      <c r="CK599" s="390"/>
      <c r="CL599" s="390"/>
      <c r="CM599" s="390"/>
      <c r="CN599" s="390"/>
      <c r="CO599" s="390"/>
      <c r="CP599" s="390"/>
      <c r="CQ599" s="390"/>
      <c r="CR599" s="390"/>
      <c r="CS599" s="390"/>
      <c r="CT599" s="390"/>
      <c r="CU599" s="390"/>
      <c r="CV599" s="390"/>
      <c r="CW599" s="390"/>
      <c r="CX599" s="390"/>
      <c r="CY599" s="390"/>
      <c r="CZ599" s="390"/>
      <c r="DA599" s="390"/>
      <c r="DB599" s="390"/>
      <c r="DC599" s="390"/>
    </row>
    <row r="600" spans="1:107" s="303" customFormat="1" ht="33.75">
      <c r="A600" s="37"/>
      <c r="B600" s="694" t="s">
        <v>30</v>
      </c>
      <c r="C600" s="320" t="s">
        <v>1185</v>
      </c>
      <c r="D600" s="564" t="s">
        <v>1231</v>
      </c>
      <c r="E600" s="323">
        <f>'Ref-ComSources'!$W$45</f>
        <v>1030.2872247506953</v>
      </c>
      <c r="F600" s="565" t="s">
        <v>846</v>
      </c>
      <c r="G600" s="566">
        <f>'Ref-2013CSSsaturationsEXT'!$F$21</f>
        <v>9.300176094017075E-2</v>
      </c>
      <c r="H600" s="320" t="s">
        <v>110</v>
      </c>
      <c r="I600" s="378">
        <f>'Ref-2013CSSsaturationsEXT'!$J$21</f>
        <v>0.91808838242670321</v>
      </c>
      <c r="J600" s="320" t="s">
        <v>25</v>
      </c>
      <c r="K600" s="320" t="s">
        <v>114</v>
      </c>
      <c r="L600" s="320" t="s">
        <v>24</v>
      </c>
      <c r="M600" s="320" t="s">
        <v>90</v>
      </c>
      <c r="N600" s="324">
        <f>E600*G600*'Ref-Savings Calculations'!$E$8*Applicability</f>
        <v>55.894140269319408</v>
      </c>
      <c r="O600" s="324" t="s">
        <v>871</v>
      </c>
      <c r="P600" s="324">
        <f>E600*G600*'Ref-Savings Calculations'!$E$8*Applicability</f>
        <v>55.894140269319408</v>
      </c>
      <c r="Q600" s="324" t="s">
        <v>871</v>
      </c>
      <c r="R600" s="37"/>
      <c r="S600" s="565" t="s">
        <v>68</v>
      </c>
      <c r="T600" s="565" t="s">
        <v>63</v>
      </c>
      <c r="U600" s="320" t="s">
        <v>69</v>
      </c>
      <c r="V600" s="320" t="s">
        <v>69</v>
      </c>
      <c r="W600" s="565" t="s">
        <v>70</v>
      </c>
      <c r="X600" s="37"/>
      <c r="Y600" s="37"/>
      <c r="Z600" s="565" t="s">
        <v>78</v>
      </c>
      <c r="AA600" s="565" t="s">
        <v>78</v>
      </c>
      <c r="AB600" s="37"/>
      <c r="AC600" s="816">
        <f>'Ref-DOE'!$M$26</f>
        <v>8.7800000000000011</v>
      </c>
      <c r="AD600" s="565" t="s">
        <v>84</v>
      </c>
      <c r="AE600" s="565" t="s">
        <v>73</v>
      </c>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c r="CA600" s="393"/>
      <c r="CB600" s="393"/>
      <c r="CC600" s="393"/>
      <c r="CD600" s="393"/>
      <c r="CE600" s="393"/>
      <c r="CF600" s="393"/>
      <c r="CG600" s="393"/>
      <c r="CH600" s="393"/>
      <c r="CI600" s="393"/>
      <c r="CJ600" s="390"/>
      <c r="CK600" s="390"/>
      <c r="CL600" s="390"/>
      <c r="CM600" s="390"/>
      <c r="CN600" s="390"/>
      <c r="CO600" s="390"/>
      <c r="CP600" s="390"/>
      <c r="CQ600" s="390"/>
      <c r="CR600" s="390"/>
      <c r="CS600" s="390"/>
      <c r="CT600" s="390"/>
      <c r="CU600" s="390"/>
      <c r="CV600" s="390"/>
      <c r="CW600" s="390"/>
      <c r="CX600" s="390"/>
      <c r="CY600" s="390"/>
      <c r="CZ600" s="390"/>
      <c r="DA600" s="390"/>
      <c r="DB600" s="390"/>
      <c r="DC600" s="390"/>
    </row>
    <row r="601" spans="1:107" s="303" customFormat="1" ht="33.75">
      <c r="A601" s="37"/>
      <c r="B601" s="694" t="s">
        <v>30</v>
      </c>
      <c r="C601" s="320" t="s">
        <v>1185</v>
      </c>
      <c r="D601" s="564" t="s">
        <v>1231</v>
      </c>
      <c r="E601" s="323">
        <f>'Ref-ComSources'!$W$45</f>
        <v>1030.2872247506953</v>
      </c>
      <c r="F601" s="565" t="s">
        <v>846</v>
      </c>
      <c r="G601" s="566">
        <f>'Ref-2013CSSsaturationsEXT'!$F$21</f>
        <v>9.300176094017075E-2</v>
      </c>
      <c r="H601" s="320" t="s">
        <v>110</v>
      </c>
      <c r="I601" s="378">
        <f>'Ref-2013CSSsaturationsEXT'!$J$21</f>
        <v>0.91808838242670321</v>
      </c>
      <c r="J601" s="320" t="s">
        <v>25</v>
      </c>
      <c r="K601" s="320" t="s">
        <v>114</v>
      </c>
      <c r="L601" s="320" t="s">
        <v>24</v>
      </c>
      <c r="M601" s="320" t="s">
        <v>91</v>
      </c>
      <c r="N601" s="324">
        <f>E601*G601*'Ref-Savings Calculations'!$E$8*Applicability</f>
        <v>55.894140269319408</v>
      </c>
      <c r="O601" s="324" t="s">
        <v>870</v>
      </c>
      <c r="P601" s="324">
        <f>E601*G601*'Ref-Savings Calculations'!$E$8*Applicability</f>
        <v>55.894140269319408</v>
      </c>
      <c r="Q601" s="324" t="s">
        <v>870</v>
      </c>
      <c r="R601" s="37"/>
      <c r="S601" s="565" t="s">
        <v>68</v>
      </c>
      <c r="T601" s="565" t="s">
        <v>63</v>
      </c>
      <c r="U601" s="320" t="s">
        <v>69</v>
      </c>
      <c r="V601" s="320" t="s">
        <v>69</v>
      </c>
      <c r="W601" s="565" t="s">
        <v>70</v>
      </c>
      <c r="X601" s="37"/>
      <c r="Y601" s="37"/>
      <c r="Z601" s="565" t="s">
        <v>78</v>
      </c>
      <c r="AA601" s="565" t="s">
        <v>78</v>
      </c>
      <c r="AB601" s="37"/>
      <c r="AC601" s="816">
        <f>'Ref-DOE'!$M$26</f>
        <v>8.7800000000000011</v>
      </c>
      <c r="AD601" s="565" t="s">
        <v>84</v>
      </c>
      <c r="AE601" s="565" t="s">
        <v>73</v>
      </c>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c r="CA601" s="393"/>
      <c r="CB601" s="393"/>
      <c r="CC601" s="393"/>
      <c r="CD601" s="393"/>
      <c r="CE601" s="393"/>
      <c r="CF601" s="393"/>
      <c r="CG601" s="393"/>
      <c r="CH601" s="393"/>
      <c r="CI601" s="393"/>
      <c r="CJ601" s="390"/>
      <c r="CK601" s="390"/>
      <c r="CL601" s="390"/>
      <c r="CM601" s="390"/>
      <c r="CN601" s="390"/>
      <c r="CO601" s="390"/>
      <c r="CP601" s="390"/>
      <c r="CQ601" s="390"/>
      <c r="CR601" s="390"/>
      <c r="CS601" s="390"/>
      <c r="CT601" s="390"/>
      <c r="CU601" s="390"/>
      <c r="CV601" s="390"/>
      <c r="CW601" s="390"/>
      <c r="CX601" s="390"/>
      <c r="CY601" s="390"/>
      <c r="CZ601" s="390"/>
      <c r="DA601" s="390"/>
      <c r="DB601" s="390"/>
      <c r="DC601" s="390"/>
    </row>
    <row r="602" spans="1:107" s="303" customFormat="1" ht="33.75">
      <c r="A602" s="37"/>
      <c r="B602" s="694" t="s">
        <v>30</v>
      </c>
      <c r="C602" s="320" t="s">
        <v>1185</v>
      </c>
      <c r="D602" s="564" t="s">
        <v>1231</v>
      </c>
      <c r="E602" s="323">
        <f>'Ref-ComSources'!$W$45</f>
        <v>1030.2872247506953</v>
      </c>
      <c r="F602" s="565" t="s">
        <v>846</v>
      </c>
      <c r="G602" s="566">
        <f>'Ref-2013CSSsaturationsEXT'!$F$21</f>
        <v>9.300176094017075E-2</v>
      </c>
      <c r="H602" s="320" t="s">
        <v>110</v>
      </c>
      <c r="I602" s="378">
        <f>'Ref-2013CSSsaturationsEXT'!$J$21</f>
        <v>0.91808838242670321</v>
      </c>
      <c r="J602" s="320" t="s">
        <v>25</v>
      </c>
      <c r="K602" s="320" t="s">
        <v>114</v>
      </c>
      <c r="L602" s="320" t="s">
        <v>24</v>
      </c>
      <c r="M602" s="320" t="s">
        <v>92</v>
      </c>
      <c r="N602" s="324">
        <f>E602*G602*'Ref-Savings Calculations'!$E$8*Applicability</f>
        <v>55.894140269319408</v>
      </c>
      <c r="O602" s="324">
        <f>G602*E602*'Ref-Savings Calculations'!$C$99*Applicability*ControlShare</f>
        <v>25.335324202582843</v>
      </c>
      <c r="P602" s="324">
        <f>E602*G602*'Ref-Savings Calculations'!$E$8*Applicability</f>
        <v>55.894140269319408</v>
      </c>
      <c r="Q602" s="324">
        <f>G602*E602*('Ref-Savings Calculations'!$C$99-'Ref-Savings Calculations'!$C$75)*Applicability*ControlShare</f>
        <v>9.8526260787822171</v>
      </c>
      <c r="R602" s="37"/>
      <c r="S602" s="565" t="s">
        <v>68</v>
      </c>
      <c r="T602" s="565" t="s">
        <v>63</v>
      </c>
      <c r="U602" s="320" t="s">
        <v>69</v>
      </c>
      <c r="V602" s="320" t="s">
        <v>69</v>
      </c>
      <c r="W602" s="565" t="s">
        <v>70</v>
      </c>
      <c r="X602" s="37"/>
      <c r="Y602" s="37"/>
      <c r="Z602" s="565" t="s">
        <v>78</v>
      </c>
      <c r="AA602" s="565" t="s">
        <v>78</v>
      </c>
      <c r="AB602" s="37"/>
      <c r="AC602" s="816">
        <f>'Ref-DOE'!$M$26</f>
        <v>8.7800000000000011</v>
      </c>
      <c r="AD602" s="565" t="s">
        <v>84</v>
      </c>
      <c r="AE602" s="565" t="s">
        <v>73</v>
      </c>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c r="CA602" s="393"/>
      <c r="CB602" s="393"/>
      <c r="CC602" s="393"/>
      <c r="CD602" s="393"/>
      <c r="CE602" s="393"/>
      <c r="CF602" s="393"/>
      <c r="CG602" s="393"/>
      <c r="CH602" s="393"/>
      <c r="CI602" s="393"/>
      <c r="CJ602" s="390"/>
      <c r="CK602" s="390"/>
      <c r="CL602" s="390"/>
      <c r="CM602" s="390"/>
      <c r="CN602" s="390"/>
      <c r="CO602" s="390"/>
      <c r="CP602" s="390"/>
      <c r="CQ602" s="390"/>
      <c r="CR602" s="390"/>
      <c r="CS602" s="390"/>
      <c r="CT602" s="390"/>
      <c r="CU602" s="390"/>
      <c r="CV602" s="390"/>
      <c r="CW602" s="390"/>
      <c r="CX602" s="390"/>
      <c r="CY602" s="390"/>
      <c r="CZ602" s="390"/>
      <c r="DA602" s="390"/>
      <c r="DB602" s="390"/>
      <c r="DC602" s="390"/>
    </row>
    <row r="603" spans="1:107" s="303" customFormat="1" ht="33.75">
      <c r="A603" s="37"/>
      <c r="B603" s="694" t="s">
        <v>30</v>
      </c>
      <c r="C603" s="320" t="s">
        <v>1185</v>
      </c>
      <c r="D603" s="564" t="s">
        <v>1231</v>
      </c>
      <c r="E603" s="323">
        <f>'Ref-ComSources'!$W$45</f>
        <v>1030.2872247506953</v>
      </c>
      <c r="F603" s="565" t="s">
        <v>846</v>
      </c>
      <c r="G603" s="566">
        <f>'Ref-2013CSSsaturationsEXT'!$F$21</f>
        <v>9.300176094017075E-2</v>
      </c>
      <c r="H603" s="320" t="s">
        <v>110</v>
      </c>
      <c r="I603" s="378">
        <f>'Ref-2013CSSsaturationsEXT'!$J$21</f>
        <v>0.91808838242670321</v>
      </c>
      <c r="J603" s="320" t="s">
        <v>25</v>
      </c>
      <c r="K603" s="320" t="s">
        <v>114</v>
      </c>
      <c r="L603" s="320" t="s">
        <v>24</v>
      </c>
      <c r="M603" s="320" t="s">
        <v>93</v>
      </c>
      <c r="N603" s="324">
        <f>E603*G603*'Ref-Savings Calculations'!$E$8*Applicability</f>
        <v>55.894140269319408</v>
      </c>
      <c r="O603" s="324">
        <f>G603*E603*'Ref-Savings Calculations'!$C$109*Applicability*ControlShare</f>
        <v>26.742842213837445</v>
      </c>
      <c r="P603" s="324">
        <f>E603*G603*'Ref-Savings Calculations'!$E$8*Applicability</f>
        <v>55.894140269319408</v>
      </c>
      <c r="Q603" s="324">
        <f>G603*E603*('Ref-Savings Calculations'!$C$109-'Ref-Savings Calculations'!$C$75)*Applicability*ControlShare</f>
        <v>11.260144090036819</v>
      </c>
      <c r="R603" s="37"/>
      <c r="S603" s="565" t="s">
        <v>68</v>
      </c>
      <c r="T603" s="565" t="s">
        <v>63</v>
      </c>
      <c r="U603" s="320" t="s">
        <v>44</v>
      </c>
      <c r="V603" s="320" t="s">
        <v>75</v>
      </c>
      <c r="W603" s="565" t="s">
        <v>70</v>
      </c>
      <c r="X603" s="37"/>
      <c r="Y603" s="37"/>
      <c r="Z603" s="565" t="s">
        <v>78</v>
      </c>
      <c r="AA603" s="565" t="s">
        <v>78</v>
      </c>
      <c r="AB603" s="37"/>
      <c r="AC603" s="816">
        <f>'Ref-DOE'!$M$26</f>
        <v>8.7800000000000011</v>
      </c>
      <c r="AD603" s="565" t="s">
        <v>84</v>
      </c>
      <c r="AE603" s="565" t="s">
        <v>73</v>
      </c>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c r="CA603" s="393"/>
      <c r="CB603" s="393"/>
      <c r="CC603" s="393"/>
      <c r="CD603" s="393"/>
      <c r="CE603" s="393"/>
      <c r="CF603" s="393"/>
      <c r="CG603" s="393"/>
      <c r="CH603" s="393"/>
      <c r="CI603" s="393"/>
      <c r="CJ603" s="390"/>
      <c r="CK603" s="390"/>
      <c r="CL603" s="390"/>
      <c r="CM603" s="390"/>
      <c r="CN603" s="390"/>
      <c r="CO603" s="390"/>
      <c r="CP603" s="390"/>
      <c r="CQ603" s="390"/>
      <c r="CR603" s="390"/>
      <c r="CS603" s="390"/>
      <c r="CT603" s="390"/>
      <c r="CU603" s="390"/>
      <c r="CV603" s="390"/>
      <c r="CW603" s="390"/>
      <c r="CX603" s="390"/>
      <c r="CY603" s="390"/>
      <c r="CZ603" s="390"/>
      <c r="DA603" s="390"/>
      <c r="DB603" s="390"/>
      <c r="DC603" s="390"/>
    </row>
    <row r="604" spans="1:107" s="303" customFormat="1" ht="33.75">
      <c r="A604" s="37"/>
      <c r="B604" s="694" t="s">
        <v>30</v>
      </c>
      <c r="C604" s="320" t="s">
        <v>1185</v>
      </c>
      <c r="D604" s="564" t="s">
        <v>1231</v>
      </c>
      <c r="E604" s="323">
        <f>'Ref-ComSources'!$W$45</f>
        <v>1030.2872247506953</v>
      </c>
      <c r="F604" s="565" t="s">
        <v>1245</v>
      </c>
      <c r="G604" s="566">
        <f>'Ref-2013CSSsaturationsEXT'!$F$23</f>
        <v>0.36969734435650309</v>
      </c>
      <c r="H604" s="320" t="s">
        <v>110</v>
      </c>
      <c r="I604" s="378">
        <f>'Ref-2013CSSsaturationsEXT'!$J$23</f>
        <v>0.74541194796715438</v>
      </c>
      <c r="J604" s="320" t="s">
        <v>994</v>
      </c>
      <c r="K604" s="320" t="s">
        <v>114</v>
      </c>
      <c r="L604" s="320" t="s">
        <v>1270</v>
      </c>
      <c r="M604" s="320" t="s">
        <v>88</v>
      </c>
      <c r="N604" s="324">
        <f>E604*G604*'Ref-Savings Calculations'!$E$25*Applicability</f>
        <v>164.26787346799742</v>
      </c>
      <c r="O604" s="324">
        <f>G604*E604*'Ref-Savings Calculations'!$C$75*Applicability*ControlShare</f>
        <v>49.970496334220648</v>
      </c>
      <c r="P604" s="324">
        <f>E604*G604*'Ref-Savings Calculations'!$E$26*Applicability</f>
        <v>153.63899250288176</v>
      </c>
      <c r="Q604" s="324" t="s">
        <v>871</v>
      </c>
      <c r="R604" s="37"/>
      <c r="S604" s="320" t="s">
        <v>44</v>
      </c>
      <c r="T604" s="320" t="s">
        <v>63</v>
      </c>
      <c r="U604" s="320" t="s">
        <v>69</v>
      </c>
      <c r="V604" s="320" t="s">
        <v>69</v>
      </c>
      <c r="W604" s="320" t="s">
        <v>76</v>
      </c>
      <c r="X604" s="37"/>
      <c r="Y604" s="37"/>
      <c r="Z604" s="565" t="s">
        <v>78</v>
      </c>
      <c r="AA604" s="565" t="s">
        <v>78</v>
      </c>
      <c r="AB604" s="37"/>
      <c r="AC604" s="816">
        <f>'Ref-DOE'!$M$26</f>
        <v>8.7800000000000011</v>
      </c>
      <c r="AD604" s="565" t="s">
        <v>84</v>
      </c>
      <c r="AE604" s="565" t="s">
        <v>73</v>
      </c>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c r="CA604" s="393"/>
      <c r="CB604" s="393"/>
      <c r="CC604" s="393"/>
      <c r="CD604" s="393"/>
      <c r="CE604" s="393"/>
      <c r="CF604" s="393"/>
      <c r="CG604" s="393"/>
      <c r="CH604" s="393"/>
      <c r="CI604" s="393"/>
      <c r="CJ604" s="390"/>
      <c r="CK604" s="390"/>
      <c r="CL604" s="390"/>
      <c r="CM604" s="390"/>
      <c r="CN604" s="390"/>
      <c r="CO604" s="390"/>
      <c r="CP604" s="390"/>
      <c r="CQ604" s="390"/>
      <c r="CR604" s="390"/>
      <c r="CS604" s="390"/>
      <c r="CT604" s="390"/>
      <c r="CU604" s="390"/>
      <c r="CV604" s="390"/>
      <c r="CW604" s="390"/>
      <c r="CX604" s="390"/>
      <c r="CY604" s="390"/>
      <c r="CZ604" s="390"/>
      <c r="DA604" s="390"/>
      <c r="DB604" s="390"/>
      <c r="DC604" s="390"/>
    </row>
    <row r="605" spans="1:107" s="303" customFormat="1" ht="33.75">
      <c r="A605" s="37"/>
      <c r="B605" s="694" t="s">
        <v>30</v>
      </c>
      <c r="C605" s="320" t="s">
        <v>1185</v>
      </c>
      <c r="D605" s="564" t="s">
        <v>1231</v>
      </c>
      <c r="E605" s="323">
        <f>'Ref-ComSources'!$W$45</f>
        <v>1030.2872247506953</v>
      </c>
      <c r="F605" s="565" t="s">
        <v>1245</v>
      </c>
      <c r="G605" s="566">
        <f>'Ref-2013CSSsaturationsEXT'!$F$23</f>
        <v>0.36969734435650309</v>
      </c>
      <c r="H605" s="320" t="s">
        <v>110</v>
      </c>
      <c r="I605" s="378">
        <f>'Ref-2013CSSsaturationsEXT'!$J$23</f>
        <v>0.74541194796715438</v>
      </c>
      <c r="J605" s="320" t="s">
        <v>994</v>
      </c>
      <c r="K605" s="320" t="s">
        <v>114</v>
      </c>
      <c r="L605" s="320" t="s">
        <v>1270</v>
      </c>
      <c r="M605" s="320" t="s">
        <v>90</v>
      </c>
      <c r="N605" s="324">
        <f>E605*G605*'Ref-Savings Calculations'!$E$25*Applicability</f>
        <v>164.26787346799742</v>
      </c>
      <c r="O605" s="324" t="s">
        <v>871</v>
      </c>
      <c r="P605" s="324">
        <f>E605*G605*'Ref-Savings Calculations'!$E$26*Applicability</f>
        <v>153.63899250288176</v>
      </c>
      <c r="Q605" s="324" t="s">
        <v>871</v>
      </c>
      <c r="R605" s="37"/>
      <c r="S605" s="320" t="s">
        <v>44</v>
      </c>
      <c r="T605" s="320" t="s">
        <v>63</v>
      </c>
      <c r="U605" s="320" t="s">
        <v>69</v>
      </c>
      <c r="V605" s="320" t="s">
        <v>69</v>
      </c>
      <c r="W605" s="320" t="s">
        <v>76</v>
      </c>
      <c r="X605" s="37"/>
      <c r="Y605" s="37"/>
      <c r="Z605" s="565" t="s">
        <v>78</v>
      </c>
      <c r="AA605" s="565" t="s">
        <v>78</v>
      </c>
      <c r="AB605" s="37"/>
      <c r="AC605" s="816">
        <f>'Ref-DOE'!$M$26</f>
        <v>8.7800000000000011</v>
      </c>
      <c r="AD605" s="565" t="s">
        <v>84</v>
      </c>
      <c r="AE605" s="565" t="s">
        <v>73</v>
      </c>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c r="CA605" s="393"/>
      <c r="CB605" s="393"/>
      <c r="CC605" s="393"/>
      <c r="CD605" s="393"/>
      <c r="CE605" s="393"/>
      <c r="CF605" s="393"/>
      <c r="CG605" s="393"/>
      <c r="CH605" s="393"/>
      <c r="CI605" s="393"/>
      <c r="CJ605" s="390"/>
      <c r="CK605" s="390"/>
      <c r="CL605" s="390"/>
      <c r="CM605" s="390"/>
      <c r="CN605" s="390"/>
      <c r="CO605" s="390"/>
      <c r="CP605" s="390"/>
      <c r="CQ605" s="390"/>
      <c r="CR605" s="390"/>
      <c r="CS605" s="390"/>
      <c r="CT605" s="390"/>
      <c r="CU605" s="390"/>
      <c r="CV605" s="390"/>
      <c r="CW605" s="390"/>
      <c r="CX605" s="390"/>
      <c r="CY605" s="390"/>
      <c r="CZ605" s="390"/>
      <c r="DA605" s="390"/>
      <c r="DB605" s="390"/>
      <c r="DC605" s="390"/>
    </row>
    <row r="606" spans="1:107" s="303" customFormat="1" ht="33.75">
      <c r="A606" s="37"/>
      <c r="B606" s="694" t="s">
        <v>30</v>
      </c>
      <c r="C606" s="320" t="s">
        <v>1185</v>
      </c>
      <c r="D606" s="564" t="s">
        <v>1231</v>
      </c>
      <c r="E606" s="323">
        <f>'Ref-ComSources'!$W$45</f>
        <v>1030.2872247506953</v>
      </c>
      <c r="F606" s="565" t="s">
        <v>1245</v>
      </c>
      <c r="G606" s="566">
        <f>'Ref-2013CSSsaturationsEXT'!$F$23</f>
        <v>0.36969734435650309</v>
      </c>
      <c r="H606" s="320" t="s">
        <v>110</v>
      </c>
      <c r="I606" s="378">
        <f>'Ref-2013CSSsaturationsEXT'!$J$23</f>
        <v>0.74541194796715438</v>
      </c>
      <c r="J606" s="320" t="s">
        <v>994</v>
      </c>
      <c r="K606" s="320" t="s">
        <v>114</v>
      </c>
      <c r="L606" s="320" t="s">
        <v>1270</v>
      </c>
      <c r="M606" s="320" t="s">
        <v>91</v>
      </c>
      <c r="N606" s="324">
        <f>E606*G606*'Ref-Savings Calculations'!$E$25*Applicability</f>
        <v>164.26787346799742</v>
      </c>
      <c r="O606" s="324" t="s">
        <v>870</v>
      </c>
      <c r="P606" s="324">
        <f>E606*G606*'Ref-Savings Calculations'!$E$26*Applicability</f>
        <v>153.63899250288176</v>
      </c>
      <c r="Q606" s="324" t="s">
        <v>870</v>
      </c>
      <c r="R606" s="37"/>
      <c r="S606" s="320" t="s">
        <v>44</v>
      </c>
      <c r="T606" s="320" t="s">
        <v>63</v>
      </c>
      <c r="U606" s="320" t="s">
        <v>870</v>
      </c>
      <c r="V606" s="320" t="s">
        <v>870</v>
      </c>
      <c r="W606" s="320" t="s">
        <v>76</v>
      </c>
      <c r="X606" s="37"/>
      <c r="Y606" s="37"/>
      <c r="Z606" s="565" t="s">
        <v>78</v>
      </c>
      <c r="AA606" s="565" t="s">
        <v>78</v>
      </c>
      <c r="AB606" s="37"/>
      <c r="AC606" s="816">
        <f>'Ref-DOE'!$M$26</f>
        <v>8.7800000000000011</v>
      </c>
      <c r="AD606" s="565" t="s">
        <v>84</v>
      </c>
      <c r="AE606" s="565" t="s">
        <v>73</v>
      </c>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c r="CA606" s="393"/>
      <c r="CB606" s="393"/>
      <c r="CC606" s="393"/>
      <c r="CD606" s="393"/>
      <c r="CE606" s="393"/>
      <c r="CF606" s="393"/>
      <c r="CG606" s="393"/>
      <c r="CH606" s="393"/>
      <c r="CI606" s="393"/>
      <c r="CJ606" s="390"/>
      <c r="CK606" s="390"/>
      <c r="CL606" s="390"/>
      <c r="CM606" s="390"/>
      <c r="CN606" s="390"/>
      <c r="CO606" s="390"/>
      <c r="CP606" s="390"/>
      <c r="CQ606" s="390"/>
      <c r="CR606" s="390"/>
      <c r="CS606" s="390"/>
      <c r="CT606" s="390"/>
      <c r="CU606" s="390"/>
      <c r="CV606" s="390"/>
      <c r="CW606" s="390"/>
      <c r="CX606" s="390"/>
      <c r="CY606" s="390"/>
      <c r="CZ606" s="390"/>
      <c r="DA606" s="390"/>
      <c r="DB606" s="390"/>
      <c r="DC606" s="390"/>
    </row>
    <row r="607" spans="1:107" s="303" customFormat="1" ht="33.75">
      <c r="A607" s="37"/>
      <c r="B607" s="694" t="s">
        <v>30</v>
      </c>
      <c r="C607" s="320" t="s">
        <v>1185</v>
      </c>
      <c r="D607" s="564" t="s">
        <v>1231</v>
      </c>
      <c r="E607" s="323">
        <f>'Ref-ComSources'!$W$45</f>
        <v>1030.2872247506953</v>
      </c>
      <c r="F607" s="565" t="s">
        <v>1245</v>
      </c>
      <c r="G607" s="566">
        <f>'Ref-2013CSSsaturationsEXT'!$F$23</f>
        <v>0.36969734435650309</v>
      </c>
      <c r="H607" s="320" t="s">
        <v>110</v>
      </c>
      <c r="I607" s="378">
        <f>'Ref-2013CSSsaturationsEXT'!$J$23</f>
        <v>0.74541194796715438</v>
      </c>
      <c r="J607" s="320" t="s">
        <v>994</v>
      </c>
      <c r="K607" s="320" t="s">
        <v>114</v>
      </c>
      <c r="L607" s="320" t="s">
        <v>1270</v>
      </c>
      <c r="M607" s="320" t="s">
        <v>92</v>
      </c>
      <c r="N607" s="324">
        <f>E607*G607*'Ref-Savings Calculations'!$E$25*Applicability</f>
        <v>164.26787346799742</v>
      </c>
      <c r="O607" s="324">
        <f>G607*E607*'Ref-Savings Calculations'!$C$99*Applicability*ControlShare</f>
        <v>81.769903092361062</v>
      </c>
      <c r="P607" s="324">
        <f>E607*G607*'Ref-Savings Calculations'!$E$26*Applicability</f>
        <v>153.63899250288176</v>
      </c>
      <c r="Q607" s="324">
        <f>G607*E607*('Ref-Savings Calculations'!$C$99-'Ref-Savings Calculations'!$C$75)*Applicability*ControlShare</f>
        <v>31.79940675814041</v>
      </c>
      <c r="R607" s="37"/>
      <c r="S607" s="320" t="s">
        <v>44</v>
      </c>
      <c r="T607" s="320" t="s">
        <v>63</v>
      </c>
      <c r="U607" s="320" t="s">
        <v>69</v>
      </c>
      <c r="V607" s="320" t="s">
        <v>69</v>
      </c>
      <c r="W607" s="320" t="s">
        <v>76</v>
      </c>
      <c r="X607" s="37"/>
      <c r="Y607" s="37"/>
      <c r="Z607" s="565" t="s">
        <v>78</v>
      </c>
      <c r="AA607" s="565" t="s">
        <v>78</v>
      </c>
      <c r="AB607" s="37"/>
      <c r="AC607" s="816">
        <f>'Ref-DOE'!$M$26</f>
        <v>8.7800000000000011</v>
      </c>
      <c r="AD607" s="565" t="s">
        <v>84</v>
      </c>
      <c r="AE607" s="565" t="s">
        <v>73</v>
      </c>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c r="CA607" s="393"/>
      <c r="CB607" s="393"/>
      <c r="CC607" s="393"/>
      <c r="CD607" s="393"/>
      <c r="CE607" s="393"/>
      <c r="CF607" s="393"/>
      <c r="CG607" s="393"/>
      <c r="CH607" s="393"/>
      <c r="CI607" s="393"/>
      <c r="CJ607" s="390"/>
      <c r="CK607" s="390"/>
      <c r="CL607" s="390"/>
      <c r="CM607" s="390"/>
      <c r="CN607" s="390"/>
      <c r="CO607" s="390"/>
      <c r="CP607" s="390"/>
      <c r="CQ607" s="390"/>
      <c r="CR607" s="390"/>
      <c r="CS607" s="390"/>
      <c r="CT607" s="390"/>
      <c r="CU607" s="390"/>
      <c r="CV607" s="390"/>
      <c r="CW607" s="390"/>
      <c r="CX607" s="390"/>
      <c r="CY607" s="390"/>
      <c r="CZ607" s="390"/>
      <c r="DA607" s="390"/>
      <c r="DB607" s="390"/>
      <c r="DC607" s="390"/>
    </row>
    <row r="608" spans="1:107" s="303" customFormat="1" ht="33.75">
      <c r="A608" s="37"/>
      <c r="B608" s="694" t="s">
        <v>30</v>
      </c>
      <c r="C608" s="320" t="s">
        <v>1185</v>
      </c>
      <c r="D608" s="564" t="s">
        <v>1231</v>
      </c>
      <c r="E608" s="323">
        <f>'Ref-ComSources'!$W$45</f>
        <v>1030.2872247506953</v>
      </c>
      <c r="F608" s="565" t="s">
        <v>1245</v>
      </c>
      <c r="G608" s="566">
        <f>'Ref-2013CSSsaturationsEXT'!$F$23</f>
        <v>0.36969734435650309</v>
      </c>
      <c r="H608" s="320" t="s">
        <v>110</v>
      </c>
      <c r="I608" s="378">
        <f>'Ref-2013CSSsaturationsEXT'!$J$23</f>
        <v>0.74541194796715438</v>
      </c>
      <c r="J608" s="320" t="s">
        <v>994</v>
      </c>
      <c r="K608" s="320" t="s">
        <v>114</v>
      </c>
      <c r="L608" s="320" t="s">
        <v>1270</v>
      </c>
      <c r="M608" s="320" t="s">
        <v>93</v>
      </c>
      <c r="N608" s="324">
        <f>E608*G608*'Ref-Savings Calculations'!$E$25*Applicability</f>
        <v>164.26787346799742</v>
      </c>
      <c r="O608" s="324">
        <f>G608*E608*'Ref-Savings Calculations'!$C$109*Applicability*ControlShare</f>
        <v>86.312675486381124</v>
      </c>
      <c r="P608" s="324">
        <f>E608*G608*'Ref-Savings Calculations'!$E$26*Applicability</f>
        <v>153.63899250288176</v>
      </c>
      <c r="Q608" s="324">
        <f>G608*E608*('Ref-Savings Calculations'!$C$109-'Ref-Savings Calculations'!$C$75)*Applicability*ControlShare</f>
        <v>36.342179152160469</v>
      </c>
      <c r="R608" s="37"/>
      <c r="S608" s="320" t="s">
        <v>44</v>
      </c>
      <c r="T608" s="320" t="s">
        <v>63</v>
      </c>
      <c r="U608" s="320" t="s">
        <v>44</v>
      </c>
      <c r="V608" s="320" t="s">
        <v>75</v>
      </c>
      <c r="W608" s="320" t="s">
        <v>76</v>
      </c>
      <c r="X608" s="37"/>
      <c r="Y608" s="37"/>
      <c r="Z608" s="565" t="s">
        <v>78</v>
      </c>
      <c r="AA608" s="565" t="s">
        <v>78</v>
      </c>
      <c r="AB608" s="37"/>
      <c r="AC608" s="816">
        <f>'Ref-DOE'!$M$26</f>
        <v>8.7800000000000011</v>
      </c>
      <c r="AD608" s="565" t="s">
        <v>84</v>
      </c>
      <c r="AE608" s="565" t="s">
        <v>73</v>
      </c>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c r="CA608" s="393"/>
      <c r="CB608" s="393"/>
      <c r="CC608" s="393"/>
      <c r="CD608" s="393"/>
      <c r="CE608" s="393"/>
      <c r="CF608" s="393"/>
      <c r="CG608" s="393"/>
      <c r="CH608" s="393"/>
      <c r="CI608" s="393"/>
      <c r="CJ608" s="390"/>
      <c r="CK608" s="390"/>
      <c r="CL608" s="390"/>
      <c r="CM608" s="390"/>
      <c r="CN608" s="390"/>
      <c r="CO608" s="390"/>
      <c r="CP608" s="390"/>
      <c r="CQ608" s="390"/>
      <c r="CR608" s="390"/>
      <c r="CS608" s="390"/>
      <c r="CT608" s="390"/>
      <c r="CU608" s="390"/>
      <c r="CV608" s="390"/>
      <c r="CW608" s="390"/>
      <c r="CX608" s="390"/>
      <c r="CY608" s="390"/>
      <c r="CZ608" s="390"/>
      <c r="DA608" s="390"/>
      <c r="DB608" s="390"/>
      <c r="DC608" s="390"/>
    </row>
    <row r="609" spans="1:107" s="303" customFormat="1" ht="33.75">
      <c r="A609" s="37"/>
      <c r="B609" s="694" t="s">
        <v>30</v>
      </c>
      <c r="C609" s="320" t="s">
        <v>1185</v>
      </c>
      <c r="D609" s="564" t="s">
        <v>1231</v>
      </c>
      <c r="E609" s="323">
        <f>'Ref-ComSources'!$W$45</f>
        <v>1030.2872247506953</v>
      </c>
      <c r="F609" s="565" t="s">
        <v>1245</v>
      </c>
      <c r="G609" s="566">
        <f>'Ref-2013CSSsaturationsEXT'!$F$23</f>
        <v>0.36969734435650309</v>
      </c>
      <c r="H609" s="320" t="s">
        <v>110</v>
      </c>
      <c r="I609" s="378">
        <f>'Ref-2013CSSsaturationsEXT'!$J$23</f>
        <v>0.74541194796715438</v>
      </c>
      <c r="J609" s="320" t="s">
        <v>994</v>
      </c>
      <c r="K609" s="320" t="s">
        <v>114</v>
      </c>
      <c r="L609" s="320" t="s">
        <v>101</v>
      </c>
      <c r="M609" s="320" t="s">
        <v>88</v>
      </c>
      <c r="N609" s="324">
        <f>E609*G609*'Ref-Savings Calculations'!$E$25*Applicability</f>
        <v>164.26787346799742</v>
      </c>
      <c r="O609" s="324">
        <f>G609*E609*'Ref-Savings Calculations'!$C$75*Applicability*ControlShare</f>
        <v>49.970496334220648</v>
      </c>
      <c r="P609" s="324">
        <f>E609*G609*'Ref-Savings Calculations'!$E$26*Applicability</f>
        <v>153.63899250288176</v>
      </c>
      <c r="Q609" s="324" t="s">
        <v>871</v>
      </c>
      <c r="R609" s="37"/>
      <c r="S609" s="320" t="s">
        <v>68</v>
      </c>
      <c r="T609" s="320" t="s">
        <v>63</v>
      </c>
      <c r="U609" s="320" t="s">
        <v>69</v>
      </c>
      <c r="V609" s="320" t="s">
        <v>69</v>
      </c>
      <c r="W609" s="320" t="s">
        <v>76</v>
      </c>
      <c r="X609" s="37"/>
      <c r="Y609" s="37"/>
      <c r="Z609" s="565" t="s">
        <v>78</v>
      </c>
      <c r="AA609" s="565" t="s">
        <v>78</v>
      </c>
      <c r="AB609" s="37"/>
      <c r="AC609" s="816">
        <f>'Ref-DOE'!$M$26</f>
        <v>8.7800000000000011</v>
      </c>
      <c r="AD609" s="565" t="s">
        <v>84</v>
      </c>
      <c r="AE609" s="565" t="s">
        <v>73</v>
      </c>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c r="CA609" s="393"/>
      <c r="CB609" s="393"/>
      <c r="CC609" s="393"/>
      <c r="CD609" s="393"/>
      <c r="CE609" s="393"/>
      <c r="CF609" s="393"/>
      <c r="CG609" s="393"/>
      <c r="CH609" s="393"/>
      <c r="CI609" s="393"/>
      <c r="CJ609" s="390"/>
      <c r="CK609" s="390"/>
      <c r="CL609" s="390"/>
      <c r="CM609" s="390"/>
      <c r="CN609" s="390"/>
      <c r="CO609" s="390"/>
      <c r="CP609" s="390"/>
      <c r="CQ609" s="390"/>
      <c r="CR609" s="390"/>
      <c r="CS609" s="390"/>
      <c r="CT609" s="390"/>
      <c r="CU609" s="390"/>
      <c r="CV609" s="390"/>
      <c r="CW609" s="390"/>
      <c r="CX609" s="390"/>
      <c r="CY609" s="390"/>
      <c r="CZ609" s="390"/>
      <c r="DA609" s="390"/>
      <c r="DB609" s="390"/>
      <c r="DC609" s="390"/>
    </row>
    <row r="610" spans="1:107" s="303" customFormat="1" ht="33.75">
      <c r="A610" s="37"/>
      <c r="B610" s="694" t="s">
        <v>30</v>
      </c>
      <c r="C610" s="320" t="s">
        <v>1185</v>
      </c>
      <c r="D610" s="564" t="s">
        <v>1231</v>
      </c>
      <c r="E610" s="323">
        <f>'Ref-ComSources'!$W$45</f>
        <v>1030.2872247506953</v>
      </c>
      <c r="F610" s="565" t="s">
        <v>1245</v>
      </c>
      <c r="G610" s="566">
        <f>'Ref-2013CSSsaturationsEXT'!$F$23</f>
        <v>0.36969734435650309</v>
      </c>
      <c r="H610" s="320" t="s">
        <v>110</v>
      </c>
      <c r="I610" s="378">
        <f>'Ref-2013CSSsaturationsEXT'!$J$23</f>
        <v>0.74541194796715438</v>
      </c>
      <c r="J610" s="320" t="s">
        <v>994</v>
      </c>
      <c r="K610" s="320" t="s">
        <v>114</v>
      </c>
      <c r="L610" s="320" t="s">
        <v>101</v>
      </c>
      <c r="M610" s="320" t="s">
        <v>90</v>
      </c>
      <c r="N610" s="324">
        <f>E610*G610*'Ref-Savings Calculations'!$E$25*Applicability</f>
        <v>164.26787346799742</v>
      </c>
      <c r="O610" s="324" t="s">
        <v>871</v>
      </c>
      <c r="P610" s="324">
        <f>E610*G610*'Ref-Savings Calculations'!$E$26*Applicability</f>
        <v>153.63899250288176</v>
      </c>
      <c r="Q610" s="324" t="s">
        <v>871</v>
      </c>
      <c r="R610" s="37"/>
      <c r="S610" s="320" t="s">
        <v>68</v>
      </c>
      <c r="T610" s="320" t="s">
        <v>63</v>
      </c>
      <c r="U610" s="320" t="s">
        <v>69</v>
      </c>
      <c r="V610" s="320" t="s">
        <v>69</v>
      </c>
      <c r="W610" s="320" t="s">
        <v>76</v>
      </c>
      <c r="X610" s="37"/>
      <c r="Y610" s="37"/>
      <c r="Z610" s="565" t="s">
        <v>78</v>
      </c>
      <c r="AA610" s="565" t="s">
        <v>78</v>
      </c>
      <c r="AB610" s="37"/>
      <c r="AC610" s="816">
        <f>'Ref-DOE'!$M$26</f>
        <v>8.7800000000000011</v>
      </c>
      <c r="AD610" s="565" t="s">
        <v>84</v>
      </c>
      <c r="AE610" s="565" t="s">
        <v>73</v>
      </c>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c r="CA610" s="393"/>
      <c r="CB610" s="393"/>
      <c r="CC610" s="393"/>
      <c r="CD610" s="393"/>
      <c r="CE610" s="393"/>
      <c r="CF610" s="393"/>
      <c r="CG610" s="393"/>
      <c r="CH610" s="393"/>
      <c r="CI610" s="393"/>
      <c r="CJ610" s="390"/>
      <c r="CK610" s="390"/>
      <c r="CL610" s="390"/>
      <c r="CM610" s="390"/>
      <c r="CN610" s="390"/>
      <c r="CO610" s="390"/>
      <c r="CP610" s="390"/>
      <c r="CQ610" s="390"/>
      <c r="CR610" s="390"/>
      <c r="CS610" s="390"/>
      <c r="CT610" s="390"/>
      <c r="CU610" s="390"/>
      <c r="CV610" s="390"/>
      <c r="CW610" s="390"/>
      <c r="CX610" s="390"/>
      <c r="CY610" s="390"/>
      <c r="CZ610" s="390"/>
      <c r="DA610" s="390"/>
      <c r="DB610" s="390"/>
      <c r="DC610" s="390"/>
    </row>
    <row r="611" spans="1:107" s="303" customFormat="1" ht="33.75">
      <c r="A611" s="37"/>
      <c r="B611" s="694" t="s">
        <v>30</v>
      </c>
      <c r="C611" s="320" t="s">
        <v>1185</v>
      </c>
      <c r="D611" s="564" t="s">
        <v>1231</v>
      </c>
      <c r="E611" s="323">
        <f>'Ref-ComSources'!$W$45</f>
        <v>1030.2872247506953</v>
      </c>
      <c r="F611" s="565" t="s">
        <v>1245</v>
      </c>
      <c r="G611" s="566">
        <f>'Ref-2013CSSsaturationsEXT'!$F$23</f>
        <v>0.36969734435650309</v>
      </c>
      <c r="H611" s="320" t="s">
        <v>110</v>
      </c>
      <c r="I611" s="378">
        <f>'Ref-2013CSSsaturationsEXT'!$J$23</f>
        <v>0.74541194796715438</v>
      </c>
      <c r="J611" s="320" t="s">
        <v>994</v>
      </c>
      <c r="K611" s="320" t="s">
        <v>114</v>
      </c>
      <c r="L611" s="320" t="s">
        <v>101</v>
      </c>
      <c r="M611" s="320" t="s">
        <v>91</v>
      </c>
      <c r="N611" s="324">
        <f>E611*G611*'Ref-Savings Calculations'!$E$25*Applicability</f>
        <v>164.26787346799742</v>
      </c>
      <c r="O611" s="324" t="s">
        <v>870</v>
      </c>
      <c r="P611" s="324">
        <f>E611*G611*'Ref-Savings Calculations'!$E$26*Applicability</f>
        <v>153.63899250288176</v>
      </c>
      <c r="Q611" s="324" t="s">
        <v>870</v>
      </c>
      <c r="R611" s="37"/>
      <c r="S611" s="320" t="s">
        <v>68</v>
      </c>
      <c r="T611" s="320" t="s">
        <v>63</v>
      </c>
      <c r="U611" s="320" t="s">
        <v>69</v>
      </c>
      <c r="V611" s="320" t="s">
        <v>69</v>
      </c>
      <c r="W611" s="320" t="s">
        <v>76</v>
      </c>
      <c r="X611" s="37"/>
      <c r="Y611" s="37"/>
      <c r="Z611" s="565" t="s">
        <v>78</v>
      </c>
      <c r="AA611" s="565" t="s">
        <v>78</v>
      </c>
      <c r="AB611" s="37"/>
      <c r="AC611" s="816">
        <f>'Ref-DOE'!$M$26</f>
        <v>8.7800000000000011</v>
      </c>
      <c r="AD611" s="565" t="s">
        <v>84</v>
      </c>
      <c r="AE611" s="565" t="s">
        <v>73</v>
      </c>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c r="CA611" s="393"/>
      <c r="CB611" s="393"/>
      <c r="CC611" s="393"/>
      <c r="CD611" s="393"/>
      <c r="CE611" s="393"/>
      <c r="CF611" s="393"/>
      <c r="CG611" s="393"/>
      <c r="CH611" s="393"/>
      <c r="CI611" s="393"/>
      <c r="CJ611" s="390"/>
      <c r="CK611" s="390"/>
      <c r="CL611" s="390"/>
      <c r="CM611" s="390"/>
      <c r="CN611" s="390"/>
      <c r="CO611" s="390"/>
      <c r="CP611" s="390"/>
      <c r="CQ611" s="390"/>
      <c r="CR611" s="390"/>
      <c r="CS611" s="390"/>
      <c r="CT611" s="390"/>
      <c r="CU611" s="390"/>
      <c r="CV611" s="390"/>
      <c r="CW611" s="390"/>
      <c r="CX611" s="390"/>
      <c r="CY611" s="390"/>
      <c r="CZ611" s="390"/>
      <c r="DA611" s="390"/>
      <c r="DB611" s="390"/>
      <c r="DC611" s="390"/>
    </row>
    <row r="612" spans="1:107" s="303" customFormat="1" ht="33.75">
      <c r="A612" s="37"/>
      <c r="B612" s="694" t="s">
        <v>30</v>
      </c>
      <c r="C612" s="320" t="s">
        <v>1185</v>
      </c>
      <c r="D612" s="564" t="s">
        <v>1231</v>
      </c>
      <c r="E612" s="323">
        <f>'Ref-ComSources'!$W$45</f>
        <v>1030.2872247506953</v>
      </c>
      <c r="F612" s="565" t="s">
        <v>1245</v>
      </c>
      <c r="G612" s="566">
        <f>'Ref-2013CSSsaturationsEXT'!$F$23</f>
        <v>0.36969734435650309</v>
      </c>
      <c r="H612" s="320" t="s">
        <v>110</v>
      </c>
      <c r="I612" s="378">
        <f>'Ref-2013CSSsaturationsEXT'!$J$23</f>
        <v>0.74541194796715438</v>
      </c>
      <c r="J612" s="320" t="s">
        <v>994</v>
      </c>
      <c r="K612" s="320" t="s">
        <v>114</v>
      </c>
      <c r="L612" s="320" t="s">
        <v>101</v>
      </c>
      <c r="M612" s="320" t="s">
        <v>92</v>
      </c>
      <c r="N612" s="324">
        <f>E612*G612*'Ref-Savings Calculations'!$E$25*Applicability</f>
        <v>164.26787346799742</v>
      </c>
      <c r="O612" s="324">
        <f>G612*E612*'Ref-Savings Calculations'!$C$99*Applicability*ControlShare</f>
        <v>81.769903092361062</v>
      </c>
      <c r="P612" s="324">
        <f>E612*G612*'Ref-Savings Calculations'!$E$26*Applicability</f>
        <v>153.63899250288176</v>
      </c>
      <c r="Q612" s="324">
        <f>G612*E612*('Ref-Savings Calculations'!$C$99-'Ref-Savings Calculations'!$C$75)*Applicability*ControlShare</f>
        <v>31.79940675814041</v>
      </c>
      <c r="R612" s="37"/>
      <c r="S612" s="320" t="s">
        <v>68</v>
      </c>
      <c r="T612" s="320" t="s">
        <v>63</v>
      </c>
      <c r="U612" s="320" t="s">
        <v>69</v>
      </c>
      <c r="V612" s="320" t="s">
        <v>69</v>
      </c>
      <c r="W612" s="320" t="s">
        <v>76</v>
      </c>
      <c r="X612" s="37"/>
      <c r="Y612" s="37"/>
      <c r="Z612" s="565" t="s">
        <v>78</v>
      </c>
      <c r="AA612" s="565" t="s">
        <v>78</v>
      </c>
      <c r="AB612" s="37"/>
      <c r="AC612" s="816">
        <f>'Ref-DOE'!$M$26</f>
        <v>8.7800000000000011</v>
      </c>
      <c r="AD612" s="565" t="s">
        <v>84</v>
      </c>
      <c r="AE612" s="565" t="s">
        <v>73</v>
      </c>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c r="CA612" s="393"/>
      <c r="CB612" s="393"/>
      <c r="CC612" s="393"/>
      <c r="CD612" s="393"/>
      <c r="CE612" s="393"/>
      <c r="CF612" s="393"/>
      <c r="CG612" s="393"/>
      <c r="CH612" s="393"/>
      <c r="CI612" s="393"/>
      <c r="CJ612" s="390"/>
      <c r="CK612" s="390"/>
      <c r="CL612" s="390"/>
      <c r="CM612" s="390"/>
      <c r="CN612" s="390"/>
      <c r="CO612" s="390"/>
      <c r="CP612" s="390"/>
      <c r="CQ612" s="390"/>
      <c r="CR612" s="390"/>
      <c r="CS612" s="390"/>
      <c r="CT612" s="390"/>
      <c r="CU612" s="390"/>
      <c r="CV612" s="390"/>
      <c r="CW612" s="390"/>
      <c r="CX612" s="390"/>
      <c r="CY612" s="390"/>
      <c r="CZ612" s="390"/>
      <c r="DA612" s="390"/>
      <c r="DB612" s="390"/>
      <c r="DC612" s="390"/>
    </row>
    <row r="613" spans="1:107" s="303" customFormat="1" ht="33.75">
      <c r="A613" s="37"/>
      <c r="B613" s="694" t="s">
        <v>30</v>
      </c>
      <c r="C613" s="320" t="s">
        <v>1185</v>
      </c>
      <c r="D613" s="564" t="s">
        <v>1231</v>
      </c>
      <c r="E613" s="323">
        <f>'Ref-ComSources'!$W$45</f>
        <v>1030.2872247506953</v>
      </c>
      <c r="F613" s="565" t="s">
        <v>1245</v>
      </c>
      <c r="G613" s="566">
        <f>'Ref-2013CSSsaturationsEXT'!$F$23</f>
        <v>0.36969734435650309</v>
      </c>
      <c r="H613" s="320" t="s">
        <v>110</v>
      </c>
      <c r="I613" s="378">
        <f>'Ref-2013CSSsaturationsEXT'!$J$23</f>
        <v>0.74541194796715438</v>
      </c>
      <c r="J613" s="320" t="s">
        <v>994</v>
      </c>
      <c r="K613" s="320" t="s">
        <v>114</v>
      </c>
      <c r="L613" s="320" t="s">
        <v>101</v>
      </c>
      <c r="M613" s="320" t="s">
        <v>93</v>
      </c>
      <c r="N613" s="324">
        <f>E613*G613*'Ref-Savings Calculations'!$E$25*Applicability</f>
        <v>164.26787346799742</v>
      </c>
      <c r="O613" s="324">
        <f>G613*E613*'Ref-Savings Calculations'!$C$109*Applicability*ControlShare</f>
        <v>86.312675486381124</v>
      </c>
      <c r="P613" s="324">
        <f>E613*G613*'Ref-Savings Calculations'!$E$26*Applicability</f>
        <v>153.63899250288176</v>
      </c>
      <c r="Q613" s="324">
        <f>G613*E613*('Ref-Savings Calculations'!$C$109-'Ref-Savings Calculations'!$C$75)*Applicability*ControlShare</f>
        <v>36.342179152160469</v>
      </c>
      <c r="R613" s="37"/>
      <c r="S613" s="320" t="s">
        <v>68</v>
      </c>
      <c r="T613" s="320" t="s">
        <v>63</v>
      </c>
      <c r="U613" s="320" t="s">
        <v>44</v>
      </c>
      <c r="V613" s="320" t="s">
        <v>75</v>
      </c>
      <c r="W613" s="320" t="s">
        <v>76</v>
      </c>
      <c r="X613" s="37"/>
      <c r="Y613" s="37"/>
      <c r="Z613" s="565" t="s">
        <v>78</v>
      </c>
      <c r="AA613" s="565" t="s">
        <v>78</v>
      </c>
      <c r="AB613" s="37"/>
      <c r="AC613" s="816">
        <f>'Ref-DOE'!$M$26</f>
        <v>8.7800000000000011</v>
      </c>
      <c r="AD613" s="565" t="s">
        <v>84</v>
      </c>
      <c r="AE613" s="565" t="s">
        <v>73</v>
      </c>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c r="CA613" s="393"/>
      <c r="CB613" s="393"/>
      <c r="CC613" s="393"/>
      <c r="CD613" s="393"/>
      <c r="CE613" s="393"/>
      <c r="CF613" s="393"/>
      <c r="CG613" s="393"/>
      <c r="CH613" s="393"/>
      <c r="CI613" s="393"/>
      <c r="CJ613" s="390"/>
      <c r="CK613" s="390"/>
      <c r="CL613" s="390"/>
      <c r="CM613" s="390"/>
      <c r="CN613" s="390"/>
      <c r="CO613" s="390"/>
      <c r="CP613" s="390"/>
      <c r="CQ613" s="390"/>
      <c r="CR613" s="390"/>
      <c r="CS613" s="390"/>
      <c r="CT613" s="390"/>
      <c r="CU613" s="390"/>
      <c r="CV613" s="390"/>
      <c r="CW613" s="390"/>
      <c r="CX613" s="390"/>
      <c r="CY613" s="390"/>
      <c r="CZ613" s="390"/>
      <c r="DA613" s="390"/>
      <c r="DB613" s="390"/>
      <c r="DC613" s="390"/>
    </row>
    <row r="614" spans="1:107" s="303" customFormat="1" ht="33.75">
      <c r="A614" s="37"/>
      <c r="B614" s="694" t="s">
        <v>30</v>
      </c>
      <c r="C614" s="320" t="s">
        <v>1185</v>
      </c>
      <c r="D614" s="564" t="s">
        <v>1231</v>
      </c>
      <c r="E614" s="323">
        <f>'Ref-ComSources'!$W$45</f>
        <v>1030.2872247506953</v>
      </c>
      <c r="F614" s="565" t="s">
        <v>1256</v>
      </c>
      <c r="G614" s="566">
        <f>'Ref-2013CSSsaturationsEXT'!$F$24</f>
        <v>8.4309483145483866E-2</v>
      </c>
      <c r="H614" s="320" t="s">
        <v>110</v>
      </c>
      <c r="I614" s="378">
        <f>'Ref-2013CSSsaturationsEXT'!$J$24</f>
        <v>0.92133700443216204</v>
      </c>
      <c r="J614" s="565" t="s">
        <v>32</v>
      </c>
      <c r="K614" s="320" t="s">
        <v>114</v>
      </c>
      <c r="L614" s="320" t="s">
        <v>1270</v>
      </c>
      <c r="M614" s="320" t="s">
        <v>88</v>
      </c>
      <c r="N614" s="324">
        <f>E614*G614*'Ref-Savings Calculations'!$E$22*Applicability</f>
        <v>51.034862129267538</v>
      </c>
      <c r="O614" s="324">
        <f>G614*E614*'Ref-Savings Calculations'!$C$75*Applicability*ControlShare</f>
        <v>14.085294243878204</v>
      </c>
      <c r="P614" s="324">
        <f>E614*G614*'Ref-Savings Calculations'!$E$22*Applicability</f>
        <v>51.034862129267538</v>
      </c>
      <c r="Q614" s="324" t="s">
        <v>871</v>
      </c>
      <c r="R614" s="37"/>
      <c r="S614" s="320" t="s">
        <v>44</v>
      </c>
      <c r="T614" s="320" t="s">
        <v>63</v>
      </c>
      <c r="U614" s="320" t="s">
        <v>69</v>
      </c>
      <c r="V614" s="320" t="s">
        <v>69</v>
      </c>
      <c r="W614" s="320" t="s">
        <v>76</v>
      </c>
      <c r="X614" s="37"/>
      <c r="Y614" s="37"/>
      <c r="Z614" s="565" t="s">
        <v>78</v>
      </c>
      <c r="AA614" s="565" t="s">
        <v>78</v>
      </c>
      <c r="AB614" s="37"/>
      <c r="AC614" s="816">
        <f>'Ref-DOE'!$M$26</f>
        <v>8.7800000000000011</v>
      </c>
      <c r="AD614" s="565" t="s">
        <v>84</v>
      </c>
      <c r="AE614" s="565" t="s">
        <v>73</v>
      </c>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c r="CA614" s="393"/>
      <c r="CB614" s="393"/>
      <c r="CC614" s="393"/>
      <c r="CD614" s="393"/>
      <c r="CE614" s="393"/>
      <c r="CF614" s="393"/>
      <c r="CG614" s="393"/>
      <c r="CH614" s="393"/>
      <c r="CI614" s="393"/>
      <c r="CJ614" s="390"/>
      <c r="CK614" s="390"/>
      <c r="CL614" s="390"/>
      <c r="CM614" s="390"/>
      <c r="CN614" s="390"/>
      <c r="CO614" s="390"/>
      <c r="CP614" s="390"/>
      <c r="CQ614" s="390"/>
      <c r="CR614" s="390"/>
      <c r="CS614" s="390"/>
      <c r="CT614" s="390"/>
      <c r="CU614" s="390"/>
      <c r="CV614" s="390"/>
      <c r="CW614" s="390"/>
      <c r="CX614" s="390"/>
      <c r="CY614" s="390"/>
      <c r="CZ614" s="390"/>
      <c r="DA614" s="390"/>
      <c r="DB614" s="390"/>
      <c r="DC614" s="390"/>
    </row>
    <row r="615" spans="1:107" s="303" customFormat="1" ht="33.75">
      <c r="A615" s="37"/>
      <c r="B615" s="694" t="s">
        <v>30</v>
      </c>
      <c r="C615" s="320" t="s">
        <v>1185</v>
      </c>
      <c r="D615" s="564" t="s">
        <v>1231</v>
      </c>
      <c r="E615" s="323">
        <f>'Ref-ComSources'!$W$45</f>
        <v>1030.2872247506953</v>
      </c>
      <c r="F615" s="565" t="s">
        <v>1256</v>
      </c>
      <c r="G615" s="566">
        <f>'Ref-2013CSSsaturationsEXT'!$F$24</f>
        <v>8.4309483145483866E-2</v>
      </c>
      <c r="H615" s="320" t="s">
        <v>110</v>
      </c>
      <c r="I615" s="378">
        <f>'Ref-2013CSSsaturationsEXT'!$J$24</f>
        <v>0.92133700443216204</v>
      </c>
      <c r="J615" s="565" t="s">
        <v>32</v>
      </c>
      <c r="K615" s="320" t="s">
        <v>114</v>
      </c>
      <c r="L615" s="320" t="s">
        <v>1270</v>
      </c>
      <c r="M615" s="320" t="s">
        <v>90</v>
      </c>
      <c r="N615" s="324">
        <f>E615*G615*'Ref-Savings Calculations'!$E$22*Applicability</f>
        <v>51.034862129267538</v>
      </c>
      <c r="O615" s="324" t="s">
        <v>871</v>
      </c>
      <c r="P615" s="324">
        <f>E615*G615*'Ref-Savings Calculations'!$E$22*Applicability</f>
        <v>51.034862129267538</v>
      </c>
      <c r="Q615" s="324" t="s">
        <v>871</v>
      </c>
      <c r="R615" s="37"/>
      <c r="S615" s="320" t="s">
        <v>44</v>
      </c>
      <c r="T615" s="320" t="s">
        <v>63</v>
      </c>
      <c r="U615" s="320" t="s">
        <v>69</v>
      </c>
      <c r="V615" s="320" t="s">
        <v>69</v>
      </c>
      <c r="W615" s="320" t="s">
        <v>76</v>
      </c>
      <c r="X615" s="37"/>
      <c r="Y615" s="37"/>
      <c r="Z615" s="565" t="s">
        <v>78</v>
      </c>
      <c r="AA615" s="565" t="s">
        <v>78</v>
      </c>
      <c r="AB615" s="37"/>
      <c r="AC615" s="816">
        <f>'Ref-DOE'!$M$26</f>
        <v>8.7800000000000011</v>
      </c>
      <c r="AD615" s="565" t="s">
        <v>84</v>
      </c>
      <c r="AE615" s="565" t="s">
        <v>73</v>
      </c>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c r="CA615" s="393"/>
      <c r="CB615" s="393"/>
      <c r="CC615" s="393"/>
      <c r="CD615" s="393"/>
      <c r="CE615" s="393"/>
      <c r="CF615" s="393"/>
      <c r="CG615" s="393"/>
      <c r="CH615" s="393"/>
      <c r="CI615" s="393"/>
      <c r="CJ615" s="390"/>
      <c r="CK615" s="390"/>
      <c r="CL615" s="390"/>
      <c r="CM615" s="390"/>
      <c r="CN615" s="390"/>
      <c r="CO615" s="390"/>
      <c r="CP615" s="390"/>
      <c r="CQ615" s="390"/>
      <c r="CR615" s="390"/>
      <c r="CS615" s="390"/>
      <c r="CT615" s="390"/>
      <c r="CU615" s="390"/>
      <c r="CV615" s="390"/>
      <c r="CW615" s="390"/>
      <c r="CX615" s="390"/>
      <c r="CY615" s="390"/>
      <c r="CZ615" s="390"/>
      <c r="DA615" s="390"/>
      <c r="DB615" s="390"/>
      <c r="DC615" s="390"/>
    </row>
    <row r="616" spans="1:107" s="303" customFormat="1" ht="33.75">
      <c r="A616" s="37"/>
      <c r="B616" s="694" t="s">
        <v>30</v>
      </c>
      <c r="C616" s="320" t="s">
        <v>1185</v>
      </c>
      <c r="D616" s="564" t="s">
        <v>1231</v>
      </c>
      <c r="E616" s="323">
        <f>'Ref-ComSources'!$W$45</f>
        <v>1030.2872247506953</v>
      </c>
      <c r="F616" s="565" t="s">
        <v>1256</v>
      </c>
      <c r="G616" s="566">
        <f>'Ref-2013CSSsaturationsEXT'!$F$24</f>
        <v>8.4309483145483866E-2</v>
      </c>
      <c r="H616" s="320" t="s">
        <v>110</v>
      </c>
      <c r="I616" s="378">
        <f>'Ref-2013CSSsaturationsEXT'!$J$24</f>
        <v>0.92133700443216204</v>
      </c>
      <c r="J616" s="565" t="s">
        <v>32</v>
      </c>
      <c r="K616" s="320" t="s">
        <v>114</v>
      </c>
      <c r="L616" s="320" t="s">
        <v>1270</v>
      </c>
      <c r="M616" s="320" t="s">
        <v>91</v>
      </c>
      <c r="N616" s="324">
        <f>E616*G616*'Ref-Savings Calculations'!$E$22*Applicability</f>
        <v>51.034862129267538</v>
      </c>
      <c r="O616" s="324" t="s">
        <v>870</v>
      </c>
      <c r="P616" s="324">
        <f>E616*G616*'Ref-Savings Calculations'!$E$22*Applicability</f>
        <v>51.034862129267538</v>
      </c>
      <c r="Q616" s="324" t="s">
        <v>870</v>
      </c>
      <c r="R616" s="37"/>
      <c r="S616" s="320" t="s">
        <v>44</v>
      </c>
      <c r="T616" s="320" t="s">
        <v>63</v>
      </c>
      <c r="U616" s="320" t="s">
        <v>69</v>
      </c>
      <c r="V616" s="320" t="s">
        <v>69</v>
      </c>
      <c r="W616" s="320" t="s">
        <v>76</v>
      </c>
      <c r="X616" s="37"/>
      <c r="Y616" s="37"/>
      <c r="Z616" s="565" t="s">
        <v>78</v>
      </c>
      <c r="AA616" s="565" t="s">
        <v>78</v>
      </c>
      <c r="AB616" s="37"/>
      <c r="AC616" s="816">
        <f>'Ref-DOE'!$M$26</f>
        <v>8.7800000000000011</v>
      </c>
      <c r="AD616" s="565" t="s">
        <v>84</v>
      </c>
      <c r="AE616" s="565" t="s">
        <v>73</v>
      </c>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c r="CA616" s="393"/>
      <c r="CB616" s="393"/>
      <c r="CC616" s="393"/>
      <c r="CD616" s="393"/>
      <c r="CE616" s="393"/>
      <c r="CF616" s="393"/>
      <c r="CG616" s="393"/>
      <c r="CH616" s="393"/>
      <c r="CI616" s="393"/>
      <c r="CJ616" s="390"/>
      <c r="CK616" s="390"/>
      <c r="CL616" s="390"/>
      <c r="CM616" s="390"/>
      <c r="CN616" s="390"/>
      <c r="CO616" s="390"/>
      <c r="CP616" s="390"/>
      <c r="CQ616" s="390"/>
      <c r="CR616" s="390"/>
      <c r="CS616" s="390"/>
      <c r="CT616" s="390"/>
      <c r="CU616" s="390"/>
      <c r="CV616" s="390"/>
      <c r="CW616" s="390"/>
      <c r="CX616" s="390"/>
      <c r="CY616" s="390"/>
      <c r="CZ616" s="390"/>
      <c r="DA616" s="390"/>
      <c r="DB616" s="390"/>
      <c r="DC616" s="390"/>
    </row>
    <row r="617" spans="1:107" s="303" customFormat="1" ht="33.75">
      <c r="A617" s="37"/>
      <c r="B617" s="694" t="s">
        <v>30</v>
      </c>
      <c r="C617" s="320" t="s">
        <v>1185</v>
      </c>
      <c r="D617" s="564" t="s">
        <v>1231</v>
      </c>
      <c r="E617" s="323">
        <f>'Ref-ComSources'!$W$45</f>
        <v>1030.2872247506953</v>
      </c>
      <c r="F617" s="565" t="s">
        <v>1256</v>
      </c>
      <c r="G617" s="566">
        <f>'Ref-2013CSSsaturationsEXT'!$F$24</f>
        <v>8.4309483145483866E-2</v>
      </c>
      <c r="H617" s="320" t="s">
        <v>110</v>
      </c>
      <c r="I617" s="378">
        <f>'Ref-2013CSSsaturationsEXT'!$J$24</f>
        <v>0.92133700443216204</v>
      </c>
      <c r="J617" s="565" t="s">
        <v>32</v>
      </c>
      <c r="K617" s="320" t="s">
        <v>114</v>
      </c>
      <c r="L617" s="320" t="s">
        <v>1270</v>
      </c>
      <c r="M617" s="320" t="s">
        <v>92</v>
      </c>
      <c r="N617" s="324">
        <f>E617*G617*'Ref-Savings Calculations'!$E$22*Applicability</f>
        <v>51.034862129267538</v>
      </c>
      <c r="O617" s="324">
        <f>G617*E617*'Ref-Savings Calculations'!$C$99*Applicability*ControlShare</f>
        <v>23.048663308164336</v>
      </c>
      <c r="P617" s="324">
        <f>E617*G617*'Ref-Savings Calculations'!$E$22*Applicability</f>
        <v>51.034862129267538</v>
      </c>
      <c r="Q617" s="324">
        <f>G617*E617*('Ref-Savings Calculations'!$C$99-'Ref-Savings Calculations'!$C$75)*Applicability*ControlShare</f>
        <v>8.9633690642861303</v>
      </c>
      <c r="R617" s="37"/>
      <c r="S617" s="320" t="s">
        <v>44</v>
      </c>
      <c r="T617" s="320" t="s">
        <v>63</v>
      </c>
      <c r="U617" s="320" t="s">
        <v>69</v>
      </c>
      <c r="V617" s="320" t="s">
        <v>69</v>
      </c>
      <c r="W617" s="320" t="s">
        <v>76</v>
      </c>
      <c r="X617" s="37"/>
      <c r="Y617" s="37"/>
      <c r="Z617" s="565" t="s">
        <v>78</v>
      </c>
      <c r="AA617" s="565" t="s">
        <v>78</v>
      </c>
      <c r="AB617" s="37"/>
      <c r="AC617" s="816">
        <f>'Ref-DOE'!$M$26</f>
        <v>8.7800000000000011</v>
      </c>
      <c r="AD617" s="565" t="s">
        <v>84</v>
      </c>
      <c r="AE617" s="565" t="s">
        <v>73</v>
      </c>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c r="CA617" s="393"/>
      <c r="CB617" s="393"/>
      <c r="CC617" s="393"/>
      <c r="CD617" s="393"/>
      <c r="CE617" s="393"/>
      <c r="CF617" s="393"/>
      <c r="CG617" s="393"/>
      <c r="CH617" s="393"/>
      <c r="CI617" s="393"/>
      <c r="CJ617" s="390"/>
      <c r="CK617" s="390"/>
      <c r="CL617" s="390"/>
      <c r="CM617" s="390"/>
      <c r="CN617" s="390"/>
      <c r="CO617" s="390"/>
      <c r="CP617" s="390"/>
      <c r="CQ617" s="390"/>
      <c r="CR617" s="390"/>
      <c r="CS617" s="390"/>
      <c r="CT617" s="390"/>
      <c r="CU617" s="390"/>
      <c r="CV617" s="390"/>
      <c r="CW617" s="390"/>
      <c r="CX617" s="390"/>
      <c r="CY617" s="390"/>
      <c r="CZ617" s="390"/>
      <c r="DA617" s="390"/>
      <c r="DB617" s="390"/>
      <c r="DC617" s="390"/>
    </row>
    <row r="618" spans="1:107" s="303" customFormat="1" ht="33.75">
      <c r="A618" s="37"/>
      <c r="B618" s="694" t="s">
        <v>30</v>
      </c>
      <c r="C618" s="320" t="s">
        <v>1185</v>
      </c>
      <c r="D618" s="564" t="s">
        <v>1231</v>
      </c>
      <c r="E618" s="323">
        <f>'Ref-ComSources'!$W$45</f>
        <v>1030.2872247506953</v>
      </c>
      <c r="F618" s="565" t="s">
        <v>1256</v>
      </c>
      <c r="G618" s="566">
        <f>'Ref-2013CSSsaturationsEXT'!$F$24</f>
        <v>8.4309483145483866E-2</v>
      </c>
      <c r="H618" s="320" t="s">
        <v>110</v>
      </c>
      <c r="I618" s="378">
        <f>'Ref-2013CSSsaturationsEXT'!$J$24</f>
        <v>0.92133700443216204</v>
      </c>
      <c r="J618" s="565" t="s">
        <v>32</v>
      </c>
      <c r="K618" s="320" t="s">
        <v>114</v>
      </c>
      <c r="L618" s="320" t="s">
        <v>1270</v>
      </c>
      <c r="M618" s="320" t="s">
        <v>93</v>
      </c>
      <c r="N618" s="324">
        <f>E618*G618*'Ref-Savings Calculations'!$E$22*Applicability</f>
        <v>51.034862129267538</v>
      </c>
      <c r="O618" s="324">
        <f>G618*E618*'Ref-Savings Calculations'!$C$109*Applicability*ControlShare</f>
        <v>24.329144603062353</v>
      </c>
      <c r="P618" s="324">
        <f>E618*G618*'Ref-Savings Calculations'!$E$22*Applicability</f>
        <v>51.034862129267538</v>
      </c>
      <c r="Q618" s="324">
        <f>G618*E618*('Ref-Savings Calculations'!$C$109-'Ref-Savings Calculations'!$C$75)*Applicability*ControlShare</f>
        <v>10.243850359184151</v>
      </c>
      <c r="R618" s="37"/>
      <c r="S618" s="320" t="s">
        <v>44</v>
      </c>
      <c r="T618" s="320" t="s">
        <v>63</v>
      </c>
      <c r="U618" s="320" t="s">
        <v>44</v>
      </c>
      <c r="V618" s="320" t="s">
        <v>75</v>
      </c>
      <c r="W618" s="320" t="s">
        <v>76</v>
      </c>
      <c r="X618" s="37"/>
      <c r="Y618" s="37"/>
      <c r="Z618" s="565" t="s">
        <v>78</v>
      </c>
      <c r="AA618" s="565" t="s">
        <v>78</v>
      </c>
      <c r="AB618" s="37"/>
      <c r="AC618" s="816">
        <f>'Ref-DOE'!$M$26</f>
        <v>8.7800000000000011</v>
      </c>
      <c r="AD618" s="565" t="s">
        <v>84</v>
      </c>
      <c r="AE618" s="565" t="s">
        <v>73</v>
      </c>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c r="CA618" s="393"/>
      <c r="CB618" s="393"/>
      <c r="CC618" s="393"/>
      <c r="CD618" s="393"/>
      <c r="CE618" s="393"/>
      <c r="CF618" s="393"/>
      <c r="CG618" s="393"/>
      <c r="CH618" s="393"/>
      <c r="CI618" s="393"/>
      <c r="CJ618" s="390"/>
      <c r="CK618" s="390"/>
      <c r="CL618" s="390"/>
      <c r="CM618" s="390"/>
      <c r="CN618" s="390"/>
      <c r="CO618" s="390"/>
      <c r="CP618" s="390"/>
      <c r="CQ618" s="390"/>
      <c r="CR618" s="390"/>
      <c r="CS618" s="390"/>
      <c r="CT618" s="390"/>
      <c r="CU618" s="390"/>
      <c r="CV618" s="390"/>
      <c r="CW618" s="390"/>
      <c r="CX618" s="390"/>
      <c r="CY618" s="390"/>
      <c r="CZ618" s="390"/>
      <c r="DA618" s="390"/>
      <c r="DB618" s="390"/>
      <c r="DC618" s="390"/>
    </row>
    <row r="619" spans="1:107" s="303" customFormat="1" ht="33.75">
      <c r="A619" s="37"/>
      <c r="B619" s="694" t="s">
        <v>30</v>
      </c>
      <c r="C619" s="320" t="s">
        <v>1185</v>
      </c>
      <c r="D619" s="564" t="s">
        <v>1231</v>
      </c>
      <c r="E619" s="323">
        <f>'Ref-ComSources'!$W$45</f>
        <v>1030.2872247506953</v>
      </c>
      <c r="F619" s="565" t="s">
        <v>1256</v>
      </c>
      <c r="G619" s="566">
        <f>'Ref-2013CSSsaturationsEXT'!$F$24</f>
        <v>8.4309483145483866E-2</v>
      </c>
      <c r="H619" s="320" t="s">
        <v>110</v>
      </c>
      <c r="I619" s="378">
        <f>'Ref-2013CSSsaturationsEXT'!$J$24</f>
        <v>0.92133700443216204</v>
      </c>
      <c r="J619" s="565" t="s">
        <v>32</v>
      </c>
      <c r="K619" s="320" t="s">
        <v>114</v>
      </c>
      <c r="L619" s="320" t="s">
        <v>995</v>
      </c>
      <c r="M619" s="320" t="s">
        <v>88</v>
      </c>
      <c r="N619" s="324">
        <f>E619*G619*'Ref-Savings Calculations'!$E$21*Applicability</f>
        <v>22.310071528495545</v>
      </c>
      <c r="O619" s="324">
        <f>G619*E619*'Ref-Savings Calculations'!$C$75*Applicability*ControlShare</f>
        <v>14.085294243878204</v>
      </c>
      <c r="P619" s="324">
        <f>E619*G619*'Ref-Savings Calculations'!$E$21*Applicability</f>
        <v>22.310071528495545</v>
      </c>
      <c r="Q619" s="324" t="s">
        <v>871</v>
      </c>
      <c r="R619" s="37"/>
      <c r="S619" s="320" t="s">
        <v>1273</v>
      </c>
      <c r="T619" s="320" t="s">
        <v>69</v>
      </c>
      <c r="U619" s="320" t="s">
        <v>69</v>
      </c>
      <c r="V619" s="320" t="s">
        <v>69</v>
      </c>
      <c r="W619" s="320" t="s">
        <v>76</v>
      </c>
      <c r="X619" s="37"/>
      <c r="Y619" s="37"/>
      <c r="Z619" s="565" t="s">
        <v>78</v>
      </c>
      <c r="AA619" s="565" t="s">
        <v>78</v>
      </c>
      <c r="AB619" s="37"/>
      <c r="AC619" s="816">
        <f>'Ref-DOE'!$M$26</f>
        <v>8.7800000000000011</v>
      </c>
      <c r="AD619" s="565" t="s">
        <v>84</v>
      </c>
      <c r="AE619" s="565" t="s">
        <v>73</v>
      </c>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c r="CA619" s="393"/>
      <c r="CB619" s="393"/>
      <c r="CC619" s="393"/>
      <c r="CD619" s="393"/>
      <c r="CE619" s="393"/>
      <c r="CF619" s="393"/>
      <c r="CG619" s="393"/>
      <c r="CH619" s="393"/>
      <c r="CI619" s="393"/>
      <c r="CJ619" s="390"/>
      <c r="CK619" s="390"/>
      <c r="CL619" s="390"/>
      <c r="CM619" s="390"/>
      <c r="CN619" s="390"/>
      <c r="CO619" s="390"/>
      <c r="CP619" s="390"/>
      <c r="CQ619" s="390"/>
      <c r="CR619" s="390"/>
      <c r="CS619" s="390"/>
      <c r="CT619" s="390"/>
      <c r="CU619" s="390"/>
      <c r="CV619" s="390"/>
      <c r="CW619" s="390"/>
      <c r="CX619" s="390"/>
      <c r="CY619" s="390"/>
      <c r="CZ619" s="390"/>
      <c r="DA619" s="390"/>
      <c r="DB619" s="390"/>
      <c r="DC619" s="390"/>
    </row>
    <row r="620" spans="1:107" s="303" customFormat="1" ht="33.75">
      <c r="A620" s="37"/>
      <c r="B620" s="694" t="s">
        <v>30</v>
      </c>
      <c r="C620" s="320" t="s">
        <v>1185</v>
      </c>
      <c r="D620" s="564" t="s">
        <v>1231</v>
      </c>
      <c r="E620" s="323">
        <f>'Ref-ComSources'!$W$45</f>
        <v>1030.2872247506953</v>
      </c>
      <c r="F620" s="565" t="s">
        <v>1256</v>
      </c>
      <c r="G620" s="566">
        <f>'Ref-2013CSSsaturationsEXT'!$F$24</f>
        <v>8.4309483145483866E-2</v>
      </c>
      <c r="H620" s="320" t="s">
        <v>110</v>
      </c>
      <c r="I620" s="378">
        <f>'Ref-2013CSSsaturationsEXT'!$J$24</f>
        <v>0.92133700443216204</v>
      </c>
      <c r="J620" s="565" t="s">
        <v>32</v>
      </c>
      <c r="K620" s="320" t="s">
        <v>114</v>
      </c>
      <c r="L620" s="320" t="s">
        <v>995</v>
      </c>
      <c r="M620" s="320" t="s">
        <v>90</v>
      </c>
      <c r="N620" s="324">
        <f>E620*G620*'Ref-Savings Calculations'!$E$21*Applicability</f>
        <v>22.310071528495545</v>
      </c>
      <c r="O620" s="324" t="s">
        <v>871</v>
      </c>
      <c r="P620" s="324">
        <f>E620*G620*'Ref-Savings Calculations'!$E$21*Applicability</f>
        <v>22.310071528495545</v>
      </c>
      <c r="Q620" s="324" t="s">
        <v>871</v>
      </c>
      <c r="R620" s="37"/>
      <c r="S620" s="320" t="s">
        <v>1273</v>
      </c>
      <c r="T620" s="320" t="s">
        <v>69</v>
      </c>
      <c r="U620" s="320" t="s">
        <v>69</v>
      </c>
      <c r="V620" s="320" t="s">
        <v>69</v>
      </c>
      <c r="W620" s="320" t="s">
        <v>76</v>
      </c>
      <c r="X620" s="37"/>
      <c r="Y620" s="37"/>
      <c r="Z620" s="565" t="s">
        <v>78</v>
      </c>
      <c r="AA620" s="565" t="s">
        <v>78</v>
      </c>
      <c r="AB620" s="37"/>
      <c r="AC620" s="816">
        <f>'Ref-DOE'!$M$26</f>
        <v>8.7800000000000011</v>
      </c>
      <c r="AD620" s="565" t="s">
        <v>84</v>
      </c>
      <c r="AE620" s="565" t="s">
        <v>73</v>
      </c>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c r="CA620" s="393"/>
      <c r="CB620" s="393"/>
      <c r="CC620" s="393"/>
      <c r="CD620" s="393"/>
      <c r="CE620" s="393"/>
      <c r="CF620" s="393"/>
      <c r="CG620" s="393"/>
      <c r="CH620" s="393"/>
      <c r="CI620" s="393"/>
      <c r="CJ620" s="390"/>
      <c r="CK620" s="390"/>
      <c r="CL620" s="390"/>
      <c r="CM620" s="390"/>
      <c r="CN620" s="390"/>
      <c r="CO620" s="390"/>
      <c r="CP620" s="390"/>
      <c r="CQ620" s="390"/>
      <c r="CR620" s="390"/>
      <c r="CS620" s="390"/>
      <c r="CT620" s="390"/>
      <c r="CU620" s="390"/>
      <c r="CV620" s="390"/>
      <c r="CW620" s="390"/>
      <c r="CX620" s="390"/>
      <c r="CY620" s="390"/>
      <c r="CZ620" s="390"/>
      <c r="DA620" s="390"/>
      <c r="DB620" s="390"/>
      <c r="DC620" s="390"/>
    </row>
    <row r="621" spans="1:107" s="303" customFormat="1" ht="33.75">
      <c r="A621" s="37"/>
      <c r="B621" s="694" t="s">
        <v>30</v>
      </c>
      <c r="C621" s="320" t="s">
        <v>1185</v>
      </c>
      <c r="D621" s="564" t="s">
        <v>1231</v>
      </c>
      <c r="E621" s="323">
        <f>'Ref-ComSources'!$W$45</f>
        <v>1030.2872247506953</v>
      </c>
      <c r="F621" s="565" t="s">
        <v>1256</v>
      </c>
      <c r="G621" s="566">
        <f>'Ref-2013CSSsaturationsEXT'!$F$24</f>
        <v>8.4309483145483866E-2</v>
      </c>
      <c r="H621" s="320" t="s">
        <v>110</v>
      </c>
      <c r="I621" s="378">
        <f>'Ref-2013CSSsaturationsEXT'!$J$24</f>
        <v>0.92133700443216204</v>
      </c>
      <c r="J621" s="565" t="s">
        <v>32</v>
      </c>
      <c r="K621" s="320" t="s">
        <v>114</v>
      </c>
      <c r="L621" s="320" t="s">
        <v>995</v>
      </c>
      <c r="M621" s="320" t="s">
        <v>91</v>
      </c>
      <c r="N621" s="324">
        <f>E621*G621*'Ref-Savings Calculations'!$E$21*Applicability</f>
        <v>22.310071528495545</v>
      </c>
      <c r="O621" s="324" t="s">
        <v>870</v>
      </c>
      <c r="P621" s="324">
        <f>E621*G621*'Ref-Savings Calculations'!$E$21*Applicability</f>
        <v>22.310071528495545</v>
      </c>
      <c r="Q621" s="324" t="s">
        <v>870</v>
      </c>
      <c r="R621" s="37"/>
      <c r="S621" s="320" t="s">
        <v>1273</v>
      </c>
      <c r="T621" s="320" t="s">
        <v>69</v>
      </c>
      <c r="U621" s="320" t="s">
        <v>69</v>
      </c>
      <c r="V621" s="320" t="s">
        <v>69</v>
      </c>
      <c r="W621" s="320" t="s">
        <v>76</v>
      </c>
      <c r="X621" s="37"/>
      <c r="Y621" s="37"/>
      <c r="Z621" s="565" t="s">
        <v>78</v>
      </c>
      <c r="AA621" s="565" t="s">
        <v>78</v>
      </c>
      <c r="AB621" s="37"/>
      <c r="AC621" s="816">
        <f>'Ref-DOE'!$M$26</f>
        <v>8.7800000000000011</v>
      </c>
      <c r="AD621" s="565" t="s">
        <v>84</v>
      </c>
      <c r="AE621" s="565" t="s">
        <v>73</v>
      </c>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c r="CA621" s="393"/>
      <c r="CB621" s="393"/>
      <c r="CC621" s="393"/>
      <c r="CD621" s="393"/>
      <c r="CE621" s="393"/>
      <c r="CF621" s="393"/>
      <c r="CG621" s="393"/>
      <c r="CH621" s="393"/>
      <c r="CI621" s="393"/>
      <c r="CJ621" s="390"/>
      <c r="CK621" s="390"/>
      <c r="CL621" s="390"/>
      <c r="CM621" s="390"/>
      <c r="CN621" s="390"/>
      <c r="CO621" s="390"/>
      <c r="CP621" s="390"/>
      <c r="CQ621" s="390"/>
      <c r="CR621" s="390"/>
      <c r="CS621" s="390"/>
      <c r="CT621" s="390"/>
      <c r="CU621" s="390"/>
      <c r="CV621" s="390"/>
      <c r="CW621" s="390"/>
      <c r="CX621" s="390"/>
      <c r="CY621" s="390"/>
      <c r="CZ621" s="390"/>
      <c r="DA621" s="390"/>
      <c r="DB621" s="390"/>
      <c r="DC621" s="390"/>
    </row>
    <row r="622" spans="1:107" s="303" customFormat="1" ht="33.75">
      <c r="A622" s="37"/>
      <c r="B622" s="694" t="s">
        <v>30</v>
      </c>
      <c r="C622" s="320" t="s">
        <v>1185</v>
      </c>
      <c r="D622" s="564" t="s">
        <v>1231</v>
      </c>
      <c r="E622" s="323">
        <f>'Ref-ComSources'!$W$45</f>
        <v>1030.2872247506953</v>
      </c>
      <c r="F622" s="565" t="s">
        <v>1256</v>
      </c>
      <c r="G622" s="566">
        <f>'Ref-2013CSSsaturationsEXT'!$F$24</f>
        <v>8.4309483145483866E-2</v>
      </c>
      <c r="H622" s="320" t="s">
        <v>110</v>
      </c>
      <c r="I622" s="378">
        <f>'Ref-2013CSSsaturationsEXT'!$J$24</f>
        <v>0.92133700443216204</v>
      </c>
      <c r="J622" s="565" t="s">
        <v>32</v>
      </c>
      <c r="K622" s="320" t="s">
        <v>114</v>
      </c>
      <c r="L622" s="320" t="s">
        <v>995</v>
      </c>
      <c r="M622" s="320" t="s">
        <v>92</v>
      </c>
      <c r="N622" s="324">
        <f>E622*G622*'Ref-Savings Calculations'!$E$21*Applicability</f>
        <v>22.310071528495545</v>
      </c>
      <c r="O622" s="324">
        <f>G622*E622*'Ref-Savings Calculations'!$C$99*Applicability*ControlShare</f>
        <v>23.048663308164336</v>
      </c>
      <c r="P622" s="324">
        <f>E622*G622*'Ref-Savings Calculations'!$E$21*Applicability</f>
        <v>22.310071528495545</v>
      </c>
      <c r="Q622" s="324">
        <f>G622*E622*('Ref-Savings Calculations'!$C$99-'Ref-Savings Calculations'!$C$75)*Applicability*ControlShare</f>
        <v>8.9633690642861303</v>
      </c>
      <c r="R622" s="37"/>
      <c r="S622" s="320" t="s">
        <v>1273</v>
      </c>
      <c r="T622" s="320" t="s">
        <v>69</v>
      </c>
      <c r="U622" s="320" t="s">
        <v>69</v>
      </c>
      <c r="V622" s="320" t="s">
        <v>69</v>
      </c>
      <c r="W622" s="320" t="s">
        <v>76</v>
      </c>
      <c r="X622" s="37"/>
      <c r="Y622" s="37"/>
      <c r="Z622" s="565" t="s">
        <v>78</v>
      </c>
      <c r="AA622" s="565" t="s">
        <v>78</v>
      </c>
      <c r="AB622" s="37"/>
      <c r="AC622" s="816">
        <f>'Ref-DOE'!$M$26</f>
        <v>8.7800000000000011</v>
      </c>
      <c r="AD622" s="565" t="s">
        <v>84</v>
      </c>
      <c r="AE622" s="565" t="s">
        <v>73</v>
      </c>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c r="CA622" s="393"/>
      <c r="CB622" s="393"/>
      <c r="CC622" s="393"/>
      <c r="CD622" s="393"/>
      <c r="CE622" s="393"/>
      <c r="CF622" s="393"/>
      <c r="CG622" s="393"/>
      <c r="CH622" s="393"/>
      <c r="CI622" s="393"/>
      <c r="CJ622" s="390"/>
      <c r="CK622" s="390"/>
      <c r="CL622" s="390"/>
      <c r="CM622" s="390"/>
      <c r="CN622" s="390"/>
      <c r="CO622" s="390"/>
      <c r="CP622" s="390"/>
      <c r="CQ622" s="390"/>
      <c r="CR622" s="390"/>
      <c r="CS622" s="390"/>
      <c r="CT622" s="390"/>
      <c r="CU622" s="390"/>
      <c r="CV622" s="390"/>
      <c r="CW622" s="390"/>
      <c r="CX622" s="390"/>
      <c r="CY622" s="390"/>
      <c r="CZ622" s="390"/>
      <c r="DA622" s="390"/>
      <c r="DB622" s="390"/>
      <c r="DC622" s="390"/>
    </row>
    <row r="623" spans="1:107" s="303" customFormat="1" ht="33.75">
      <c r="A623" s="37"/>
      <c r="B623" s="694" t="s">
        <v>30</v>
      </c>
      <c r="C623" s="320" t="s">
        <v>1185</v>
      </c>
      <c r="D623" s="564" t="s">
        <v>1231</v>
      </c>
      <c r="E623" s="323">
        <f>'Ref-ComSources'!$W$45</f>
        <v>1030.2872247506953</v>
      </c>
      <c r="F623" s="565" t="s">
        <v>1256</v>
      </c>
      <c r="G623" s="566">
        <f>'Ref-2013CSSsaturationsEXT'!$F$24</f>
        <v>8.4309483145483866E-2</v>
      </c>
      <c r="H623" s="320" t="s">
        <v>110</v>
      </c>
      <c r="I623" s="378">
        <f>'Ref-2013CSSsaturationsEXT'!$J$24</f>
        <v>0.92133700443216204</v>
      </c>
      <c r="J623" s="565" t="s">
        <v>32</v>
      </c>
      <c r="K623" s="320" t="s">
        <v>114</v>
      </c>
      <c r="L623" s="320" t="s">
        <v>995</v>
      </c>
      <c r="M623" s="320" t="s">
        <v>93</v>
      </c>
      <c r="N623" s="324">
        <f>E623*G623*'Ref-Savings Calculations'!$E$21*Applicability</f>
        <v>22.310071528495545</v>
      </c>
      <c r="O623" s="324">
        <f>G623*E623*'Ref-Savings Calculations'!$C$109*Applicability*ControlShare</f>
        <v>24.329144603062353</v>
      </c>
      <c r="P623" s="324">
        <f>E623*G623*'Ref-Savings Calculations'!$E$21*Applicability</f>
        <v>22.310071528495545</v>
      </c>
      <c r="Q623" s="324">
        <f>G623*E623*('Ref-Savings Calculations'!$C$109-'Ref-Savings Calculations'!$C$75)*Applicability*ControlShare</f>
        <v>10.243850359184151</v>
      </c>
      <c r="R623" s="37"/>
      <c r="S623" s="320" t="s">
        <v>1273</v>
      </c>
      <c r="T623" s="320" t="s">
        <v>69</v>
      </c>
      <c r="U623" s="320" t="s">
        <v>69</v>
      </c>
      <c r="V623" s="320" t="s">
        <v>69</v>
      </c>
      <c r="W623" s="320" t="s">
        <v>76</v>
      </c>
      <c r="X623" s="37"/>
      <c r="Y623" s="37"/>
      <c r="Z623" s="565" t="s">
        <v>78</v>
      </c>
      <c r="AA623" s="565" t="s">
        <v>78</v>
      </c>
      <c r="AB623" s="37"/>
      <c r="AC623" s="816">
        <f>'Ref-DOE'!$M$26</f>
        <v>8.7800000000000011</v>
      </c>
      <c r="AD623" s="565" t="s">
        <v>84</v>
      </c>
      <c r="AE623" s="565" t="s">
        <v>73</v>
      </c>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c r="CA623" s="393"/>
      <c r="CB623" s="393"/>
      <c r="CC623" s="393"/>
      <c r="CD623" s="393"/>
      <c r="CE623" s="393"/>
      <c r="CF623" s="393"/>
      <c r="CG623" s="393"/>
      <c r="CH623" s="393"/>
      <c r="CI623" s="393"/>
      <c r="CJ623" s="390"/>
      <c r="CK623" s="390"/>
      <c r="CL623" s="390"/>
      <c r="CM623" s="390"/>
      <c r="CN623" s="390"/>
      <c r="CO623" s="390"/>
      <c r="CP623" s="390"/>
      <c r="CQ623" s="390"/>
      <c r="CR623" s="390"/>
      <c r="CS623" s="390"/>
      <c r="CT623" s="390"/>
      <c r="CU623" s="390"/>
      <c r="CV623" s="390"/>
      <c r="CW623" s="390"/>
      <c r="CX623" s="390"/>
      <c r="CY623" s="390"/>
      <c r="CZ623" s="390"/>
      <c r="DA623" s="390"/>
      <c r="DB623" s="390"/>
      <c r="DC623" s="390"/>
    </row>
    <row r="624" spans="1:107" s="303" customFormat="1" ht="33.75">
      <c r="A624" s="37"/>
      <c r="B624" s="694" t="s">
        <v>30</v>
      </c>
      <c r="C624" s="320" t="s">
        <v>1185</v>
      </c>
      <c r="D624" s="564" t="s">
        <v>1231</v>
      </c>
      <c r="E624" s="323">
        <f>'Ref-ComSources'!$W$45</f>
        <v>1030.2872247506953</v>
      </c>
      <c r="F624" s="565" t="s">
        <v>1256</v>
      </c>
      <c r="G624" s="566">
        <f>'Ref-2013CSSsaturationsEXT'!$F$24</f>
        <v>8.4309483145483866E-2</v>
      </c>
      <c r="H624" s="320" t="s">
        <v>110</v>
      </c>
      <c r="I624" s="378">
        <f>'Ref-2013CSSsaturationsEXT'!$J$24</f>
        <v>0.92133700443216204</v>
      </c>
      <c r="J624" s="565" t="s">
        <v>32</v>
      </c>
      <c r="K624" s="320" t="s">
        <v>114</v>
      </c>
      <c r="L624" s="320" t="s">
        <v>101</v>
      </c>
      <c r="M624" s="320" t="s">
        <v>88</v>
      </c>
      <c r="N624" s="324">
        <f>E624*G624*'Ref-Savings Calculations'!$E$16*Applicability</f>
        <v>28.402085611637542</v>
      </c>
      <c r="O624" s="324">
        <f>G624*E624*'Ref-Savings Calculations'!$C$75*Applicability*ControlShare</f>
        <v>14.085294243878204</v>
      </c>
      <c r="P624" s="324">
        <f>E624*G624*'Ref-Savings Calculations'!$E$16*Applicability</f>
        <v>28.402085611637542</v>
      </c>
      <c r="Q624" s="324" t="s">
        <v>871</v>
      </c>
      <c r="R624" s="37"/>
      <c r="S624" s="320" t="s">
        <v>68</v>
      </c>
      <c r="T624" s="320" t="s">
        <v>63</v>
      </c>
      <c r="U624" s="320" t="s">
        <v>69</v>
      </c>
      <c r="V624" s="320" t="s">
        <v>69</v>
      </c>
      <c r="W624" s="320" t="s">
        <v>76</v>
      </c>
      <c r="X624" s="37"/>
      <c r="Y624" s="37"/>
      <c r="Z624" s="565" t="s">
        <v>78</v>
      </c>
      <c r="AA624" s="565" t="s">
        <v>78</v>
      </c>
      <c r="AB624" s="37"/>
      <c r="AC624" s="816">
        <f>'Ref-DOE'!$M$26</f>
        <v>8.7800000000000011</v>
      </c>
      <c r="AD624" s="565" t="s">
        <v>84</v>
      </c>
      <c r="AE624" s="565" t="s">
        <v>73</v>
      </c>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c r="CA624" s="393"/>
      <c r="CB624" s="393"/>
      <c r="CC624" s="393"/>
      <c r="CD624" s="393"/>
      <c r="CE624" s="393"/>
      <c r="CF624" s="393"/>
      <c r="CG624" s="393"/>
      <c r="CH624" s="393"/>
      <c r="CI624" s="393"/>
      <c r="CJ624" s="390"/>
      <c r="CK624" s="390"/>
      <c r="CL624" s="390"/>
      <c r="CM624" s="390"/>
      <c r="CN624" s="390"/>
      <c r="CO624" s="390"/>
      <c r="CP624" s="390"/>
      <c r="CQ624" s="390"/>
      <c r="CR624" s="390"/>
      <c r="CS624" s="390"/>
      <c r="CT624" s="390"/>
      <c r="CU624" s="390"/>
      <c r="CV624" s="390"/>
      <c r="CW624" s="390"/>
      <c r="CX624" s="390"/>
      <c r="CY624" s="390"/>
      <c r="CZ624" s="390"/>
      <c r="DA624" s="390"/>
      <c r="DB624" s="390"/>
      <c r="DC624" s="390"/>
    </row>
    <row r="625" spans="1:107" s="303" customFormat="1" ht="33.75">
      <c r="A625" s="37"/>
      <c r="B625" s="694" t="s">
        <v>30</v>
      </c>
      <c r="C625" s="320" t="s">
        <v>1185</v>
      </c>
      <c r="D625" s="564" t="s">
        <v>1231</v>
      </c>
      <c r="E625" s="323">
        <f>'Ref-ComSources'!$W$45</f>
        <v>1030.2872247506953</v>
      </c>
      <c r="F625" s="565" t="s">
        <v>1256</v>
      </c>
      <c r="G625" s="566">
        <f>'Ref-2013CSSsaturationsEXT'!$F$24</f>
        <v>8.4309483145483866E-2</v>
      </c>
      <c r="H625" s="320" t="s">
        <v>110</v>
      </c>
      <c r="I625" s="378">
        <f>'Ref-2013CSSsaturationsEXT'!$J$24</f>
        <v>0.92133700443216204</v>
      </c>
      <c r="J625" s="565" t="s">
        <v>32</v>
      </c>
      <c r="K625" s="320" t="s">
        <v>114</v>
      </c>
      <c r="L625" s="320" t="s">
        <v>101</v>
      </c>
      <c r="M625" s="320" t="s">
        <v>90</v>
      </c>
      <c r="N625" s="324">
        <f>E625*G625*'Ref-Savings Calculations'!$E$16*Applicability</f>
        <v>28.402085611637542</v>
      </c>
      <c r="O625" s="324" t="s">
        <v>871</v>
      </c>
      <c r="P625" s="324">
        <f>E625*G625*'Ref-Savings Calculations'!$E$16*Applicability</f>
        <v>28.402085611637542</v>
      </c>
      <c r="Q625" s="324" t="s">
        <v>871</v>
      </c>
      <c r="R625" s="37"/>
      <c r="S625" s="320" t="s">
        <v>68</v>
      </c>
      <c r="T625" s="320" t="s">
        <v>63</v>
      </c>
      <c r="U625" s="320" t="s">
        <v>69</v>
      </c>
      <c r="V625" s="320" t="s">
        <v>69</v>
      </c>
      <c r="W625" s="320" t="s">
        <v>76</v>
      </c>
      <c r="X625" s="37"/>
      <c r="Y625" s="37"/>
      <c r="Z625" s="565" t="s">
        <v>78</v>
      </c>
      <c r="AA625" s="565" t="s">
        <v>78</v>
      </c>
      <c r="AB625" s="37"/>
      <c r="AC625" s="816">
        <f>'Ref-DOE'!$M$26</f>
        <v>8.7800000000000011</v>
      </c>
      <c r="AD625" s="565" t="s">
        <v>84</v>
      </c>
      <c r="AE625" s="565" t="s">
        <v>73</v>
      </c>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c r="CA625" s="393"/>
      <c r="CB625" s="393"/>
      <c r="CC625" s="393"/>
      <c r="CD625" s="393"/>
      <c r="CE625" s="393"/>
      <c r="CF625" s="393"/>
      <c r="CG625" s="393"/>
      <c r="CH625" s="393"/>
      <c r="CI625" s="393"/>
      <c r="CJ625" s="390"/>
      <c r="CK625" s="390"/>
      <c r="CL625" s="390"/>
      <c r="CM625" s="390"/>
      <c r="CN625" s="390"/>
      <c r="CO625" s="390"/>
      <c r="CP625" s="390"/>
      <c r="CQ625" s="390"/>
      <c r="CR625" s="390"/>
      <c r="CS625" s="390"/>
      <c r="CT625" s="390"/>
      <c r="CU625" s="390"/>
      <c r="CV625" s="390"/>
      <c r="CW625" s="390"/>
      <c r="CX625" s="390"/>
      <c r="CY625" s="390"/>
      <c r="CZ625" s="390"/>
      <c r="DA625" s="390"/>
      <c r="DB625" s="390"/>
      <c r="DC625" s="390"/>
    </row>
    <row r="626" spans="1:107" s="303" customFormat="1" ht="33.75">
      <c r="A626" s="37"/>
      <c r="B626" s="694" t="s">
        <v>30</v>
      </c>
      <c r="C626" s="320" t="s">
        <v>1185</v>
      </c>
      <c r="D626" s="564" t="s">
        <v>1231</v>
      </c>
      <c r="E626" s="323">
        <f>'Ref-ComSources'!$W$45</f>
        <v>1030.2872247506953</v>
      </c>
      <c r="F626" s="565" t="s">
        <v>1256</v>
      </c>
      <c r="G626" s="566">
        <f>'Ref-2013CSSsaturationsEXT'!$F$24</f>
        <v>8.4309483145483866E-2</v>
      </c>
      <c r="H626" s="320" t="s">
        <v>110</v>
      </c>
      <c r="I626" s="378">
        <f>'Ref-2013CSSsaturationsEXT'!$J$24</f>
        <v>0.92133700443216204</v>
      </c>
      <c r="J626" s="565" t="s">
        <v>32</v>
      </c>
      <c r="K626" s="320" t="s">
        <v>114</v>
      </c>
      <c r="L626" s="320" t="s">
        <v>101</v>
      </c>
      <c r="M626" s="320" t="s">
        <v>91</v>
      </c>
      <c r="N626" s="324">
        <f>E626*G626*'Ref-Savings Calculations'!$E$16*Applicability</f>
        <v>28.402085611637542</v>
      </c>
      <c r="O626" s="324" t="s">
        <v>870</v>
      </c>
      <c r="P626" s="324">
        <f>E626*G626*'Ref-Savings Calculations'!$E$16*Applicability</f>
        <v>28.402085611637542</v>
      </c>
      <c r="Q626" s="324" t="s">
        <v>870</v>
      </c>
      <c r="R626" s="37"/>
      <c r="S626" s="320" t="s">
        <v>68</v>
      </c>
      <c r="T626" s="320" t="s">
        <v>63</v>
      </c>
      <c r="U626" s="320" t="s">
        <v>69</v>
      </c>
      <c r="V626" s="320" t="s">
        <v>69</v>
      </c>
      <c r="W626" s="320" t="s">
        <v>76</v>
      </c>
      <c r="X626" s="37"/>
      <c r="Y626" s="37"/>
      <c r="Z626" s="565" t="s">
        <v>78</v>
      </c>
      <c r="AA626" s="565" t="s">
        <v>78</v>
      </c>
      <c r="AB626" s="37"/>
      <c r="AC626" s="816">
        <f>'Ref-DOE'!$M$26</f>
        <v>8.7800000000000011</v>
      </c>
      <c r="AD626" s="565" t="s">
        <v>84</v>
      </c>
      <c r="AE626" s="565" t="s">
        <v>73</v>
      </c>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c r="CA626" s="393"/>
      <c r="CB626" s="393"/>
      <c r="CC626" s="393"/>
      <c r="CD626" s="393"/>
      <c r="CE626" s="393"/>
      <c r="CF626" s="393"/>
      <c r="CG626" s="393"/>
      <c r="CH626" s="393"/>
      <c r="CI626" s="393"/>
      <c r="CJ626" s="390"/>
      <c r="CK626" s="390"/>
      <c r="CL626" s="390"/>
      <c r="CM626" s="390"/>
      <c r="CN626" s="390"/>
      <c r="CO626" s="390"/>
      <c r="CP626" s="390"/>
      <c r="CQ626" s="390"/>
      <c r="CR626" s="390"/>
      <c r="CS626" s="390"/>
      <c r="CT626" s="390"/>
      <c r="CU626" s="390"/>
      <c r="CV626" s="390"/>
      <c r="CW626" s="390"/>
      <c r="CX626" s="390"/>
      <c r="CY626" s="390"/>
      <c r="CZ626" s="390"/>
      <c r="DA626" s="390"/>
      <c r="DB626" s="390"/>
      <c r="DC626" s="390"/>
    </row>
    <row r="627" spans="1:107" s="303" customFormat="1" ht="33.75">
      <c r="A627" s="37"/>
      <c r="B627" s="694" t="s">
        <v>30</v>
      </c>
      <c r="C627" s="320" t="s">
        <v>1185</v>
      </c>
      <c r="D627" s="564" t="s">
        <v>1231</v>
      </c>
      <c r="E627" s="323">
        <f>'Ref-ComSources'!$W$45</f>
        <v>1030.2872247506953</v>
      </c>
      <c r="F627" s="565" t="s">
        <v>1256</v>
      </c>
      <c r="G627" s="566">
        <f>'Ref-2013CSSsaturationsEXT'!$F$24</f>
        <v>8.4309483145483866E-2</v>
      </c>
      <c r="H627" s="320" t="s">
        <v>110</v>
      </c>
      <c r="I627" s="378">
        <f>'Ref-2013CSSsaturationsEXT'!$J$24</f>
        <v>0.92133700443216204</v>
      </c>
      <c r="J627" s="565" t="s">
        <v>32</v>
      </c>
      <c r="K627" s="320" t="s">
        <v>114</v>
      </c>
      <c r="L627" s="320" t="s">
        <v>101</v>
      </c>
      <c r="M627" s="320" t="s">
        <v>92</v>
      </c>
      <c r="N627" s="324">
        <f>E627*G627*'Ref-Savings Calculations'!$E$16*Applicability</f>
        <v>28.402085611637542</v>
      </c>
      <c r="O627" s="324">
        <f>G627*E627*'Ref-Savings Calculations'!$C$99*Applicability*ControlShare</f>
        <v>23.048663308164336</v>
      </c>
      <c r="P627" s="324">
        <f>E627*G627*'Ref-Savings Calculations'!$E$16*Applicability</f>
        <v>28.402085611637542</v>
      </c>
      <c r="Q627" s="324">
        <f>G627*E627*('Ref-Savings Calculations'!$C$99-'Ref-Savings Calculations'!$C$75)*Applicability*ControlShare</f>
        <v>8.9633690642861303</v>
      </c>
      <c r="R627" s="37"/>
      <c r="S627" s="320" t="s">
        <v>68</v>
      </c>
      <c r="T627" s="320" t="s">
        <v>63</v>
      </c>
      <c r="U627" s="320" t="s">
        <v>69</v>
      </c>
      <c r="V627" s="320" t="s">
        <v>69</v>
      </c>
      <c r="W627" s="320" t="s">
        <v>76</v>
      </c>
      <c r="X627" s="37"/>
      <c r="Y627" s="37"/>
      <c r="Z627" s="565" t="s">
        <v>78</v>
      </c>
      <c r="AA627" s="565" t="s">
        <v>78</v>
      </c>
      <c r="AB627" s="37"/>
      <c r="AC627" s="816">
        <f>'Ref-DOE'!$M$26</f>
        <v>8.7800000000000011</v>
      </c>
      <c r="AD627" s="565" t="s">
        <v>84</v>
      </c>
      <c r="AE627" s="565" t="s">
        <v>73</v>
      </c>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c r="CA627" s="393"/>
      <c r="CB627" s="393"/>
      <c r="CC627" s="393"/>
      <c r="CD627" s="393"/>
      <c r="CE627" s="393"/>
      <c r="CF627" s="393"/>
      <c r="CG627" s="393"/>
      <c r="CH627" s="393"/>
      <c r="CI627" s="393"/>
      <c r="CJ627" s="390"/>
      <c r="CK627" s="390"/>
      <c r="CL627" s="390"/>
      <c r="CM627" s="390"/>
      <c r="CN627" s="390"/>
      <c r="CO627" s="390"/>
      <c r="CP627" s="390"/>
      <c r="CQ627" s="390"/>
      <c r="CR627" s="390"/>
      <c r="CS627" s="390"/>
      <c r="CT627" s="390"/>
      <c r="CU627" s="390"/>
      <c r="CV627" s="390"/>
      <c r="CW627" s="390"/>
      <c r="CX627" s="390"/>
      <c r="CY627" s="390"/>
      <c r="CZ627" s="390"/>
      <c r="DA627" s="390"/>
      <c r="DB627" s="390"/>
      <c r="DC627" s="390"/>
    </row>
    <row r="628" spans="1:107" s="303" customFormat="1" ht="33.75">
      <c r="A628" s="37"/>
      <c r="B628" s="694" t="s">
        <v>30</v>
      </c>
      <c r="C628" s="320" t="s">
        <v>1185</v>
      </c>
      <c r="D628" s="564" t="s">
        <v>1231</v>
      </c>
      <c r="E628" s="323">
        <f>'Ref-ComSources'!$W$45</f>
        <v>1030.2872247506953</v>
      </c>
      <c r="F628" s="565" t="s">
        <v>1256</v>
      </c>
      <c r="G628" s="566">
        <f>'Ref-2013CSSsaturationsEXT'!$F$24</f>
        <v>8.4309483145483866E-2</v>
      </c>
      <c r="H628" s="320" t="s">
        <v>110</v>
      </c>
      <c r="I628" s="378">
        <f>'Ref-2013CSSsaturationsEXT'!$J$24</f>
        <v>0.92133700443216204</v>
      </c>
      <c r="J628" s="565" t="s">
        <v>32</v>
      </c>
      <c r="K628" s="320" t="s">
        <v>114</v>
      </c>
      <c r="L628" s="320" t="s">
        <v>101</v>
      </c>
      <c r="M628" s="320" t="s">
        <v>93</v>
      </c>
      <c r="N628" s="324">
        <f>E628*G628*'Ref-Savings Calculations'!$E$16*Applicability</f>
        <v>28.402085611637542</v>
      </c>
      <c r="O628" s="324">
        <f>G628*E628*'Ref-Savings Calculations'!$C$109*Applicability*ControlShare</f>
        <v>24.329144603062353</v>
      </c>
      <c r="P628" s="324">
        <f>E628*G628*'Ref-Savings Calculations'!$E$16*Applicability</f>
        <v>28.402085611637542</v>
      </c>
      <c r="Q628" s="324">
        <f>G628*E628*('Ref-Savings Calculations'!$C$109-'Ref-Savings Calculations'!$C$75)*Applicability*ControlShare</f>
        <v>10.243850359184151</v>
      </c>
      <c r="R628" s="37"/>
      <c r="S628" s="320" t="s">
        <v>68</v>
      </c>
      <c r="T628" s="320" t="s">
        <v>63</v>
      </c>
      <c r="U628" s="320" t="s">
        <v>44</v>
      </c>
      <c r="V628" s="320" t="s">
        <v>75</v>
      </c>
      <c r="W628" s="320" t="s">
        <v>76</v>
      </c>
      <c r="X628" s="37"/>
      <c r="Y628" s="37"/>
      <c r="Z628" s="565" t="s">
        <v>78</v>
      </c>
      <c r="AA628" s="565" t="s">
        <v>78</v>
      </c>
      <c r="AB628" s="37"/>
      <c r="AC628" s="816">
        <f>'Ref-DOE'!$M$26</f>
        <v>8.7800000000000011</v>
      </c>
      <c r="AD628" s="565" t="s">
        <v>84</v>
      </c>
      <c r="AE628" s="565" t="s">
        <v>73</v>
      </c>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c r="CA628" s="393"/>
      <c r="CB628" s="393"/>
      <c r="CC628" s="393"/>
      <c r="CD628" s="393"/>
      <c r="CE628" s="393"/>
      <c r="CF628" s="393"/>
      <c r="CG628" s="393"/>
      <c r="CH628" s="393"/>
      <c r="CI628" s="393"/>
      <c r="CJ628" s="390"/>
      <c r="CK628" s="390"/>
      <c r="CL628" s="390"/>
      <c r="CM628" s="390"/>
      <c r="CN628" s="390"/>
      <c r="CO628" s="390"/>
      <c r="CP628" s="390"/>
      <c r="CQ628" s="390"/>
      <c r="CR628" s="390"/>
      <c r="CS628" s="390"/>
      <c r="CT628" s="390"/>
      <c r="CU628" s="390"/>
      <c r="CV628" s="390"/>
      <c r="CW628" s="390"/>
      <c r="CX628" s="390"/>
      <c r="CY628" s="390"/>
      <c r="CZ628" s="390"/>
      <c r="DA628" s="390"/>
      <c r="DB628" s="390"/>
      <c r="DC628" s="390"/>
    </row>
    <row r="629" spans="1:107" s="303" customFormat="1" ht="33.75">
      <c r="A629" s="37"/>
      <c r="B629" s="694" t="s">
        <v>30</v>
      </c>
      <c r="C629" s="320" t="s">
        <v>1185</v>
      </c>
      <c r="D629" s="564" t="s">
        <v>1231</v>
      </c>
      <c r="E629" s="323">
        <f>'Ref-ComSources'!$W$45</f>
        <v>1030.2872247506953</v>
      </c>
      <c r="F629" s="565" t="s">
        <v>26</v>
      </c>
      <c r="G629" s="566">
        <f>'Ref-2013CSSsaturationsEXT'!$F$25</f>
        <v>7.8815955307006094E-2</v>
      </c>
      <c r="H629" s="320" t="s">
        <v>110</v>
      </c>
      <c r="I629" s="378">
        <f>'Ref-2013CSSsaturationsEXT'!$J$25</f>
        <v>0.93767754464295872</v>
      </c>
      <c r="J629" s="320" t="s">
        <v>25</v>
      </c>
      <c r="K629" s="320" t="s">
        <v>114</v>
      </c>
      <c r="L629" s="320" t="s">
        <v>95</v>
      </c>
      <c r="M629" s="320" t="s">
        <v>88</v>
      </c>
      <c r="N629" s="324">
        <f>E629*G629*'Ref-Savings Calculations'!$E$11*Applicability</f>
        <v>54.135381239553432</v>
      </c>
      <c r="O629" s="324">
        <f>G629*E629*'Ref-Savings Calculations'!$C$75*Applicability*ControlShare</f>
        <v>13.401044278779947</v>
      </c>
      <c r="P629" s="324">
        <f>E629*G629*'Ref-Savings Calculations'!$E$9*Applicability</f>
        <v>51.428612177575751</v>
      </c>
      <c r="Q629" s="324" t="s">
        <v>871</v>
      </c>
      <c r="R629" s="37"/>
      <c r="S629" s="320" t="s">
        <v>44</v>
      </c>
      <c r="T629" s="320" t="s">
        <v>63</v>
      </c>
      <c r="U629" s="320" t="s">
        <v>69</v>
      </c>
      <c r="V629" s="320" t="s">
        <v>69</v>
      </c>
      <c r="W629" s="320" t="s">
        <v>76</v>
      </c>
      <c r="X629" s="37"/>
      <c r="Y629" s="37"/>
      <c r="Z629" s="565" t="s">
        <v>78</v>
      </c>
      <c r="AA629" s="565" t="s">
        <v>78</v>
      </c>
      <c r="AB629" s="37"/>
      <c r="AC629" s="816">
        <f>'Ref-DOE'!$M$26</f>
        <v>8.7800000000000011</v>
      </c>
      <c r="AD629" s="565" t="s">
        <v>84</v>
      </c>
      <c r="AE629" s="565" t="s">
        <v>73</v>
      </c>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c r="CA629" s="393"/>
      <c r="CB629" s="393"/>
      <c r="CC629" s="393"/>
      <c r="CD629" s="393"/>
      <c r="CE629" s="393"/>
      <c r="CF629" s="393"/>
      <c r="CG629" s="393"/>
      <c r="CH629" s="393"/>
      <c r="CI629" s="393"/>
      <c r="CJ629" s="390"/>
      <c r="CK629" s="390"/>
      <c r="CL629" s="390"/>
      <c r="CM629" s="390"/>
      <c r="CN629" s="390"/>
      <c r="CO629" s="390"/>
      <c r="CP629" s="390"/>
      <c r="CQ629" s="390"/>
      <c r="CR629" s="390"/>
      <c r="CS629" s="390"/>
      <c r="CT629" s="390"/>
      <c r="CU629" s="390"/>
      <c r="CV629" s="390"/>
      <c r="CW629" s="390"/>
      <c r="CX629" s="390"/>
      <c r="CY629" s="390"/>
      <c r="CZ629" s="390"/>
      <c r="DA629" s="390"/>
      <c r="DB629" s="390"/>
      <c r="DC629" s="390"/>
    </row>
    <row r="630" spans="1:107" s="303" customFormat="1" ht="33.75">
      <c r="A630" s="37"/>
      <c r="B630" s="694" t="s">
        <v>30</v>
      </c>
      <c r="C630" s="320" t="s">
        <v>1185</v>
      </c>
      <c r="D630" s="564" t="s">
        <v>1231</v>
      </c>
      <c r="E630" s="323">
        <f>'Ref-ComSources'!$W$45</f>
        <v>1030.2872247506953</v>
      </c>
      <c r="F630" s="565" t="s">
        <v>26</v>
      </c>
      <c r="G630" s="566">
        <f>'Ref-2013CSSsaturationsEXT'!$F$25</f>
        <v>7.8815955307006094E-2</v>
      </c>
      <c r="H630" s="320" t="s">
        <v>110</v>
      </c>
      <c r="I630" s="378">
        <f>'Ref-2013CSSsaturationsEXT'!$J$25</f>
        <v>0.93767754464295872</v>
      </c>
      <c r="J630" s="320" t="s">
        <v>25</v>
      </c>
      <c r="K630" s="320" t="s">
        <v>114</v>
      </c>
      <c r="L630" s="320" t="s">
        <v>95</v>
      </c>
      <c r="M630" s="320" t="s">
        <v>90</v>
      </c>
      <c r="N630" s="324">
        <f>E630*G630*'Ref-Savings Calculations'!$E$11*Applicability</f>
        <v>54.135381239553432</v>
      </c>
      <c r="O630" s="324" t="s">
        <v>871</v>
      </c>
      <c r="P630" s="324">
        <f>E630*G630*'Ref-Savings Calculations'!$E$9*Applicability</f>
        <v>51.428612177575751</v>
      </c>
      <c r="Q630" s="324" t="s">
        <v>871</v>
      </c>
      <c r="R630" s="37"/>
      <c r="S630" s="320" t="s">
        <v>44</v>
      </c>
      <c r="T630" s="320" t="s">
        <v>63</v>
      </c>
      <c r="U630" s="320" t="s">
        <v>69</v>
      </c>
      <c r="V630" s="320" t="s">
        <v>69</v>
      </c>
      <c r="W630" s="320" t="s">
        <v>76</v>
      </c>
      <c r="X630" s="37"/>
      <c r="Y630" s="37"/>
      <c r="Z630" s="565" t="s">
        <v>78</v>
      </c>
      <c r="AA630" s="565" t="s">
        <v>78</v>
      </c>
      <c r="AB630" s="37"/>
      <c r="AC630" s="816">
        <f>'Ref-DOE'!$M$26</f>
        <v>8.7800000000000011</v>
      </c>
      <c r="AD630" s="565" t="s">
        <v>84</v>
      </c>
      <c r="AE630" s="565" t="s">
        <v>73</v>
      </c>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c r="CA630" s="393"/>
      <c r="CB630" s="393"/>
      <c r="CC630" s="393"/>
      <c r="CD630" s="393"/>
      <c r="CE630" s="393"/>
      <c r="CF630" s="393"/>
      <c r="CG630" s="393"/>
      <c r="CH630" s="393"/>
      <c r="CI630" s="393"/>
      <c r="CJ630" s="390"/>
      <c r="CK630" s="390"/>
      <c r="CL630" s="390"/>
      <c r="CM630" s="390"/>
      <c r="CN630" s="390"/>
      <c r="CO630" s="390"/>
      <c r="CP630" s="390"/>
      <c r="CQ630" s="390"/>
      <c r="CR630" s="390"/>
      <c r="CS630" s="390"/>
      <c r="CT630" s="390"/>
      <c r="CU630" s="390"/>
      <c r="CV630" s="390"/>
      <c r="CW630" s="390"/>
      <c r="CX630" s="390"/>
      <c r="CY630" s="390"/>
      <c r="CZ630" s="390"/>
      <c r="DA630" s="390"/>
      <c r="DB630" s="390"/>
      <c r="DC630" s="390"/>
    </row>
    <row r="631" spans="1:107" s="303" customFormat="1" ht="33.75">
      <c r="A631" s="37"/>
      <c r="B631" s="694" t="s">
        <v>30</v>
      </c>
      <c r="C631" s="320" t="s">
        <v>1185</v>
      </c>
      <c r="D631" s="564" t="s">
        <v>1231</v>
      </c>
      <c r="E631" s="323">
        <f>'Ref-ComSources'!$W$45</f>
        <v>1030.2872247506953</v>
      </c>
      <c r="F631" s="565" t="s">
        <v>26</v>
      </c>
      <c r="G631" s="566">
        <f>'Ref-2013CSSsaturationsEXT'!$F$25</f>
        <v>7.8815955307006094E-2</v>
      </c>
      <c r="H631" s="320" t="s">
        <v>110</v>
      </c>
      <c r="I631" s="378">
        <f>'Ref-2013CSSsaturationsEXT'!$J$25</f>
        <v>0.93767754464295872</v>
      </c>
      <c r="J631" s="320" t="s">
        <v>25</v>
      </c>
      <c r="K631" s="320" t="s">
        <v>114</v>
      </c>
      <c r="L631" s="320" t="s">
        <v>95</v>
      </c>
      <c r="M631" s="320" t="s">
        <v>91</v>
      </c>
      <c r="N631" s="324">
        <f>E631*G631*'Ref-Savings Calculations'!$E$11*Applicability</f>
        <v>54.135381239553432</v>
      </c>
      <c r="O631" s="324" t="s">
        <v>870</v>
      </c>
      <c r="P631" s="324">
        <f>E631*G631*'Ref-Savings Calculations'!$E$9*Applicability</f>
        <v>51.428612177575751</v>
      </c>
      <c r="Q631" s="324" t="s">
        <v>870</v>
      </c>
      <c r="R631" s="37"/>
      <c r="S631" s="320" t="s">
        <v>44</v>
      </c>
      <c r="T631" s="320" t="s">
        <v>63</v>
      </c>
      <c r="U631" s="320" t="s">
        <v>870</v>
      </c>
      <c r="V631" s="320" t="s">
        <v>870</v>
      </c>
      <c r="W631" s="320" t="s">
        <v>76</v>
      </c>
      <c r="X631" s="37"/>
      <c r="Y631" s="37"/>
      <c r="Z631" s="565" t="s">
        <v>78</v>
      </c>
      <c r="AA631" s="565" t="s">
        <v>78</v>
      </c>
      <c r="AB631" s="37"/>
      <c r="AC631" s="816">
        <f>'Ref-DOE'!$M$26</f>
        <v>8.7800000000000011</v>
      </c>
      <c r="AD631" s="565" t="s">
        <v>84</v>
      </c>
      <c r="AE631" s="565" t="s">
        <v>73</v>
      </c>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c r="CA631" s="393"/>
      <c r="CB631" s="393"/>
      <c r="CC631" s="393"/>
      <c r="CD631" s="393"/>
      <c r="CE631" s="393"/>
      <c r="CF631" s="393"/>
      <c r="CG631" s="393"/>
      <c r="CH631" s="393"/>
      <c r="CI631" s="393"/>
      <c r="CJ631" s="390"/>
      <c r="CK631" s="390"/>
      <c r="CL631" s="390"/>
      <c r="CM631" s="390"/>
      <c r="CN631" s="390"/>
      <c r="CO631" s="390"/>
      <c r="CP631" s="390"/>
      <c r="CQ631" s="390"/>
      <c r="CR631" s="390"/>
      <c r="CS631" s="390"/>
      <c r="CT631" s="390"/>
      <c r="CU631" s="390"/>
      <c r="CV631" s="390"/>
      <c r="CW631" s="390"/>
      <c r="CX631" s="390"/>
      <c r="CY631" s="390"/>
      <c r="CZ631" s="390"/>
      <c r="DA631" s="390"/>
      <c r="DB631" s="390"/>
      <c r="DC631" s="390"/>
    </row>
    <row r="632" spans="1:107" s="303" customFormat="1" ht="33.75">
      <c r="A632" s="37"/>
      <c r="B632" s="694" t="s">
        <v>30</v>
      </c>
      <c r="C632" s="320" t="s">
        <v>1185</v>
      </c>
      <c r="D632" s="564" t="s">
        <v>1231</v>
      </c>
      <c r="E632" s="323">
        <f>'Ref-ComSources'!$W$45</f>
        <v>1030.2872247506953</v>
      </c>
      <c r="F632" s="565" t="s">
        <v>26</v>
      </c>
      <c r="G632" s="566">
        <f>'Ref-2013CSSsaturationsEXT'!$F$25</f>
        <v>7.8815955307006094E-2</v>
      </c>
      <c r="H632" s="320" t="s">
        <v>110</v>
      </c>
      <c r="I632" s="378">
        <f>'Ref-2013CSSsaturationsEXT'!$J$25</f>
        <v>0.93767754464295872</v>
      </c>
      <c r="J632" s="320" t="s">
        <v>25</v>
      </c>
      <c r="K632" s="320" t="s">
        <v>114</v>
      </c>
      <c r="L632" s="320" t="s">
        <v>95</v>
      </c>
      <c r="M632" s="320" t="s">
        <v>92</v>
      </c>
      <c r="N632" s="324">
        <f>E632*G632*'Ref-Savings Calculations'!$E$11*Applicability</f>
        <v>54.135381239553432</v>
      </c>
      <c r="O632" s="324">
        <f>G632*E632*'Ref-Savings Calculations'!$C$99*Applicability*ControlShare</f>
        <v>21.928981547094459</v>
      </c>
      <c r="P632" s="324">
        <f>E632*G632*'Ref-Savings Calculations'!$E$9*Applicability</f>
        <v>51.428612177575751</v>
      </c>
      <c r="Q632" s="324">
        <f>G632*E632*('Ref-Savings Calculations'!$C$99-'Ref-Savings Calculations'!$C$75)*Applicability*ControlShare</f>
        <v>8.5279372683145098</v>
      </c>
      <c r="R632" s="37"/>
      <c r="S632" s="320" t="s">
        <v>44</v>
      </c>
      <c r="T632" s="320" t="s">
        <v>63</v>
      </c>
      <c r="U632" s="320" t="s">
        <v>69</v>
      </c>
      <c r="V632" s="320" t="s">
        <v>69</v>
      </c>
      <c r="W632" s="320" t="s">
        <v>76</v>
      </c>
      <c r="X632" s="37"/>
      <c r="Y632" s="37"/>
      <c r="Z632" s="565" t="s">
        <v>78</v>
      </c>
      <c r="AA632" s="565" t="s">
        <v>78</v>
      </c>
      <c r="AB632" s="37"/>
      <c r="AC632" s="816">
        <f>'Ref-DOE'!$M$26</f>
        <v>8.7800000000000011</v>
      </c>
      <c r="AD632" s="565" t="s">
        <v>84</v>
      </c>
      <c r="AE632" s="565" t="s">
        <v>73</v>
      </c>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c r="CA632" s="393"/>
      <c r="CB632" s="393"/>
      <c r="CC632" s="393"/>
      <c r="CD632" s="393"/>
      <c r="CE632" s="393"/>
      <c r="CF632" s="393"/>
      <c r="CG632" s="393"/>
      <c r="CH632" s="393"/>
      <c r="CI632" s="393"/>
      <c r="CJ632" s="390"/>
      <c r="CK632" s="390"/>
      <c r="CL632" s="390"/>
      <c r="CM632" s="390"/>
      <c r="CN632" s="390"/>
      <c r="CO632" s="390"/>
      <c r="CP632" s="390"/>
      <c r="CQ632" s="390"/>
      <c r="CR632" s="390"/>
      <c r="CS632" s="390"/>
      <c r="CT632" s="390"/>
      <c r="CU632" s="390"/>
      <c r="CV632" s="390"/>
      <c r="CW632" s="390"/>
      <c r="CX632" s="390"/>
      <c r="CY632" s="390"/>
      <c r="CZ632" s="390"/>
      <c r="DA632" s="390"/>
      <c r="DB632" s="390"/>
      <c r="DC632" s="390"/>
    </row>
    <row r="633" spans="1:107" s="303" customFormat="1" ht="33.75">
      <c r="A633" s="37"/>
      <c r="B633" s="694" t="s">
        <v>30</v>
      </c>
      <c r="C633" s="320" t="s">
        <v>1185</v>
      </c>
      <c r="D633" s="564" t="s">
        <v>1231</v>
      </c>
      <c r="E633" s="323">
        <f>'Ref-ComSources'!$W$45</f>
        <v>1030.2872247506953</v>
      </c>
      <c r="F633" s="565" t="s">
        <v>26</v>
      </c>
      <c r="G633" s="566">
        <f>'Ref-2013CSSsaturationsEXT'!$F$25</f>
        <v>7.8815955307006094E-2</v>
      </c>
      <c r="H633" s="320" t="s">
        <v>110</v>
      </c>
      <c r="I633" s="378">
        <f>'Ref-2013CSSsaturationsEXT'!$J$25</f>
        <v>0.93767754464295872</v>
      </c>
      <c r="J633" s="320" t="s">
        <v>25</v>
      </c>
      <c r="K633" s="320" t="s">
        <v>114</v>
      </c>
      <c r="L633" s="320" t="s">
        <v>95</v>
      </c>
      <c r="M633" s="320" t="s">
        <v>93</v>
      </c>
      <c r="N633" s="324">
        <f>E633*G633*'Ref-Savings Calculations'!$E$11*Applicability</f>
        <v>54.135381239553432</v>
      </c>
      <c r="O633" s="324">
        <f>G633*E633*'Ref-Savings Calculations'!$C$109*Applicability*ControlShare</f>
        <v>23.147258299710817</v>
      </c>
      <c r="P633" s="324">
        <f>E633*G633*'Ref-Savings Calculations'!$E$9*Applicability</f>
        <v>51.428612177575751</v>
      </c>
      <c r="Q633" s="324">
        <f>G633*E633*('Ref-Savings Calculations'!$C$109-'Ref-Savings Calculations'!$C$75)*Applicability*ControlShare</f>
        <v>9.7462140209308696</v>
      </c>
      <c r="R633" s="37"/>
      <c r="S633" s="320" t="s">
        <v>44</v>
      </c>
      <c r="T633" s="320" t="s">
        <v>63</v>
      </c>
      <c r="U633" s="320" t="s">
        <v>44</v>
      </c>
      <c r="V633" s="320" t="s">
        <v>75</v>
      </c>
      <c r="W633" s="320" t="s">
        <v>76</v>
      </c>
      <c r="X633" s="37"/>
      <c r="Y633" s="37"/>
      <c r="Z633" s="565" t="s">
        <v>78</v>
      </c>
      <c r="AA633" s="565" t="s">
        <v>78</v>
      </c>
      <c r="AB633" s="37"/>
      <c r="AC633" s="816">
        <f>'Ref-DOE'!$M$26</f>
        <v>8.7800000000000011</v>
      </c>
      <c r="AD633" s="565" t="s">
        <v>84</v>
      </c>
      <c r="AE633" s="565" t="s">
        <v>73</v>
      </c>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c r="CA633" s="393"/>
      <c r="CB633" s="393"/>
      <c r="CC633" s="393"/>
      <c r="CD633" s="393"/>
      <c r="CE633" s="393"/>
      <c r="CF633" s="393"/>
      <c r="CG633" s="393"/>
      <c r="CH633" s="393"/>
      <c r="CI633" s="393"/>
      <c r="CJ633" s="390"/>
      <c r="CK633" s="390"/>
      <c r="CL633" s="390"/>
      <c r="CM633" s="390"/>
      <c r="CN633" s="390"/>
      <c r="CO633" s="390"/>
      <c r="CP633" s="390"/>
      <c r="CQ633" s="390"/>
      <c r="CR633" s="390"/>
      <c r="CS633" s="390"/>
      <c r="CT633" s="390"/>
      <c r="CU633" s="390"/>
      <c r="CV633" s="390"/>
      <c r="CW633" s="390"/>
      <c r="CX633" s="390"/>
      <c r="CY633" s="390"/>
      <c r="CZ633" s="390"/>
      <c r="DA633" s="390"/>
      <c r="DB633" s="390"/>
      <c r="DC633" s="390"/>
    </row>
    <row r="634" spans="1:107" s="303" customFormat="1" ht="33.75">
      <c r="A634" s="37"/>
      <c r="B634" s="694" t="s">
        <v>30</v>
      </c>
      <c r="C634" s="320" t="s">
        <v>1185</v>
      </c>
      <c r="D634" s="564" t="s">
        <v>1231</v>
      </c>
      <c r="E634" s="323">
        <f>'Ref-ComSources'!$W$45</f>
        <v>1030.2872247506953</v>
      </c>
      <c r="F634" s="565" t="s">
        <v>26</v>
      </c>
      <c r="G634" s="566">
        <f>'Ref-2013CSSsaturationsEXT'!$F$25</f>
        <v>7.8815955307006094E-2</v>
      </c>
      <c r="H634" s="320" t="s">
        <v>110</v>
      </c>
      <c r="I634" s="378">
        <f>'Ref-2013CSSsaturationsEXT'!$J$25</f>
        <v>0.93767754464295872</v>
      </c>
      <c r="J634" s="320" t="s">
        <v>25</v>
      </c>
      <c r="K634" s="320" t="s">
        <v>114</v>
      </c>
      <c r="L634" s="320" t="s">
        <v>24</v>
      </c>
      <c r="M634" s="320" t="s">
        <v>88</v>
      </c>
      <c r="N634" s="324">
        <f>E634*G634*'Ref-Savings Calculations'!$E$10*Applicability</f>
        <v>50.887258365180223</v>
      </c>
      <c r="O634" s="324">
        <f>G634*E634*'Ref-Savings Calculations'!$C$75*Applicability*ControlShare</f>
        <v>13.401044278779947</v>
      </c>
      <c r="P634" s="324">
        <f>E634*G634*'Ref-Savings Calculations'!$E$8*Applicability</f>
        <v>47.368458584609243</v>
      </c>
      <c r="Q634" s="324" t="s">
        <v>871</v>
      </c>
      <c r="R634" s="37"/>
      <c r="S634" s="565" t="s">
        <v>68</v>
      </c>
      <c r="T634" s="565" t="s">
        <v>63</v>
      </c>
      <c r="U634" s="320" t="s">
        <v>69</v>
      </c>
      <c r="V634" s="320" t="s">
        <v>69</v>
      </c>
      <c r="W634" s="565" t="s">
        <v>70</v>
      </c>
      <c r="X634" s="37"/>
      <c r="Y634" s="37"/>
      <c r="Z634" s="565" t="s">
        <v>78</v>
      </c>
      <c r="AA634" s="565" t="s">
        <v>78</v>
      </c>
      <c r="AB634" s="37"/>
      <c r="AC634" s="816">
        <f>'Ref-DOE'!$M$26</f>
        <v>8.7800000000000011</v>
      </c>
      <c r="AD634" s="565" t="s">
        <v>84</v>
      </c>
      <c r="AE634" s="565" t="s">
        <v>73</v>
      </c>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c r="CA634" s="393"/>
      <c r="CB634" s="393"/>
      <c r="CC634" s="393"/>
      <c r="CD634" s="393"/>
      <c r="CE634" s="393"/>
      <c r="CF634" s="393"/>
      <c r="CG634" s="393"/>
      <c r="CH634" s="393"/>
      <c r="CI634" s="393"/>
      <c r="CJ634" s="390"/>
      <c r="CK634" s="390"/>
      <c r="CL634" s="390"/>
      <c r="CM634" s="390"/>
      <c r="CN634" s="390"/>
      <c r="CO634" s="390"/>
      <c r="CP634" s="390"/>
      <c r="CQ634" s="390"/>
      <c r="CR634" s="390"/>
      <c r="CS634" s="390"/>
      <c r="CT634" s="390"/>
      <c r="CU634" s="390"/>
      <c r="CV634" s="390"/>
      <c r="CW634" s="390"/>
      <c r="CX634" s="390"/>
      <c r="CY634" s="390"/>
      <c r="CZ634" s="390"/>
      <c r="DA634" s="390"/>
      <c r="DB634" s="390"/>
      <c r="DC634" s="390"/>
    </row>
    <row r="635" spans="1:107" s="303" customFormat="1" ht="33.75">
      <c r="A635" s="37"/>
      <c r="B635" s="694" t="s">
        <v>30</v>
      </c>
      <c r="C635" s="320" t="s">
        <v>1185</v>
      </c>
      <c r="D635" s="564" t="s">
        <v>1231</v>
      </c>
      <c r="E635" s="323">
        <f>'Ref-ComSources'!$W$45</f>
        <v>1030.2872247506953</v>
      </c>
      <c r="F635" s="565" t="s">
        <v>26</v>
      </c>
      <c r="G635" s="566">
        <f>'Ref-2013CSSsaturationsEXT'!$F$25</f>
        <v>7.8815955307006094E-2</v>
      </c>
      <c r="H635" s="320" t="s">
        <v>110</v>
      </c>
      <c r="I635" s="378">
        <f>'Ref-2013CSSsaturationsEXT'!$J$25</f>
        <v>0.93767754464295872</v>
      </c>
      <c r="J635" s="320" t="s">
        <v>25</v>
      </c>
      <c r="K635" s="320" t="s">
        <v>114</v>
      </c>
      <c r="L635" s="320" t="s">
        <v>24</v>
      </c>
      <c r="M635" s="320" t="s">
        <v>90</v>
      </c>
      <c r="N635" s="324">
        <f>E635*G635*'Ref-Savings Calculations'!$E$25*Applicability</f>
        <v>35.020347241514813</v>
      </c>
      <c r="O635" s="324" t="s">
        <v>871</v>
      </c>
      <c r="P635" s="324">
        <f>E635*G635*'Ref-Savings Calculations'!$E$26*Applicability</f>
        <v>32.754370977692325</v>
      </c>
      <c r="Q635" s="324" t="s">
        <v>871</v>
      </c>
      <c r="R635" s="37"/>
      <c r="S635" s="565" t="s">
        <v>68</v>
      </c>
      <c r="T635" s="565" t="s">
        <v>63</v>
      </c>
      <c r="U635" s="320" t="s">
        <v>69</v>
      </c>
      <c r="V635" s="320" t="s">
        <v>69</v>
      </c>
      <c r="W635" s="565" t="s">
        <v>70</v>
      </c>
      <c r="X635" s="37"/>
      <c r="Y635" s="37"/>
      <c r="Z635" s="565" t="s">
        <v>78</v>
      </c>
      <c r="AA635" s="565" t="s">
        <v>78</v>
      </c>
      <c r="AB635" s="37"/>
      <c r="AC635" s="816">
        <f>'Ref-DOE'!$M$26</f>
        <v>8.7800000000000011</v>
      </c>
      <c r="AD635" s="565" t="s">
        <v>84</v>
      </c>
      <c r="AE635" s="565" t="s">
        <v>73</v>
      </c>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c r="CA635" s="393"/>
      <c r="CB635" s="393"/>
      <c r="CC635" s="393"/>
      <c r="CD635" s="393"/>
      <c r="CE635" s="393"/>
      <c r="CF635" s="393"/>
      <c r="CG635" s="393"/>
      <c r="CH635" s="393"/>
      <c r="CI635" s="393"/>
      <c r="CJ635" s="390"/>
      <c r="CK635" s="390"/>
      <c r="CL635" s="390"/>
      <c r="CM635" s="390"/>
      <c r="CN635" s="390"/>
      <c r="CO635" s="390"/>
      <c r="CP635" s="390"/>
      <c r="CQ635" s="390"/>
      <c r="CR635" s="390"/>
      <c r="CS635" s="390"/>
      <c r="CT635" s="390"/>
      <c r="CU635" s="390"/>
      <c r="CV635" s="390"/>
      <c r="CW635" s="390"/>
      <c r="CX635" s="390"/>
      <c r="CY635" s="390"/>
      <c r="CZ635" s="390"/>
      <c r="DA635" s="390"/>
      <c r="DB635" s="390"/>
      <c r="DC635" s="390"/>
    </row>
    <row r="636" spans="1:107" s="303" customFormat="1" ht="33.75">
      <c r="A636" s="37"/>
      <c r="B636" s="694" t="s">
        <v>30</v>
      </c>
      <c r="C636" s="320" t="s">
        <v>1185</v>
      </c>
      <c r="D636" s="564" t="s">
        <v>1231</v>
      </c>
      <c r="E636" s="323">
        <f>'Ref-ComSources'!$W$45</f>
        <v>1030.2872247506953</v>
      </c>
      <c r="F636" s="565" t="s">
        <v>26</v>
      </c>
      <c r="G636" s="566">
        <f>'Ref-2013CSSsaturationsEXT'!$F$25</f>
        <v>7.8815955307006094E-2</v>
      </c>
      <c r="H636" s="320" t="s">
        <v>110</v>
      </c>
      <c r="I636" s="378">
        <f>'Ref-2013CSSsaturationsEXT'!$J$25</f>
        <v>0.93767754464295872</v>
      </c>
      <c r="J636" s="320" t="s">
        <v>25</v>
      </c>
      <c r="K636" s="320" t="s">
        <v>114</v>
      </c>
      <c r="L636" s="320" t="s">
        <v>24</v>
      </c>
      <c r="M636" s="320" t="s">
        <v>91</v>
      </c>
      <c r="N636" s="324">
        <f>E636*G636*'Ref-Savings Calculations'!$E$25*Applicability</f>
        <v>35.020347241514813</v>
      </c>
      <c r="O636" s="324" t="s">
        <v>870</v>
      </c>
      <c r="P636" s="324">
        <f>E636*G636*'Ref-Savings Calculations'!$E$26*Applicability</f>
        <v>32.754370977692325</v>
      </c>
      <c r="Q636" s="324" t="s">
        <v>870</v>
      </c>
      <c r="R636" s="37"/>
      <c r="S636" s="565" t="s">
        <v>68</v>
      </c>
      <c r="T636" s="565" t="s">
        <v>63</v>
      </c>
      <c r="U636" s="320" t="s">
        <v>69</v>
      </c>
      <c r="V636" s="320" t="s">
        <v>69</v>
      </c>
      <c r="W636" s="565" t="s">
        <v>70</v>
      </c>
      <c r="X636" s="37"/>
      <c r="Y636" s="37"/>
      <c r="Z636" s="565" t="s">
        <v>78</v>
      </c>
      <c r="AA636" s="565" t="s">
        <v>78</v>
      </c>
      <c r="AB636" s="37"/>
      <c r="AC636" s="816">
        <f>'Ref-DOE'!$M$26</f>
        <v>8.7800000000000011</v>
      </c>
      <c r="AD636" s="565" t="s">
        <v>84</v>
      </c>
      <c r="AE636" s="565" t="s">
        <v>73</v>
      </c>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c r="CA636" s="393"/>
      <c r="CB636" s="393"/>
      <c r="CC636" s="393"/>
      <c r="CD636" s="393"/>
      <c r="CE636" s="393"/>
      <c r="CF636" s="393"/>
      <c r="CG636" s="393"/>
      <c r="CH636" s="393"/>
      <c r="CI636" s="393"/>
      <c r="CJ636" s="390"/>
      <c r="CK636" s="390"/>
      <c r="CL636" s="390"/>
      <c r="CM636" s="390"/>
      <c r="CN636" s="390"/>
      <c r="CO636" s="390"/>
      <c r="CP636" s="390"/>
      <c r="CQ636" s="390"/>
      <c r="CR636" s="390"/>
      <c r="CS636" s="390"/>
      <c r="CT636" s="390"/>
      <c r="CU636" s="390"/>
      <c r="CV636" s="390"/>
      <c r="CW636" s="390"/>
      <c r="CX636" s="390"/>
      <c r="CY636" s="390"/>
      <c r="CZ636" s="390"/>
      <c r="DA636" s="390"/>
      <c r="DB636" s="390"/>
      <c r="DC636" s="390"/>
    </row>
    <row r="637" spans="1:107" s="303" customFormat="1" ht="33.75">
      <c r="A637" s="37"/>
      <c r="B637" s="694" t="s">
        <v>30</v>
      </c>
      <c r="C637" s="320" t="s">
        <v>1185</v>
      </c>
      <c r="D637" s="564" t="s">
        <v>1231</v>
      </c>
      <c r="E637" s="323">
        <f>'Ref-ComSources'!$W$45</f>
        <v>1030.2872247506953</v>
      </c>
      <c r="F637" s="565" t="s">
        <v>26</v>
      </c>
      <c r="G637" s="566">
        <f>'Ref-2013CSSsaturationsEXT'!$F$25</f>
        <v>7.8815955307006094E-2</v>
      </c>
      <c r="H637" s="320" t="s">
        <v>110</v>
      </c>
      <c r="I637" s="378">
        <f>'Ref-2013CSSsaturationsEXT'!$J$25</f>
        <v>0.93767754464295872</v>
      </c>
      <c r="J637" s="320" t="s">
        <v>25</v>
      </c>
      <c r="K637" s="320" t="s">
        <v>114</v>
      </c>
      <c r="L637" s="320" t="s">
        <v>24</v>
      </c>
      <c r="M637" s="320" t="s">
        <v>92</v>
      </c>
      <c r="N637" s="324">
        <f>E637*G637*'Ref-Savings Calculations'!$E$25*Applicability</f>
        <v>35.020347241514813</v>
      </c>
      <c r="O637" s="324">
        <f>G637*E637*'Ref-Savings Calculations'!$C$99*Applicability*ControlShare</f>
        <v>21.928981547094459</v>
      </c>
      <c r="P637" s="324">
        <f>E637*G637*'Ref-Savings Calculations'!$E$26*Applicability</f>
        <v>32.754370977692325</v>
      </c>
      <c r="Q637" s="324">
        <f>G637*E637*('Ref-Savings Calculations'!$C$99-'Ref-Savings Calculations'!$C$75)*Applicability*ControlShare</f>
        <v>8.5279372683145098</v>
      </c>
      <c r="R637" s="37"/>
      <c r="S637" s="565" t="s">
        <v>68</v>
      </c>
      <c r="T637" s="565" t="s">
        <v>63</v>
      </c>
      <c r="U637" s="320" t="s">
        <v>69</v>
      </c>
      <c r="V637" s="320" t="s">
        <v>69</v>
      </c>
      <c r="W637" s="565" t="s">
        <v>70</v>
      </c>
      <c r="X637" s="37"/>
      <c r="Y637" s="37"/>
      <c r="Z637" s="565" t="s">
        <v>78</v>
      </c>
      <c r="AA637" s="565" t="s">
        <v>78</v>
      </c>
      <c r="AB637" s="37"/>
      <c r="AC637" s="816">
        <f>'Ref-DOE'!$M$26</f>
        <v>8.7800000000000011</v>
      </c>
      <c r="AD637" s="565" t="s">
        <v>84</v>
      </c>
      <c r="AE637" s="565" t="s">
        <v>73</v>
      </c>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c r="CA637" s="393"/>
      <c r="CB637" s="393"/>
      <c r="CC637" s="393"/>
      <c r="CD637" s="393"/>
      <c r="CE637" s="393"/>
      <c r="CF637" s="393"/>
      <c r="CG637" s="393"/>
      <c r="CH637" s="393"/>
      <c r="CI637" s="393"/>
      <c r="CJ637" s="390"/>
      <c r="CK637" s="390"/>
      <c r="CL637" s="390"/>
      <c r="CM637" s="390"/>
      <c r="CN637" s="390"/>
      <c r="CO637" s="390"/>
      <c r="CP637" s="390"/>
      <c r="CQ637" s="390"/>
      <c r="CR637" s="390"/>
      <c r="CS637" s="390"/>
      <c r="CT637" s="390"/>
      <c r="CU637" s="390"/>
      <c r="CV637" s="390"/>
      <c r="CW637" s="390"/>
      <c r="CX637" s="390"/>
      <c r="CY637" s="390"/>
      <c r="CZ637" s="390"/>
      <c r="DA637" s="390"/>
      <c r="DB637" s="390"/>
      <c r="DC637" s="390"/>
    </row>
    <row r="638" spans="1:107" s="303" customFormat="1" ht="33.75">
      <c r="A638" s="37"/>
      <c r="B638" s="694" t="s">
        <v>30</v>
      </c>
      <c r="C638" s="320" t="s">
        <v>1185</v>
      </c>
      <c r="D638" s="564" t="s">
        <v>1231</v>
      </c>
      <c r="E638" s="323">
        <f>'Ref-ComSources'!$W$45</f>
        <v>1030.2872247506953</v>
      </c>
      <c r="F638" s="565" t="s">
        <v>26</v>
      </c>
      <c r="G638" s="566">
        <f>'Ref-2013CSSsaturationsEXT'!$F$25</f>
        <v>7.8815955307006094E-2</v>
      </c>
      <c r="H638" s="320" t="s">
        <v>110</v>
      </c>
      <c r="I638" s="378">
        <f>'Ref-2013CSSsaturationsEXT'!$J$25</f>
        <v>0.93767754464295872</v>
      </c>
      <c r="J638" s="320" t="s">
        <v>25</v>
      </c>
      <c r="K638" s="320" t="s">
        <v>114</v>
      </c>
      <c r="L638" s="320" t="s">
        <v>24</v>
      </c>
      <c r="M638" s="320" t="s">
        <v>93</v>
      </c>
      <c r="N638" s="324">
        <f>E638*G638*'Ref-Savings Calculations'!$E$25*Applicability</f>
        <v>35.020347241514813</v>
      </c>
      <c r="O638" s="324">
        <f>G638*E638*'Ref-Savings Calculations'!$C$109*Applicability*ControlShare</f>
        <v>23.147258299710817</v>
      </c>
      <c r="P638" s="324">
        <f>E638*G638*'Ref-Savings Calculations'!$E$26*Applicability</f>
        <v>32.754370977692325</v>
      </c>
      <c r="Q638" s="324">
        <f>G638*E638*('Ref-Savings Calculations'!$C$109-'Ref-Savings Calculations'!$C$75)*Applicability*ControlShare</f>
        <v>9.7462140209308696</v>
      </c>
      <c r="R638" s="37"/>
      <c r="S638" s="565" t="s">
        <v>68</v>
      </c>
      <c r="T638" s="565" t="s">
        <v>63</v>
      </c>
      <c r="U638" s="320" t="s">
        <v>44</v>
      </c>
      <c r="V638" s="320" t="s">
        <v>75</v>
      </c>
      <c r="W638" s="565" t="s">
        <v>70</v>
      </c>
      <c r="X638" s="37"/>
      <c r="Y638" s="37"/>
      <c r="Z638" s="565" t="s">
        <v>78</v>
      </c>
      <c r="AA638" s="565" t="s">
        <v>78</v>
      </c>
      <c r="AB638" s="37"/>
      <c r="AC638" s="816">
        <f>'Ref-DOE'!$M$26</f>
        <v>8.7800000000000011</v>
      </c>
      <c r="AD638" s="565" t="s">
        <v>84</v>
      </c>
      <c r="AE638" s="565" t="s">
        <v>73</v>
      </c>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c r="CA638" s="393"/>
      <c r="CB638" s="393"/>
      <c r="CC638" s="393"/>
      <c r="CD638" s="393"/>
      <c r="CE638" s="393"/>
      <c r="CF638" s="393"/>
      <c r="CG638" s="393"/>
      <c r="CH638" s="393"/>
      <c r="CI638" s="393"/>
      <c r="CJ638" s="390"/>
      <c r="CK638" s="390"/>
      <c r="CL638" s="390"/>
      <c r="CM638" s="390"/>
      <c r="CN638" s="390"/>
      <c r="CO638" s="390"/>
      <c r="CP638" s="390"/>
      <c r="CQ638" s="390"/>
      <c r="CR638" s="390"/>
      <c r="CS638" s="390"/>
      <c r="CT638" s="390"/>
      <c r="CU638" s="390"/>
      <c r="CV638" s="390"/>
      <c r="CW638" s="390"/>
      <c r="CX638" s="390"/>
      <c r="CY638" s="390"/>
      <c r="CZ638" s="390"/>
      <c r="DA638" s="390"/>
      <c r="DB638" s="390"/>
      <c r="DC638" s="390"/>
    </row>
    <row r="639" spans="1:107" s="303" customFormat="1" ht="33.75">
      <c r="A639" s="37"/>
      <c r="B639" s="694" t="s">
        <v>30</v>
      </c>
      <c r="C639" s="320" t="s">
        <v>1185</v>
      </c>
      <c r="D639" s="564" t="s">
        <v>1231</v>
      </c>
      <c r="E639" s="323">
        <f>'Ref-ComSources'!$W$45</f>
        <v>1030.2872247506953</v>
      </c>
      <c r="F639" s="565" t="s">
        <v>24</v>
      </c>
      <c r="G639" s="566">
        <f>'Ref-2013CSSsaturationsEXT'!$F$26</f>
        <v>0.26136866221368937</v>
      </c>
      <c r="H639" s="320" t="s">
        <v>110</v>
      </c>
      <c r="I639" s="378">
        <f>'Ref-2013CSSsaturationsEXT'!$J$26</f>
        <v>0.75230806402488315</v>
      </c>
      <c r="J639" s="320" t="s">
        <v>25</v>
      </c>
      <c r="K639" s="320" t="s">
        <v>114</v>
      </c>
      <c r="L639" s="320" t="s">
        <v>95</v>
      </c>
      <c r="M639" s="320" t="s">
        <v>88</v>
      </c>
      <c r="N639" s="324">
        <f>E639*G639*'Ref-Savings Calculations'!$E$7*Applicability</f>
        <v>49.714115746881959</v>
      </c>
      <c r="O639" s="324">
        <f>G639*E639*'Ref-Savings Calculations'!$C$75*Applicability*ControlShare</f>
        <v>35.654981430874258</v>
      </c>
      <c r="P639" s="324">
        <f>E639*G639*'Ref-Savings Calculations'!$E$7*Applicability</f>
        <v>49.714115746881959</v>
      </c>
      <c r="Q639" s="324" t="s">
        <v>871</v>
      </c>
      <c r="R639" s="37"/>
      <c r="S639" s="565"/>
      <c r="T639" s="565"/>
      <c r="U639" s="320"/>
      <c r="V639" s="320"/>
      <c r="W639" s="565"/>
      <c r="X639" s="37"/>
      <c r="Y639" s="37"/>
      <c r="Z639" s="565" t="s">
        <v>78</v>
      </c>
      <c r="AA639" s="565" t="s">
        <v>78</v>
      </c>
      <c r="AB639" s="37"/>
      <c r="AC639" s="816">
        <f>'Ref-DOE'!$M$26</f>
        <v>8.7800000000000011</v>
      </c>
      <c r="AD639" s="565" t="s">
        <v>84</v>
      </c>
      <c r="AE639" s="565" t="s">
        <v>64</v>
      </c>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c r="CA639" s="393"/>
      <c r="CB639" s="393"/>
      <c r="CC639" s="393"/>
      <c r="CD639" s="393"/>
      <c r="CE639" s="393"/>
      <c r="CF639" s="393"/>
      <c r="CG639" s="393"/>
      <c r="CH639" s="393"/>
      <c r="CI639" s="393"/>
      <c r="CJ639" s="390"/>
      <c r="CK639" s="390"/>
      <c r="CL639" s="390"/>
      <c r="CM639" s="390"/>
      <c r="CN639" s="390"/>
      <c r="CO639" s="390"/>
      <c r="CP639" s="390"/>
      <c r="CQ639" s="390"/>
      <c r="CR639" s="390"/>
      <c r="CS639" s="390"/>
      <c r="CT639" s="390"/>
      <c r="CU639" s="390"/>
      <c r="CV639" s="390"/>
      <c r="CW639" s="390"/>
      <c r="CX639" s="390"/>
      <c r="CY639" s="390"/>
      <c r="CZ639" s="390"/>
      <c r="DA639" s="390"/>
      <c r="DB639" s="390"/>
      <c r="DC639" s="390"/>
    </row>
    <row r="640" spans="1:107" s="303" customFormat="1" ht="33.75">
      <c r="A640" s="37"/>
      <c r="B640" s="694" t="s">
        <v>30</v>
      </c>
      <c r="C640" s="320" t="s">
        <v>1185</v>
      </c>
      <c r="D640" s="564" t="s">
        <v>1231</v>
      </c>
      <c r="E640" s="323">
        <f>'Ref-ComSources'!$W$45</f>
        <v>1030.2872247506953</v>
      </c>
      <c r="F640" s="565" t="s">
        <v>24</v>
      </c>
      <c r="G640" s="566">
        <f>'Ref-2013CSSsaturationsEXT'!$F$26</f>
        <v>0.26136866221368937</v>
      </c>
      <c r="H640" s="320" t="s">
        <v>110</v>
      </c>
      <c r="I640" s="378">
        <f>'Ref-2013CSSsaturationsEXT'!$J$26</f>
        <v>0.75230806402488315</v>
      </c>
      <c r="J640" s="320" t="s">
        <v>25</v>
      </c>
      <c r="K640" s="320" t="s">
        <v>114</v>
      </c>
      <c r="L640" s="320" t="s">
        <v>95</v>
      </c>
      <c r="M640" s="320" t="s">
        <v>90</v>
      </c>
      <c r="N640" s="324">
        <f>E640*G640*'Ref-Savings Calculations'!$E$7*Applicability</f>
        <v>49.714115746881959</v>
      </c>
      <c r="O640" s="324" t="s">
        <v>871</v>
      </c>
      <c r="P640" s="324">
        <f>E640*G640*'Ref-Savings Calculations'!$E$7*Applicability</f>
        <v>49.714115746881959</v>
      </c>
      <c r="Q640" s="324" t="s">
        <v>871</v>
      </c>
      <c r="R640" s="37"/>
      <c r="S640" s="565"/>
      <c r="T640" s="565"/>
      <c r="U640" s="320"/>
      <c r="V640" s="320"/>
      <c r="W640" s="565"/>
      <c r="X640" s="37"/>
      <c r="Y640" s="37"/>
      <c r="Z640" s="565" t="s">
        <v>78</v>
      </c>
      <c r="AA640" s="565" t="s">
        <v>78</v>
      </c>
      <c r="AB640" s="37"/>
      <c r="AC640" s="816">
        <f>'Ref-DOE'!$M$26</f>
        <v>8.7800000000000011</v>
      </c>
      <c r="AD640" s="565" t="s">
        <v>84</v>
      </c>
      <c r="AE640" s="565" t="s">
        <v>64</v>
      </c>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c r="CA640" s="393"/>
      <c r="CB640" s="393"/>
      <c r="CC640" s="393"/>
      <c r="CD640" s="393"/>
      <c r="CE640" s="393"/>
      <c r="CF640" s="393"/>
      <c r="CG640" s="393"/>
      <c r="CH640" s="393"/>
      <c r="CI640" s="393"/>
      <c r="CJ640" s="390"/>
      <c r="CK640" s="390"/>
      <c r="CL640" s="390"/>
      <c r="CM640" s="390"/>
      <c r="CN640" s="390"/>
      <c r="CO640" s="390"/>
      <c r="CP640" s="390"/>
      <c r="CQ640" s="390"/>
      <c r="CR640" s="390"/>
      <c r="CS640" s="390"/>
      <c r="CT640" s="390"/>
      <c r="CU640" s="390"/>
      <c r="CV640" s="390"/>
      <c r="CW640" s="390"/>
      <c r="CX640" s="390"/>
      <c r="CY640" s="390"/>
      <c r="CZ640" s="390"/>
      <c r="DA640" s="390"/>
      <c r="DB640" s="390"/>
      <c r="DC640" s="390"/>
    </row>
    <row r="641" spans="1:107" s="303" customFormat="1" ht="33.75">
      <c r="A641" s="37"/>
      <c r="B641" s="694" t="s">
        <v>30</v>
      </c>
      <c r="C641" s="320" t="s">
        <v>1185</v>
      </c>
      <c r="D641" s="564" t="s">
        <v>1231</v>
      </c>
      <c r="E641" s="323">
        <f>'Ref-ComSources'!$W$45</f>
        <v>1030.2872247506953</v>
      </c>
      <c r="F641" s="565" t="s">
        <v>24</v>
      </c>
      <c r="G641" s="566">
        <f>'Ref-2013CSSsaturationsEXT'!$F$26</f>
        <v>0.26136866221368937</v>
      </c>
      <c r="H641" s="320" t="s">
        <v>110</v>
      </c>
      <c r="I641" s="378">
        <f>'Ref-2013CSSsaturationsEXT'!$J$26</f>
        <v>0.75230806402488315</v>
      </c>
      <c r="J641" s="320" t="s">
        <v>25</v>
      </c>
      <c r="K641" s="320" t="s">
        <v>114</v>
      </c>
      <c r="L641" s="320" t="s">
        <v>95</v>
      </c>
      <c r="M641" s="320" t="s">
        <v>91</v>
      </c>
      <c r="N641" s="324">
        <f>E641*G641*'Ref-Savings Calculations'!$E$7*Applicability</f>
        <v>49.714115746881959</v>
      </c>
      <c r="O641" s="324" t="s">
        <v>870</v>
      </c>
      <c r="P641" s="324">
        <f>E641*G641*'Ref-Savings Calculations'!$E$7*Applicability</f>
        <v>49.714115746881959</v>
      </c>
      <c r="Q641" s="324" t="s">
        <v>870</v>
      </c>
      <c r="R641" s="37"/>
      <c r="S641" s="565"/>
      <c r="T641" s="565"/>
      <c r="U641" s="320"/>
      <c r="V641" s="320"/>
      <c r="W641" s="565"/>
      <c r="X641" s="37"/>
      <c r="Y641" s="37"/>
      <c r="Z641" s="565" t="s">
        <v>78</v>
      </c>
      <c r="AA641" s="565" t="s">
        <v>78</v>
      </c>
      <c r="AB641" s="37"/>
      <c r="AC641" s="816">
        <f>'Ref-DOE'!$M$26</f>
        <v>8.7800000000000011</v>
      </c>
      <c r="AD641" s="565" t="s">
        <v>84</v>
      </c>
      <c r="AE641" s="565" t="s">
        <v>64</v>
      </c>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c r="CA641" s="393"/>
      <c r="CB641" s="393"/>
      <c r="CC641" s="393"/>
      <c r="CD641" s="393"/>
      <c r="CE641" s="393"/>
      <c r="CF641" s="393"/>
      <c r="CG641" s="393"/>
      <c r="CH641" s="393"/>
      <c r="CI641" s="393"/>
      <c r="CJ641" s="390"/>
      <c r="CK641" s="390"/>
      <c r="CL641" s="390"/>
      <c r="CM641" s="390"/>
      <c r="CN641" s="390"/>
      <c r="CO641" s="390"/>
      <c r="CP641" s="390"/>
      <c r="CQ641" s="390"/>
      <c r="CR641" s="390"/>
      <c r="CS641" s="390"/>
      <c r="CT641" s="390"/>
      <c r="CU641" s="390"/>
      <c r="CV641" s="390"/>
      <c r="CW641" s="390"/>
      <c r="CX641" s="390"/>
      <c r="CY641" s="390"/>
      <c r="CZ641" s="390"/>
      <c r="DA641" s="390"/>
      <c r="DB641" s="390"/>
      <c r="DC641" s="390"/>
    </row>
    <row r="642" spans="1:107" s="303" customFormat="1" ht="33.75">
      <c r="A642" s="37"/>
      <c r="B642" s="694" t="s">
        <v>30</v>
      </c>
      <c r="C642" s="320" t="s">
        <v>1185</v>
      </c>
      <c r="D642" s="564" t="s">
        <v>1231</v>
      </c>
      <c r="E642" s="323">
        <f>'Ref-ComSources'!$W$45</f>
        <v>1030.2872247506953</v>
      </c>
      <c r="F642" s="565" t="s">
        <v>24</v>
      </c>
      <c r="G642" s="566">
        <f>'Ref-2013CSSsaturationsEXT'!$F$26</f>
        <v>0.26136866221368937</v>
      </c>
      <c r="H642" s="320" t="s">
        <v>110</v>
      </c>
      <c r="I642" s="378">
        <f>'Ref-2013CSSsaturationsEXT'!$J$26</f>
        <v>0.75230806402488315</v>
      </c>
      <c r="J642" s="320" t="s">
        <v>25</v>
      </c>
      <c r="K642" s="320" t="s">
        <v>114</v>
      </c>
      <c r="L642" s="320" t="s">
        <v>95</v>
      </c>
      <c r="M642" s="320" t="s">
        <v>92</v>
      </c>
      <c r="N642" s="324">
        <f>E642*G642*'Ref-Savings Calculations'!$E$7*Applicability</f>
        <v>49.714115746881959</v>
      </c>
      <c r="O642" s="324">
        <f>G642*E642*'Ref-Savings Calculations'!$C$99*Applicability*ControlShare</f>
        <v>58.34451506870333</v>
      </c>
      <c r="P642" s="324">
        <f>E642*G642*'Ref-Savings Calculations'!$E$7*Applicability</f>
        <v>49.714115746881959</v>
      </c>
      <c r="Q642" s="324">
        <f>G642*E642*('Ref-Savings Calculations'!$C$99-'Ref-Savings Calculations'!$C$75)*Applicability*ControlShare</f>
        <v>22.689533637829069</v>
      </c>
      <c r="R642" s="37"/>
      <c r="S642" s="565"/>
      <c r="T642" s="565"/>
      <c r="U642" s="320"/>
      <c r="V642" s="320"/>
      <c r="W642" s="565"/>
      <c r="X642" s="37"/>
      <c r="Y642" s="37"/>
      <c r="Z642" s="565" t="s">
        <v>78</v>
      </c>
      <c r="AA642" s="565" t="s">
        <v>78</v>
      </c>
      <c r="AB642" s="37"/>
      <c r="AC642" s="816">
        <f>'Ref-DOE'!$M$26</f>
        <v>8.7800000000000011</v>
      </c>
      <c r="AD642" s="565" t="s">
        <v>84</v>
      </c>
      <c r="AE642" s="565" t="s">
        <v>64</v>
      </c>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c r="CA642" s="393"/>
      <c r="CB642" s="393"/>
      <c r="CC642" s="393"/>
      <c r="CD642" s="393"/>
      <c r="CE642" s="393"/>
      <c r="CF642" s="393"/>
      <c r="CG642" s="393"/>
      <c r="CH642" s="393"/>
      <c r="CI642" s="393"/>
      <c r="CJ642" s="390"/>
      <c r="CK642" s="390"/>
      <c r="CL642" s="390"/>
      <c r="CM642" s="390"/>
      <c r="CN642" s="390"/>
      <c r="CO642" s="390"/>
      <c r="CP642" s="390"/>
      <c r="CQ642" s="390"/>
      <c r="CR642" s="390"/>
      <c r="CS642" s="390"/>
      <c r="CT642" s="390"/>
      <c r="CU642" s="390"/>
      <c r="CV642" s="390"/>
      <c r="CW642" s="390"/>
      <c r="CX642" s="390"/>
      <c r="CY642" s="390"/>
      <c r="CZ642" s="390"/>
      <c r="DA642" s="390"/>
      <c r="DB642" s="390"/>
      <c r="DC642" s="390"/>
    </row>
    <row r="643" spans="1:107" s="303" customFormat="1" ht="33.75">
      <c r="A643" s="37"/>
      <c r="B643" s="694" t="s">
        <v>30</v>
      </c>
      <c r="C643" s="320" t="s">
        <v>1185</v>
      </c>
      <c r="D643" s="564" t="s">
        <v>1231</v>
      </c>
      <c r="E643" s="323">
        <f>'Ref-ComSources'!$W$45</f>
        <v>1030.2872247506953</v>
      </c>
      <c r="F643" s="565" t="s">
        <v>24</v>
      </c>
      <c r="G643" s="566">
        <f>'Ref-2013CSSsaturationsEXT'!$F$26</f>
        <v>0.26136866221368937</v>
      </c>
      <c r="H643" s="320" t="s">
        <v>110</v>
      </c>
      <c r="I643" s="378">
        <f>'Ref-2013CSSsaturationsEXT'!$J$26</f>
        <v>0.75230806402488315</v>
      </c>
      <c r="J643" s="320" t="s">
        <v>25</v>
      </c>
      <c r="K643" s="320" t="s">
        <v>114</v>
      </c>
      <c r="L643" s="320" t="s">
        <v>95</v>
      </c>
      <c r="M643" s="320" t="s">
        <v>93</v>
      </c>
      <c r="N643" s="324">
        <f>E643*G643*'Ref-Savings Calculations'!$E$7*Applicability</f>
        <v>49.714115746881959</v>
      </c>
      <c r="O643" s="324">
        <f>G643*E643*'Ref-Savings Calculations'!$C$109*Applicability*ControlShare</f>
        <v>61.585877016964623</v>
      </c>
      <c r="P643" s="324">
        <f>E643*G643*'Ref-Savings Calculations'!$E$7*Applicability</f>
        <v>49.714115746881959</v>
      </c>
      <c r="Q643" s="324">
        <f>G643*E643*('Ref-Savings Calculations'!$C$109-'Ref-Savings Calculations'!$C$75)*Applicability*ControlShare</f>
        <v>25.930895586090365</v>
      </c>
      <c r="R643" s="37"/>
      <c r="S643" s="565"/>
      <c r="T643" s="565"/>
      <c r="U643" s="320"/>
      <c r="V643" s="320"/>
      <c r="W643" s="565"/>
      <c r="X643" s="37"/>
      <c r="Y643" s="37"/>
      <c r="Z643" s="565" t="s">
        <v>78</v>
      </c>
      <c r="AA643" s="565" t="s">
        <v>78</v>
      </c>
      <c r="AB643" s="37"/>
      <c r="AC643" s="816">
        <f>'Ref-DOE'!$M$26</f>
        <v>8.7800000000000011</v>
      </c>
      <c r="AD643" s="565" t="s">
        <v>84</v>
      </c>
      <c r="AE643" s="565" t="s">
        <v>64</v>
      </c>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c r="CA643" s="393"/>
      <c r="CB643" s="393"/>
      <c r="CC643" s="393"/>
      <c r="CD643" s="393"/>
      <c r="CE643" s="393"/>
      <c r="CF643" s="393"/>
      <c r="CG643" s="393"/>
      <c r="CH643" s="393"/>
      <c r="CI643" s="393"/>
      <c r="CJ643" s="390"/>
      <c r="CK643" s="390"/>
      <c r="CL643" s="390"/>
      <c r="CM643" s="390"/>
      <c r="CN643" s="390"/>
      <c r="CO643" s="390"/>
      <c r="CP643" s="390"/>
      <c r="CQ643" s="390"/>
      <c r="CR643" s="390"/>
      <c r="CS643" s="390"/>
      <c r="CT643" s="390"/>
      <c r="CU643" s="390"/>
      <c r="CV643" s="390"/>
      <c r="CW643" s="390"/>
      <c r="CX643" s="390"/>
      <c r="CY643" s="390"/>
      <c r="CZ643" s="390"/>
      <c r="DA643" s="390"/>
      <c r="DB643" s="390"/>
      <c r="DC643" s="390"/>
    </row>
    <row r="644" spans="1:107" s="303" customFormat="1" ht="24">
      <c r="A644" s="37"/>
      <c r="B644" s="352" t="s">
        <v>30</v>
      </c>
      <c r="C644" s="344" t="s">
        <v>115</v>
      </c>
      <c r="D644" s="348" t="s">
        <v>116</v>
      </c>
      <c r="E644" s="345">
        <f>'Ref-ComSources'!$W$43</f>
        <v>1172.6465212572155</v>
      </c>
      <c r="F644" s="344" t="s">
        <v>1256</v>
      </c>
      <c r="G644" s="346">
        <f>'Ref-DOE'!$H$50</f>
        <v>0.82938969822302078</v>
      </c>
      <c r="H644" s="344" t="s">
        <v>110</v>
      </c>
      <c r="I644" s="386">
        <f>'Ref-BaselineControls'!$E$7</f>
        <v>1</v>
      </c>
      <c r="J644" s="344" t="s">
        <v>32</v>
      </c>
      <c r="K644" s="344" t="s">
        <v>110</v>
      </c>
      <c r="L644" s="344" t="s">
        <v>995</v>
      </c>
      <c r="M644" s="344" t="s">
        <v>88</v>
      </c>
      <c r="N644" s="349">
        <f>E644*G644*'Ref-Savings Calculations'!$E$21*Applicability</f>
        <v>249.79973729539208</v>
      </c>
      <c r="O644" s="349" t="s">
        <v>870</v>
      </c>
      <c r="P644" s="349">
        <f>E644*G644*'Ref-Savings Calculations'!$E$21*Applicability</f>
        <v>249.79973729539208</v>
      </c>
      <c r="Q644" s="349" t="s">
        <v>870</v>
      </c>
      <c r="R644" s="37"/>
      <c r="S644" s="344" t="s">
        <v>1273</v>
      </c>
      <c r="T644" s="344" t="s">
        <v>69</v>
      </c>
      <c r="U644" s="344" t="s">
        <v>69</v>
      </c>
      <c r="V644" s="344" t="s">
        <v>69</v>
      </c>
      <c r="W644" s="465" t="s">
        <v>76</v>
      </c>
      <c r="X644" s="37"/>
      <c r="Y644" s="37"/>
      <c r="Z644" s="344" t="s">
        <v>78</v>
      </c>
      <c r="AA644" s="344" t="s">
        <v>78</v>
      </c>
      <c r="AB644" s="37"/>
      <c r="AC644" s="347">
        <f>'Ref-ExteriorSources'!$K$42</f>
        <v>12</v>
      </c>
      <c r="AD644" s="344" t="s">
        <v>84</v>
      </c>
      <c r="AE644" s="344" t="s">
        <v>64</v>
      </c>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c r="CA644" s="393"/>
      <c r="CB644" s="393"/>
      <c r="CC644" s="393"/>
      <c r="CD644" s="393"/>
      <c r="CE644" s="393"/>
      <c r="CF644" s="393"/>
      <c r="CG644" s="393"/>
      <c r="CH644" s="393"/>
      <c r="CI644" s="393"/>
      <c r="CJ644" s="390"/>
      <c r="CK644" s="390"/>
      <c r="CL644" s="390"/>
      <c r="CM644" s="390"/>
      <c r="CN644" s="390"/>
      <c r="CO644" s="390"/>
      <c r="CP644" s="390"/>
      <c r="CQ644" s="390"/>
      <c r="CR644" s="390"/>
      <c r="CS644" s="390"/>
      <c r="CT644" s="390"/>
      <c r="CU644" s="390"/>
      <c r="CV644" s="390"/>
      <c r="CW644" s="390"/>
      <c r="CX644" s="390"/>
      <c r="CY644" s="390"/>
      <c r="CZ644" s="390"/>
      <c r="DA644" s="390"/>
      <c r="DB644" s="390"/>
      <c r="DC644" s="390"/>
    </row>
    <row r="645" spans="1:107" s="303" customFormat="1" ht="24">
      <c r="A645" s="37"/>
      <c r="B645" s="352" t="s">
        <v>30</v>
      </c>
      <c r="C645" s="344" t="s">
        <v>115</v>
      </c>
      <c r="D645" s="348" t="s">
        <v>116</v>
      </c>
      <c r="E645" s="345">
        <f>'Ref-ComSources'!$W$43</f>
        <v>1172.6465212572155</v>
      </c>
      <c r="F645" s="344" t="s">
        <v>1256</v>
      </c>
      <c r="G645" s="346">
        <f>'Ref-DOE'!$H$50</f>
        <v>0.82938969822302078</v>
      </c>
      <c r="H645" s="344" t="s">
        <v>110</v>
      </c>
      <c r="I645" s="386">
        <f>'Ref-BaselineControls'!$E$7</f>
        <v>1</v>
      </c>
      <c r="J645" s="344" t="s">
        <v>32</v>
      </c>
      <c r="K645" s="344" t="s">
        <v>110</v>
      </c>
      <c r="L645" s="344" t="s">
        <v>995</v>
      </c>
      <c r="M645" s="344" t="s">
        <v>90</v>
      </c>
      <c r="N645" s="349">
        <f>E645*G645*'Ref-Savings Calculations'!$E$21*Applicability</f>
        <v>249.79973729539208</v>
      </c>
      <c r="O645" s="349" t="s">
        <v>871</v>
      </c>
      <c r="P645" s="349">
        <f>E645*G645*'Ref-Savings Calculations'!$E$21*Applicability</f>
        <v>249.79973729539208</v>
      </c>
      <c r="Q645" s="349" t="s">
        <v>871</v>
      </c>
      <c r="R645" s="37"/>
      <c r="S645" s="344" t="s">
        <v>1273</v>
      </c>
      <c r="T645" s="344" t="s">
        <v>69</v>
      </c>
      <c r="U645" s="344" t="s">
        <v>69</v>
      </c>
      <c r="V645" s="344" t="s">
        <v>69</v>
      </c>
      <c r="W645" s="465" t="s">
        <v>76</v>
      </c>
      <c r="X645" s="37"/>
      <c r="Y645" s="37"/>
      <c r="Z645" s="344" t="s">
        <v>78</v>
      </c>
      <c r="AA645" s="344" t="s">
        <v>78</v>
      </c>
      <c r="AB645" s="37"/>
      <c r="AC645" s="347">
        <f>'Ref-ExteriorSources'!$K$42</f>
        <v>12</v>
      </c>
      <c r="AD645" s="344" t="s">
        <v>84</v>
      </c>
      <c r="AE645" s="344" t="s">
        <v>64</v>
      </c>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c r="CA645" s="393"/>
      <c r="CB645" s="393"/>
      <c r="CC645" s="393"/>
      <c r="CD645" s="393"/>
      <c r="CE645" s="393"/>
      <c r="CF645" s="393"/>
      <c r="CG645" s="393"/>
      <c r="CH645" s="393"/>
      <c r="CI645" s="393"/>
      <c r="CJ645" s="390"/>
      <c r="CK645" s="390"/>
      <c r="CL645" s="390"/>
      <c r="CM645" s="390"/>
      <c r="CN645" s="390"/>
      <c r="CO645" s="390"/>
      <c r="CP645" s="390"/>
      <c r="CQ645" s="390"/>
      <c r="CR645" s="390"/>
      <c r="CS645" s="390"/>
      <c r="CT645" s="390"/>
      <c r="CU645" s="390"/>
      <c r="CV645" s="390"/>
      <c r="CW645" s="390"/>
      <c r="CX645" s="390"/>
      <c r="CY645" s="390"/>
      <c r="CZ645" s="390"/>
      <c r="DA645" s="390"/>
      <c r="DB645" s="390"/>
      <c r="DC645" s="390"/>
    </row>
    <row r="646" spans="1:107" s="303" customFormat="1" ht="24">
      <c r="A646" s="37"/>
      <c r="B646" s="352" t="s">
        <v>30</v>
      </c>
      <c r="C646" s="344" t="s">
        <v>115</v>
      </c>
      <c r="D646" s="348" t="s">
        <v>116</v>
      </c>
      <c r="E646" s="345">
        <f>'Ref-ComSources'!$W$43</f>
        <v>1172.6465212572155</v>
      </c>
      <c r="F646" s="344" t="s">
        <v>1256</v>
      </c>
      <c r="G646" s="346">
        <f>'Ref-DOE'!$H$50</f>
        <v>0.82938969822302078</v>
      </c>
      <c r="H646" s="344" t="s">
        <v>110</v>
      </c>
      <c r="I646" s="386">
        <f>'Ref-BaselineControls'!$E$7</f>
        <v>1</v>
      </c>
      <c r="J646" s="344" t="s">
        <v>32</v>
      </c>
      <c r="K646" s="344" t="s">
        <v>110</v>
      </c>
      <c r="L646" s="344" t="s">
        <v>995</v>
      </c>
      <c r="M646" s="344" t="s">
        <v>91</v>
      </c>
      <c r="N646" s="349">
        <f>E646*G646*'Ref-Savings Calculations'!$E$21*Applicability</f>
        <v>249.79973729539208</v>
      </c>
      <c r="O646" s="349" t="s">
        <v>870</v>
      </c>
      <c r="P646" s="349">
        <f>E646*G646*'Ref-Savings Calculations'!$E$21*Applicability</f>
        <v>249.79973729539208</v>
      </c>
      <c r="Q646" s="349" t="s">
        <v>870</v>
      </c>
      <c r="R646" s="37"/>
      <c r="S646" s="344" t="s">
        <v>1273</v>
      </c>
      <c r="T646" s="344" t="s">
        <v>69</v>
      </c>
      <c r="U646" s="344" t="s">
        <v>69</v>
      </c>
      <c r="V646" s="344" t="s">
        <v>69</v>
      </c>
      <c r="W646" s="465" t="s">
        <v>76</v>
      </c>
      <c r="X646" s="37"/>
      <c r="Y646" s="37"/>
      <c r="Z646" s="344" t="s">
        <v>78</v>
      </c>
      <c r="AA646" s="344" t="s">
        <v>78</v>
      </c>
      <c r="AB646" s="37"/>
      <c r="AC646" s="347">
        <f>'Ref-ExteriorSources'!$K$42</f>
        <v>12</v>
      </c>
      <c r="AD646" s="344" t="s">
        <v>84</v>
      </c>
      <c r="AE646" s="344" t="s">
        <v>64</v>
      </c>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c r="CA646" s="393"/>
      <c r="CB646" s="393"/>
      <c r="CC646" s="393"/>
      <c r="CD646" s="393"/>
      <c r="CE646" s="393"/>
      <c r="CF646" s="393"/>
      <c r="CG646" s="393"/>
      <c r="CH646" s="393"/>
      <c r="CI646" s="393"/>
      <c r="CJ646" s="390"/>
      <c r="CK646" s="390"/>
      <c r="CL646" s="390"/>
      <c r="CM646" s="390"/>
      <c r="CN646" s="390"/>
      <c r="CO646" s="390"/>
      <c r="CP646" s="390"/>
      <c r="CQ646" s="390"/>
      <c r="CR646" s="390"/>
      <c r="CS646" s="390"/>
      <c r="CT646" s="390"/>
      <c r="CU646" s="390"/>
      <c r="CV646" s="390"/>
      <c r="CW646" s="390"/>
      <c r="CX646" s="390"/>
      <c r="CY646" s="390"/>
      <c r="CZ646" s="390"/>
      <c r="DA646" s="390"/>
      <c r="DB646" s="390"/>
      <c r="DC646" s="390"/>
    </row>
    <row r="647" spans="1:107" s="303" customFormat="1" ht="24">
      <c r="A647" s="37"/>
      <c r="B647" s="352" t="s">
        <v>30</v>
      </c>
      <c r="C647" s="344" t="s">
        <v>115</v>
      </c>
      <c r="D647" s="348" t="s">
        <v>116</v>
      </c>
      <c r="E647" s="345">
        <f>'Ref-ComSources'!$W$43</f>
        <v>1172.6465212572155</v>
      </c>
      <c r="F647" s="344" t="s">
        <v>1256</v>
      </c>
      <c r="G647" s="346">
        <f>'Ref-DOE'!$H$50</f>
        <v>0.82938969822302078</v>
      </c>
      <c r="H647" s="344" t="s">
        <v>110</v>
      </c>
      <c r="I647" s="386">
        <f>'Ref-BaselineControls'!$E$7</f>
        <v>1</v>
      </c>
      <c r="J647" s="344" t="s">
        <v>32</v>
      </c>
      <c r="K647" s="344" t="s">
        <v>110</v>
      </c>
      <c r="L647" s="344" t="s">
        <v>995</v>
      </c>
      <c r="M647" s="344" t="s">
        <v>92</v>
      </c>
      <c r="N647" s="349">
        <f>E647*G647*'Ref-Savings Calculations'!$E$21*Applicability</f>
        <v>249.79973729539208</v>
      </c>
      <c r="O647" s="349">
        <f>G647*E647*'Ref-Savings Calculations'!$C$99*Applicability*ControlShare</f>
        <v>280.10331198368556</v>
      </c>
      <c r="P647" s="349">
        <f>E647*G647*'Ref-Savings Calculations'!$E$21*Applicability</f>
        <v>249.79973729539208</v>
      </c>
      <c r="Q647" s="349">
        <f>G647*E647*'Ref-Savings Calculations'!$C$99*Applicability*ControlShare</f>
        <v>280.10331198368556</v>
      </c>
      <c r="R647" s="37"/>
      <c r="S647" s="344" t="s">
        <v>1273</v>
      </c>
      <c r="T647" s="344" t="s">
        <v>69</v>
      </c>
      <c r="U647" s="344" t="s">
        <v>69</v>
      </c>
      <c r="V647" s="344" t="s">
        <v>69</v>
      </c>
      <c r="W647" s="465" t="s">
        <v>76</v>
      </c>
      <c r="X647" s="37"/>
      <c r="Y647" s="37"/>
      <c r="Z647" s="344" t="s">
        <v>78</v>
      </c>
      <c r="AA647" s="344" t="s">
        <v>78</v>
      </c>
      <c r="AB647" s="37"/>
      <c r="AC647" s="347">
        <f>'Ref-ExteriorSources'!$K$42</f>
        <v>12</v>
      </c>
      <c r="AD647" s="344" t="s">
        <v>84</v>
      </c>
      <c r="AE647" s="344" t="s">
        <v>64</v>
      </c>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c r="CA647" s="393"/>
      <c r="CB647" s="393"/>
      <c r="CC647" s="393"/>
      <c r="CD647" s="393"/>
      <c r="CE647" s="393"/>
      <c r="CF647" s="393"/>
      <c r="CG647" s="393"/>
      <c r="CH647" s="393"/>
      <c r="CI647" s="393"/>
      <c r="CJ647" s="390"/>
      <c r="CK647" s="390"/>
      <c r="CL647" s="390"/>
      <c r="CM647" s="390"/>
      <c r="CN647" s="390"/>
      <c r="CO647" s="390"/>
      <c r="CP647" s="390"/>
      <c r="CQ647" s="390"/>
      <c r="CR647" s="390"/>
      <c r="CS647" s="390"/>
      <c r="CT647" s="390"/>
      <c r="CU647" s="390"/>
      <c r="CV647" s="390"/>
      <c r="CW647" s="390"/>
      <c r="CX647" s="390"/>
      <c r="CY647" s="390"/>
      <c r="CZ647" s="390"/>
      <c r="DA647" s="390"/>
      <c r="DB647" s="390"/>
      <c r="DC647" s="390"/>
    </row>
    <row r="648" spans="1:107" s="303" customFormat="1" ht="24">
      <c r="A648" s="37"/>
      <c r="B648" s="352" t="s">
        <v>30</v>
      </c>
      <c r="C648" s="344" t="s">
        <v>115</v>
      </c>
      <c r="D648" s="348" t="s">
        <v>116</v>
      </c>
      <c r="E648" s="345">
        <f>'Ref-ComSources'!$W$43</f>
        <v>1172.6465212572155</v>
      </c>
      <c r="F648" s="344" t="s">
        <v>1256</v>
      </c>
      <c r="G648" s="346">
        <f>'Ref-DOE'!$H$50</f>
        <v>0.82938969822302078</v>
      </c>
      <c r="H648" s="344" t="s">
        <v>110</v>
      </c>
      <c r="I648" s="386">
        <f>'Ref-BaselineControls'!$E$7</f>
        <v>1</v>
      </c>
      <c r="J648" s="344" t="s">
        <v>32</v>
      </c>
      <c r="K648" s="344" t="s">
        <v>110</v>
      </c>
      <c r="L648" s="344" t="s">
        <v>995</v>
      </c>
      <c r="M648" s="344" t="s">
        <v>93</v>
      </c>
      <c r="N648" s="349">
        <f>E648*G648*'Ref-Savings Calculations'!$E$21*Applicability</f>
        <v>249.79973729539208</v>
      </c>
      <c r="O648" s="349">
        <f>G648*E648*'Ref-Savings Calculations'!$C$109*Applicability*ControlShare</f>
        <v>295.66460709389031</v>
      </c>
      <c r="P648" s="349">
        <f>E648*G648*'Ref-Savings Calculations'!$E$21*Applicability</f>
        <v>249.79973729539208</v>
      </c>
      <c r="Q648" s="349">
        <f>G648*E648*'Ref-Savings Calculations'!$C$109*Applicability*ControlShare</f>
        <v>295.66460709389031</v>
      </c>
      <c r="R648" s="37"/>
      <c r="S648" s="344" t="s">
        <v>1273</v>
      </c>
      <c r="T648" s="344" t="s">
        <v>69</v>
      </c>
      <c r="U648" s="344" t="s">
        <v>69</v>
      </c>
      <c r="V648" s="344" t="s">
        <v>69</v>
      </c>
      <c r="W648" s="465" t="s">
        <v>76</v>
      </c>
      <c r="X648" s="37"/>
      <c r="Y648" s="37"/>
      <c r="Z648" s="344" t="s">
        <v>78</v>
      </c>
      <c r="AA648" s="344" t="s">
        <v>78</v>
      </c>
      <c r="AB648" s="37"/>
      <c r="AC648" s="347">
        <f>'Ref-ExteriorSources'!$K$42</f>
        <v>12</v>
      </c>
      <c r="AD648" s="344" t="s">
        <v>84</v>
      </c>
      <c r="AE648" s="344" t="s">
        <v>64</v>
      </c>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c r="CA648" s="393"/>
      <c r="CB648" s="393"/>
      <c r="CC648" s="393"/>
      <c r="CD648" s="393"/>
      <c r="CE648" s="393"/>
      <c r="CF648" s="393"/>
      <c r="CG648" s="393"/>
      <c r="CH648" s="393"/>
      <c r="CI648" s="393"/>
      <c r="CJ648" s="390"/>
      <c r="CK648" s="390"/>
      <c r="CL648" s="390"/>
      <c r="CM648" s="390"/>
      <c r="CN648" s="390"/>
      <c r="CO648" s="390"/>
      <c r="CP648" s="390"/>
      <c r="CQ648" s="390"/>
      <c r="CR648" s="390"/>
      <c r="CS648" s="390"/>
      <c r="CT648" s="390"/>
      <c r="CU648" s="390"/>
      <c r="CV648" s="390"/>
      <c r="CW648" s="390"/>
      <c r="CX648" s="390"/>
      <c r="CY648" s="390"/>
      <c r="CZ648" s="390"/>
      <c r="DA648" s="390"/>
      <c r="DB648" s="390"/>
      <c r="DC648" s="390"/>
    </row>
    <row r="649" spans="1:107" s="303" customFormat="1" ht="24">
      <c r="A649" s="37"/>
      <c r="B649" s="352" t="s">
        <v>30</v>
      </c>
      <c r="C649" s="344" t="s">
        <v>115</v>
      </c>
      <c r="D649" s="348" t="s">
        <v>116</v>
      </c>
      <c r="E649" s="345">
        <f>'Ref-ComSources'!$W$43</f>
        <v>1172.6465212572155</v>
      </c>
      <c r="F649" s="344" t="s">
        <v>1256</v>
      </c>
      <c r="G649" s="346">
        <f>'Ref-DOE'!$H$50</f>
        <v>0.82938969822302078</v>
      </c>
      <c r="H649" s="344" t="s">
        <v>110</v>
      </c>
      <c r="I649" s="386">
        <f>'Ref-BaselineControls'!$E$7</f>
        <v>1</v>
      </c>
      <c r="J649" s="344" t="s">
        <v>32</v>
      </c>
      <c r="K649" s="344" t="s">
        <v>110</v>
      </c>
      <c r="L649" s="465" t="s">
        <v>101</v>
      </c>
      <c r="M649" s="344" t="s">
        <v>88</v>
      </c>
      <c r="N649" s="470">
        <f>E649*G649*'Ref-Savings Calculations'!$E$16*Applicability</f>
        <v>318.01034413387765</v>
      </c>
      <c r="O649" s="349" t="s">
        <v>870</v>
      </c>
      <c r="P649" s="470">
        <f>E649*G649*'Ref-Savings Calculations'!$E$16*Applicability</f>
        <v>318.01034413387765</v>
      </c>
      <c r="Q649" s="349" t="s">
        <v>870</v>
      </c>
      <c r="R649" s="37"/>
      <c r="S649" s="465" t="s">
        <v>68</v>
      </c>
      <c r="T649" s="465" t="s">
        <v>63</v>
      </c>
      <c r="U649" s="465" t="s">
        <v>69</v>
      </c>
      <c r="V649" s="465" t="s">
        <v>69</v>
      </c>
      <c r="W649" s="465" t="s">
        <v>76</v>
      </c>
      <c r="X649" s="37"/>
      <c r="Y649" s="37"/>
      <c r="Z649" s="465" t="s">
        <v>78</v>
      </c>
      <c r="AA649" s="465" t="s">
        <v>78</v>
      </c>
      <c r="AB649" s="37"/>
      <c r="AC649" s="347">
        <f>'Ref-ExteriorSources'!$K$42</f>
        <v>12</v>
      </c>
      <c r="AD649" s="344" t="s">
        <v>84</v>
      </c>
      <c r="AE649" s="465" t="s">
        <v>64</v>
      </c>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c r="CA649" s="393"/>
      <c r="CB649" s="393"/>
      <c r="CC649" s="393"/>
      <c r="CD649" s="393"/>
      <c r="CE649" s="393"/>
      <c r="CF649" s="393"/>
      <c r="CG649" s="393"/>
      <c r="CH649" s="393"/>
      <c r="CI649" s="393"/>
      <c r="CJ649" s="390"/>
      <c r="CK649" s="390"/>
      <c r="CL649" s="390"/>
      <c r="CM649" s="390"/>
      <c r="CN649" s="390"/>
      <c r="CO649" s="390"/>
      <c r="CP649" s="390"/>
      <c r="CQ649" s="390"/>
      <c r="CR649" s="390"/>
      <c r="CS649" s="390"/>
      <c r="CT649" s="390"/>
      <c r="CU649" s="390"/>
      <c r="CV649" s="390"/>
      <c r="CW649" s="390"/>
      <c r="CX649" s="390"/>
      <c r="CY649" s="390"/>
      <c r="CZ649" s="390"/>
      <c r="DA649" s="390"/>
      <c r="DB649" s="390"/>
      <c r="DC649" s="390"/>
    </row>
    <row r="650" spans="1:107" s="303" customFormat="1" ht="24">
      <c r="A650" s="37"/>
      <c r="B650" s="352" t="s">
        <v>30</v>
      </c>
      <c r="C650" s="344" t="s">
        <v>115</v>
      </c>
      <c r="D650" s="348" t="s">
        <v>116</v>
      </c>
      <c r="E650" s="345">
        <f>'Ref-ComSources'!$W$43</f>
        <v>1172.6465212572155</v>
      </c>
      <c r="F650" s="344" t="s">
        <v>1256</v>
      </c>
      <c r="G650" s="346">
        <f>'Ref-DOE'!$H$50</f>
        <v>0.82938969822302078</v>
      </c>
      <c r="H650" s="344" t="s">
        <v>110</v>
      </c>
      <c r="I650" s="386">
        <f>'Ref-BaselineControls'!$E$7</f>
        <v>1</v>
      </c>
      <c r="J650" s="344" t="s">
        <v>32</v>
      </c>
      <c r="K650" s="344" t="s">
        <v>110</v>
      </c>
      <c r="L650" s="465" t="s">
        <v>101</v>
      </c>
      <c r="M650" s="344" t="s">
        <v>90</v>
      </c>
      <c r="N650" s="470">
        <f>E650*G650*'Ref-Savings Calculations'!$E$16*Applicability</f>
        <v>318.01034413387765</v>
      </c>
      <c r="O650" s="349" t="s">
        <v>871</v>
      </c>
      <c r="P650" s="470">
        <f>E650*G650*'Ref-Savings Calculations'!$E$16*Applicability</f>
        <v>318.01034413387765</v>
      </c>
      <c r="Q650" s="349" t="s">
        <v>871</v>
      </c>
      <c r="R650" s="37"/>
      <c r="S650" s="465" t="s">
        <v>68</v>
      </c>
      <c r="T650" s="465" t="s">
        <v>63</v>
      </c>
      <c r="U650" s="465" t="s">
        <v>69</v>
      </c>
      <c r="V650" s="465" t="s">
        <v>69</v>
      </c>
      <c r="W650" s="465" t="s">
        <v>76</v>
      </c>
      <c r="X650" s="37"/>
      <c r="Y650" s="37"/>
      <c r="Z650" s="465" t="s">
        <v>78</v>
      </c>
      <c r="AA650" s="465" t="s">
        <v>78</v>
      </c>
      <c r="AB650" s="37"/>
      <c r="AC650" s="347">
        <f>'Ref-ExteriorSources'!$K$42</f>
        <v>12</v>
      </c>
      <c r="AD650" s="344" t="s">
        <v>84</v>
      </c>
      <c r="AE650" s="465" t="s">
        <v>64</v>
      </c>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c r="CA650" s="393"/>
      <c r="CB650" s="393"/>
      <c r="CC650" s="393"/>
      <c r="CD650" s="393"/>
      <c r="CE650" s="393"/>
      <c r="CF650" s="393"/>
      <c r="CG650" s="393"/>
      <c r="CH650" s="393"/>
      <c r="CI650" s="393"/>
      <c r="CJ650" s="390"/>
      <c r="CK650" s="390"/>
      <c r="CL650" s="390"/>
      <c r="CM650" s="390"/>
      <c r="CN650" s="390"/>
      <c r="CO650" s="390"/>
      <c r="CP650" s="390"/>
      <c r="CQ650" s="390"/>
      <c r="CR650" s="390"/>
      <c r="CS650" s="390"/>
      <c r="CT650" s="390"/>
      <c r="CU650" s="390"/>
      <c r="CV650" s="390"/>
      <c r="CW650" s="390"/>
      <c r="CX650" s="390"/>
      <c r="CY650" s="390"/>
      <c r="CZ650" s="390"/>
      <c r="DA650" s="390"/>
      <c r="DB650" s="390"/>
      <c r="DC650" s="390"/>
    </row>
    <row r="651" spans="1:107" s="303" customFormat="1" ht="24">
      <c r="A651" s="37"/>
      <c r="B651" s="352" t="s">
        <v>30</v>
      </c>
      <c r="C651" s="344" t="s">
        <v>115</v>
      </c>
      <c r="D651" s="348" t="s">
        <v>116</v>
      </c>
      <c r="E651" s="345">
        <f>'Ref-ComSources'!$W$43</f>
        <v>1172.6465212572155</v>
      </c>
      <c r="F651" s="344" t="s">
        <v>1256</v>
      </c>
      <c r="G651" s="346">
        <f>'Ref-DOE'!$H$50</f>
        <v>0.82938969822302078</v>
      </c>
      <c r="H651" s="344" t="s">
        <v>110</v>
      </c>
      <c r="I651" s="386">
        <f>'Ref-BaselineControls'!$E$7</f>
        <v>1</v>
      </c>
      <c r="J651" s="344" t="s">
        <v>32</v>
      </c>
      <c r="K651" s="344" t="s">
        <v>110</v>
      </c>
      <c r="L651" s="465" t="s">
        <v>101</v>
      </c>
      <c r="M651" s="344" t="s">
        <v>91</v>
      </c>
      <c r="N651" s="470">
        <f>E651*G651*'Ref-Savings Calculations'!$E$16*Applicability</f>
        <v>318.01034413387765</v>
      </c>
      <c r="O651" s="349" t="s">
        <v>870</v>
      </c>
      <c r="P651" s="470">
        <f>E651*G651*'Ref-Savings Calculations'!$E$16*Applicability</f>
        <v>318.01034413387765</v>
      </c>
      <c r="Q651" s="349" t="s">
        <v>870</v>
      </c>
      <c r="R651" s="37"/>
      <c r="S651" s="465" t="s">
        <v>68</v>
      </c>
      <c r="T651" s="465" t="s">
        <v>63</v>
      </c>
      <c r="U651" s="465" t="s">
        <v>69</v>
      </c>
      <c r="V651" s="465" t="s">
        <v>69</v>
      </c>
      <c r="W651" s="465" t="s">
        <v>76</v>
      </c>
      <c r="X651" s="37"/>
      <c r="Y651" s="37"/>
      <c r="Z651" s="465" t="s">
        <v>78</v>
      </c>
      <c r="AA651" s="465" t="s">
        <v>78</v>
      </c>
      <c r="AB651" s="37"/>
      <c r="AC651" s="347">
        <f>'Ref-ExteriorSources'!$K$42</f>
        <v>12</v>
      </c>
      <c r="AD651" s="344" t="s">
        <v>84</v>
      </c>
      <c r="AE651" s="465" t="s">
        <v>64</v>
      </c>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c r="CA651" s="393"/>
      <c r="CB651" s="393"/>
      <c r="CC651" s="393"/>
      <c r="CD651" s="393"/>
      <c r="CE651" s="393"/>
      <c r="CF651" s="393"/>
      <c r="CG651" s="393"/>
      <c r="CH651" s="393"/>
      <c r="CI651" s="393"/>
      <c r="CJ651" s="390"/>
      <c r="CK651" s="390"/>
      <c r="CL651" s="390"/>
      <c r="CM651" s="390"/>
      <c r="CN651" s="390"/>
      <c r="CO651" s="390"/>
      <c r="CP651" s="390"/>
      <c r="CQ651" s="390"/>
      <c r="CR651" s="390"/>
      <c r="CS651" s="390"/>
      <c r="CT651" s="390"/>
      <c r="CU651" s="390"/>
      <c r="CV651" s="390"/>
      <c r="CW651" s="390"/>
      <c r="CX651" s="390"/>
      <c r="CY651" s="390"/>
      <c r="CZ651" s="390"/>
      <c r="DA651" s="390"/>
      <c r="DB651" s="390"/>
      <c r="DC651" s="390"/>
    </row>
    <row r="652" spans="1:107" s="303" customFormat="1" ht="24">
      <c r="A652" s="37"/>
      <c r="B652" s="352" t="s">
        <v>30</v>
      </c>
      <c r="C652" s="344" t="s">
        <v>115</v>
      </c>
      <c r="D652" s="348" t="s">
        <v>116</v>
      </c>
      <c r="E652" s="345">
        <f>'Ref-ComSources'!$W$43</f>
        <v>1172.6465212572155</v>
      </c>
      <c r="F652" s="344" t="s">
        <v>1256</v>
      </c>
      <c r="G652" s="346">
        <f>'Ref-DOE'!$H$50</f>
        <v>0.82938969822302078</v>
      </c>
      <c r="H652" s="344" t="s">
        <v>110</v>
      </c>
      <c r="I652" s="386">
        <f>'Ref-BaselineControls'!$E$7</f>
        <v>1</v>
      </c>
      <c r="J652" s="344" t="s">
        <v>32</v>
      </c>
      <c r="K652" s="344" t="s">
        <v>110</v>
      </c>
      <c r="L652" s="465" t="s">
        <v>101</v>
      </c>
      <c r="M652" s="344" t="s">
        <v>92</v>
      </c>
      <c r="N652" s="470">
        <f>E652*G652*'Ref-Savings Calculations'!$E$16*Applicability</f>
        <v>318.01034413387765</v>
      </c>
      <c r="O652" s="349">
        <f>G652*E652*'Ref-Savings Calculations'!$C$99*Applicability*ControlShare</f>
        <v>280.10331198368556</v>
      </c>
      <c r="P652" s="470">
        <f>E652*G652*'Ref-Savings Calculations'!$E$16*Applicability</f>
        <v>318.01034413387765</v>
      </c>
      <c r="Q652" s="349">
        <f>G652*E652*'Ref-Savings Calculations'!$C$99*Applicability*ControlShare</f>
        <v>280.10331198368556</v>
      </c>
      <c r="R652" s="37"/>
      <c r="S652" s="465" t="s">
        <v>68</v>
      </c>
      <c r="T652" s="465" t="s">
        <v>63</v>
      </c>
      <c r="U652" s="465" t="s">
        <v>69</v>
      </c>
      <c r="V652" s="465" t="s">
        <v>69</v>
      </c>
      <c r="W652" s="465" t="s">
        <v>76</v>
      </c>
      <c r="X652" s="37"/>
      <c r="Y652" s="37"/>
      <c r="Z652" s="465" t="s">
        <v>78</v>
      </c>
      <c r="AA652" s="465" t="s">
        <v>78</v>
      </c>
      <c r="AB652" s="37"/>
      <c r="AC652" s="347">
        <f>'Ref-ExteriorSources'!$K$42</f>
        <v>12</v>
      </c>
      <c r="AD652" s="344" t="s">
        <v>84</v>
      </c>
      <c r="AE652" s="465" t="s">
        <v>64</v>
      </c>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c r="CA652" s="393"/>
      <c r="CB652" s="393"/>
      <c r="CC652" s="393"/>
      <c r="CD652" s="393"/>
      <c r="CE652" s="393"/>
      <c r="CF652" s="393"/>
      <c r="CG652" s="393"/>
      <c r="CH652" s="393"/>
      <c r="CI652" s="393"/>
      <c r="CJ652" s="390"/>
      <c r="CK652" s="390"/>
      <c r="CL652" s="390"/>
      <c r="CM652" s="390"/>
      <c r="CN652" s="390"/>
      <c r="CO652" s="390"/>
      <c r="CP652" s="390"/>
      <c r="CQ652" s="390"/>
      <c r="CR652" s="390"/>
      <c r="CS652" s="390"/>
      <c r="CT652" s="390"/>
      <c r="CU652" s="390"/>
      <c r="CV652" s="390"/>
      <c r="CW652" s="390"/>
      <c r="CX652" s="390"/>
      <c r="CY652" s="390"/>
      <c r="CZ652" s="390"/>
      <c r="DA652" s="390"/>
      <c r="DB652" s="390"/>
      <c r="DC652" s="390"/>
    </row>
    <row r="653" spans="1:107" s="303" customFormat="1" ht="24">
      <c r="A653" s="37"/>
      <c r="B653" s="352" t="s">
        <v>30</v>
      </c>
      <c r="C653" s="344" t="s">
        <v>115</v>
      </c>
      <c r="D653" s="348" t="s">
        <v>116</v>
      </c>
      <c r="E653" s="345">
        <f>'Ref-ComSources'!$W$43</f>
        <v>1172.6465212572155</v>
      </c>
      <c r="F653" s="344" t="s">
        <v>1256</v>
      </c>
      <c r="G653" s="346">
        <f>'Ref-DOE'!$H$50</f>
        <v>0.82938969822302078</v>
      </c>
      <c r="H653" s="344" t="s">
        <v>110</v>
      </c>
      <c r="I653" s="386">
        <f>'Ref-BaselineControls'!$E$7</f>
        <v>1</v>
      </c>
      <c r="J653" s="344" t="s">
        <v>32</v>
      </c>
      <c r="K653" s="344" t="s">
        <v>110</v>
      </c>
      <c r="L653" s="465" t="s">
        <v>101</v>
      </c>
      <c r="M653" s="344" t="s">
        <v>93</v>
      </c>
      <c r="N653" s="470">
        <f>E653*G653*'Ref-Savings Calculations'!$E$16*Applicability</f>
        <v>318.01034413387765</v>
      </c>
      <c r="O653" s="349">
        <f>G653*E653*'Ref-Savings Calculations'!$C$109*Applicability*ControlShare</f>
        <v>295.66460709389031</v>
      </c>
      <c r="P653" s="470">
        <f>E653*G653*'Ref-Savings Calculations'!$E$16*Applicability</f>
        <v>318.01034413387765</v>
      </c>
      <c r="Q653" s="349">
        <f>G653*E653*'Ref-Savings Calculations'!$C$109*Applicability*ControlShare</f>
        <v>295.66460709389031</v>
      </c>
      <c r="R653" s="37"/>
      <c r="S653" s="465" t="s">
        <v>68</v>
      </c>
      <c r="T653" s="465" t="s">
        <v>63</v>
      </c>
      <c r="U653" s="465" t="s">
        <v>69</v>
      </c>
      <c r="V653" s="465" t="s">
        <v>69</v>
      </c>
      <c r="W653" s="465" t="s">
        <v>76</v>
      </c>
      <c r="X653" s="37"/>
      <c r="Y653" s="37"/>
      <c r="Z653" s="465" t="s">
        <v>78</v>
      </c>
      <c r="AA653" s="465" t="s">
        <v>78</v>
      </c>
      <c r="AB653" s="37"/>
      <c r="AC653" s="347">
        <f>'Ref-ExteriorSources'!$K$42</f>
        <v>12</v>
      </c>
      <c r="AD653" s="344" t="s">
        <v>84</v>
      </c>
      <c r="AE653" s="465" t="s">
        <v>64</v>
      </c>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c r="CA653" s="393"/>
      <c r="CB653" s="393"/>
      <c r="CC653" s="393"/>
      <c r="CD653" s="393"/>
      <c r="CE653" s="393"/>
      <c r="CF653" s="393"/>
      <c r="CG653" s="393"/>
      <c r="CH653" s="393"/>
      <c r="CI653" s="393"/>
      <c r="CJ653" s="390"/>
      <c r="CK653" s="390"/>
      <c r="CL653" s="390"/>
      <c r="CM653" s="390"/>
      <c r="CN653" s="390"/>
      <c r="CO653" s="390"/>
      <c r="CP653" s="390"/>
      <c r="CQ653" s="390"/>
      <c r="CR653" s="390"/>
      <c r="CS653" s="390"/>
      <c r="CT653" s="390"/>
      <c r="CU653" s="390"/>
      <c r="CV653" s="390"/>
      <c r="CW653" s="390"/>
      <c r="CX653" s="390"/>
      <c r="CY653" s="390"/>
      <c r="CZ653" s="390"/>
      <c r="DA653" s="390"/>
      <c r="DB653" s="390"/>
      <c r="DC653" s="390"/>
    </row>
    <row r="654" spans="1:107" s="303" customFormat="1" ht="24">
      <c r="A654" s="37"/>
      <c r="B654" s="352" t="s">
        <v>30</v>
      </c>
      <c r="C654" s="344" t="s">
        <v>115</v>
      </c>
      <c r="D654" s="348" t="s">
        <v>116</v>
      </c>
      <c r="E654" s="345">
        <f>'Ref-ComSources'!$W$43</f>
        <v>1172.6465212572155</v>
      </c>
      <c r="F654" s="344" t="s">
        <v>1256</v>
      </c>
      <c r="G654" s="346">
        <f>'Ref-DOE'!$H$50</f>
        <v>0.82938969822302078</v>
      </c>
      <c r="H654" s="344" t="s">
        <v>110</v>
      </c>
      <c r="I654" s="386">
        <f>'Ref-BaselineControls'!$E$7</f>
        <v>1</v>
      </c>
      <c r="J654" s="344" t="s">
        <v>32</v>
      </c>
      <c r="K654" s="344" t="s">
        <v>110</v>
      </c>
      <c r="L654" s="344" t="s">
        <v>95</v>
      </c>
      <c r="M654" s="344" t="s">
        <v>88</v>
      </c>
      <c r="N654" s="349">
        <f>E654*G654*'Ref-Savings Calculations'!$E$22*Applicability</f>
        <v>571.42332047275454</v>
      </c>
      <c r="O654" s="349" t="s">
        <v>870</v>
      </c>
      <c r="P654" s="349">
        <f>E654*G654*'Ref-Savings Calculations'!$E$22*Applicability</f>
        <v>571.42332047275454</v>
      </c>
      <c r="Q654" s="349" t="s">
        <v>870</v>
      </c>
      <c r="R654" s="37"/>
      <c r="S654" s="344" t="s">
        <v>44</v>
      </c>
      <c r="T654" s="344" t="s">
        <v>75</v>
      </c>
      <c r="U654" s="344" t="s">
        <v>69</v>
      </c>
      <c r="V654" s="344" t="s">
        <v>69</v>
      </c>
      <c r="W654" s="465" t="s">
        <v>76</v>
      </c>
      <c r="X654" s="37"/>
      <c r="Y654" s="37"/>
      <c r="Z654" s="344" t="s">
        <v>78</v>
      </c>
      <c r="AA654" s="344" t="s">
        <v>78</v>
      </c>
      <c r="AB654" s="37"/>
      <c r="AC654" s="347">
        <f>'Ref-ExteriorSources'!$K$42</f>
        <v>12</v>
      </c>
      <c r="AD654" s="344" t="s">
        <v>84</v>
      </c>
      <c r="AE654" s="344" t="s">
        <v>64</v>
      </c>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c r="CA654" s="393"/>
      <c r="CB654" s="393"/>
      <c r="CC654" s="393"/>
      <c r="CD654" s="393"/>
      <c r="CE654" s="393"/>
      <c r="CF654" s="393"/>
      <c r="CG654" s="393"/>
      <c r="CH654" s="393"/>
      <c r="CI654" s="393"/>
      <c r="CJ654" s="390"/>
      <c r="CK654" s="390"/>
      <c r="CL654" s="390"/>
      <c r="CM654" s="390"/>
      <c r="CN654" s="390"/>
      <c r="CO654" s="390"/>
      <c r="CP654" s="390"/>
      <c r="CQ654" s="390"/>
      <c r="CR654" s="390"/>
      <c r="CS654" s="390"/>
      <c r="CT654" s="390"/>
      <c r="CU654" s="390"/>
      <c r="CV654" s="390"/>
      <c r="CW654" s="390"/>
      <c r="CX654" s="390"/>
      <c r="CY654" s="390"/>
      <c r="CZ654" s="390"/>
      <c r="DA654" s="390"/>
      <c r="DB654" s="390"/>
      <c r="DC654" s="390"/>
    </row>
    <row r="655" spans="1:107" s="303" customFormat="1" ht="24">
      <c r="A655" s="37"/>
      <c r="B655" s="352" t="s">
        <v>30</v>
      </c>
      <c r="C655" s="344" t="s">
        <v>115</v>
      </c>
      <c r="D655" s="348" t="s">
        <v>116</v>
      </c>
      <c r="E655" s="345">
        <f>'Ref-ComSources'!$W$43</f>
        <v>1172.6465212572155</v>
      </c>
      <c r="F655" s="344" t="s">
        <v>1256</v>
      </c>
      <c r="G655" s="346">
        <f>'Ref-DOE'!$H$50</f>
        <v>0.82938969822302078</v>
      </c>
      <c r="H655" s="344" t="s">
        <v>110</v>
      </c>
      <c r="I655" s="386">
        <f>'Ref-BaselineControls'!$E$7</f>
        <v>1</v>
      </c>
      <c r="J655" s="344" t="s">
        <v>32</v>
      </c>
      <c r="K655" s="344" t="s">
        <v>110</v>
      </c>
      <c r="L655" s="344" t="s">
        <v>95</v>
      </c>
      <c r="M655" s="344" t="s">
        <v>90</v>
      </c>
      <c r="N655" s="349">
        <f>E655*G655*'Ref-Savings Calculations'!$E$22*Applicability</f>
        <v>571.42332047275454</v>
      </c>
      <c r="O655" s="349" t="s">
        <v>871</v>
      </c>
      <c r="P655" s="349">
        <f>E655*G655*'Ref-Savings Calculations'!$E$22*Applicability</f>
        <v>571.42332047275454</v>
      </c>
      <c r="Q655" s="349" t="s">
        <v>871</v>
      </c>
      <c r="R655" s="37"/>
      <c r="S655" s="344" t="s">
        <v>44</v>
      </c>
      <c r="T655" s="344" t="s">
        <v>75</v>
      </c>
      <c r="U655" s="344" t="s">
        <v>69</v>
      </c>
      <c r="V655" s="344" t="s">
        <v>69</v>
      </c>
      <c r="W655" s="465" t="s">
        <v>76</v>
      </c>
      <c r="X655" s="37"/>
      <c r="Y655" s="37"/>
      <c r="Z655" s="344" t="s">
        <v>78</v>
      </c>
      <c r="AA655" s="344" t="s">
        <v>78</v>
      </c>
      <c r="AB655" s="37"/>
      <c r="AC655" s="347">
        <f>'Ref-ExteriorSources'!$K$42</f>
        <v>12</v>
      </c>
      <c r="AD655" s="344" t="s">
        <v>84</v>
      </c>
      <c r="AE655" s="344" t="s">
        <v>64</v>
      </c>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c r="CA655" s="393"/>
      <c r="CB655" s="393"/>
      <c r="CC655" s="393"/>
      <c r="CD655" s="393"/>
      <c r="CE655" s="393"/>
      <c r="CF655" s="393"/>
      <c r="CG655" s="393"/>
      <c r="CH655" s="393"/>
      <c r="CI655" s="393"/>
      <c r="CJ655" s="390"/>
      <c r="CK655" s="390"/>
      <c r="CL655" s="390"/>
      <c r="CM655" s="390"/>
      <c r="CN655" s="390"/>
      <c r="CO655" s="390"/>
      <c r="CP655" s="390"/>
      <c r="CQ655" s="390"/>
      <c r="CR655" s="390"/>
      <c r="CS655" s="390"/>
      <c r="CT655" s="390"/>
      <c r="CU655" s="390"/>
      <c r="CV655" s="390"/>
      <c r="CW655" s="390"/>
      <c r="CX655" s="390"/>
      <c r="CY655" s="390"/>
      <c r="CZ655" s="390"/>
      <c r="DA655" s="390"/>
      <c r="DB655" s="390"/>
      <c r="DC655" s="390"/>
    </row>
    <row r="656" spans="1:107" s="303" customFormat="1" ht="24">
      <c r="A656" s="37"/>
      <c r="B656" s="352" t="s">
        <v>30</v>
      </c>
      <c r="C656" s="344" t="s">
        <v>115</v>
      </c>
      <c r="D656" s="348" t="s">
        <v>116</v>
      </c>
      <c r="E656" s="345">
        <f>'Ref-ComSources'!$W$43</f>
        <v>1172.6465212572155</v>
      </c>
      <c r="F656" s="344" t="s">
        <v>1256</v>
      </c>
      <c r="G656" s="346">
        <f>'Ref-DOE'!$H$50</f>
        <v>0.82938969822302078</v>
      </c>
      <c r="H656" s="344" t="s">
        <v>110</v>
      </c>
      <c r="I656" s="386">
        <f>'Ref-BaselineControls'!$E$7</f>
        <v>1</v>
      </c>
      <c r="J656" s="344" t="s">
        <v>32</v>
      </c>
      <c r="K656" s="344" t="s">
        <v>110</v>
      </c>
      <c r="L656" s="344" t="s">
        <v>95</v>
      </c>
      <c r="M656" s="344" t="s">
        <v>91</v>
      </c>
      <c r="N656" s="349">
        <f>E656*G656*'Ref-Savings Calculations'!$E$22*Applicability</f>
        <v>571.42332047275454</v>
      </c>
      <c r="O656" s="349" t="s">
        <v>870</v>
      </c>
      <c r="P656" s="349">
        <f>E656*G656*'Ref-Savings Calculations'!$E$22*Applicability</f>
        <v>571.42332047275454</v>
      </c>
      <c r="Q656" s="349" t="s">
        <v>870</v>
      </c>
      <c r="R656" s="37"/>
      <c r="S656" s="344" t="s">
        <v>44</v>
      </c>
      <c r="T656" s="344" t="s">
        <v>75</v>
      </c>
      <c r="U656" s="344" t="s">
        <v>69</v>
      </c>
      <c r="V656" s="344" t="s">
        <v>69</v>
      </c>
      <c r="W656" s="465" t="s">
        <v>76</v>
      </c>
      <c r="X656" s="37"/>
      <c r="Y656" s="37"/>
      <c r="Z656" s="344" t="s">
        <v>78</v>
      </c>
      <c r="AA656" s="344" t="s">
        <v>78</v>
      </c>
      <c r="AB656" s="37"/>
      <c r="AC656" s="347">
        <f>'Ref-ExteriorSources'!$K$42</f>
        <v>12</v>
      </c>
      <c r="AD656" s="344" t="s">
        <v>84</v>
      </c>
      <c r="AE656" s="344" t="s">
        <v>64</v>
      </c>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c r="CA656" s="393"/>
      <c r="CB656" s="393"/>
      <c r="CC656" s="393"/>
      <c r="CD656" s="393"/>
      <c r="CE656" s="393"/>
      <c r="CF656" s="393"/>
      <c r="CG656" s="393"/>
      <c r="CH656" s="393"/>
      <c r="CI656" s="393"/>
      <c r="CJ656" s="390"/>
      <c r="CK656" s="390"/>
      <c r="CL656" s="390"/>
      <c r="CM656" s="390"/>
      <c r="CN656" s="390"/>
      <c r="CO656" s="390"/>
      <c r="CP656" s="390"/>
      <c r="CQ656" s="390"/>
      <c r="CR656" s="390"/>
      <c r="CS656" s="390"/>
      <c r="CT656" s="390"/>
      <c r="CU656" s="390"/>
      <c r="CV656" s="390"/>
      <c r="CW656" s="390"/>
      <c r="CX656" s="390"/>
      <c r="CY656" s="390"/>
      <c r="CZ656" s="390"/>
      <c r="DA656" s="390"/>
      <c r="DB656" s="390"/>
      <c r="DC656" s="390"/>
    </row>
    <row r="657" spans="1:107" s="303" customFormat="1" ht="24">
      <c r="A657" s="37"/>
      <c r="B657" s="352" t="s">
        <v>30</v>
      </c>
      <c r="C657" s="344" t="s">
        <v>115</v>
      </c>
      <c r="D657" s="348" t="s">
        <v>116</v>
      </c>
      <c r="E657" s="345">
        <f>'Ref-ComSources'!$W$43</f>
        <v>1172.6465212572155</v>
      </c>
      <c r="F657" s="344" t="s">
        <v>1256</v>
      </c>
      <c r="G657" s="346">
        <f>'Ref-DOE'!$H$50</f>
        <v>0.82938969822302078</v>
      </c>
      <c r="H657" s="344" t="s">
        <v>110</v>
      </c>
      <c r="I657" s="386">
        <f>'Ref-BaselineControls'!$E$7</f>
        <v>1</v>
      </c>
      <c r="J657" s="344" t="s">
        <v>32</v>
      </c>
      <c r="K657" s="344" t="s">
        <v>110</v>
      </c>
      <c r="L657" s="344" t="s">
        <v>95</v>
      </c>
      <c r="M657" s="344" t="s">
        <v>92</v>
      </c>
      <c r="N657" s="349">
        <f>E657*G657*'Ref-Savings Calculations'!$E$22*Applicability</f>
        <v>571.42332047275454</v>
      </c>
      <c r="O657" s="349">
        <f>G657*E657*'Ref-Savings Calculations'!$C$99*Applicability*ControlShare</f>
        <v>280.10331198368556</v>
      </c>
      <c r="P657" s="349">
        <f>E657*G657*'Ref-Savings Calculations'!$E$22*Applicability</f>
        <v>571.42332047275454</v>
      </c>
      <c r="Q657" s="349">
        <f>G657*E657*'Ref-Savings Calculations'!$C$99*Applicability*ControlShare</f>
        <v>280.10331198368556</v>
      </c>
      <c r="R657" s="37"/>
      <c r="S657" s="344" t="s">
        <v>44</v>
      </c>
      <c r="T657" s="344" t="s">
        <v>75</v>
      </c>
      <c r="U657" s="344" t="s">
        <v>69</v>
      </c>
      <c r="V657" s="344" t="s">
        <v>69</v>
      </c>
      <c r="W657" s="465" t="s">
        <v>76</v>
      </c>
      <c r="X657" s="37"/>
      <c r="Y657" s="37"/>
      <c r="Z657" s="344" t="s">
        <v>78</v>
      </c>
      <c r="AA657" s="344" t="s">
        <v>78</v>
      </c>
      <c r="AB657" s="37"/>
      <c r="AC657" s="347">
        <f>'Ref-ExteriorSources'!$K$42</f>
        <v>12</v>
      </c>
      <c r="AD657" s="344" t="s">
        <v>84</v>
      </c>
      <c r="AE657" s="344" t="s">
        <v>64</v>
      </c>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c r="CA657" s="393"/>
      <c r="CB657" s="393"/>
      <c r="CC657" s="393"/>
      <c r="CD657" s="393"/>
      <c r="CE657" s="393"/>
      <c r="CF657" s="393"/>
      <c r="CG657" s="393"/>
      <c r="CH657" s="393"/>
      <c r="CI657" s="393"/>
      <c r="CJ657" s="390"/>
      <c r="CK657" s="390"/>
      <c r="CL657" s="390"/>
      <c r="CM657" s="390"/>
      <c r="CN657" s="390"/>
      <c r="CO657" s="390"/>
      <c r="CP657" s="390"/>
      <c r="CQ657" s="390"/>
      <c r="CR657" s="390"/>
      <c r="CS657" s="390"/>
      <c r="CT657" s="390"/>
      <c r="CU657" s="390"/>
      <c r="CV657" s="390"/>
      <c r="CW657" s="390"/>
      <c r="CX657" s="390"/>
      <c r="CY657" s="390"/>
      <c r="CZ657" s="390"/>
      <c r="DA657" s="390"/>
      <c r="DB657" s="390"/>
      <c r="DC657" s="390"/>
    </row>
    <row r="658" spans="1:107" s="303" customFormat="1" ht="24">
      <c r="A658" s="37"/>
      <c r="B658" s="352" t="s">
        <v>30</v>
      </c>
      <c r="C658" s="344" t="s">
        <v>115</v>
      </c>
      <c r="D658" s="348" t="s">
        <v>116</v>
      </c>
      <c r="E658" s="345">
        <f>'Ref-ComSources'!$W$43</f>
        <v>1172.6465212572155</v>
      </c>
      <c r="F658" s="344" t="s">
        <v>1256</v>
      </c>
      <c r="G658" s="346">
        <f>'Ref-DOE'!$H$50</f>
        <v>0.82938969822302078</v>
      </c>
      <c r="H658" s="344" t="s">
        <v>110</v>
      </c>
      <c r="I658" s="386">
        <f>'Ref-BaselineControls'!$E$7</f>
        <v>1</v>
      </c>
      <c r="J658" s="344" t="s">
        <v>32</v>
      </c>
      <c r="K658" s="344" t="s">
        <v>110</v>
      </c>
      <c r="L658" s="344" t="s">
        <v>95</v>
      </c>
      <c r="M658" s="344" t="s">
        <v>93</v>
      </c>
      <c r="N658" s="349">
        <f>E658*G658*'Ref-Savings Calculations'!$E$22*Applicability</f>
        <v>571.42332047275454</v>
      </c>
      <c r="O658" s="349">
        <f>G658*E658*'Ref-Savings Calculations'!$C$109*Applicability*ControlShare</f>
        <v>295.66460709389031</v>
      </c>
      <c r="P658" s="349">
        <f>E658*G658*'Ref-Savings Calculations'!$E$22*Applicability</f>
        <v>571.42332047275454</v>
      </c>
      <c r="Q658" s="349">
        <f>G658*E658*'Ref-Savings Calculations'!$C$109*Applicability*ControlShare</f>
        <v>295.66460709389031</v>
      </c>
      <c r="R658" s="37"/>
      <c r="S658" s="344" t="s">
        <v>44</v>
      </c>
      <c r="T658" s="344" t="s">
        <v>75</v>
      </c>
      <c r="U658" s="344" t="s">
        <v>69</v>
      </c>
      <c r="V658" s="344" t="s">
        <v>69</v>
      </c>
      <c r="W658" s="465" t="s">
        <v>76</v>
      </c>
      <c r="X658" s="37"/>
      <c r="Y658" s="37"/>
      <c r="Z658" s="344" t="s">
        <v>78</v>
      </c>
      <c r="AA658" s="344" t="s">
        <v>78</v>
      </c>
      <c r="AB658" s="37"/>
      <c r="AC658" s="347">
        <f>'Ref-ExteriorSources'!$K$42</f>
        <v>12</v>
      </c>
      <c r="AD658" s="344" t="s">
        <v>84</v>
      </c>
      <c r="AE658" s="344" t="s">
        <v>64</v>
      </c>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c r="CA658" s="393"/>
      <c r="CB658" s="393"/>
      <c r="CC658" s="393"/>
      <c r="CD658" s="393"/>
      <c r="CE658" s="393"/>
      <c r="CF658" s="393"/>
      <c r="CG658" s="393"/>
      <c r="CH658" s="393"/>
      <c r="CI658" s="393"/>
      <c r="CJ658" s="390"/>
      <c r="CK658" s="390"/>
      <c r="CL658" s="390"/>
      <c r="CM658" s="390"/>
      <c r="CN658" s="390"/>
      <c r="CO658" s="390"/>
      <c r="CP658" s="390"/>
      <c r="CQ658" s="390"/>
      <c r="CR658" s="390"/>
      <c r="CS658" s="390"/>
      <c r="CT658" s="390"/>
      <c r="CU658" s="390"/>
      <c r="CV658" s="390"/>
      <c r="CW658" s="390"/>
      <c r="CX658" s="390"/>
      <c r="CY658" s="390"/>
      <c r="CZ658" s="390"/>
      <c r="DA658" s="390"/>
      <c r="DB658" s="390"/>
      <c r="DC658" s="390"/>
    </row>
    <row r="659" spans="1:107" s="303" customFormat="1" ht="24">
      <c r="A659" s="37"/>
      <c r="B659" s="352" t="s">
        <v>30</v>
      </c>
      <c r="C659" s="344" t="s">
        <v>115</v>
      </c>
      <c r="D659" s="348" t="s">
        <v>116</v>
      </c>
      <c r="E659" s="345">
        <f>'Ref-ComSources'!$W$43</f>
        <v>1172.6465212572155</v>
      </c>
      <c r="F659" s="344" t="s">
        <v>1245</v>
      </c>
      <c r="G659" s="346">
        <f>'Ref-DOE'!$G$50</f>
        <v>9.687644704336465E-2</v>
      </c>
      <c r="H659" s="344" t="s">
        <v>110</v>
      </c>
      <c r="I659" s="386">
        <f>'Ref-BaselineControls'!$E$7</f>
        <v>1</v>
      </c>
      <c r="J659" s="344" t="s">
        <v>994</v>
      </c>
      <c r="K659" s="344" t="s">
        <v>110</v>
      </c>
      <c r="L659" s="344" t="s">
        <v>995</v>
      </c>
      <c r="M659" s="344" t="s">
        <v>88</v>
      </c>
      <c r="N659" s="349">
        <f>E659*G659*'Ref-Savings Calculations'!$E$19*Applicability</f>
        <v>21.971342677604653</v>
      </c>
      <c r="O659" s="349" t="s">
        <v>870</v>
      </c>
      <c r="P659" s="349">
        <f>E659*G659*'Ref-Savings Calculations'!$E$20*Applicability</f>
        <v>17.964940339457925</v>
      </c>
      <c r="Q659" s="349" t="s">
        <v>870</v>
      </c>
      <c r="R659" s="37"/>
      <c r="S659" s="344" t="s">
        <v>63</v>
      </c>
      <c r="T659" s="344" t="s">
        <v>69</v>
      </c>
      <c r="U659" s="344" t="s">
        <v>69</v>
      </c>
      <c r="V659" s="344" t="s">
        <v>69</v>
      </c>
      <c r="W659" s="344" t="s">
        <v>112</v>
      </c>
      <c r="X659" s="37"/>
      <c r="Y659" s="37"/>
      <c r="Z659" s="344" t="s">
        <v>78</v>
      </c>
      <c r="AA659" s="344" t="s">
        <v>78</v>
      </c>
      <c r="AB659" s="37"/>
      <c r="AC659" s="347">
        <f>'Ref-ExteriorSources'!$K$42</f>
        <v>12</v>
      </c>
      <c r="AD659" s="344" t="s">
        <v>84</v>
      </c>
      <c r="AE659" s="344" t="s">
        <v>64</v>
      </c>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c r="CA659" s="393"/>
      <c r="CB659" s="393"/>
      <c r="CC659" s="393"/>
      <c r="CD659" s="393"/>
      <c r="CE659" s="393"/>
      <c r="CF659" s="393"/>
      <c r="CG659" s="393"/>
      <c r="CH659" s="393"/>
      <c r="CI659" s="393"/>
      <c r="CJ659" s="390"/>
      <c r="CK659" s="390"/>
      <c r="CL659" s="390"/>
      <c r="CM659" s="390"/>
      <c r="CN659" s="390"/>
      <c r="CO659" s="390"/>
      <c r="CP659" s="390"/>
      <c r="CQ659" s="390"/>
      <c r="CR659" s="390"/>
      <c r="CS659" s="390"/>
      <c r="CT659" s="390"/>
      <c r="CU659" s="390"/>
      <c r="CV659" s="390"/>
      <c r="CW659" s="390"/>
      <c r="CX659" s="390"/>
      <c r="CY659" s="390"/>
      <c r="CZ659" s="390"/>
      <c r="DA659" s="390"/>
      <c r="DB659" s="390"/>
      <c r="DC659" s="390"/>
    </row>
    <row r="660" spans="1:107" s="303" customFormat="1" ht="24">
      <c r="A660" s="37"/>
      <c r="B660" s="352" t="s">
        <v>30</v>
      </c>
      <c r="C660" s="344" t="s">
        <v>115</v>
      </c>
      <c r="D660" s="348" t="s">
        <v>116</v>
      </c>
      <c r="E660" s="345">
        <f>'Ref-ComSources'!$W$43</f>
        <v>1172.6465212572155</v>
      </c>
      <c r="F660" s="344" t="s">
        <v>1245</v>
      </c>
      <c r="G660" s="346">
        <f>'Ref-DOE'!$G$50</f>
        <v>9.687644704336465E-2</v>
      </c>
      <c r="H660" s="344" t="s">
        <v>110</v>
      </c>
      <c r="I660" s="386">
        <f>'Ref-BaselineControls'!$E$7</f>
        <v>1</v>
      </c>
      <c r="J660" s="344" t="s">
        <v>994</v>
      </c>
      <c r="K660" s="344" t="s">
        <v>110</v>
      </c>
      <c r="L660" s="344" t="s">
        <v>995</v>
      </c>
      <c r="M660" s="344" t="s">
        <v>90</v>
      </c>
      <c r="N660" s="349">
        <f>E660*G660*'Ref-Savings Calculations'!$E$19*Applicability</f>
        <v>21.971342677604653</v>
      </c>
      <c r="O660" s="349" t="s">
        <v>871</v>
      </c>
      <c r="P660" s="349">
        <f>E660*G660*'Ref-Savings Calculations'!$E$20*Applicability</f>
        <v>17.964940339457925</v>
      </c>
      <c r="Q660" s="349" t="s">
        <v>871</v>
      </c>
      <c r="R660" s="37"/>
      <c r="S660" s="344" t="s">
        <v>63</v>
      </c>
      <c r="T660" s="344" t="s">
        <v>69</v>
      </c>
      <c r="U660" s="344" t="s">
        <v>69</v>
      </c>
      <c r="V660" s="344" t="s">
        <v>69</v>
      </c>
      <c r="W660" s="344" t="s">
        <v>112</v>
      </c>
      <c r="X660" s="37"/>
      <c r="Y660" s="37"/>
      <c r="Z660" s="344" t="s">
        <v>78</v>
      </c>
      <c r="AA660" s="344" t="s">
        <v>78</v>
      </c>
      <c r="AB660" s="37"/>
      <c r="AC660" s="347">
        <f>'Ref-ExteriorSources'!$K$42</f>
        <v>12</v>
      </c>
      <c r="AD660" s="344" t="s">
        <v>84</v>
      </c>
      <c r="AE660" s="344" t="s">
        <v>64</v>
      </c>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c r="CA660" s="393"/>
      <c r="CB660" s="393"/>
      <c r="CC660" s="393"/>
      <c r="CD660" s="393"/>
      <c r="CE660" s="393"/>
      <c r="CF660" s="393"/>
      <c r="CG660" s="393"/>
      <c r="CH660" s="393"/>
      <c r="CI660" s="393"/>
      <c r="CJ660" s="390"/>
      <c r="CK660" s="390"/>
      <c r="CL660" s="390"/>
      <c r="CM660" s="390"/>
      <c r="CN660" s="390"/>
      <c r="CO660" s="390"/>
      <c r="CP660" s="390"/>
      <c r="CQ660" s="390"/>
      <c r="CR660" s="390"/>
      <c r="CS660" s="390"/>
      <c r="CT660" s="390"/>
      <c r="CU660" s="390"/>
      <c r="CV660" s="390"/>
      <c r="CW660" s="390"/>
      <c r="CX660" s="390"/>
      <c r="CY660" s="390"/>
      <c r="CZ660" s="390"/>
      <c r="DA660" s="390"/>
      <c r="DB660" s="390"/>
      <c r="DC660" s="390"/>
    </row>
    <row r="661" spans="1:107" s="303" customFormat="1" ht="24">
      <c r="A661" s="37"/>
      <c r="B661" s="352" t="s">
        <v>30</v>
      </c>
      <c r="C661" s="344" t="s">
        <v>115</v>
      </c>
      <c r="D661" s="348" t="s">
        <v>116</v>
      </c>
      <c r="E661" s="345">
        <f>'Ref-ComSources'!$W$43</f>
        <v>1172.6465212572155</v>
      </c>
      <c r="F661" s="344" t="s">
        <v>1245</v>
      </c>
      <c r="G661" s="346">
        <f>'Ref-DOE'!$G$50</f>
        <v>9.687644704336465E-2</v>
      </c>
      <c r="H661" s="344" t="s">
        <v>110</v>
      </c>
      <c r="I661" s="386">
        <f>'Ref-BaselineControls'!$E$7</f>
        <v>1</v>
      </c>
      <c r="J661" s="344" t="s">
        <v>994</v>
      </c>
      <c r="K661" s="344" t="s">
        <v>110</v>
      </c>
      <c r="L661" s="344" t="s">
        <v>995</v>
      </c>
      <c r="M661" s="344" t="s">
        <v>91</v>
      </c>
      <c r="N661" s="349">
        <f>E661*G661*'Ref-Savings Calculations'!$E$19*Applicability</f>
        <v>21.971342677604653</v>
      </c>
      <c r="O661" s="349" t="s">
        <v>870</v>
      </c>
      <c r="P661" s="349">
        <f>E661*G661*'Ref-Savings Calculations'!$E$20*Applicability</f>
        <v>17.964940339457925</v>
      </c>
      <c r="Q661" s="349" t="s">
        <v>870</v>
      </c>
      <c r="R661" s="37"/>
      <c r="S661" s="344" t="s">
        <v>63</v>
      </c>
      <c r="T661" s="344" t="s">
        <v>69</v>
      </c>
      <c r="U661" s="344" t="s">
        <v>69</v>
      </c>
      <c r="V661" s="344" t="s">
        <v>69</v>
      </c>
      <c r="W661" s="344" t="s">
        <v>112</v>
      </c>
      <c r="X661" s="37"/>
      <c r="Y661" s="37"/>
      <c r="Z661" s="344" t="s">
        <v>78</v>
      </c>
      <c r="AA661" s="344" t="s">
        <v>78</v>
      </c>
      <c r="AB661" s="37"/>
      <c r="AC661" s="347">
        <f>'Ref-ExteriorSources'!$K$42</f>
        <v>12</v>
      </c>
      <c r="AD661" s="344" t="s">
        <v>84</v>
      </c>
      <c r="AE661" s="344" t="s">
        <v>64</v>
      </c>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c r="CA661" s="393"/>
      <c r="CB661" s="393"/>
      <c r="CC661" s="393"/>
      <c r="CD661" s="393"/>
      <c r="CE661" s="393"/>
      <c r="CF661" s="393"/>
      <c r="CG661" s="393"/>
      <c r="CH661" s="393"/>
      <c r="CI661" s="393"/>
      <c r="CJ661" s="390"/>
      <c r="CK661" s="390"/>
      <c r="CL661" s="390"/>
      <c r="CM661" s="390"/>
      <c r="CN661" s="390"/>
      <c r="CO661" s="390"/>
      <c r="CP661" s="390"/>
      <c r="CQ661" s="390"/>
      <c r="CR661" s="390"/>
      <c r="CS661" s="390"/>
      <c r="CT661" s="390"/>
      <c r="CU661" s="390"/>
      <c r="CV661" s="390"/>
      <c r="CW661" s="390"/>
      <c r="CX661" s="390"/>
      <c r="CY661" s="390"/>
      <c r="CZ661" s="390"/>
      <c r="DA661" s="390"/>
      <c r="DB661" s="390"/>
      <c r="DC661" s="390"/>
    </row>
    <row r="662" spans="1:107" s="303" customFormat="1" ht="24">
      <c r="A662" s="37"/>
      <c r="B662" s="352" t="s">
        <v>30</v>
      </c>
      <c r="C662" s="344" t="s">
        <v>115</v>
      </c>
      <c r="D662" s="348" t="s">
        <v>116</v>
      </c>
      <c r="E662" s="345">
        <f>'Ref-ComSources'!$W$43</f>
        <v>1172.6465212572155</v>
      </c>
      <c r="F662" s="344" t="s">
        <v>1245</v>
      </c>
      <c r="G662" s="346">
        <f>'Ref-DOE'!$G$50</f>
        <v>9.687644704336465E-2</v>
      </c>
      <c r="H662" s="344" t="s">
        <v>110</v>
      </c>
      <c r="I662" s="386">
        <f>'Ref-BaselineControls'!$E$7</f>
        <v>1</v>
      </c>
      <c r="J662" s="344" t="s">
        <v>994</v>
      </c>
      <c r="K662" s="344" t="s">
        <v>110</v>
      </c>
      <c r="L662" s="344" t="s">
        <v>995</v>
      </c>
      <c r="M662" s="344" t="s">
        <v>92</v>
      </c>
      <c r="N662" s="349">
        <f>E662*G662*'Ref-Savings Calculations'!$E$19*Applicability</f>
        <v>21.971342677604653</v>
      </c>
      <c r="O662" s="349">
        <f>G662*E662*'Ref-Savings Calculations'!$C$99*Applicability*ControlShare</f>
        <v>32.717326641742197</v>
      </c>
      <c r="P662" s="349">
        <f>E662*G662*'Ref-Savings Calculations'!$E$20*Applicability</f>
        <v>17.964940339457925</v>
      </c>
      <c r="Q662" s="349">
        <f>G662*E662*'Ref-Savings Calculations'!$C$99*Applicability*ControlShare</f>
        <v>32.717326641742197</v>
      </c>
      <c r="R662" s="37"/>
      <c r="S662" s="344" t="s">
        <v>63</v>
      </c>
      <c r="T662" s="344" t="s">
        <v>69</v>
      </c>
      <c r="U662" s="344" t="s">
        <v>69</v>
      </c>
      <c r="V662" s="344" t="s">
        <v>69</v>
      </c>
      <c r="W662" s="344" t="s">
        <v>112</v>
      </c>
      <c r="X662" s="37"/>
      <c r="Y662" s="37"/>
      <c r="Z662" s="344" t="s">
        <v>78</v>
      </c>
      <c r="AA662" s="344" t="s">
        <v>78</v>
      </c>
      <c r="AB662" s="37"/>
      <c r="AC662" s="347">
        <f>'Ref-ExteriorSources'!$K$42</f>
        <v>12</v>
      </c>
      <c r="AD662" s="344" t="s">
        <v>84</v>
      </c>
      <c r="AE662" s="344" t="s">
        <v>64</v>
      </c>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c r="CA662" s="393"/>
      <c r="CB662" s="393"/>
      <c r="CC662" s="393"/>
      <c r="CD662" s="393"/>
      <c r="CE662" s="393"/>
      <c r="CF662" s="393"/>
      <c r="CG662" s="393"/>
      <c r="CH662" s="393"/>
      <c r="CI662" s="393"/>
      <c r="CJ662" s="390"/>
      <c r="CK662" s="390"/>
      <c r="CL662" s="390"/>
      <c r="CM662" s="390"/>
      <c r="CN662" s="390"/>
      <c r="CO662" s="390"/>
      <c r="CP662" s="390"/>
      <c r="CQ662" s="390"/>
      <c r="CR662" s="390"/>
      <c r="CS662" s="390"/>
      <c r="CT662" s="390"/>
      <c r="CU662" s="390"/>
      <c r="CV662" s="390"/>
      <c r="CW662" s="390"/>
      <c r="CX662" s="390"/>
      <c r="CY662" s="390"/>
      <c r="CZ662" s="390"/>
      <c r="DA662" s="390"/>
      <c r="DB662" s="390"/>
      <c r="DC662" s="390"/>
    </row>
    <row r="663" spans="1:107" s="303" customFormat="1" ht="24">
      <c r="A663" s="37"/>
      <c r="B663" s="352" t="s">
        <v>30</v>
      </c>
      <c r="C663" s="344" t="s">
        <v>115</v>
      </c>
      <c r="D663" s="348" t="s">
        <v>116</v>
      </c>
      <c r="E663" s="345">
        <f>'Ref-ComSources'!$W$43</f>
        <v>1172.6465212572155</v>
      </c>
      <c r="F663" s="344" t="s">
        <v>1245</v>
      </c>
      <c r="G663" s="346">
        <f>'Ref-DOE'!$G$50</f>
        <v>9.687644704336465E-2</v>
      </c>
      <c r="H663" s="344" t="s">
        <v>110</v>
      </c>
      <c r="I663" s="386">
        <f>'Ref-BaselineControls'!$E$7</f>
        <v>1</v>
      </c>
      <c r="J663" s="344" t="s">
        <v>994</v>
      </c>
      <c r="K663" s="344" t="s">
        <v>110</v>
      </c>
      <c r="L663" s="344" t="s">
        <v>995</v>
      </c>
      <c r="M663" s="344" t="s">
        <v>93</v>
      </c>
      <c r="N663" s="349">
        <f>E663*G663*'Ref-Savings Calculations'!$E$19*Applicability</f>
        <v>21.971342677604653</v>
      </c>
      <c r="O663" s="349">
        <f>G663*E663*'Ref-Savings Calculations'!$C$109*Applicability*ControlShare</f>
        <v>34.534955899616762</v>
      </c>
      <c r="P663" s="349">
        <f>E663*G663*'Ref-Savings Calculations'!$E$20*Applicability</f>
        <v>17.964940339457925</v>
      </c>
      <c r="Q663" s="349">
        <f>G663*E663*'Ref-Savings Calculations'!$C$109*Applicability*ControlShare</f>
        <v>34.534955899616762</v>
      </c>
      <c r="R663" s="37"/>
      <c r="S663" s="344" t="s">
        <v>63</v>
      </c>
      <c r="T663" s="344" t="s">
        <v>69</v>
      </c>
      <c r="U663" s="344" t="s">
        <v>69</v>
      </c>
      <c r="V663" s="344" t="s">
        <v>69</v>
      </c>
      <c r="W663" s="344" t="s">
        <v>112</v>
      </c>
      <c r="X663" s="37"/>
      <c r="Y663" s="37"/>
      <c r="Z663" s="344" t="s">
        <v>78</v>
      </c>
      <c r="AA663" s="344" t="s">
        <v>78</v>
      </c>
      <c r="AB663" s="37"/>
      <c r="AC663" s="347">
        <f>'Ref-ExteriorSources'!$K$42</f>
        <v>12</v>
      </c>
      <c r="AD663" s="344" t="s">
        <v>84</v>
      </c>
      <c r="AE663" s="344" t="s">
        <v>64</v>
      </c>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c r="CA663" s="393"/>
      <c r="CB663" s="393"/>
      <c r="CC663" s="393"/>
      <c r="CD663" s="393"/>
      <c r="CE663" s="393"/>
      <c r="CF663" s="393"/>
      <c r="CG663" s="393"/>
      <c r="CH663" s="393"/>
      <c r="CI663" s="393"/>
      <c r="CJ663" s="390"/>
      <c r="CK663" s="390"/>
      <c r="CL663" s="390"/>
      <c r="CM663" s="390"/>
      <c r="CN663" s="390"/>
      <c r="CO663" s="390"/>
      <c r="CP663" s="390"/>
      <c r="CQ663" s="390"/>
      <c r="CR663" s="390"/>
      <c r="CS663" s="390"/>
      <c r="CT663" s="390"/>
      <c r="CU663" s="390"/>
      <c r="CV663" s="390"/>
      <c r="CW663" s="390"/>
      <c r="CX663" s="390"/>
      <c r="CY663" s="390"/>
      <c r="CZ663" s="390"/>
      <c r="DA663" s="390"/>
      <c r="DB663" s="390"/>
      <c r="DC663" s="390"/>
    </row>
    <row r="664" spans="1:107" s="303" customFormat="1" ht="24">
      <c r="A664" s="37"/>
      <c r="B664" s="352" t="s">
        <v>30</v>
      </c>
      <c r="C664" s="344" t="s">
        <v>115</v>
      </c>
      <c r="D664" s="348" t="s">
        <v>116</v>
      </c>
      <c r="E664" s="345">
        <f>'Ref-ComSources'!$W$43</f>
        <v>1172.6465212572155</v>
      </c>
      <c r="F664" s="344" t="s">
        <v>1245</v>
      </c>
      <c r="G664" s="346">
        <f>'Ref-DOE'!$G$50</f>
        <v>9.687644704336465E-2</v>
      </c>
      <c r="H664" s="344" t="s">
        <v>110</v>
      </c>
      <c r="I664" s="386">
        <f>'Ref-BaselineControls'!$E$7</f>
        <v>1</v>
      </c>
      <c r="J664" s="344" t="s">
        <v>994</v>
      </c>
      <c r="K664" s="344" t="s">
        <v>110</v>
      </c>
      <c r="L664" s="465" t="s">
        <v>101</v>
      </c>
      <c r="M664" s="344" t="s">
        <v>88</v>
      </c>
      <c r="N664" s="470">
        <f>E664*G664*'Ref-Savings Calculations'!$E$14*Applicability</f>
        <v>12.444182897802689</v>
      </c>
      <c r="O664" s="349" t="s">
        <v>870</v>
      </c>
      <c r="P664" s="470">
        <f>E664*G664*'Ref-Savings Calculations'!$E$15*Applicability</f>
        <v>12.444182897802689</v>
      </c>
      <c r="Q664" s="349" t="s">
        <v>870</v>
      </c>
      <c r="R664" s="37"/>
      <c r="S664" s="465" t="s">
        <v>68</v>
      </c>
      <c r="T664" s="465" t="s">
        <v>63</v>
      </c>
      <c r="U664" s="465" t="s">
        <v>69</v>
      </c>
      <c r="V664" s="465" t="s">
        <v>69</v>
      </c>
      <c r="W664" s="465" t="s">
        <v>76</v>
      </c>
      <c r="X664" s="37"/>
      <c r="Y664" s="37"/>
      <c r="Z664" s="465" t="s">
        <v>78</v>
      </c>
      <c r="AA664" s="465" t="s">
        <v>78</v>
      </c>
      <c r="AB664" s="37"/>
      <c r="AC664" s="347">
        <f>'Ref-ExteriorSources'!$K$42</f>
        <v>12</v>
      </c>
      <c r="AD664" s="344" t="s">
        <v>84</v>
      </c>
      <c r="AE664" s="465" t="s">
        <v>64</v>
      </c>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c r="CA664" s="393"/>
      <c r="CB664" s="393"/>
      <c r="CC664" s="393"/>
      <c r="CD664" s="393"/>
      <c r="CE664" s="393"/>
      <c r="CF664" s="393"/>
      <c r="CG664" s="393"/>
      <c r="CH664" s="393"/>
      <c r="CI664" s="393"/>
      <c r="CJ664" s="390"/>
      <c r="CK664" s="390"/>
      <c r="CL664" s="390"/>
      <c r="CM664" s="390"/>
      <c r="CN664" s="390"/>
      <c r="CO664" s="390"/>
      <c r="CP664" s="390"/>
      <c r="CQ664" s="390"/>
      <c r="CR664" s="390"/>
      <c r="CS664" s="390"/>
      <c r="CT664" s="390"/>
      <c r="CU664" s="390"/>
      <c r="CV664" s="390"/>
      <c r="CW664" s="390"/>
      <c r="CX664" s="390"/>
      <c r="CY664" s="390"/>
      <c r="CZ664" s="390"/>
      <c r="DA664" s="390"/>
      <c r="DB664" s="390"/>
      <c r="DC664" s="390"/>
    </row>
    <row r="665" spans="1:107" s="303" customFormat="1" ht="24">
      <c r="A665" s="37"/>
      <c r="B665" s="352" t="s">
        <v>30</v>
      </c>
      <c r="C665" s="344" t="s">
        <v>115</v>
      </c>
      <c r="D665" s="348" t="s">
        <v>116</v>
      </c>
      <c r="E665" s="345">
        <f>'Ref-ComSources'!$W$43</f>
        <v>1172.6465212572155</v>
      </c>
      <c r="F665" s="344" t="s">
        <v>1245</v>
      </c>
      <c r="G665" s="346">
        <f>'Ref-DOE'!$G$50</f>
        <v>9.687644704336465E-2</v>
      </c>
      <c r="H665" s="344" t="s">
        <v>110</v>
      </c>
      <c r="I665" s="386">
        <f>'Ref-BaselineControls'!$E$7</f>
        <v>1</v>
      </c>
      <c r="J665" s="344" t="s">
        <v>994</v>
      </c>
      <c r="K665" s="344" t="s">
        <v>110</v>
      </c>
      <c r="L665" s="465" t="s">
        <v>101</v>
      </c>
      <c r="M665" s="344" t="s">
        <v>90</v>
      </c>
      <c r="N665" s="470">
        <f>E665*G665*'Ref-Savings Calculations'!$E$14*Applicability</f>
        <v>12.444182897802689</v>
      </c>
      <c r="O665" s="349" t="s">
        <v>871</v>
      </c>
      <c r="P665" s="470">
        <f>E665*G665*'Ref-Savings Calculations'!$E$15*Applicability</f>
        <v>12.444182897802689</v>
      </c>
      <c r="Q665" s="349" t="s">
        <v>871</v>
      </c>
      <c r="R665" s="37"/>
      <c r="S665" s="465" t="s">
        <v>68</v>
      </c>
      <c r="T665" s="465" t="s">
        <v>63</v>
      </c>
      <c r="U665" s="465" t="s">
        <v>69</v>
      </c>
      <c r="V665" s="465" t="s">
        <v>69</v>
      </c>
      <c r="W665" s="465" t="s">
        <v>76</v>
      </c>
      <c r="X665" s="37"/>
      <c r="Y665" s="37"/>
      <c r="Z665" s="465" t="s">
        <v>78</v>
      </c>
      <c r="AA665" s="465" t="s">
        <v>78</v>
      </c>
      <c r="AB665" s="37"/>
      <c r="AC665" s="347">
        <f>'Ref-ExteriorSources'!$K$42</f>
        <v>12</v>
      </c>
      <c r="AD665" s="344" t="s">
        <v>84</v>
      </c>
      <c r="AE665" s="465" t="s">
        <v>64</v>
      </c>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c r="CA665" s="393"/>
      <c r="CB665" s="393"/>
      <c r="CC665" s="393"/>
      <c r="CD665" s="393"/>
      <c r="CE665" s="393"/>
      <c r="CF665" s="393"/>
      <c r="CG665" s="393"/>
      <c r="CH665" s="393"/>
      <c r="CI665" s="393"/>
      <c r="CJ665" s="390"/>
      <c r="CK665" s="390"/>
      <c r="CL665" s="390"/>
      <c r="CM665" s="390"/>
      <c r="CN665" s="390"/>
      <c r="CO665" s="390"/>
      <c r="CP665" s="390"/>
      <c r="CQ665" s="390"/>
      <c r="CR665" s="390"/>
      <c r="CS665" s="390"/>
      <c r="CT665" s="390"/>
      <c r="CU665" s="390"/>
      <c r="CV665" s="390"/>
      <c r="CW665" s="390"/>
      <c r="CX665" s="390"/>
      <c r="CY665" s="390"/>
      <c r="CZ665" s="390"/>
      <c r="DA665" s="390"/>
      <c r="DB665" s="390"/>
      <c r="DC665" s="390"/>
    </row>
    <row r="666" spans="1:107" s="303" customFormat="1" ht="24">
      <c r="A666" s="37"/>
      <c r="B666" s="352" t="s">
        <v>30</v>
      </c>
      <c r="C666" s="344" t="s">
        <v>115</v>
      </c>
      <c r="D666" s="348" t="s">
        <v>116</v>
      </c>
      <c r="E666" s="345">
        <f>'Ref-ComSources'!$W$43</f>
        <v>1172.6465212572155</v>
      </c>
      <c r="F666" s="344" t="s">
        <v>1245</v>
      </c>
      <c r="G666" s="346">
        <f>'Ref-DOE'!$G$50</f>
        <v>9.687644704336465E-2</v>
      </c>
      <c r="H666" s="344" t="s">
        <v>110</v>
      </c>
      <c r="I666" s="386">
        <f>'Ref-BaselineControls'!$E$7</f>
        <v>1</v>
      </c>
      <c r="J666" s="344" t="s">
        <v>994</v>
      </c>
      <c r="K666" s="344" t="s">
        <v>110</v>
      </c>
      <c r="L666" s="465" t="s">
        <v>101</v>
      </c>
      <c r="M666" s="344" t="s">
        <v>91</v>
      </c>
      <c r="N666" s="470">
        <f>E666*G666*'Ref-Savings Calculations'!$E$14*Applicability</f>
        <v>12.444182897802689</v>
      </c>
      <c r="O666" s="349" t="s">
        <v>870</v>
      </c>
      <c r="P666" s="470">
        <f>E666*G666*'Ref-Savings Calculations'!$E$15*Applicability</f>
        <v>12.444182897802689</v>
      </c>
      <c r="Q666" s="349" t="s">
        <v>870</v>
      </c>
      <c r="R666" s="37"/>
      <c r="S666" s="465" t="s">
        <v>68</v>
      </c>
      <c r="T666" s="465" t="s">
        <v>63</v>
      </c>
      <c r="U666" s="465" t="s">
        <v>69</v>
      </c>
      <c r="V666" s="465" t="s">
        <v>69</v>
      </c>
      <c r="W666" s="465" t="s">
        <v>76</v>
      </c>
      <c r="X666" s="37"/>
      <c r="Y666" s="37"/>
      <c r="Z666" s="465" t="s">
        <v>78</v>
      </c>
      <c r="AA666" s="465" t="s">
        <v>78</v>
      </c>
      <c r="AB666" s="37"/>
      <c r="AC666" s="347">
        <f>'Ref-ExteriorSources'!$K$42</f>
        <v>12</v>
      </c>
      <c r="AD666" s="344" t="s">
        <v>84</v>
      </c>
      <c r="AE666" s="465" t="s">
        <v>64</v>
      </c>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c r="CA666" s="393"/>
      <c r="CB666" s="393"/>
      <c r="CC666" s="393"/>
      <c r="CD666" s="393"/>
      <c r="CE666" s="393"/>
      <c r="CF666" s="393"/>
      <c r="CG666" s="393"/>
      <c r="CH666" s="393"/>
      <c r="CI666" s="393"/>
      <c r="CJ666" s="390"/>
      <c r="CK666" s="390"/>
      <c r="CL666" s="390"/>
      <c r="CM666" s="390"/>
      <c r="CN666" s="390"/>
      <c r="CO666" s="390"/>
      <c r="CP666" s="390"/>
      <c r="CQ666" s="390"/>
      <c r="CR666" s="390"/>
      <c r="CS666" s="390"/>
      <c r="CT666" s="390"/>
      <c r="CU666" s="390"/>
      <c r="CV666" s="390"/>
      <c r="CW666" s="390"/>
      <c r="CX666" s="390"/>
      <c r="CY666" s="390"/>
      <c r="CZ666" s="390"/>
      <c r="DA666" s="390"/>
      <c r="DB666" s="390"/>
      <c r="DC666" s="390"/>
    </row>
    <row r="667" spans="1:107" s="303" customFormat="1" ht="24">
      <c r="A667" s="37"/>
      <c r="B667" s="352" t="s">
        <v>30</v>
      </c>
      <c r="C667" s="344" t="s">
        <v>115</v>
      </c>
      <c r="D667" s="348" t="s">
        <v>116</v>
      </c>
      <c r="E667" s="345">
        <f>'Ref-ComSources'!$W$43</f>
        <v>1172.6465212572155</v>
      </c>
      <c r="F667" s="344" t="s">
        <v>1245</v>
      </c>
      <c r="G667" s="346">
        <f>'Ref-DOE'!$G$50</f>
        <v>9.687644704336465E-2</v>
      </c>
      <c r="H667" s="344" t="s">
        <v>110</v>
      </c>
      <c r="I667" s="386">
        <f>'Ref-BaselineControls'!$E$7</f>
        <v>1</v>
      </c>
      <c r="J667" s="344" t="s">
        <v>994</v>
      </c>
      <c r="K667" s="344" t="s">
        <v>110</v>
      </c>
      <c r="L667" s="465" t="s">
        <v>101</v>
      </c>
      <c r="M667" s="344" t="s">
        <v>92</v>
      </c>
      <c r="N667" s="470">
        <f>E667*G667*'Ref-Savings Calculations'!$E$14*Applicability</f>
        <v>12.444182897802689</v>
      </c>
      <c r="O667" s="349">
        <f>G667*E667*'Ref-Savings Calculations'!$C$99*Applicability*ControlShare</f>
        <v>32.717326641742197</v>
      </c>
      <c r="P667" s="470">
        <f>E667*G667*'Ref-Savings Calculations'!$E$15*Applicability</f>
        <v>12.444182897802689</v>
      </c>
      <c r="Q667" s="349">
        <f>G667*E667*'Ref-Savings Calculations'!$C$99*Applicability*ControlShare</f>
        <v>32.717326641742197</v>
      </c>
      <c r="R667" s="37"/>
      <c r="S667" s="465" t="s">
        <v>68</v>
      </c>
      <c r="T667" s="465" t="s">
        <v>63</v>
      </c>
      <c r="U667" s="465" t="s">
        <v>69</v>
      </c>
      <c r="V667" s="465" t="s">
        <v>69</v>
      </c>
      <c r="W667" s="465" t="s">
        <v>76</v>
      </c>
      <c r="X667" s="37"/>
      <c r="Y667" s="37"/>
      <c r="Z667" s="465" t="s">
        <v>78</v>
      </c>
      <c r="AA667" s="465" t="s">
        <v>78</v>
      </c>
      <c r="AB667" s="37"/>
      <c r="AC667" s="347">
        <f>'Ref-ExteriorSources'!$K$42</f>
        <v>12</v>
      </c>
      <c r="AD667" s="344" t="s">
        <v>84</v>
      </c>
      <c r="AE667" s="465" t="s">
        <v>64</v>
      </c>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c r="CA667" s="393"/>
      <c r="CB667" s="393"/>
      <c r="CC667" s="393"/>
      <c r="CD667" s="393"/>
      <c r="CE667" s="393"/>
      <c r="CF667" s="393"/>
      <c r="CG667" s="393"/>
      <c r="CH667" s="393"/>
      <c r="CI667" s="393"/>
      <c r="CJ667" s="390"/>
      <c r="CK667" s="390"/>
      <c r="CL667" s="390"/>
      <c r="CM667" s="390"/>
      <c r="CN667" s="390"/>
      <c r="CO667" s="390"/>
      <c r="CP667" s="390"/>
      <c r="CQ667" s="390"/>
      <c r="CR667" s="390"/>
      <c r="CS667" s="390"/>
      <c r="CT667" s="390"/>
      <c r="CU667" s="390"/>
      <c r="CV667" s="390"/>
      <c r="CW667" s="390"/>
      <c r="CX667" s="390"/>
      <c r="CY667" s="390"/>
      <c r="CZ667" s="390"/>
      <c r="DA667" s="390"/>
      <c r="DB667" s="390"/>
      <c r="DC667" s="390"/>
    </row>
    <row r="668" spans="1:107" s="303" customFormat="1" ht="24">
      <c r="A668" s="37"/>
      <c r="B668" s="352" t="s">
        <v>30</v>
      </c>
      <c r="C668" s="344" t="s">
        <v>115</v>
      </c>
      <c r="D668" s="348" t="s">
        <v>116</v>
      </c>
      <c r="E668" s="345">
        <f>'Ref-ComSources'!$W$43</f>
        <v>1172.6465212572155</v>
      </c>
      <c r="F668" s="344" t="s">
        <v>1245</v>
      </c>
      <c r="G668" s="346">
        <f>'Ref-DOE'!$G$50</f>
        <v>9.687644704336465E-2</v>
      </c>
      <c r="H668" s="344" t="s">
        <v>110</v>
      </c>
      <c r="I668" s="386">
        <f>'Ref-BaselineControls'!$E$7</f>
        <v>1</v>
      </c>
      <c r="J668" s="344" t="s">
        <v>994</v>
      </c>
      <c r="K668" s="344" t="s">
        <v>110</v>
      </c>
      <c r="L668" s="465" t="s">
        <v>101</v>
      </c>
      <c r="M668" s="344" t="s">
        <v>93</v>
      </c>
      <c r="N668" s="470">
        <f>E668*G668*'Ref-Savings Calculations'!$E$14*Applicability</f>
        <v>12.444182897802689</v>
      </c>
      <c r="O668" s="349">
        <f>G668*E668*'Ref-Savings Calculations'!$C$109*Applicability*ControlShare</f>
        <v>34.534955899616762</v>
      </c>
      <c r="P668" s="470">
        <f>E668*G668*'Ref-Savings Calculations'!$E$15*Applicability</f>
        <v>12.444182897802689</v>
      </c>
      <c r="Q668" s="349">
        <f>G668*E668*'Ref-Savings Calculations'!$C$109*Applicability*ControlShare</f>
        <v>34.534955899616762</v>
      </c>
      <c r="R668" s="37"/>
      <c r="S668" s="465" t="s">
        <v>68</v>
      </c>
      <c r="T668" s="465" t="s">
        <v>63</v>
      </c>
      <c r="U668" s="465" t="s">
        <v>44</v>
      </c>
      <c r="V668" s="465" t="s">
        <v>75</v>
      </c>
      <c r="W668" s="465" t="s">
        <v>76</v>
      </c>
      <c r="X668" s="37"/>
      <c r="Y668" s="37"/>
      <c r="Z668" s="465" t="s">
        <v>78</v>
      </c>
      <c r="AA668" s="465" t="s">
        <v>78</v>
      </c>
      <c r="AB668" s="37"/>
      <c r="AC668" s="347">
        <f>'Ref-ExteriorSources'!$K$42</f>
        <v>12</v>
      </c>
      <c r="AD668" s="344" t="s">
        <v>84</v>
      </c>
      <c r="AE668" s="465" t="s">
        <v>64</v>
      </c>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c r="CA668" s="393"/>
      <c r="CB668" s="393"/>
      <c r="CC668" s="393"/>
      <c r="CD668" s="393"/>
      <c r="CE668" s="393"/>
      <c r="CF668" s="393"/>
      <c r="CG668" s="393"/>
      <c r="CH668" s="393"/>
      <c r="CI668" s="393"/>
      <c r="CJ668" s="390"/>
      <c r="CK668" s="390"/>
      <c r="CL668" s="390"/>
      <c r="CM668" s="390"/>
      <c r="CN668" s="390"/>
      <c r="CO668" s="390"/>
      <c r="CP668" s="390"/>
      <c r="CQ668" s="390"/>
      <c r="CR668" s="390"/>
      <c r="CS668" s="390"/>
      <c r="CT668" s="390"/>
      <c r="CU668" s="390"/>
      <c r="CV668" s="390"/>
      <c r="CW668" s="390"/>
      <c r="CX668" s="390"/>
      <c r="CY668" s="390"/>
      <c r="CZ668" s="390"/>
      <c r="DA668" s="390"/>
      <c r="DB668" s="390"/>
      <c r="DC668" s="390"/>
    </row>
    <row r="669" spans="1:107" s="303" customFormat="1" ht="24">
      <c r="A669" s="37"/>
      <c r="B669" s="352" t="s">
        <v>30</v>
      </c>
      <c r="C669" s="344" t="s">
        <v>115</v>
      </c>
      <c r="D669" s="348" t="s">
        <v>116</v>
      </c>
      <c r="E669" s="345">
        <f>'Ref-ComSources'!$W$43</f>
        <v>1172.6465212572155</v>
      </c>
      <c r="F669" s="344" t="s">
        <v>1245</v>
      </c>
      <c r="G669" s="346">
        <f>'Ref-DOE'!$G$50</f>
        <v>9.687644704336465E-2</v>
      </c>
      <c r="H669" s="344" t="s">
        <v>110</v>
      </c>
      <c r="I669" s="386">
        <f>'Ref-BaselineControls'!$E$7</f>
        <v>1</v>
      </c>
      <c r="J669" s="344" t="s">
        <v>994</v>
      </c>
      <c r="K669" s="344" t="s">
        <v>110</v>
      </c>
      <c r="L669" s="344" t="s">
        <v>1271</v>
      </c>
      <c r="M669" s="344" t="s">
        <v>88</v>
      </c>
      <c r="N669" s="349">
        <f>E669*G669*'Ref-Savings Calculations'!$E$23*Applicability</f>
        <v>48.992918547907145</v>
      </c>
      <c r="O669" s="349" t="s">
        <v>870</v>
      </c>
      <c r="P669" s="349">
        <f>E669*G669*'Ref-Savings Calculations'!$E$24*Applicability</f>
        <v>45.822853163936841</v>
      </c>
      <c r="Q669" s="349" t="s">
        <v>870</v>
      </c>
      <c r="R669" s="37"/>
      <c r="S669" s="344" t="s">
        <v>44</v>
      </c>
      <c r="T669" s="344" t="s">
        <v>75</v>
      </c>
      <c r="U669" s="344" t="s">
        <v>69</v>
      </c>
      <c r="V669" s="344" t="s">
        <v>69</v>
      </c>
      <c r="W669" s="344" t="s">
        <v>112</v>
      </c>
      <c r="X669" s="37"/>
      <c r="Y669" s="37"/>
      <c r="Z669" s="344" t="s">
        <v>78</v>
      </c>
      <c r="AA669" s="344" t="s">
        <v>78</v>
      </c>
      <c r="AB669" s="37"/>
      <c r="AC669" s="347">
        <f>'Ref-ExteriorSources'!$K$42</f>
        <v>12</v>
      </c>
      <c r="AD669" s="344" t="s">
        <v>84</v>
      </c>
      <c r="AE669" s="344" t="s">
        <v>64</v>
      </c>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c r="CA669" s="393"/>
      <c r="CB669" s="393"/>
      <c r="CC669" s="393"/>
      <c r="CD669" s="393"/>
      <c r="CE669" s="393"/>
      <c r="CF669" s="393"/>
      <c r="CG669" s="393"/>
      <c r="CH669" s="393"/>
      <c r="CI669" s="393"/>
      <c r="CJ669" s="390"/>
      <c r="CK669" s="390"/>
      <c r="CL669" s="390"/>
      <c r="CM669" s="390"/>
      <c r="CN669" s="390"/>
      <c r="CO669" s="390"/>
      <c r="CP669" s="390"/>
      <c r="CQ669" s="390"/>
      <c r="CR669" s="390"/>
      <c r="CS669" s="390"/>
      <c r="CT669" s="390"/>
      <c r="CU669" s="390"/>
      <c r="CV669" s="390"/>
      <c r="CW669" s="390"/>
      <c r="CX669" s="390"/>
      <c r="CY669" s="390"/>
      <c r="CZ669" s="390"/>
      <c r="DA669" s="390"/>
      <c r="DB669" s="390"/>
      <c r="DC669" s="390"/>
    </row>
    <row r="670" spans="1:107" s="303" customFormat="1" ht="24">
      <c r="A670" s="37"/>
      <c r="B670" s="352" t="s">
        <v>30</v>
      </c>
      <c r="C670" s="344" t="s">
        <v>115</v>
      </c>
      <c r="D670" s="348" t="s">
        <v>116</v>
      </c>
      <c r="E670" s="345">
        <f>'Ref-ComSources'!$W$43</f>
        <v>1172.6465212572155</v>
      </c>
      <c r="F670" s="344" t="s">
        <v>1245</v>
      </c>
      <c r="G670" s="346">
        <f>'Ref-DOE'!$G$50</f>
        <v>9.687644704336465E-2</v>
      </c>
      <c r="H670" s="344" t="s">
        <v>110</v>
      </c>
      <c r="I670" s="386">
        <f>'Ref-BaselineControls'!$E$7</f>
        <v>1</v>
      </c>
      <c r="J670" s="344" t="s">
        <v>994</v>
      </c>
      <c r="K670" s="344" t="s">
        <v>110</v>
      </c>
      <c r="L670" s="344" t="s">
        <v>1271</v>
      </c>
      <c r="M670" s="344" t="s">
        <v>90</v>
      </c>
      <c r="N670" s="349">
        <f>E670*G670*'Ref-Savings Calculations'!$E$23*Applicability</f>
        <v>48.992918547907145</v>
      </c>
      <c r="O670" s="349" t="s">
        <v>871</v>
      </c>
      <c r="P670" s="349">
        <f>E670*G670*'Ref-Savings Calculations'!$E$24*Applicability</f>
        <v>45.822853163936841</v>
      </c>
      <c r="Q670" s="349" t="s">
        <v>871</v>
      </c>
      <c r="R670" s="37"/>
      <c r="S670" s="344" t="s">
        <v>44</v>
      </c>
      <c r="T670" s="344" t="s">
        <v>75</v>
      </c>
      <c r="U670" s="344" t="s">
        <v>69</v>
      </c>
      <c r="V670" s="344" t="s">
        <v>69</v>
      </c>
      <c r="W670" s="344" t="s">
        <v>112</v>
      </c>
      <c r="X670" s="37"/>
      <c r="Y670" s="37"/>
      <c r="Z670" s="344" t="s">
        <v>78</v>
      </c>
      <c r="AA670" s="344" t="s">
        <v>78</v>
      </c>
      <c r="AB670" s="37"/>
      <c r="AC670" s="347">
        <f>'Ref-ExteriorSources'!$K$42</f>
        <v>12</v>
      </c>
      <c r="AD670" s="344" t="s">
        <v>84</v>
      </c>
      <c r="AE670" s="344" t="s">
        <v>64</v>
      </c>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c r="CA670" s="393"/>
      <c r="CB670" s="393"/>
      <c r="CC670" s="393"/>
      <c r="CD670" s="393"/>
      <c r="CE670" s="393"/>
      <c r="CF670" s="393"/>
      <c r="CG670" s="393"/>
      <c r="CH670" s="393"/>
      <c r="CI670" s="393"/>
      <c r="CJ670" s="390"/>
      <c r="CK670" s="390"/>
      <c r="CL670" s="390"/>
      <c r="CM670" s="390"/>
      <c r="CN670" s="390"/>
      <c r="CO670" s="390"/>
      <c r="CP670" s="390"/>
      <c r="CQ670" s="390"/>
      <c r="CR670" s="390"/>
      <c r="CS670" s="390"/>
      <c r="CT670" s="390"/>
      <c r="CU670" s="390"/>
      <c r="CV670" s="390"/>
      <c r="CW670" s="390"/>
      <c r="CX670" s="390"/>
      <c r="CY670" s="390"/>
      <c r="CZ670" s="390"/>
      <c r="DA670" s="390"/>
      <c r="DB670" s="390"/>
      <c r="DC670" s="390"/>
    </row>
    <row r="671" spans="1:107" s="303" customFormat="1" ht="24">
      <c r="A671" s="37"/>
      <c r="B671" s="352" t="s">
        <v>30</v>
      </c>
      <c r="C671" s="344" t="s">
        <v>115</v>
      </c>
      <c r="D671" s="348" t="s">
        <v>116</v>
      </c>
      <c r="E671" s="345">
        <f>'Ref-ComSources'!$W$43</f>
        <v>1172.6465212572155</v>
      </c>
      <c r="F671" s="344" t="s">
        <v>1245</v>
      </c>
      <c r="G671" s="346">
        <f>'Ref-DOE'!$G$50</f>
        <v>9.687644704336465E-2</v>
      </c>
      <c r="H671" s="344" t="s">
        <v>110</v>
      </c>
      <c r="I671" s="386">
        <f>'Ref-BaselineControls'!$E$7</f>
        <v>1</v>
      </c>
      <c r="J671" s="344" t="s">
        <v>994</v>
      </c>
      <c r="K671" s="344" t="s">
        <v>110</v>
      </c>
      <c r="L671" s="344" t="s">
        <v>1271</v>
      </c>
      <c r="M671" s="344" t="s">
        <v>91</v>
      </c>
      <c r="N671" s="349">
        <f>E671*G671*'Ref-Savings Calculations'!$E$23*Applicability</f>
        <v>48.992918547907145</v>
      </c>
      <c r="O671" s="349" t="s">
        <v>870</v>
      </c>
      <c r="P671" s="349">
        <f>E671*G671*'Ref-Savings Calculations'!$E$24*Applicability</f>
        <v>45.822853163936841</v>
      </c>
      <c r="Q671" s="349" t="s">
        <v>870</v>
      </c>
      <c r="R671" s="37"/>
      <c r="S671" s="344" t="s">
        <v>44</v>
      </c>
      <c r="T671" s="344" t="s">
        <v>75</v>
      </c>
      <c r="U671" s="344" t="s">
        <v>69</v>
      </c>
      <c r="V671" s="344" t="s">
        <v>69</v>
      </c>
      <c r="W671" s="344" t="s">
        <v>112</v>
      </c>
      <c r="X671" s="37"/>
      <c r="Y671" s="37"/>
      <c r="Z671" s="344" t="s">
        <v>78</v>
      </c>
      <c r="AA671" s="344" t="s">
        <v>78</v>
      </c>
      <c r="AB671" s="37"/>
      <c r="AC671" s="347">
        <f>'Ref-ExteriorSources'!$K$42</f>
        <v>12</v>
      </c>
      <c r="AD671" s="344" t="s">
        <v>84</v>
      </c>
      <c r="AE671" s="344" t="s">
        <v>64</v>
      </c>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c r="CA671" s="393"/>
      <c r="CB671" s="393"/>
      <c r="CC671" s="393"/>
      <c r="CD671" s="393"/>
      <c r="CE671" s="393"/>
      <c r="CF671" s="393"/>
      <c r="CG671" s="393"/>
      <c r="CH671" s="393"/>
      <c r="CI671" s="393"/>
      <c r="CJ671" s="390"/>
      <c r="CK671" s="390"/>
      <c r="CL671" s="390"/>
      <c r="CM671" s="390"/>
      <c r="CN671" s="390"/>
      <c r="CO671" s="390"/>
      <c r="CP671" s="390"/>
      <c r="CQ671" s="390"/>
      <c r="CR671" s="390"/>
      <c r="CS671" s="390"/>
      <c r="CT671" s="390"/>
      <c r="CU671" s="390"/>
      <c r="CV671" s="390"/>
      <c r="CW671" s="390"/>
      <c r="CX671" s="390"/>
      <c r="CY671" s="390"/>
      <c r="CZ671" s="390"/>
      <c r="DA671" s="390"/>
      <c r="DB671" s="390"/>
      <c r="DC671" s="390"/>
    </row>
    <row r="672" spans="1:107" s="303" customFormat="1" ht="24">
      <c r="A672" s="37"/>
      <c r="B672" s="352" t="s">
        <v>30</v>
      </c>
      <c r="C672" s="344" t="s">
        <v>115</v>
      </c>
      <c r="D672" s="348" t="s">
        <v>116</v>
      </c>
      <c r="E672" s="345">
        <f>'Ref-ComSources'!$W$43</f>
        <v>1172.6465212572155</v>
      </c>
      <c r="F672" s="344" t="s">
        <v>1245</v>
      </c>
      <c r="G672" s="346">
        <f>'Ref-DOE'!$G$50</f>
        <v>9.687644704336465E-2</v>
      </c>
      <c r="H672" s="344" t="s">
        <v>110</v>
      </c>
      <c r="I672" s="386">
        <f>'Ref-BaselineControls'!$E$7</f>
        <v>1</v>
      </c>
      <c r="J672" s="344" t="s">
        <v>994</v>
      </c>
      <c r="K672" s="344" t="s">
        <v>110</v>
      </c>
      <c r="L672" s="344" t="s">
        <v>1271</v>
      </c>
      <c r="M672" s="344" t="s">
        <v>92</v>
      </c>
      <c r="N672" s="349">
        <f>E672*G672*'Ref-Savings Calculations'!$E$23*Applicability</f>
        <v>48.992918547907145</v>
      </c>
      <c r="O672" s="349">
        <f>G672*E672*'Ref-Savings Calculations'!$C$99*Applicability*ControlShare</f>
        <v>32.717326641742197</v>
      </c>
      <c r="P672" s="349">
        <f>E672*G672*'Ref-Savings Calculations'!$E$24*Applicability</f>
        <v>45.822853163936841</v>
      </c>
      <c r="Q672" s="349">
        <f>G672*E672*'Ref-Savings Calculations'!$C$99*Applicability*ControlShare</f>
        <v>32.717326641742197</v>
      </c>
      <c r="R672" s="37"/>
      <c r="S672" s="344" t="s">
        <v>44</v>
      </c>
      <c r="T672" s="344" t="s">
        <v>75</v>
      </c>
      <c r="U672" s="344" t="s">
        <v>69</v>
      </c>
      <c r="V672" s="344" t="s">
        <v>69</v>
      </c>
      <c r="W672" s="344" t="s">
        <v>112</v>
      </c>
      <c r="X672" s="37"/>
      <c r="Y672" s="37"/>
      <c r="Z672" s="344" t="s">
        <v>78</v>
      </c>
      <c r="AA672" s="344" t="s">
        <v>78</v>
      </c>
      <c r="AB672" s="37"/>
      <c r="AC672" s="347">
        <f>'Ref-ExteriorSources'!$K$42</f>
        <v>12</v>
      </c>
      <c r="AD672" s="344" t="s">
        <v>84</v>
      </c>
      <c r="AE672" s="344" t="s">
        <v>64</v>
      </c>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c r="CA672" s="393"/>
      <c r="CB672" s="393"/>
      <c r="CC672" s="393"/>
      <c r="CD672" s="393"/>
      <c r="CE672" s="393"/>
      <c r="CF672" s="393"/>
      <c r="CG672" s="393"/>
      <c r="CH672" s="393"/>
      <c r="CI672" s="393"/>
      <c r="CJ672" s="390"/>
      <c r="CK672" s="390"/>
      <c r="CL672" s="390"/>
      <c r="CM672" s="390"/>
      <c r="CN672" s="390"/>
      <c r="CO672" s="390"/>
      <c r="CP672" s="390"/>
      <c r="CQ672" s="390"/>
      <c r="CR672" s="390"/>
      <c r="CS672" s="390"/>
      <c r="CT672" s="390"/>
      <c r="CU672" s="390"/>
      <c r="CV672" s="390"/>
      <c r="CW672" s="390"/>
      <c r="CX672" s="390"/>
      <c r="CY672" s="390"/>
      <c r="CZ672" s="390"/>
      <c r="DA672" s="390"/>
      <c r="DB672" s="390"/>
      <c r="DC672" s="390"/>
    </row>
    <row r="673" spans="1:107" s="303" customFormat="1" ht="24">
      <c r="A673" s="37"/>
      <c r="B673" s="352" t="s">
        <v>30</v>
      </c>
      <c r="C673" s="344" t="s">
        <v>115</v>
      </c>
      <c r="D673" s="348" t="s">
        <v>116</v>
      </c>
      <c r="E673" s="345">
        <f>'Ref-ComSources'!$W$43</f>
        <v>1172.6465212572155</v>
      </c>
      <c r="F673" s="344" t="s">
        <v>1245</v>
      </c>
      <c r="G673" s="346">
        <f>'Ref-DOE'!$G$50</f>
        <v>9.687644704336465E-2</v>
      </c>
      <c r="H673" s="344" t="s">
        <v>110</v>
      </c>
      <c r="I673" s="386">
        <f>'Ref-BaselineControls'!$E$7</f>
        <v>1</v>
      </c>
      <c r="J673" s="344" t="s">
        <v>994</v>
      </c>
      <c r="K673" s="344" t="s">
        <v>110</v>
      </c>
      <c r="L673" s="344" t="s">
        <v>1271</v>
      </c>
      <c r="M673" s="344" t="s">
        <v>93</v>
      </c>
      <c r="N673" s="349">
        <f>E673*G673*'Ref-Savings Calculations'!$E$23*Applicability</f>
        <v>48.992918547907145</v>
      </c>
      <c r="O673" s="349">
        <f>G673*E673*'Ref-Savings Calculations'!$C$109*Applicability*ControlShare</f>
        <v>34.534955899616762</v>
      </c>
      <c r="P673" s="349">
        <f>E673*G673*'Ref-Savings Calculations'!$E$24*Applicability</f>
        <v>45.822853163936841</v>
      </c>
      <c r="Q673" s="349">
        <f>G673*E673*'Ref-Savings Calculations'!$C$109*Applicability*ControlShare</f>
        <v>34.534955899616762</v>
      </c>
      <c r="R673" s="37"/>
      <c r="S673" s="344" t="s">
        <v>44</v>
      </c>
      <c r="T673" s="344" t="s">
        <v>75</v>
      </c>
      <c r="U673" s="344" t="s">
        <v>69</v>
      </c>
      <c r="V673" s="344" t="s">
        <v>69</v>
      </c>
      <c r="W673" s="344" t="s">
        <v>112</v>
      </c>
      <c r="X673" s="37"/>
      <c r="Y673" s="37"/>
      <c r="Z673" s="344" t="s">
        <v>78</v>
      </c>
      <c r="AA673" s="344" t="s">
        <v>78</v>
      </c>
      <c r="AB673" s="37"/>
      <c r="AC673" s="347">
        <f>'Ref-ExteriorSources'!$K$42</f>
        <v>12</v>
      </c>
      <c r="AD673" s="344" t="s">
        <v>84</v>
      </c>
      <c r="AE673" s="344" t="s">
        <v>64</v>
      </c>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c r="CA673" s="393"/>
      <c r="CB673" s="393"/>
      <c r="CC673" s="393"/>
      <c r="CD673" s="393"/>
      <c r="CE673" s="393"/>
      <c r="CF673" s="393"/>
      <c r="CG673" s="393"/>
      <c r="CH673" s="393"/>
      <c r="CI673" s="393"/>
      <c r="CJ673" s="390"/>
      <c r="CK673" s="390"/>
      <c r="CL673" s="390"/>
      <c r="CM673" s="390"/>
      <c r="CN673" s="390"/>
      <c r="CO673" s="390"/>
      <c r="CP673" s="390"/>
      <c r="CQ673" s="390"/>
      <c r="CR673" s="390"/>
      <c r="CS673" s="390"/>
      <c r="CT673" s="390"/>
      <c r="CU673" s="390"/>
      <c r="CV673" s="390"/>
      <c r="CW673" s="390"/>
      <c r="CX673" s="390"/>
      <c r="CY673" s="390"/>
      <c r="CZ673" s="390"/>
      <c r="DA673" s="390"/>
      <c r="DB673" s="390"/>
      <c r="DC673" s="390"/>
    </row>
    <row r="674" spans="1:107" s="303" customFormat="1" ht="24">
      <c r="A674" s="37"/>
      <c r="B674" s="695" t="s">
        <v>30</v>
      </c>
      <c r="C674" s="599" t="s">
        <v>115</v>
      </c>
      <c r="D674" s="600" t="s">
        <v>117</v>
      </c>
      <c r="E674" s="601">
        <f>'Ref-ComSources'!$W$42</f>
        <v>18.654478742784612</v>
      </c>
      <c r="F674" s="599" t="s">
        <v>33</v>
      </c>
      <c r="G674" s="602">
        <f>1-'Ref-ExteriorSources'!$I$123</f>
        <v>0.35</v>
      </c>
      <c r="H674" s="599" t="s">
        <v>873</v>
      </c>
      <c r="I674" s="696">
        <v>0.99</v>
      </c>
      <c r="J674" s="599" t="s">
        <v>1013</v>
      </c>
      <c r="K674" s="599" t="s">
        <v>873</v>
      </c>
      <c r="L674" s="599" t="s">
        <v>1013</v>
      </c>
      <c r="M674" s="599" t="s">
        <v>873</v>
      </c>
      <c r="N674" s="603">
        <f>E674*G674*'Ref-Savings Calculations'!$E$43*Applicability</f>
        <v>4.3527117066497425</v>
      </c>
      <c r="O674" s="603" t="s">
        <v>870</v>
      </c>
      <c r="P674" s="603">
        <v>0</v>
      </c>
      <c r="Q674" s="603" t="s">
        <v>870</v>
      </c>
      <c r="R674" s="37"/>
      <c r="S674" s="599" t="s">
        <v>44</v>
      </c>
      <c r="T674" s="599" t="s">
        <v>69</v>
      </c>
      <c r="U674" s="599" t="s">
        <v>69</v>
      </c>
      <c r="V674" s="599" t="s">
        <v>69</v>
      </c>
      <c r="W674" s="599" t="s">
        <v>76</v>
      </c>
      <c r="X674" s="37"/>
      <c r="Y674" s="37"/>
      <c r="Z674" s="599" t="s">
        <v>78</v>
      </c>
      <c r="AA674" s="599" t="s">
        <v>78</v>
      </c>
      <c r="AB674" s="37"/>
      <c r="AC674" s="817">
        <v>24</v>
      </c>
      <c r="AD674" s="599" t="s">
        <v>72</v>
      </c>
      <c r="AE674" s="599" t="s">
        <v>64</v>
      </c>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c r="CA674" s="393"/>
      <c r="CB674" s="393"/>
      <c r="CC674" s="393"/>
      <c r="CD674" s="393"/>
      <c r="CE674" s="393"/>
      <c r="CF674" s="393"/>
      <c r="CG674" s="393"/>
      <c r="CH674" s="393"/>
      <c r="CI674" s="393"/>
      <c r="CJ674" s="390"/>
      <c r="CK674" s="390"/>
      <c r="CL674" s="390"/>
      <c r="CM674" s="390"/>
      <c r="CN674" s="390"/>
      <c r="CO674" s="390"/>
      <c r="CP674" s="390"/>
      <c r="CQ674" s="390"/>
      <c r="CR674" s="390"/>
      <c r="CS674" s="390"/>
      <c r="CT674" s="390"/>
      <c r="CU674" s="390"/>
      <c r="CV674" s="390"/>
      <c r="CW674" s="390"/>
      <c r="CX674" s="390"/>
      <c r="CY674" s="390"/>
      <c r="CZ674" s="390"/>
      <c r="DA674" s="390"/>
      <c r="DB674" s="390"/>
      <c r="DC674" s="390"/>
    </row>
    <row r="675" spans="1:107" s="303" customFormat="1" ht="24">
      <c r="A675" s="37"/>
      <c r="B675" s="694" t="s">
        <v>30</v>
      </c>
      <c r="C675" s="320" t="s">
        <v>115</v>
      </c>
      <c r="D675" s="322" t="s">
        <v>118</v>
      </c>
      <c r="E675" s="323">
        <f>'Ref-ComSources'!$W$44</f>
        <v>86.066523995226561</v>
      </c>
      <c r="F675" s="320" t="s">
        <v>31</v>
      </c>
      <c r="G675" s="319">
        <f>'Ref-ExteriorSources'!$G$9</f>
        <v>0.52104664391353805</v>
      </c>
      <c r="H675" s="320" t="s">
        <v>867</v>
      </c>
      <c r="I675" s="378">
        <f>'Ref-BaselineControls'!$E$8</f>
        <v>1</v>
      </c>
      <c r="J675" s="320" t="s">
        <v>31</v>
      </c>
      <c r="K675" s="320" t="s">
        <v>936</v>
      </c>
      <c r="L675" s="320" t="s">
        <v>119</v>
      </c>
      <c r="M675" s="320" t="s">
        <v>88</v>
      </c>
      <c r="N675" s="324">
        <f>E675*G675*'Ref-Savings Calculations'!$E$39*Applicability</f>
        <v>9.1824807603986773</v>
      </c>
      <c r="O675" s="324" t="s">
        <v>870</v>
      </c>
      <c r="P675" s="324">
        <f>E675*G675*'Ref-Savings Calculations'!$E$39*Applicability</f>
        <v>9.1824807603986773</v>
      </c>
      <c r="Q675" s="324" t="s">
        <v>870</v>
      </c>
      <c r="R675" s="37"/>
      <c r="S675" s="320" t="s">
        <v>69</v>
      </c>
      <c r="T675" s="320" t="s">
        <v>69</v>
      </c>
      <c r="U675" s="320" t="s">
        <v>69</v>
      </c>
      <c r="V675" s="320" t="s">
        <v>69</v>
      </c>
      <c r="W675" s="320" t="s">
        <v>76</v>
      </c>
      <c r="X675" s="37"/>
      <c r="Y675" s="37"/>
      <c r="Z675" s="320" t="s">
        <v>78</v>
      </c>
      <c r="AA675" s="320" t="s">
        <v>78</v>
      </c>
      <c r="AB675" s="37"/>
      <c r="AC675" s="321">
        <f>'Ref-ExteriorSources'!$K$42</f>
        <v>12</v>
      </c>
      <c r="AD675" s="320" t="s">
        <v>84</v>
      </c>
      <c r="AE675" s="320" t="s">
        <v>64</v>
      </c>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c r="CA675" s="393"/>
      <c r="CB675" s="393"/>
      <c r="CC675" s="393"/>
      <c r="CD675" s="393"/>
      <c r="CE675" s="393"/>
      <c r="CF675" s="393"/>
      <c r="CG675" s="393"/>
      <c r="CH675" s="393"/>
      <c r="CI675" s="393"/>
      <c r="CJ675" s="390"/>
      <c r="CK675" s="390"/>
      <c r="CL675" s="390"/>
      <c r="CM675" s="390"/>
      <c r="CN675" s="390"/>
      <c r="CO675" s="390"/>
      <c r="CP675" s="390"/>
      <c r="CQ675" s="390"/>
      <c r="CR675" s="390"/>
      <c r="CS675" s="390"/>
      <c r="CT675" s="390"/>
      <c r="CU675" s="390"/>
      <c r="CV675" s="390"/>
      <c r="CW675" s="390"/>
      <c r="CX675" s="390"/>
      <c r="CY675" s="390"/>
      <c r="CZ675" s="390"/>
      <c r="DA675" s="390"/>
      <c r="DB675" s="390"/>
      <c r="DC675" s="390"/>
    </row>
    <row r="676" spans="1:107" s="303" customFormat="1" ht="24">
      <c r="A676" s="37"/>
      <c r="B676" s="694" t="s">
        <v>30</v>
      </c>
      <c r="C676" s="320" t="s">
        <v>115</v>
      </c>
      <c r="D676" s="322" t="s">
        <v>118</v>
      </c>
      <c r="E676" s="323">
        <f>'Ref-ComSources'!$W$44</f>
        <v>86.066523995226561</v>
      </c>
      <c r="F676" s="320" t="s">
        <v>31</v>
      </c>
      <c r="G676" s="319">
        <f>'Ref-ExteriorSources'!$G$9</f>
        <v>0.52104664391353805</v>
      </c>
      <c r="H676" s="320" t="s">
        <v>867</v>
      </c>
      <c r="I676" s="378">
        <f>'Ref-BaselineControls'!$E$8</f>
        <v>1</v>
      </c>
      <c r="J676" s="320" t="s">
        <v>31</v>
      </c>
      <c r="K676" s="320" t="s">
        <v>936</v>
      </c>
      <c r="L676" s="320" t="s">
        <v>119</v>
      </c>
      <c r="M676" s="320" t="s">
        <v>90</v>
      </c>
      <c r="N676" s="324">
        <f>E676*G676*'Ref-Savings Calculations'!$E$39*Applicability</f>
        <v>9.1824807603986773</v>
      </c>
      <c r="O676" s="324" t="s">
        <v>871</v>
      </c>
      <c r="P676" s="324">
        <f>E676*G676*'Ref-Savings Calculations'!$E$39*Applicability</f>
        <v>9.1824807603986773</v>
      </c>
      <c r="Q676" s="324" t="s">
        <v>871</v>
      </c>
      <c r="R676" s="37"/>
      <c r="S676" s="320" t="s">
        <v>69</v>
      </c>
      <c r="T676" s="320" t="s">
        <v>69</v>
      </c>
      <c r="U676" s="320" t="s">
        <v>69</v>
      </c>
      <c r="V676" s="320" t="s">
        <v>69</v>
      </c>
      <c r="W676" s="320" t="s">
        <v>76</v>
      </c>
      <c r="X676" s="37"/>
      <c r="Y676" s="37"/>
      <c r="Z676" s="320" t="s">
        <v>78</v>
      </c>
      <c r="AA676" s="320" t="s">
        <v>78</v>
      </c>
      <c r="AB676" s="37"/>
      <c r="AC676" s="321">
        <f>'Ref-ExteriorSources'!$K$42</f>
        <v>12</v>
      </c>
      <c r="AD676" s="320" t="s">
        <v>84</v>
      </c>
      <c r="AE676" s="320" t="s">
        <v>64</v>
      </c>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c r="CA676" s="393"/>
      <c r="CB676" s="393"/>
      <c r="CC676" s="393"/>
      <c r="CD676" s="393"/>
      <c r="CE676" s="393"/>
      <c r="CF676" s="393"/>
      <c r="CG676" s="393"/>
      <c r="CH676" s="393"/>
      <c r="CI676" s="393"/>
      <c r="CJ676" s="390"/>
      <c r="CK676" s="390"/>
      <c r="CL676" s="390"/>
      <c r="CM676" s="390"/>
      <c r="CN676" s="390"/>
      <c r="CO676" s="390"/>
      <c r="CP676" s="390"/>
      <c r="CQ676" s="390"/>
      <c r="CR676" s="390"/>
      <c r="CS676" s="390"/>
      <c r="CT676" s="390"/>
      <c r="CU676" s="390"/>
      <c r="CV676" s="390"/>
      <c r="CW676" s="390"/>
      <c r="CX676" s="390"/>
      <c r="CY676" s="390"/>
      <c r="CZ676" s="390"/>
      <c r="DA676" s="390"/>
      <c r="DB676" s="390"/>
      <c r="DC676" s="390"/>
    </row>
    <row r="677" spans="1:107" s="303" customFormat="1" ht="24">
      <c r="A677" s="37"/>
      <c r="B677" s="694" t="s">
        <v>30</v>
      </c>
      <c r="C677" s="320" t="s">
        <v>115</v>
      </c>
      <c r="D677" s="322" t="s">
        <v>118</v>
      </c>
      <c r="E677" s="323">
        <f>'Ref-ComSources'!$W$44</f>
        <v>86.066523995226561</v>
      </c>
      <c r="F677" s="320" t="s">
        <v>31</v>
      </c>
      <c r="G677" s="319">
        <f>'Ref-ExteriorSources'!$G$9</f>
        <v>0.52104664391353805</v>
      </c>
      <c r="H677" s="320" t="s">
        <v>867</v>
      </c>
      <c r="I677" s="378">
        <f>'Ref-BaselineControls'!$E$8</f>
        <v>1</v>
      </c>
      <c r="J677" s="320" t="s">
        <v>31</v>
      </c>
      <c r="K677" s="320" t="s">
        <v>936</v>
      </c>
      <c r="L677" s="320" t="s">
        <v>119</v>
      </c>
      <c r="M677" s="320" t="s">
        <v>91</v>
      </c>
      <c r="N677" s="324">
        <f>E677*G677*'Ref-Savings Calculations'!$E$39*Applicability</f>
        <v>9.1824807603986773</v>
      </c>
      <c r="O677" s="324" t="s">
        <v>870</v>
      </c>
      <c r="P677" s="324">
        <f>E677*G677*'Ref-Savings Calculations'!$E$39*Applicability</f>
        <v>9.1824807603986773</v>
      </c>
      <c r="Q677" s="324" t="s">
        <v>870</v>
      </c>
      <c r="R677" s="37"/>
      <c r="S677" s="320" t="s">
        <v>69</v>
      </c>
      <c r="T677" s="320" t="s">
        <v>69</v>
      </c>
      <c r="U677" s="320" t="s">
        <v>69</v>
      </c>
      <c r="V677" s="320" t="s">
        <v>69</v>
      </c>
      <c r="W677" s="320" t="s">
        <v>76</v>
      </c>
      <c r="X677" s="37"/>
      <c r="Y677" s="37"/>
      <c r="Z677" s="320" t="s">
        <v>78</v>
      </c>
      <c r="AA677" s="320" t="s">
        <v>78</v>
      </c>
      <c r="AB677" s="37"/>
      <c r="AC677" s="321">
        <f>'Ref-ExteriorSources'!$K$42</f>
        <v>12</v>
      </c>
      <c r="AD677" s="320" t="s">
        <v>84</v>
      </c>
      <c r="AE677" s="320" t="s">
        <v>64</v>
      </c>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c r="CA677" s="393"/>
      <c r="CB677" s="393"/>
      <c r="CC677" s="393"/>
      <c r="CD677" s="393"/>
      <c r="CE677" s="393"/>
      <c r="CF677" s="393"/>
      <c r="CG677" s="393"/>
      <c r="CH677" s="393"/>
      <c r="CI677" s="393"/>
      <c r="CJ677" s="390"/>
      <c r="CK677" s="390"/>
      <c r="CL677" s="390"/>
      <c r="CM677" s="390"/>
      <c r="CN677" s="390"/>
      <c r="CO677" s="390"/>
      <c r="CP677" s="390"/>
      <c r="CQ677" s="390"/>
      <c r="CR677" s="390"/>
      <c r="CS677" s="390"/>
      <c r="CT677" s="390"/>
      <c r="CU677" s="390"/>
      <c r="CV677" s="390"/>
      <c r="CW677" s="390"/>
      <c r="CX677" s="390"/>
      <c r="CY677" s="390"/>
      <c r="CZ677" s="390"/>
      <c r="DA677" s="390"/>
      <c r="DB677" s="390"/>
      <c r="DC677" s="390"/>
    </row>
    <row r="678" spans="1:107" s="303" customFormat="1" ht="24">
      <c r="A678" s="37"/>
      <c r="B678" s="694" t="s">
        <v>30</v>
      </c>
      <c r="C678" s="320" t="s">
        <v>115</v>
      </c>
      <c r="D678" s="322" t="s">
        <v>118</v>
      </c>
      <c r="E678" s="323">
        <f>'Ref-ComSources'!$W$44</f>
        <v>86.066523995226561</v>
      </c>
      <c r="F678" s="320" t="s">
        <v>31</v>
      </c>
      <c r="G678" s="319">
        <f>'Ref-ExteriorSources'!$G$9</f>
        <v>0.52104664391353805</v>
      </c>
      <c r="H678" s="320" t="s">
        <v>867</v>
      </c>
      <c r="I678" s="378">
        <f>'Ref-BaselineControls'!$E$8</f>
        <v>1</v>
      </c>
      <c r="J678" s="320" t="s">
        <v>31</v>
      </c>
      <c r="K678" s="320" t="s">
        <v>936</v>
      </c>
      <c r="L678" s="320" t="s">
        <v>119</v>
      </c>
      <c r="M678" s="320" t="s">
        <v>92</v>
      </c>
      <c r="N678" s="324">
        <f>E678*G678*'Ref-Savings Calculations'!$E$39*Applicability</f>
        <v>9.1824807603986773</v>
      </c>
      <c r="O678" s="324">
        <f>G678*E678*'Ref-Savings Calculations'!$C$99*Applicability*ControlShare</f>
        <v>12.915265962532835</v>
      </c>
      <c r="P678" s="324">
        <f>E678*G678*'Ref-Savings Calculations'!$E$39*Applicability</f>
        <v>9.1824807603986773</v>
      </c>
      <c r="Q678" s="324">
        <f>G678*E678*'Ref-Savings Calculations'!$C$99*Applicability*ControlShare</f>
        <v>12.915265962532835</v>
      </c>
      <c r="R678" s="37"/>
      <c r="S678" s="320" t="s">
        <v>69</v>
      </c>
      <c r="T678" s="320" t="s">
        <v>69</v>
      </c>
      <c r="U678" s="320" t="s">
        <v>69</v>
      </c>
      <c r="V678" s="320" t="s">
        <v>69</v>
      </c>
      <c r="W678" s="320" t="s">
        <v>76</v>
      </c>
      <c r="X678" s="37"/>
      <c r="Y678" s="37"/>
      <c r="Z678" s="320" t="s">
        <v>78</v>
      </c>
      <c r="AA678" s="320" t="s">
        <v>78</v>
      </c>
      <c r="AB678" s="37"/>
      <c r="AC678" s="321">
        <f>'Ref-ExteriorSources'!$K$42</f>
        <v>12</v>
      </c>
      <c r="AD678" s="320" t="s">
        <v>84</v>
      </c>
      <c r="AE678" s="320" t="s">
        <v>64</v>
      </c>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c r="CA678" s="393"/>
      <c r="CB678" s="393"/>
      <c r="CC678" s="393"/>
      <c r="CD678" s="393"/>
      <c r="CE678" s="393"/>
      <c r="CF678" s="393"/>
      <c r="CG678" s="393"/>
      <c r="CH678" s="393"/>
      <c r="CI678" s="393"/>
      <c r="CJ678" s="390"/>
      <c r="CK678" s="390"/>
      <c r="CL678" s="390"/>
      <c r="CM678" s="390"/>
      <c r="CN678" s="390"/>
      <c r="CO678" s="390"/>
      <c r="CP678" s="390"/>
      <c r="CQ678" s="390"/>
      <c r="CR678" s="390"/>
      <c r="CS678" s="390"/>
      <c r="CT678" s="390"/>
      <c r="CU678" s="390"/>
      <c r="CV678" s="390"/>
      <c r="CW678" s="390"/>
      <c r="CX678" s="390"/>
      <c r="CY678" s="390"/>
      <c r="CZ678" s="390"/>
      <c r="DA678" s="390"/>
      <c r="DB678" s="390"/>
      <c r="DC678" s="390"/>
    </row>
    <row r="679" spans="1:107" s="303" customFormat="1" ht="24">
      <c r="A679" s="37"/>
      <c r="B679" s="694" t="s">
        <v>30</v>
      </c>
      <c r="C679" s="320" t="s">
        <v>115</v>
      </c>
      <c r="D679" s="322" t="s">
        <v>118</v>
      </c>
      <c r="E679" s="323">
        <f>'Ref-ComSources'!$W$44</f>
        <v>86.066523995226561</v>
      </c>
      <c r="F679" s="320" t="s">
        <v>31</v>
      </c>
      <c r="G679" s="319">
        <f>'Ref-ExteriorSources'!$G$9</f>
        <v>0.52104664391353805</v>
      </c>
      <c r="H679" s="320" t="s">
        <v>867</v>
      </c>
      <c r="I679" s="378">
        <f>'Ref-BaselineControls'!$E$8</f>
        <v>1</v>
      </c>
      <c r="J679" s="320" t="s">
        <v>31</v>
      </c>
      <c r="K679" s="320" t="s">
        <v>936</v>
      </c>
      <c r="L679" s="320" t="s">
        <v>119</v>
      </c>
      <c r="M679" s="320" t="s">
        <v>93</v>
      </c>
      <c r="N679" s="324">
        <f>E679*G679*'Ref-Savings Calculations'!$E$39*Applicability</f>
        <v>9.1824807603986773</v>
      </c>
      <c r="O679" s="324">
        <f>G679*E679*'Ref-Savings Calculations'!$C$109*Applicability*ControlShare</f>
        <v>13.632780738229105</v>
      </c>
      <c r="P679" s="324">
        <f>E679*G679*'Ref-Savings Calculations'!$E$39*Applicability</f>
        <v>9.1824807603986773</v>
      </c>
      <c r="Q679" s="324">
        <f>G679*E679*'Ref-Savings Calculations'!$C$109*Applicability*ControlShare</f>
        <v>13.632780738229105</v>
      </c>
      <c r="R679" s="37"/>
      <c r="S679" s="320" t="s">
        <v>69</v>
      </c>
      <c r="T679" s="320" t="s">
        <v>69</v>
      </c>
      <c r="U679" s="320" t="s">
        <v>69</v>
      </c>
      <c r="V679" s="320" t="s">
        <v>69</v>
      </c>
      <c r="W679" s="320" t="s">
        <v>76</v>
      </c>
      <c r="X679" s="37"/>
      <c r="Y679" s="37"/>
      <c r="Z679" s="320" t="s">
        <v>78</v>
      </c>
      <c r="AA679" s="320" t="s">
        <v>78</v>
      </c>
      <c r="AB679" s="37"/>
      <c r="AC679" s="321">
        <f>'Ref-ExteriorSources'!$K$42</f>
        <v>12</v>
      </c>
      <c r="AD679" s="320" t="s">
        <v>84</v>
      </c>
      <c r="AE679" s="320" t="s">
        <v>64</v>
      </c>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c r="CA679" s="393"/>
      <c r="CB679" s="393"/>
      <c r="CC679" s="393"/>
      <c r="CD679" s="393"/>
      <c r="CE679" s="393"/>
      <c r="CF679" s="393"/>
      <c r="CG679" s="393"/>
      <c r="CH679" s="393"/>
      <c r="CI679" s="393"/>
      <c r="CJ679" s="390"/>
      <c r="CK679" s="390"/>
      <c r="CL679" s="390"/>
      <c r="CM679" s="390"/>
      <c r="CN679" s="390"/>
      <c r="CO679" s="390"/>
      <c r="CP679" s="390"/>
      <c r="CQ679" s="390"/>
      <c r="CR679" s="390"/>
      <c r="CS679" s="390"/>
      <c r="CT679" s="390"/>
      <c r="CU679" s="390"/>
      <c r="CV679" s="390"/>
      <c r="CW679" s="390"/>
      <c r="CX679" s="390"/>
      <c r="CY679" s="390"/>
      <c r="CZ679" s="390"/>
      <c r="DA679" s="390"/>
      <c r="DB679" s="390"/>
      <c r="DC679" s="390"/>
    </row>
    <row r="680" spans="1:107" s="303" customFormat="1" ht="24">
      <c r="A680" s="37"/>
      <c r="B680" s="694" t="s">
        <v>30</v>
      </c>
      <c r="C680" s="320" t="s">
        <v>115</v>
      </c>
      <c r="D680" s="322" t="s">
        <v>118</v>
      </c>
      <c r="E680" s="323">
        <f>'Ref-ComSources'!$W$44</f>
        <v>86.066523995226561</v>
      </c>
      <c r="F680" s="320" t="s">
        <v>35</v>
      </c>
      <c r="G680" s="319">
        <f>'Ref-ExteriorSources'!$G$8</f>
        <v>0.47895335608646189</v>
      </c>
      <c r="H680" s="320" t="s">
        <v>867</v>
      </c>
      <c r="I680" s="378">
        <f>'Ref-BaselineControls'!$E$8</f>
        <v>1</v>
      </c>
      <c r="J680" s="320" t="s">
        <v>35</v>
      </c>
      <c r="K680" s="320" t="s">
        <v>936</v>
      </c>
      <c r="L680" s="320" t="s">
        <v>119</v>
      </c>
      <c r="M680" s="320" t="s">
        <v>88</v>
      </c>
      <c r="N680" s="324">
        <f>E680*G680*'Ref-Savings Calculations'!$E$39*Applicability</f>
        <v>8.4406646291000964</v>
      </c>
      <c r="O680" s="324" t="s">
        <v>870</v>
      </c>
      <c r="P680" s="324">
        <f>E680*G680*'Ref-Savings Calculations'!$E$39*Applicability</f>
        <v>8.4406646291000964</v>
      </c>
      <c r="Q680" s="324" t="s">
        <v>870</v>
      </c>
      <c r="R680" s="37"/>
      <c r="S680" s="320" t="s">
        <v>69</v>
      </c>
      <c r="T680" s="320" t="s">
        <v>69</v>
      </c>
      <c r="U680" s="320" t="s">
        <v>69</v>
      </c>
      <c r="V680" s="320" t="s">
        <v>69</v>
      </c>
      <c r="W680" s="320" t="s">
        <v>76</v>
      </c>
      <c r="X680" s="37"/>
      <c r="Y680" s="37"/>
      <c r="Z680" s="320" t="s">
        <v>78</v>
      </c>
      <c r="AA680" s="320" t="s">
        <v>78</v>
      </c>
      <c r="AB680" s="37"/>
      <c r="AC680" s="321">
        <f>'Ref-ExteriorSources'!$K$42</f>
        <v>12</v>
      </c>
      <c r="AD680" s="320" t="s">
        <v>84</v>
      </c>
      <c r="AE680" s="320" t="s">
        <v>64</v>
      </c>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c r="CA680" s="393"/>
      <c r="CB680" s="393"/>
      <c r="CC680" s="393"/>
      <c r="CD680" s="393"/>
      <c r="CE680" s="393"/>
      <c r="CF680" s="393"/>
      <c r="CG680" s="393"/>
      <c r="CH680" s="393"/>
      <c r="CI680" s="393"/>
      <c r="CJ680" s="390"/>
      <c r="CK680" s="390"/>
      <c r="CL680" s="390"/>
      <c r="CM680" s="390"/>
      <c r="CN680" s="390"/>
      <c r="CO680" s="390"/>
      <c r="CP680" s="390"/>
      <c r="CQ680" s="390"/>
      <c r="CR680" s="390"/>
      <c r="CS680" s="390"/>
      <c r="CT680" s="390"/>
      <c r="CU680" s="390"/>
      <c r="CV680" s="390"/>
      <c r="CW680" s="390"/>
      <c r="CX680" s="390"/>
      <c r="CY680" s="390"/>
      <c r="CZ680" s="390"/>
      <c r="DA680" s="390"/>
      <c r="DB680" s="390"/>
      <c r="DC680" s="390"/>
    </row>
    <row r="681" spans="1:107" s="303" customFormat="1" ht="24">
      <c r="A681" s="37"/>
      <c r="B681" s="694" t="s">
        <v>30</v>
      </c>
      <c r="C681" s="320" t="s">
        <v>115</v>
      </c>
      <c r="D681" s="322" t="s">
        <v>118</v>
      </c>
      <c r="E681" s="323">
        <f>'Ref-ComSources'!$W$44</f>
        <v>86.066523995226561</v>
      </c>
      <c r="F681" s="320" t="s">
        <v>35</v>
      </c>
      <c r="G681" s="319">
        <f>'Ref-ExteriorSources'!$G$8</f>
        <v>0.47895335608646189</v>
      </c>
      <c r="H681" s="320" t="s">
        <v>867</v>
      </c>
      <c r="I681" s="378">
        <f>'Ref-BaselineControls'!$E$8</f>
        <v>1</v>
      </c>
      <c r="J681" s="320" t="s">
        <v>35</v>
      </c>
      <c r="K681" s="320" t="s">
        <v>936</v>
      </c>
      <c r="L681" s="320" t="s">
        <v>119</v>
      </c>
      <c r="M681" s="320" t="s">
        <v>90</v>
      </c>
      <c r="N681" s="324">
        <f>E681*G681*'Ref-Savings Calculations'!$E$39*Applicability</f>
        <v>8.4406646291000964</v>
      </c>
      <c r="O681" s="324" t="s">
        <v>871</v>
      </c>
      <c r="P681" s="324">
        <f>E681*G681*'Ref-Savings Calculations'!$E$39*Applicability</f>
        <v>8.4406646291000964</v>
      </c>
      <c r="Q681" s="324" t="s">
        <v>871</v>
      </c>
      <c r="R681" s="37"/>
      <c r="S681" s="320" t="s">
        <v>69</v>
      </c>
      <c r="T681" s="320" t="s">
        <v>69</v>
      </c>
      <c r="U681" s="320" t="s">
        <v>69</v>
      </c>
      <c r="V681" s="320" t="s">
        <v>69</v>
      </c>
      <c r="W681" s="320" t="s">
        <v>76</v>
      </c>
      <c r="X681" s="37"/>
      <c r="Y681" s="37"/>
      <c r="Z681" s="320" t="s">
        <v>78</v>
      </c>
      <c r="AA681" s="320" t="s">
        <v>78</v>
      </c>
      <c r="AB681" s="37"/>
      <c r="AC681" s="321">
        <f>'Ref-ExteriorSources'!$K$42</f>
        <v>12</v>
      </c>
      <c r="AD681" s="320" t="s">
        <v>84</v>
      </c>
      <c r="AE681" s="320" t="s">
        <v>64</v>
      </c>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c r="CA681" s="393"/>
      <c r="CB681" s="393"/>
      <c r="CC681" s="393"/>
      <c r="CD681" s="393"/>
      <c r="CE681" s="393"/>
      <c r="CF681" s="393"/>
      <c r="CG681" s="393"/>
      <c r="CH681" s="393"/>
      <c r="CI681" s="393"/>
      <c r="CJ681" s="390"/>
      <c r="CK681" s="390"/>
      <c r="CL681" s="390"/>
      <c r="CM681" s="390"/>
      <c r="CN681" s="390"/>
      <c r="CO681" s="390"/>
      <c r="CP681" s="390"/>
      <c r="CQ681" s="390"/>
      <c r="CR681" s="390"/>
      <c r="CS681" s="390"/>
      <c r="CT681" s="390"/>
      <c r="CU681" s="390"/>
      <c r="CV681" s="390"/>
      <c r="CW681" s="390"/>
      <c r="CX681" s="390"/>
      <c r="CY681" s="390"/>
      <c r="CZ681" s="390"/>
      <c r="DA681" s="390"/>
      <c r="DB681" s="390"/>
      <c r="DC681" s="390"/>
    </row>
    <row r="682" spans="1:107" s="303" customFormat="1" ht="24">
      <c r="A682" s="37"/>
      <c r="B682" s="694" t="s">
        <v>30</v>
      </c>
      <c r="C682" s="320" t="s">
        <v>115</v>
      </c>
      <c r="D682" s="322" t="s">
        <v>118</v>
      </c>
      <c r="E682" s="323">
        <f>'Ref-ComSources'!$W$44</f>
        <v>86.066523995226561</v>
      </c>
      <c r="F682" s="320" t="s">
        <v>35</v>
      </c>
      <c r="G682" s="319">
        <f>'Ref-ExteriorSources'!$G$8</f>
        <v>0.47895335608646189</v>
      </c>
      <c r="H682" s="320" t="s">
        <v>867</v>
      </c>
      <c r="I682" s="378">
        <f>'Ref-BaselineControls'!$E$8</f>
        <v>1</v>
      </c>
      <c r="J682" s="320" t="s">
        <v>35</v>
      </c>
      <c r="K682" s="320" t="s">
        <v>936</v>
      </c>
      <c r="L682" s="320" t="s">
        <v>119</v>
      </c>
      <c r="M682" s="320" t="s">
        <v>91</v>
      </c>
      <c r="N682" s="324">
        <f>E682*G682*'Ref-Savings Calculations'!$E$39*Applicability</f>
        <v>8.4406646291000964</v>
      </c>
      <c r="O682" s="324" t="s">
        <v>870</v>
      </c>
      <c r="P682" s="324">
        <f>E682*G682*'Ref-Savings Calculations'!$E$39*Applicability</f>
        <v>8.4406646291000964</v>
      </c>
      <c r="Q682" s="324" t="s">
        <v>870</v>
      </c>
      <c r="R682" s="37"/>
      <c r="S682" s="320" t="s">
        <v>69</v>
      </c>
      <c r="T682" s="320" t="s">
        <v>69</v>
      </c>
      <c r="U682" s="320" t="s">
        <v>69</v>
      </c>
      <c r="V682" s="320" t="s">
        <v>69</v>
      </c>
      <c r="W682" s="320" t="s">
        <v>76</v>
      </c>
      <c r="X682" s="37"/>
      <c r="Y682" s="37"/>
      <c r="Z682" s="320" t="s">
        <v>78</v>
      </c>
      <c r="AA682" s="320" t="s">
        <v>78</v>
      </c>
      <c r="AB682" s="37"/>
      <c r="AC682" s="321">
        <f>'Ref-ExteriorSources'!$K$42</f>
        <v>12</v>
      </c>
      <c r="AD682" s="320" t="s">
        <v>84</v>
      </c>
      <c r="AE682" s="320" t="s">
        <v>64</v>
      </c>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c r="CA682" s="393"/>
      <c r="CB682" s="393"/>
      <c r="CC682" s="393"/>
      <c r="CD682" s="393"/>
      <c r="CE682" s="393"/>
      <c r="CF682" s="393"/>
      <c r="CG682" s="393"/>
      <c r="CH682" s="393"/>
      <c r="CI682" s="393"/>
      <c r="CJ682" s="390"/>
      <c r="CK682" s="390"/>
      <c r="CL682" s="390"/>
      <c r="CM682" s="390"/>
      <c r="CN682" s="390"/>
      <c r="CO682" s="390"/>
      <c r="CP682" s="390"/>
      <c r="CQ682" s="390"/>
      <c r="CR682" s="390"/>
      <c r="CS682" s="390"/>
      <c r="CT682" s="390"/>
      <c r="CU682" s="390"/>
      <c r="CV682" s="390"/>
      <c r="CW682" s="390"/>
      <c r="CX682" s="390"/>
      <c r="CY682" s="390"/>
      <c r="CZ682" s="390"/>
      <c r="DA682" s="390"/>
      <c r="DB682" s="390"/>
      <c r="DC682" s="390"/>
    </row>
    <row r="683" spans="1:107" s="303" customFormat="1" ht="24">
      <c r="A683" s="37"/>
      <c r="B683" s="694" t="s">
        <v>30</v>
      </c>
      <c r="C683" s="320" t="s">
        <v>115</v>
      </c>
      <c r="D683" s="322" t="s">
        <v>118</v>
      </c>
      <c r="E683" s="323">
        <f>'Ref-ComSources'!$W$44</f>
        <v>86.066523995226561</v>
      </c>
      <c r="F683" s="320" t="s">
        <v>35</v>
      </c>
      <c r="G683" s="319">
        <f>'Ref-ExteriorSources'!$G$8</f>
        <v>0.47895335608646189</v>
      </c>
      <c r="H683" s="320" t="s">
        <v>867</v>
      </c>
      <c r="I683" s="378">
        <f>'Ref-BaselineControls'!$E$8</f>
        <v>1</v>
      </c>
      <c r="J683" s="320" t="s">
        <v>35</v>
      </c>
      <c r="K683" s="320" t="s">
        <v>936</v>
      </c>
      <c r="L683" s="320" t="s">
        <v>119</v>
      </c>
      <c r="M683" s="320" t="s">
        <v>92</v>
      </c>
      <c r="N683" s="324">
        <f>E683*G683*'Ref-Savings Calculations'!$E$39*Applicability</f>
        <v>8.4406646291000964</v>
      </c>
      <c r="O683" s="324">
        <f>G683*E683*'Ref-Savings Calculations'!$C$99*Applicability*ControlShare</f>
        <v>11.871892948092412</v>
      </c>
      <c r="P683" s="324">
        <f>E683*G683*'Ref-Savings Calculations'!$E$39*Applicability</f>
        <v>8.4406646291000964</v>
      </c>
      <c r="Q683" s="324">
        <f>G683*E683*'Ref-Savings Calculations'!$C$99*Applicability*ControlShare</f>
        <v>11.871892948092412</v>
      </c>
      <c r="R683" s="37"/>
      <c r="S683" s="320" t="s">
        <v>69</v>
      </c>
      <c r="T683" s="320" t="s">
        <v>69</v>
      </c>
      <c r="U683" s="320" t="s">
        <v>69</v>
      </c>
      <c r="V683" s="320" t="s">
        <v>69</v>
      </c>
      <c r="W683" s="320" t="s">
        <v>76</v>
      </c>
      <c r="X683" s="37"/>
      <c r="Y683" s="37"/>
      <c r="Z683" s="320" t="s">
        <v>78</v>
      </c>
      <c r="AA683" s="320" t="s">
        <v>78</v>
      </c>
      <c r="AB683" s="37"/>
      <c r="AC683" s="321">
        <f>'Ref-ExteriorSources'!$K$42</f>
        <v>12</v>
      </c>
      <c r="AD683" s="320" t="s">
        <v>84</v>
      </c>
      <c r="AE683" s="320" t="s">
        <v>64</v>
      </c>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c r="CA683" s="393"/>
      <c r="CB683" s="393"/>
      <c r="CC683" s="393"/>
      <c r="CD683" s="393"/>
      <c r="CE683" s="393"/>
      <c r="CF683" s="393"/>
      <c r="CG683" s="393"/>
      <c r="CH683" s="393"/>
      <c r="CI683" s="393"/>
      <c r="CJ683" s="390"/>
      <c r="CK683" s="390"/>
      <c r="CL683" s="390"/>
      <c r="CM683" s="390"/>
      <c r="CN683" s="390"/>
      <c r="CO683" s="390"/>
      <c r="CP683" s="390"/>
      <c r="CQ683" s="390"/>
      <c r="CR683" s="390"/>
      <c r="CS683" s="390"/>
      <c r="CT683" s="390"/>
      <c r="CU683" s="390"/>
      <c r="CV683" s="390"/>
      <c r="CW683" s="390"/>
      <c r="CX683" s="390"/>
      <c r="CY683" s="390"/>
      <c r="CZ683" s="390"/>
      <c r="DA683" s="390"/>
      <c r="DB683" s="390"/>
      <c r="DC683" s="390"/>
    </row>
    <row r="684" spans="1:107" s="303" customFormat="1" ht="24">
      <c r="A684" s="37"/>
      <c r="B684" s="694" t="s">
        <v>30</v>
      </c>
      <c r="C684" s="320" t="s">
        <v>115</v>
      </c>
      <c r="D684" s="322" t="s">
        <v>118</v>
      </c>
      <c r="E684" s="323">
        <f>'Ref-ComSources'!$W$44</f>
        <v>86.066523995226561</v>
      </c>
      <c r="F684" s="320" t="s">
        <v>35</v>
      </c>
      <c r="G684" s="319">
        <f>'Ref-ExteriorSources'!$G$8</f>
        <v>0.47895335608646189</v>
      </c>
      <c r="H684" s="320" t="s">
        <v>867</v>
      </c>
      <c r="I684" s="378">
        <f>'Ref-BaselineControls'!$E$8</f>
        <v>1</v>
      </c>
      <c r="J684" s="320" t="s">
        <v>35</v>
      </c>
      <c r="K684" s="320" t="s">
        <v>936</v>
      </c>
      <c r="L684" s="320" t="s">
        <v>119</v>
      </c>
      <c r="M684" s="320" t="s">
        <v>93</v>
      </c>
      <c r="N684" s="324">
        <f>E684*G684*'Ref-Savings Calculations'!$E$39*Applicability</f>
        <v>8.4406646291000964</v>
      </c>
      <c r="O684" s="324">
        <f>G684*E684*'Ref-Savings Calculations'!$C$109*Applicability*ControlShare</f>
        <v>12.531442556319767</v>
      </c>
      <c r="P684" s="324">
        <f>E684*G684*'Ref-Savings Calculations'!$E$39*Applicability</f>
        <v>8.4406646291000964</v>
      </c>
      <c r="Q684" s="324">
        <f>G684*E684*'Ref-Savings Calculations'!$C$109*Applicability*ControlShare</f>
        <v>12.531442556319767</v>
      </c>
      <c r="R684" s="37"/>
      <c r="S684" s="320" t="s">
        <v>69</v>
      </c>
      <c r="T684" s="320" t="s">
        <v>69</v>
      </c>
      <c r="U684" s="320" t="s">
        <v>69</v>
      </c>
      <c r="V684" s="320" t="s">
        <v>69</v>
      </c>
      <c r="W684" s="320" t="s">
        <v>76</v>
      </c>
      <c r="X684" s="37"/>
      <c r="Y684" s="37"/>
      <c r="Z684" s="320" t="s">
        <v>78</v>
      </c>
      <c r="AA684" s="320" t="s">
        <v>78</v>
      </c>
      <c r="AB684" s="37"/>
      <c r="AC684" s="321">
        <f>'Ref-ExteriorSources'!$K$42</f>
        <v>12</v>
      </c>
      <c r="AD684" s="320" t="s">
        <v>84</v>
      </c>
      <c r="AE684" s="320" t="s">
        <v>64</v>
      </c>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c r="CA684" s="393"/>
      <c r="CB684" s="393"/>
      <c r="CC684" s="393"/>
      <c r="CD684" s="393"/>
      <c r="CE684" s="393"/>
      <c r="CF684" s="393"/>
      <c r="CG684" s="393"/>
      <c r="CH684" s="393"/>
      <c r="CI684" s="393"/>
      <c r="CJ684" s="390"/>
      <c r="CK684" s="390"/>
      <c r="CL684" s="390"/>
      <c r="CM684" s="390"/>
      <c r="CN684" s="390"/>
      <c r="CO684" s="390"/>
      <c r="CP684" s="390"/>
      <c r="CQ684" s="390"/>
      <c r="CR684" s="390"/>
      <c r="CS684" s="390"/>
      <c r="CT684" s="390"/>
      <c r="CU684" s="390"/>
      <c r="CV684" s="390"/>
      <c r="CW684" s="390"/>
      <c r="CX684" s="390"/>
      <c r="CY684" s="390"/>
      <c r="CZ684" s="390"/>
      <c r="DA684" s="390"/>
      <c r="DB684" s="390"/>
      <c r="DC684" s="390"/>
    </row>
    <row r="687" spans="1:107">
      <c r="Q687" s="730"/>
      <c r="R687" s="806"/>
    </row>
    <row r="688" spans="1:107">
      <c r="Q688" s="730"/>
    </row>
    <row r="690" spans="4:18">
      <c r="D690" s="34" t="s">
        <v>877</v>
      </c>
      <c r="Q690" s="730"/>
      <c r="R690" s="806"/>
    </row>
    <row r="691" spans="4:18">
      <c r="Q691" s="730"/>
    </row>
  </sheetData>
  <sheetProtection password="CD9A" sheet="1" objects="1" scenarios="1"/>
  <mergeCells count="11">
    <mergeCell ref="J4:K4"/>
    <mergeCell ref="L4:M4"/>
    <mergeCell ref="N4:O4"/>
    <mergeCell ref="P4:Q4"/>
    <mergeCell ref="B3:E3"/>
    <mergeCell ref="S3:W3"/>
    <mergeCell ref="L3:M3"/>
    <mergeCell ref="P3:Q3"/>
    <mergeCell ref="N3:O3"/>
    <mergeCell ref="F3:I3"/>
    <mergeCell ref="J3:K3"/>
  </mergeCells>
  <pageMargins left="0.7" right="0.7" top="0.75" bottom="0.75" header="0.3" footer="0.3"/>
  <pageSetup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331"/>
  <sheetViews>
    <sheetView topLeftCell="A34" zoomScale="60" zoomScaleNormal="60" workbookViewId="0">
      <selection activeCell="X9" sqref="X9"/>
    </sheetView>
  </sheetViews>
  <sheetFormatPr defaultRowHeight="15" outlineLevelRow="1" outlineLevelCol="1"/>
  <cols>
    <col min="1" max="1" width="4.42578125" style="384" customWidth="1"/>
    <col min="2" max="2" width="9.140625" style="384" customWidth="1"/>
    <col min="3" max="3" width="53.85546875" style="384" hidden="1" customWidth="1" outlineLevel="1"/>
    <col min="4" max="4" width="29.140625" style="384" hidden="1" customWidth="1" outlineLevel="1"/>
    <col min="5" max="5" width="58.28515625" style="384" hidden="1" customWidth="1" outlineLevel="1"/>
    <col min="6" max="6" width="31.85546875" style="384" hidden="1" customWidth="1" outlineLevel="1"/>
    <col min="7" max="8" width="31.5703125" style="384" hidden="1" customWidth="1" outlineLevel="1"/>
    <col min="9" max="10" width="9.140625" style="384" hidden="1" customWidth="1" outlineLevel="1"/>
    <col min="11" max="11" width="42.42578125" style="384" hidden="1" customWidth="1" outlineLevel="1"/>
    <col min="12" max="12" width="41.140625" style="384" hidden="1" customWidth="1" outlineLevel="1"/>
    <col min="13" max="13" width="79.5703125" style="384" hidden="1" customWidth="1" outlineLevel="1"/>
    <col min="14" max="14" width="25.28515625" style="384" hidden="1" customWidth="1" outlineLevel="1"/>
    <col min="15" max="15" width="24.42578125" style="384" hidden="1" customWidth="1" outlineLevel="1"/>
    <col min="16" max="16" width="23" style="384" hidden="1" customWidth="1" outlineLevel="1"/>
    <col min="17" max="18" width="9.140625" style="384" hidden="1" customWidth="1" outlineLevel="1"/>
    <col min="19" max="19" width="51.140625" style="384" hidden="1" customWidth="1" outlineLevel="1"/>
    <col min="20" max="20" width="47" style="384" hidden="1" customWidth="1" outlineLevel="1"/>
    <col min="21" max="21" width="46.85546875" style="384" hidden="1" customWidth="1" outlineLevel="1"/>
    <col min="22" max="22" width="9.140625" style="384" hidden="1" customWidth="1" outlineLevel="1"/>
    <col min="23" max="23" width="9.140625" style="384" collapsed="1"/>
    <col min="24" max="50" width="9.140625" style="384"/>
    <col min="51" max="51" width="10.42578125" style="384" customWidth="1"/>
    <col min="52" max="52" width="42.42578125" style="384" bestFit="1" customWidth="1"/>
    <col min="53" max="53" width="23.85546875" style="384" bestFit="1" customWidth="1"/>
    <col min="54" max="54" width="23" style="384" bestFit="1" customWidth="1"/>
    <col min="55" max="55" width="9.140625" style="384"/>
    <col min="56" max="96" width="9.140625" style="384" customWidth="1"/>
    <col min="97" max="16384" width="9.140625" style="384"/>
  </cols>
  <sheetData>
    <row r="1" spans="1:57">
      <c r="A1" s="1" t="s">
        <v>8</v>
      </c>
    </row>
    <row r="3" spans="1:57">
      <c r="C3"/>
      <c r="D3"/>
    </row>
    <row r="4" spans="1:57">
      <c r="C4" s="238" t="s">
        <v>9</v>
      </c>
      <c r="D4" s="384" t="s">
        <v>10</v>
      </c>
      <c r="BE4" s="1"/>
    </row>
    <row r="6" spans="1:57" s="269" customFormat="1" ht="15.75" thickBot="1">
      <c r="C6" s="459" t="s">
        <v>51</v>
      </c>
      <c r="D6" s="459" t="s">
        <v>36</v>
      </c>
      <c r="E6" s="459" t="s">
        <v>11</v>
      </c>
      <c r="F6" s="459" t="s">
        <v>49</v>
      </c>
      <c r="G6" s="460" t="s">
        <v>944</v>
      </c>
      <c r="H6" s="269" t="s">
        <v>945</v>
      </c>
      <c r="K6" s="458" t="s">
        <v>51</v>
      </c>
      <c r="L6" s="458" t="s">
        <v>36</v>
      </c>
      <c r="M6" s="458" t="s">
        <v>11</v>
      </c>
      <c r="N6" s="458" t="s">
        <v>49</v>
      </c>
      <c r="O6" s="458" t="s">
        <v>944</v>
      </c>
      <c r="P6" s="458" t="s">
        <v>945</v>
      </c>
      <c r="S6" s="462" t="s">
        <v>12</v>
      </c>
      <c r="T6" s="460" t="s">
        <v>1286</v>
      </c>
      <c r="U6" s="460" t="s">
        <v>1287</v>
      </c>
    </row>
    <row r="7" spans="1:57" ht="16.5" thickTop="1" thickBot="1">
      <c r="C7" s="384" t="s">
        <v>13</v>
      </c>
      <c r="D7"/>
      <c r="E7"/>
      <c r="F7"/>
      <c r="G7" s="353"/>
      <c r="H7" s="353"/>
      <c r="I7" s="353"/>
      <c r="K7" s="457" t="str">
        <f>IF(C7=0,K6,C7)</f>
        <v>CFL MSB</v>
      </c>
      <c r="L7" s="457" t="str">
        <f>IF(D7=0,L6,D7)</f>
        <v>Lighting Application</v>
      </c>
      <c r="M7" s="457" t="str">
        <f>IF(E7=0,M6,E7)</f>
        <v>Building Sub-Sector</v>
      </c>
      <c r="N7" s="457" t="str">
        <f>IF(F7=0,N6,F7)</f>
        <v>Baseline Lighting</v>
      </c>
      <c r="O7" s="461">
        <f t="shared" ref="O7:O38" si="0">G7</f>
        <v>0</v>
      </c>
      <c r="P7" s="461">
        <f t="shared" ref="P7:P38" si="1">H7</f>
        <v>0</v>
      </c>
      <c r="S7" s="239" t="s">
        <v>15</v>
      </c>
      <c r="T7" s="353">
        <v>242.42729449855327</v>
      </c>
      <c r="U7" s="353">
        <v>163.79316116879821</v>
      </c>
    </row>
    <row r="8" spans="1:57" ht="16.5" thickTop="1" thickBot="1">
      <c r="C8"/>
      <c r="D8" s="384" t="s">
        <v>20</v>
      </c>
      <c r="E8"/>
      <c r="F8"/>
      <c r="G8" s="353"/>
      <c r="H8" s="353"/>
      <c r="I8" s="353"/>
      <c r="K8" s="457" t="str">
        <f t="shared" ref="K8:K70" si="2">IF(C8=0,K7,C8)</f>
        <v>CFL MSB</v>
      </c>
      <c r="L8" s="457" t="str">
        <f t="shared" ref="L8:L70" si="3">IF(D8=0,L7,D8)</f>
        <v xml:space="preserve">Exterior </v>
      </c>
      <c r="M8" s="457" t="str">
        <f t="shared" ref="M8:M70" si="4">IF(E8=0,M7,E8)</f>
        <v>Building Sub-Sector</v>
      </c>
      <c r="N8" s="457" t="str">
        <f t="shared" ref="N8:N71" si="5">IF(F8=0,N7,F8)</f>
        <v>Baseline Lighting</v>
      </c>
      <c r="O8" s="461">
        <f t="shared" si="0"/>
        <v>0</v>
      </c>
      <c r="P8" s="461">
        <f t="shared" si="1"/>
        <v>0</v>
      </c>
      <c r="S8" s="239" t="s">
        <v>13</v>
      </c>
      <c r="T8" s="353">
        <v>3738.6036128522778</v>
      </c>
      <c r="U8" s="353">
        <v>985.54131372827123</v>
      </c>
    </row>
    <row r="9" spans="1:57" ht="16.5" thickTop="1" thickBot="1">
      <c r="C9"/>
      <c r="D9"/>
      <c r="E9" s="384" t="s">
        <v>1326</v>
      </c>
      <c r="F9"/>
      <c r="G9" s="353"/>
      <c r="H9" s="353"/>
      <c r="I9" s="353"/>
      <c r="K9" s="457" t="str">
        <f t="shared" si="2"/>
        <v>CFL MSB</v>
      </c>
      <c r="L9" s="457" t="str">
        <f t="shared" si="3"/>
        <v xml:space="preserve">Exterior </v>
      </c>
      <c r="M9" s="457" t="str">
        <f t="shared" si="4"/>
        <v>All Residential 
(Single, Multi-family, and Mobile Homes)</v>
      </c>
      <c r="N9" s="457" t="str">
        <f t="shared" si="5"/>
        <v>Baseline Lighting</v>
      </c>
      <c r="O9" s="461">
        <f t="shared" si="0"/>
        <v>0</v>
      </c>
      <c r="P9" s="461">
        <f t="shared" si="1"/>
        <v>0</v>
      </c>
      <c r="S9" s="239" t="s">
        <v>848</v>
      </c>
      <c r="T9" s="353">
        <v>215.57939748594598</v>
      </c>
      <c r="U9" s="353">
        <v>163.79316116879821</v>
      </c>
    </row>
    <row r="10" spans="1:57" ht="16.5" thickTop="1" thickBot="1">
      <c r="C10"/>
      <c r="D10"/>
      <c r="E10"/>
      <c r="F10" s="384" t="s">
        <v>82</v>
      </c>
      <c r="G10" s="353">
        <v>250.52579047111192</v>
      </c>
      <c r="H10" s="353">
        <v>43.08850432166836</v>
      </c>
      <c r="I10" s="353"/>
      <c r="K10" s="457" t="str">
        <f t="shared" si="2"/>
        <v>CFL MSB</v>
      </c>
      <c r="L10" s="457" t="str">
        <f t="shared" si="3"/>
        <v xml:space="preserve">Exterior </v>
      </c>
      <c r="M10" s="457" t="str">
        <f t="shared" si="4"/>
        <v>All Residential 
(Single, Multi-family, and Mobile Homes)</v>
      </c>
      <c r="N10" s="457" t="str">
        <f t="shared" si="5"/>
        <v>Halogen MSB</v>
      </c>
      <c r="O10" s="461">
        <f t="shared" si="0"/>
        <v>250.52579047111192</v>
      </c>
      <c r="P10" s="461">
        <f t="shared" si="1"/>
        <v>43.08850432166836</v>
      </c>
      <c r="S10" s="239" t="s">
        <v>14</v>
      </c>
      <c r="T10" s="353">
        <v>4196.7235863083442</v>
      </c>
      <c r="U10" s="353">
        <v>1183.2335416673723</v>
      </c>
    </row>
    <row r="11" spans="1:57" ht="16.5" thickTop="1" thickBot="1">
      <c r="C11"/>
      <c r="D11"/>
      <c r="E11"/>
      <c r="F11" s="384" t="s">
        <v>65</v>
      </c>
      <c r="G11" s="353">
        <v>579.03698079494609</v>
      </c>
      <c r="H11" s="353">
        <v>151.40398243734009</v>
      </c>
      <c r="I11" s="353"/>
      <c r="K11" s="457" t="str">
        <f t="shared" si="2"/>
        <v>CFL MSB</v>
      </c>
      <c r="L11" s="457" t="str">
        <f t="shared" si="3"/>
        <v xml:space="preserve">Exterior </v>
      </c>
      <c r="M11" s="457" t="str">
        <f t="shared" si="4"/>
        <v>All Residential 
(Single, Multi-family, and Mobile Homes)</v>
      </c>
      <c r="N11" s="457" t="str">
        <f t="shared" si="5"/>
        <v>Incandescent MSB</v>
      </c>
      <c r="O11" s="461">
        <f t="shared" si="0"/>
        <v>579.03698079494609</v>
      </c>
      <c r="P11" s="461">
        <f t="shared" si="1"/>
        <v>151.40398243734009</v>
      </c>
      <c r="S11" s="239" t="s">
        <v>16</v>
      </c>
      <c r="T11" s="353">
        <v>526.27960178526291</v>
      </c>
      <c r="U11" s="353">
        <v>99.497082593202421</v>
      </c>
    </row>
    <row r="12" spans="1:57" ht="16.5" thickTop="1" thickBot="1">
      <c r="C12"/>
      <c r="D12" s="384" t="s">
        <v>21</v>
      </c>
      <c r="E12"/>
      <c r="F12"/>
      <c r="G12" s="353"/>
      <c r="H12" s="353"/>
      <c r="I12" s="353"/>
      <c r="K12" s="457" t="str">
        <f t="shared" si="2"/>
        <v>CFL MSB</v>
      </c>
      <c r="L12" s="457" t="str">
        <f t="shared" si="3"/>
        <v>Interior Living 
(Kitchen, Bedroom, Living, Dining, etc)</v>
      </c>
      <c r="M12" s="457" t="str">
        <f t="shared" si="4"/>
        <v>All Residential 
(Single, Multi-family, and Mobile Homes)</v>
      </c>
      <c r="N12" s="457" t="str">
        <f t="shared" si="5"/>
        <v>Incandescent MSB</v>
      </c>
      <c r="O12" s="461">
        <f t="shared" si="0"/>
        <v>0</v>
      </c>
      <c r="P12" s="461">
        <f t="shared" si="1"/>
        <v>0</v>
      </c>
      <c r="S12" s="239" t="s">
        <v>17</v>
      </c>
      <c r="T12" s="353">
        <v>568.40829944378504</v>
      </c>
      <c r="U12" s="353">
        <v>135.72486458889139</v>
      </c>
    </row>
    <row r="13" spans="1:57" ht="16.5" thickTop="1" thickBot="1">
      <c r="C13"/>
      <c r="D13"/>
      <c r="E13" s="384" t="s">
        <v>1326</v>
      </c>
      <c r="F13"/>
      <c r="G13" s="353"/>
      <c r="H13" s="353"/>
      <c r="I13" s="353"/>
      <c r="K13" s="457" t="str">
        <f t="shared" si="2"/>
        <v>CFL MSB</v>
      </c>
      <c r="L13" s="457" t="str">
        <f t="shared" si="3"/>
        <v>Interior Living 
(Kitchen, Bedroom, Living, Dining, etc)</v>
      </c>
      <c r="M13" s="457" t="str">
        <f t="shared" si="4"/>
        <v>All Residential 
(Single, Multi-family, and Mobile Homes)</v>
      </c>
      <c r="N13" s="457" t="str">
        <f t="shared" si="5"/>
        <v>Incandescent MSB</v>
      </c>
      <c r="O13" s="461">
        <f t="shared" si="0"/>
        <v>0</v>
      </c>
      <c r="P13" s="461">
        <f t="shared" si="1"/>
        <v>0</v>
      </c>
      <c r="S13" s="239" t="s">
        <v>1360</v>
      </c>
      <c r="T13" s="353">
        <v>534.30380147715789</v>
      </c>
      <c r="U13" s="353">
        <v>135.72486458889139</v>
      </c>
    </row>
    <row r="14" spans="1:57" ht="16.5" thickTop="1" thickBot="1">
      <c r="C14"/>
      <c r="D14"/>
      <c r="E14"/>
      <c r="F14" s="384" t="s">
        <v>82</v>
      </c>
      <c r="G14" s="353">
        <v>81.937272814761286</v>
      </c>
      <c r="H14" s="353">
        <v>15.290909384659747</v>
      </c>
      <c r="I14" s="353"/>
      <c r="K14" s="457" t="str">
        <f t="shared" si="2"/>
        <v>CFL MSB</v>
      </c>
      <c r="L14" s="457" t="str">
        <f t="shared" si="3"/>
        <v>Interior Living 
(Kitchen, Bedroom, Living, Dining, etc)</v>
      </c>
      <c r="M14" s="457" t="str">
        <f t="shared" si="4"/>
        <v>All Residential 
(Single, Multi-family, and Mobile Homes)</v>
      </c>
      <c r="N14" s="457" t="str">
        <f t="shared" si="5"/>
        <v>Halogen MSB</v>
      </c>
      <c r="O14" s="461">
        <f t="shared" si="0"/>
        <v>81.937272814761286</v>
      </c>
      <c r="P14" s="461">
        <f t="shared" si="1"/>
        <v>15.290909384659747</v>
      </c>
      <c r="S14" s="239" t="s">
        <v>1367</v>
      </c>
      <c r="T14" s="353">
        <v>484.73121217063692</v>
      </c>
      <c r="U14" s="353">
        <v>99.497082593202421</v>
      </c>
    </row>
    <row r="15" spans="1:57" ht="16.5" thickTop="1" thickBot="1">
      <c r="C15"/>
      <c r="D15"/>
      <c r="E15"/>
      <c r="F15" s="384" t="s">
        <v>65</v>
      </c>
      <c r="G15" s="353">
        <v>1503.7059173015139</v>
      </c>
      <c r="H15" s="353">
        <v>383.1896338801522</v>
      </c>
      <c r="I15" s="353"/>
      <c r="K15" s="457" t="str">
        <f t="shared" si="2"/>
        <v>CFL MSB</v>
      </c>
      <c r="L15" s="457" t="str">
        <f t="shared" si="3"/>
        <v>Interior Living 
(Kitchen, Bedroom, Living, Dining, etc)</v>
      </c>
      <c r="M15" s="457" t="str">
        <f t="shared" si="4"/>
        <v>All Residential 
(Single, Multi-family, and Mobile Homes)</v>
      </c>
      <c r="N15" s="457" t="str">
        <f t="shared" si="5"/>
        <v>Incandescent MSB</v>
      </c>
      <c r="O15" s="461">
        <f t="shared" si="0"/>
        <v>1503.7059173015139</v>
      </c>
      <c r="P15" s="461">
        <f t="shared" si="1"/>
        <v>383.1896338801522</v>
      </c>
      <c r="S15" s="239" t="s">
        <v>18</v>
      </c>
      <c r="T15" s="353">
        <v>10507.056806021963</v>
      </c>
      <c r="U15" s="353">
        <v>2966.805072097427</v>
      </c>
    </row>
    <row r="16" spans="1:57" ht="16.5" thickTop="1" thickBot="1">
      <c r="C16"/>
      <c r="D16" s="384" t="s">
        <v>22</v>
      </c>
      <c r="E16"/>
      <c r="F16"/>
      <c r="G16" s="353"/>
      <c r="H16" s="353"/>
      <c r="I16" s="353"/>
      <c r="K16" s="457" t="str">
        <f t="shared" si="2"/>
        <v>CFL MSB</v>
      </c>
      <c r="L16" s="457" t="str">
        <f t="shared" si="3"/>
        <v>Interior Support (Bathroom, Utility room, laundry room, garage)</v>
      </c>
      <c r="M16" s="457" t="str">
        <f t="shared" si="4"/>
        <v>All Residential 
(Single, Multi-family, and Mobile Homes)</v>
      </c>
      <c r="N16" s="457" t="str">
        <f t="shared" si="5"/>
        <v>Incandescent MSB</v>
      </c>
      <c r="O16" s="461">
        <f t="shared" si="0"/>
        <v>0</v>
      </c>
      <c r="P16" s="461">
        <f t="shared" si="1"/>
        <v>0</v>
      </c>
      <c r="S16"/>
      <c r="T16"/>
      <c r="U16"/>
    </row>
    <row r="17" spans="3:21" ht="16.5" thickTop="1" thickBot="1">
      <c r="C17"/>
      <c r="D17"/>
      <c r="E17" s="384" t="s">
        <v>1326</v>
      </c>
      <c r="F17"/>
      <c r="G17" s="353"/>
      <c r="H17" s="353"/>
      <c r="I17" s="353"/>
      <c r="K17" s="457" t="str">
        <f t="shared" si="2"/>
        <v>CFL MSB</v>
      </c>
      <c r="L17" s="457" t="str">
        <f t="shared" si="3"/>
        <v>Interior Support (Bathroom, Utility room, laundry room, garage)</v>
      </c>
      <c r="M17" s="457" t="str">
        <f t="shared" si="4"/>
        <v>All Residential 
(Single, Multi-family, and Mobile Homes)</v>
      </c>
      <c r="N17" s="457" t="str">
        <f t="shared" si="5"/>
        <v>Incandescent MSB</v>
      </c>
      <c r="O17" s="461">
        <f t="shared" si="0"/>
        <v>0</v>
      </c>
      <c r="P17" s="461">
        <f t="shared" si="1"/>
        <v>0</v>
      </c>
      <c r="S17"/>
      <c r="T17"/>
      <c r="U17"/>
    </row>
    <row r="18" spans="3:21" ht="16.5" thickTop="1" thickBot="1">
      <c r="C18"/>
      <c r="D18"/>
      <c r="E18"/>
      <c r="F18" s="384" t="s">
        <v>82</v>
      </c>
      <c r="G18" s="353">
        <v>48.052969279912119</v>
      </c>
      <c r="H18" s="353">
        <v>14.362273165973862</v>
      </c>
      <c r="I18" s="353"/>
      <c r="K18" s="457" t="str">
        <f t="shared" si="2"/>
        <v>CFL MSB</v>
      </c>
      <c r="L18" s="457" t="str">
        <f t="shared" si="3"/>
        <v>Interior Support (Bathroom, Utility room, laundry room, garage)</v>
      </c>
      <c r="M18" s="457" t="str">
        <f t="shared" si="4"/>
        <v>All Residential 
(Single, Multi-family, and Mobile Homes)</v>
      </c>
      <c r="N18" s="457" t="str">
        <f t="shared" si="5"/>
        <v>Halogen MSB</v>
      </c>
      <c r="O18" s="461">
        <f t="shared" si="0"/>
        <v>48.052969279912119</v>
      </c>
      <c r="P18" s="461">
        <f t="shared" si="1"/>
        <v>14.362273165973862</v>
      </c>
      <c r="S18"/>
      <c r="T18"/>
      <c r="U18"/>
    </row>
    <row r="19" spans="3:21" ht="16.5" thickTop="1" thickBot="1">
      <c r="C19"/>
      <c r="D19"/>
      <c r="E19"/>
      <c r="F19" s="384" t="s">
        <v>65</v>
      </c>
      <c r="G19" s="353">
        <v>1275.3446821900325</v>
      </c>
      <c r="H19" s="353">
        <v>378.20601053847685</v>
      </c>
      <c r="I19" s="353"/>
      <c r="K19" s="457" t="str">
        <f t="shared" si="2"/>
        <v>CFL MSB</v>
      </c>
      <c r="L19" s="457" t="str">
        <f t="shared" si="3"/>
        <v>Interior Support (Bathroom, Utility room, laundry room, garage)</v>
      </c>
      <c r="M19" s="457" t="str">
        <f t="shared" si="4"/>
        <v>All Residential 
(Single, Multi-family, and Mobile Homes)</v>
      </c>
      <c r="N19" s="457" t="str">
        <f t="shared" si="5"/>
        <v>Incandescent MSB</v>
      </c>
      <c r="O19" s="461">
        <f t="shared" si="0"/>
        <v>1275.3446821900325</v>
      </c>
      <c r="P19" s="461">
        <f t="shared" si="1"/>
        <v>378.20601053847685</v>
      </c>
      <c r="S19"/>
      <c r="T19"/>
      <c r="U19"/>
    </row>
    <row r="20" spans="3:21" ht="16.5" thickTop="1" thickBot="1">
      <c r="C20" s="384" t="s">
        <v>848</v>
      </c>
      <c r="D20"/>
      <c r="E20"/>
      <c r="F20"/>
      <c r="G20" s="353"/>
      <c r="H20" s="353"/>
      <c r="I20" s="353"/>
      <c r="K20" s="457" t="str">
        <f t="shared" si="2"/>
        <v>High Efficiency Linear Fluorescent T-8</v>
      </c>
      <c r="L20" s="457" t="str">
        <f t="shared" si="3"/>
        <v>Interior Support (Bathroom, Utility room, laundry room, garage)</v>
      </c>
      <c r="M20" s="457" t="str">
        <f t="shared" si="4"/>
        <v>All Residential 
(Single, Multi-family, and Mobile Homes)</v>
      </c>
      <c r="N20" s="457" t="str">
        <f t="shared" si="5"/>
        <v>Incandescent MSB</v>
      </c>
      <c r="O20" s="461">
        <f t="shared" si="0"/>
        <v>0</v>
      </c>
      <c r="P20" s="461">
        <f t="shared" si="1"/>
        <v>0</v>
      </c>
      <c r="S20"/>
      <c r="T20"/>
      <c r="U20"/>
    </row>
    <row r="21" spans="3:21" ht="16.5" thickTop="1" thickBot="1">
      <c r="C21"/>
      <c r="D21" s="384" t="s">
        <v>20</v>
      </c>
      <c r="E21"/>
      <c r="F21"/>
      <c r="G21" s="353"/>
      <c r="H21" s="353"/>
      <c r="I21" s="353"/>
      <c r="K21" s="457" t="str">
        <f t="shared" si="2"/>
        <v>High Efficiency Linear Fluorescent T-8</v>
      </c>
      <c r="L21" s="457" t="str">
        <f t="shared" si="3"/>
        <v xml:space="preserve">Exterior </v>
      </c>
      <c r="M21" s="457" t="str">
        <f t="shared" si="4"/>
        <v>All Residential 
(Single, Multi-family, and Mobile Homes)</v>
      </c>
      <c r="N21" s="457" t="str">
        <f t="shared" si="5"/>
        <v>Incandescent MSB</v>
      </c>
      <c r="O21" s="461">
        <f t="shared" si="0"/>
        <v>0</v>
      </c>
      <c r="P21" s="461">
        <f t="shared" si="1"/>
        <v>0</v>
      </c>
      <c r="S21"/>
      <c r="T21"/>
      <c r="U21"/>
    </row>
    <row r="22" spans="3:21" ht="16.5" thickTop="1" thickBot="1">
      <c r="C22"/>
      <c r="D22"/>
      <c r="E22" s="384" t="s">
        <v>1326</v>
      </c>
      <c r="F22"/>
      <c r="G22" s="353"/>
      <c r="H22" s="353"/>
      <c r="I22" s="353"/>
      <c r="K22" s="457" t="str">
        <f t="shared" si="2"/>
        <v>High Efficiency Linear Fluorescent T-8</v>
      </c>
      <c r="L22" s="457" t="str">
        <f t="shared" si="3"/>
        <v xml:space="preserve">Exterior </v>
      </c>
      <c r="M22" s="457" t="str">
        <f t="shared" si="4"/>
        <v>All Residential 
(Single, Multi-family, and Mobile Homes)</v>
      </c>
      <c r="N22" s="457" t="str">
        <f t="shared" si="5"/>
        <v>Incandescent MSB</v>
      </c>
      <c r="O22" s="461">
        <f t="shared" si="0"/>
        <v>0</v>
      </c>
      <c r="P22" s="461">
        <f t="shared" si="1"/>
        <v>0</v>
      </c>
      <c r="S22"/>
      <c r="T22"/>
      <c r="U22"/>
    </row>
    <row r="23" spans="3:21" ht="16.5" thickTop="1" thickBot="1">
      <c r="C23"/>
      <c r="D23"/>
      <c r="E23"/>
      <c r="F23" s="384" t="s">
        <v>27</v>
      </c>
      <c r="G23" s="353">
        <v>12.211594843997085</v>
      </c>
      <c r="H23" s="353">
        <v>9.0234363514845803</v>
      </c>
      <c r="I23" s="353"/>
      <c r="K23" s="457" t="str">
        <f t="shared" si="2"/>
        <v>High Efficiency Linear Fluorescent T-8</v>
      </c>
      <c r="L23" s="457" t="str">
        <f t="shared" si="3"/>
        <v xml:space="preserve">Exterior </v>
      </c>
      <c r="M23" s="457" t="str">
        <f t="shared" si="4"/>
        <v>All Residential 
(Single, Multi-family, and Mobile Homes)</v>
      </c>
      <c r="N23" s="457" t="str">
        <f t="shared" si="5"/>
        <v>Linear Fluorescent</v>
      </c>
      <c r="O23" s="461">
        <f t="shared" si="0"/>
        <v>12.211594843997085</v>
      </c>
      <c r="P23" s="461">
        <f t="shared" si="1"/>
        <v>9.0234363514845803</v>
      </c>
      <c r="S23"/>
      <c r="T23"/>
      <c r="U23"/>
    </row>
    <row r="24" spans="3:21" ht="16.5" thickTop="1" thickBot="1">
      <c r="C24"/>
      <c r="D24" s="384" t="s">
        <v>21</v>
      </c>
      <c r="E24"/>
      <c r="F24"/>
      <c r="G24" s="353"/>
      <c r="H24" s="353"/>
      <c r="I24" s="353"/>
      <c r="K24" s="457" t="str">
        <f t="shared" si="2"/>
        <v>High Efficiency Linear Fluorescent T-8</v>
      </c>
      <c r="L24" s="457" t="str">
        <f t="shared" si="3"/>
        <v>Interior Living 
(Kitchen, Bedroom, Living, Dining, etc)</v>
      </c>
      <c r="M24" s="457" t="str">
        <f t="shared" si="4"/>
        <v>All Residential 
(Single, Multi-family, and Mobile Homes)</v>
      </c>
      <c r="N24" s="457" t="str">
        <f t="shared" si="5"/>
        <v>Linear Fluorescent</v>
      </c>
      <c r="O24" s="461">
        <f t="shared" si="0"/>
        <v>0</v>
      </c>
      <c r="P24" s="461">
        <f t="shared" si="1"/>
        <v>0</v>
      </c>
      <c r="S24"/>
      <c r="T24"/>
      <c r="U24"/>
    </row>
    <row r="25" spans="3:21" ht="16.5" thickTop="1" thickBot="1">
      <c r="C25"/>
      <c r="D25"/>
      <c r="E25" s="384" t="s">
        <v>1326</v>
      </c>
      <c r="F25"/>
      <c r="G25" s="353"/>
      <c r="H25" s="353"/>
      <c r="I25" s="353"/>
      <c r="K25" s="457" t="str">
        <f t="shared" si="2"/>
        <v>High Efficiency Linear Fluorescent T-8</v>
      </c>
      <c r="L25" s="457" t="str">
        <f t="shared" si="3"/>
        <v>Interior Living 
(Kitchen, Bedroom, Living, Dining, etc)</v>
      </c>
      <c r="M25" s="457" t="str">
        <f t="shared" si="4"/>
        <v>All Residential 
(Single, Multi-family, and Mobile Homes)</v>
      </c>
      <c r="N25" s="457" t="str">
        <f t="shared" si="5"/>
        <v>Linear Fluorescent</v>
      </c>
      <c r="O25" s="461">
        <f t="shared" si="0"/>
        <v>0</v>
      </c>
      <c r="P25" s="461">
        <f t="shared" si="1"/>
        <v>0</v>
      </c>
      <c r="S25"/>
      <c r="T25"/>
      <c r="U25"/>
    </row>
    <row r="26" spans="3:21" ht="16.5" thickTop="1" thickBot="1">
      <c r="C26"/>
      <c r="D26"/>
      <c r="E26"/>
      <c r="F26" s="384" t="s">
        <v>27</v>
      </c>
      <c r="G26" s="353">
        <v>77.390258073349472</v>
      </c>
      <c r="H26" s="353">
        <v>59.143148217924228</v>
      </c>
      <c r="I26" s="353"/>
      <c r="K26" s="457" t="str">
        <f t="shared" si="2"/>
        <v>High Efficiency Linear Fluorescent T-8</v>
      </c>
      <c r="L26" s="457" t="str">
        <f t="shared" si="3"/>
        <v>Interior Living 
(Kitchen, Bedroom, Living, Dining, etc)</v>
      </c>
      <c r="M26" s="457" t="str">
        <f t="shared" si="4"/>
        <v>All Residential 
(Single, Multi-family, and Mobile Homes)</v>
      </c>
      <c r="N26" s="457" t="str">
        <f t="shared" si="5"/>
        <v>Linear Fluorescent</v>
      </c>
      <c r="O26" s="461">
        <f t="shared" si="0"/>
        <v>77.390258073349472</v>
      </c>
      <c r="P26" s="461">
        <f t="shared" si="1"/>
        <v>59.143148217924228</v>
      </c>
      <c r="S26"/>
      <c r="T26"/>
      <c r="U26"/>
    </row>
    <row r="27" spans="3:21" ht="16.5" thickTop="1" thickBot="1">
      <c r="C27"/>
      <c r="D27" s="384" t="s">
        <v>22</v>
      </c>
      <c r="E27"/>
      <c r="F27"/>
      <c r="G27" s="353"/>
      <c r="H27" s="353"/>
      <c r="I27" s="353"/>
      <c r="K27" s="457" t="str">
        <f t="shared" si="2"/>
        <v>High Efficiency Linear Fluorescent T-8</v>
      </c>
      <c r="L27" s="457" t="str">
        <f t="shared" si="3"/>
        <v>Interior Support (Bathroom, Utility room, laundry room, garage)</v>
      </c>
      <c r="M27" s="457" t="str">
        <f t="shared" si="4"/>
        <v>All Residential 
(Single, Multi-family, and Mobile Homes)</v>
      </c>
      <c r="N27" s="457" t="str">
        <f t="shared" si="5"/>
        <v>Linear Fluorescent</v>
      </c>
      <c r="O27" s="461">
        <f t="shared" si="0"/>
        <v>0</v>
      </c>
      <c r="P27" s="461">
        <f t="shared" si="1"/>
        <v>0</v>
      </c>
      <c r="S27"/>
      <c r="T27"/>
      <c r="U27"/>
    </row>
    <row r="28" spans="3:21" ht="16.5" thickTop="1" thickBot="1">
      <c r="C28"/>
      <c r="D28"/>
      <c r="E28" s="384" t="s">
        <v>1326</v>
      </c>
      <c r="F28"/>
      <c r="G28" s="353"/>
      <c r="H28" s="353"/>
      <c r="I28" s="353"/>
      <c r="K28" s="457" t="str">
        <f t="shared" si="2"/>
        <v>High Efficiency Linear Fluorescent T-8</v>
      </c>
      <c r="L28" s="457" t="str">
        <f t="shared" si="3"/>
        <v>Interior Support (Bathroom, Utility room, laundry room, garage)</v>
      </c>
      <c r="M28" s="457" t="str">
        <f t="shared" si="4"/>
        <v>All Residential 
(Single, Multi-family, and Mobile Homes)</v>
      </c>
      <c r="N28" s="457" t="str">
        <f t="shared" si="5"/>
        <v>Linear Fluorescent</v>
      </c>
      <c r="O28" s="461">
        <f t="shared" si="0"/>
        <v>0</v>
      </c>
      <c r="P28" s="461">
        <f t="shared" si="1"/>
        <v>0</v>
      </c>
      <c r="S28"/>
      <c r="T28"/>
      <c r="U28"/>
    </row>
    <row r="29" spans="3:21" ht="16.5" thickTop="1" thickBot="1">
      <c r="C29"/>
      <c r="D29"/>
      <c r="E29"/>
      <c r="F29" s="384" t="s">
        <v>27</v>
      </c>
      <c r="G29" s="353">
        <v>125.97754456859941</v>
      </c>
      <c r="H29" s="353">
        <v>95.626576599389395</v>
      </c>
      <c r="I29" s="353"/>
      <c r="K29" s="457" t="str">
        <f t="shared" si="2"/>
        <v>High Efficiency Linear Fluorescent T-8</v>
      </c>
      <c r="L29" s="457" t="str">
        <f t="shared" si="3"/>
        <v>Interior Support (Bathroom, Utility room, laundry room, garage)</v>
      </c>
      <c r="M29" s="457" t="str">
        <f t="shared" si="4"/>
        <v>All Residential 
(Single, Multi-family, and Mobile Homes)</v>
      </c>
      <c r="N29" s="457" t="str">
        <f t="shared" si="5"/>
        <v>Linear Fluorescent</v>
      </c>
      <c r="O29" s="461">
        <f t="shared" si="0"/>
        <v>125.97754456859941</v>
      </c>
      <c r="P29" s="461">
        <f t="shared" si="1"/>
        <v>95.626576599389395</v>
      </c>
      <c r="S29"/>
      <c r="T29"/>
      <c r="U29"/>
    </row>
    <row r="30" spans="3:21" ht="16.5" thickTop="1" thickBot="1">
      <c r="C30" s="384" t="s">
        <v>14</v>
      </c>
      <c r="D30"/>
      <c r="E30"/>
      <c r="F30"/>
      <c r="G30" s="353"/>
      <c r="H30" s="353"/>
      <c r="I30" s="353"/>
      <c r="K30" s="457" t="str">
        <f t="shared" si="2"/>
        <v>LED MSB</v>
      </c>
      <c r="L30" s="457" t="str">
        <f t="shared" si="3"/>
        <v>Interior Support (Bathroom, Utility room, laundry room, garage)</v>
      </c>
      <c r="M30" s="457" t="str">
        <f t="shared" si="4"/>
        <v>All Residential 
(Single, Multi-family, and Mobile Homes)</v>
      </c>
      <c r="N30" s="457" t="str">
        <f t="shared" si="5"/>
        <v>Linear Fluorescent</v>
      </c>
      <c r="O30" s="461">
        <f t="shared" si="0"/>
        <v>0</v>
      </c>
      <c r="P30" s="461">
        <f t="shared" si="1"/>
        <v>0</v>
      </c>
      <c r="S30"/>
      <c r="T30"/>
      <c r="U30"/>
    </row>
    <row r="31" spans="3:21" ht="16.5" thickTop="1" thickBot="1">
      <c r="C31"/>
      <c r="D31" s="384" t="s">
        <v>20</v>
      </c>
      <c r="E31"/>
      <c r="F31"/>
      <c r="G31" s="353"/>
      <c r="H31" s="353"/>
      <c r="I31" s="353"/>
      <c r="K31" s="457" t="str">
        <f t="shared" si="2"/>
        <v>LED MSB</v>
      </c>
      <c r="L31" s="457" t="str">
        <f t="shared" si="3"/>
        <v xml:space="preserve">Exterior </v>
      </c>
      <c r="M31" s="457" t="str">
        <f t="shared" si="4"/>
        <v>All Residential 
(Single, Multi-family, and Mobile Homes)</v>
      </c>
      <c r="N31" s="457" t="str">
        <f t="shared" si="5"/>
        <v>Linear Fluorescent</v>
      </c>
      <c r="O31" s="461">
        <f t="shared" si="0"/>
        <v>0</v>
      </c>
      <c r="P31" s="461">
        <f t="shared" si="1"/>
        <v>0</v>
      </c>
      <c r="S31"/>
      <c r="T31"/>
      <c r="U31"/>
    </row>
    <row r="32" spans="3:21" ht="16.5" thickTop="1" thickBot="1">
      <c r="C32"/>
      <c r="D32"/>
      <c r="E32" s="384" t="s">
        <v>1326</v>
      </c>
      <c r="F32"/>
      <c r="G32" s="353"/>
      <c r="H32" s="353"/>
      <c r="I32" s="353"/>
      <c r="K32" s="457" t="str">
        <f t="shared" si="2"/>
        <v>LED MSB</v>
      </c>
      <c r="L32" s="457" t="str">
        <f t="shared" si="3"/>
        <v xml:space="preserve">Exterior </v>
      </c>
      <c r="M32" s="457" t="str">
        <f t="shared" si="4"/>
        <v>All Residential 
(Single, Multi-family, and Mobile Homes)</v>
      </c>
      <c r="N32" s="457" t="str">
        <f t="shared" si="5"/>
        <v>Linear Fluorescent</v>
      </c>
      <c r="O32" s="461">
        <f t="shared" si="0"/>
        <v>0</v>
      </c>
      <c r="P32" s="461">
        <f t="shared" si="1"/>
        <v>0</v>
      </c>
      <c r="S32"/>
      <c r="T32"/>
      <c r="U32"/>
    </row>
    <row r="33" spans="3:21" ht="16.5" thickTop="1" thickBot="1">
      <c r="C33"/>
      <c r="D33"/>
      <c r="E33"/>
      <c r="F33" s="384" t="s">
        <v>13</v>
      </c>
      <c r="G33" s="353">
        <v>34.134486238074636</v>
      </c>
      <c r="H33" s="353">
        <v>32.426436471726809</v>
      </c>
      <c r="I33" s="353"/>
      <c r="K33" s="457" t="str">
        <f t="shared" si="2"/>
        <v>LED MSB</v>
      </c>
      <c r="L33" s="457" t="str">
        <f t="shared" si="3"/>
        <v xml:space="preserve">Exterior </v>
      </c>
      <c r="M33" s="457" t="str">
        <f t="shared" si="4"/>
        <v>All Residential 
(Single, Multi-family, and Mobile Homes)</v>
      </c>
      <c r="N33" s="457" t="str">
        <f t="shared" si="5"/>
        <v>CFL MSB</v>
      </c>
      <c r="O33" s="461">
        <f t="shared" si="0"/>
        <v>34.134486238074636</v>
      </c>
      <c r="P33" s="461">
        <f t="shared" si="1"/>
        <v>32.426436471726809</v>
      </c>
      <c r="S33"/>
      <c r="T33"/>
      <c r="U33"/>
    </row>
    <row r="34" spans="3:21" ht="16.5" thickTop="1" thickBot="1">
      <c r="C34"/>
      <c r="D34"/>
      <c r="E34"/>
      <c r="F34" s="384" t="s">
        <v>82</v>
      </c>
      <c r="G34" s="353">
        <v>271.99942965435008</v>
      </c>
      <c r="H34" s="353">
        <v>43.08850432166836</v>
      </c>
      <c r="I34" s="353"/>
      <c r="K34" s="457" t="str">
        <f t="shared" si="2"/>
        <v>LED MSB</v>
      </c>
      <c r="L34" s="457" t="str">
        <f t="shared" si="3"/>
        <v xml:space="preserve">Exterior </v>
      </c>
      <c r="M34" s="457" t="str">
        <f t="shared" si="4"/>
        <v>All Residential 
(Single, Multi-family, and Mobile Homes)</v>
      </c>
      <c r="N34" s="457" t="str">
        <f t="shared" si="5"/>
        <v>Halogen MSB</v>
      </c>
      <c r="O34" s="461">
        <f t="shared" si="0"/>
        <v>271.99942965435008</v>
      </c>
      <c r="P34" s="461">
        <f t="shared" si="1"/>
        <v>43.08850432166836</v>
      </c>
      <c r="S34"/>
      <c r="T34"/>
      <c r="U34"/>
    </row>
    <row r="35" spans="3:21" ht="16.5" thickTop="1" thickBot="1">
      <c r="C35"/>
      <c r="D35"/>
      <c r="E35"/>
      <c r="F35" s="384" t="s">
        <v>65</v>
      </c>
      <c r="G35" s="353">
        <v>615.99678807972987</v>
      </c>
      <c r="H35" s="353">
        <v>151.40398243734009</v>
      </c>
      <c r="I35" s="353"/>
      <c r="K35" s="457" t="str">
        <f t="shared" si="2"/>
        <v>LED MSB</v>
      </c>
      <c r="L35" s="457" t="str">
        <f t="shared" si="3"/>
        <v xml:space="preserve">Exterior </v>
      </c>
      <c r="M35" s="457" t="str">
        <f t="shared" si="4"/>
        <v>All Residential 
(Single, Multi-family, and Mobile Homes)</v>
      </c>
      <c r="N35" s="457" t="str">
        <f t="shared" si="5"/>
        <v>Incandescent MSB</v>
      </c>
      <c r="O35" s="461">
        <f t="shared" si="0"/>
        <v>615.99678807972987</v>
      </c>
      <c r="P35" s="461">
        <f t="shared" si="1"/>
        <v>151.40398243734009</v>
      </c>
    </row>
    <row r="36" spans="3:21" ht="16.5" thickTop="1" thickBot="1">
      <c r="C36"/>
      <c r="D36"/>
      <c r="E36"/>
      <c r="F36" s="384" t="s">
        <v>1325</v>
      </c>
      <c r="G36" s="353">
        <v>19.245459848308336</v>
      </c>
      <c r="H36" s="353">
        <v>4.6735979712171938</v>
      </c>
      <c r="I36" s="353"/>
      <c r="K36" s="457" t="str">
        <f t="shared" si="2"/>
        <v>LED MSB</v>
      </c>
      <c r="L36" s="457" t="str">
        <f t="shared" si="3"/>
        <v xml:space="preserve">Exterior </v>
      </c>
      <c r="M36" s="457" t="str">
        <f t="shared" si="4"/>
        <v>All Residential 
(Single, Multi-family, and Mobile Homes)</v>
      </c>
      <c r="N36" s="457" t="str">
        <f t="shared" si="5"/>
        <v>HID MSB</v>
      </c>
      <c r="O36" s="461">
        <f t="shared" si="0"/>
        <v>19.245459848308336</v>
      </c>
      <c r="P36" s="461">
        <f t="shared" si="1"/>
        <v>4.6735979712171938</v>
      </c>
    </row>
    <row r="37" spans="3:21" ht="16.5" thickTop="1" thickBot="1">
      <c r="C37"/>
      <c r="D37" s="384" t="s">
        <v>21</v>
      </c>
      <c r="E37"/>
      <c r="F37"/>
      <c r="G37" s="353"/>
      <c r="H37" s="353"/>
      <c r="I37" s="353"/>
      <c r="K37" s="457" t="str">
        <f t="shared" si="2"/>
        <v>LED MSB</v>
      </c>
      <c r="L37" s="457" t="str">
        <f t="shared" si="3"/>
        <v>Interior Living 
(Kitchen, Bedroom, Living, Dining, etc)</v>
      </c>
      <c r="M37" s="457" t="str">
        <f t="shared" si="4"/>
        <v>All Residential 
(Single, Multi-family, and Mobile Homes)</v>
      </c>
      <c r="N37" s="457" t="str">
        <f t="shared" si="5"/>
        <v>HID MSB</v>
      </c>
      <c r="O37" s="461">
        <f t="shared" si="0"/>
        <v>0</v>
      </c>
      <c r="P37" s="461">
        <f t="shared" si="1"/>
        <v>0</v>
      </c>
    </row>
    <row r="38" spans="3:21" ht="16.5" hidden="1" outlineLevel="1" thickTop="1" thickBot="1">
      <c r="C38"/>
      <c r="D38"/>
      <c r="E38" s="384" t="s">
        <v>1326</v>
      </c>
      <c r="F38"/>
      <c r="G38" s="353"/>
      <c r="H38" s="353"/>
      <c r="I38" s="353"/>
      <c r="K38" s="457" t="str">
        <f t="shared" si="2"/>
        <v>LED MSB</v>
      </c>
      <c r="L38" s="457" t="str">
        <f t="shared" si="3"/>
        <v>Interior Living 
(Kitchen, Bedroom, Living, Dining, etc)</v>
      </c>
      <c r="M38" s="457" t="str">
        <f t="shared" si="4"/>
        <v>All Residential 
(Single, Multi-family, and Mobile Homes)</v>
      </c>
      <c r="N38" s="457" t="str">
        <f t="shared" si="5"/>
        <v>HID MSB</v>
      </c>
      <c r="O38" s="461">
        <f t="shared" si="0"/>
        <v>0</v>
      </c>
      <c r="P38" s="461">
        <f t="shared" si="1"/>
        <v>0</v>
      </c>
    </row>
    <row r="39" spans="3:21" ht="16.5" hidden="1" outlineLevel="1" thickTop="1" thickBot="1">
      <c r="C39"/>
      <c r="D39"/>
      <c r="E39"/>
      <c r="F39" s="384" t="s">
        <v>13</v>
      </c>
      <c r="G39" s="353">
        <v>98.149121413350727</v>
      </c>
      <c r="H39" s="353">
        <v>99.137397614107897</v>
      </c>
      <c r="I39" s="353"/>
      <c r="K39" s="457" t="str">
        <f t="shared" si="2"/>
        <v>LED MSB</v>
      </c>
      <c r="L39" s="457" t="str">
        <f t="shared" si="3"/>
        <v>Interior Living 
(Kitchen, Bedroom, Living, Dining, etc)</v>
      </c>
      <c r="M39" s="457" t="str">
        <f t="shared" si="4"/>
        <v>All Residential 
(Single, Multi-family, and Mobile Homes)</v>
      </c>
      <c r="N39" s="457" t="str">
        <f t="shared" si="5"/>
        <v>CFL MSB</v>
      </c>
      <c r="O39" s="461">
        <f t="shared" ref="O39:O70" si="6">G39</f>
        <v>98.149121413350727</v>
      </c>
      <c r="P39" s="461">
        <f t="shared" ref="P39:P70" si="7">H39</f>
        <v>99.137397614107897</v>
      </c>
    </row>
    <row r="40" spans="3:21" ht="16.5" hidden="1" outlineLevel="1" thickTop="1" thickBot="1">
      <c r="C40"/>
      <c r="D40"/>
      <c r="E40"/>
      <c r="F40" s="384" t="s">
        <v>82</v>
      </c>
      <c r="G40" s="353">
        <v>88.960467627455117</v>
      </c>
      <c r="H40" s="353">
        <v>15.290909384659747</v>
      </c>
      <c r="I40" s="353"/>
      <c r="K40" s="457" t="str">
        <f t="shared" si="2"/>
        <v>LED MSB</v>
      </c>
      <c r="L40" s="457" t="str">
        <f t="shared" si="3"/>
        <v>Interior Living 
(Kitchen, Bedroom, Living, Dining, etc)</v>
      </c>
      <c r="M40" s="457" t="str">
        <f t="shared" si="4"/>
        <v>All Residential 
(Single, Multi-family, and Mobile Homes)</v>
      </c>
      <c r="N40" s="457" t="str">
        <f t="shared" si="5"/>
        <v>Halogen MSB</v>
      </c>
      <c r="O40" s="461">
        <f t="shared" si="6"/>
        <v>88.960467627455117</v>
      </c>
      <c r="P40" s="461">
        <f t="shared" si="7"/>
        <v>15.290909384659747</v>
      </c>
    </row>
    <row r="41" spans="3:21" ht="16.5" hidden="1" outlineLevel="1" thickTop="1" thickBot="1">
      <c r="C41"/>
      <c r="D41"/>
      <c r="E41"/>
      <c r="F41" s="384" t="s">
        <v>65</v>
      </c>
      <c r="G41" s="353">
        <v>1599.6871460654402</v>
      </c>
      <c r="H41" s="353">
        <v>383.1896338801522</v>
      </c>
      <c r="I41" s="353"/>
      <c r="K41" s="457" t="str">
        <f t="shared" si="2"/>
        <v>LED MSB</v>
      </c>
      <c r="L41" s="457" t="str">
        <f t="shared" si="3"/>
        <v>Interior Living 
(Kitchen, Bedroom, Living, Dining, etc)</v>
      </c>
      <c r="M41" s="457" t="str">
        <f t="shared" si="4"/>
        <v>All Residential 
(Single, Multi-family, and Mobile Homes)</v>
      </c>
      <c r="N41" s="457" t="str">
        <f t="shared" si="5"/>
        <v>Incandescent MSB</v>
      </c>
      <c r="O41" s="461">
        <f t="shared" si="6"/>
        <v>1599.6871460654402</v>
      </c>
      <c r="P41" s="461">
        <f t="shared" si="7"/>
        <v>383.1896338801522</v>
      </c>
    </row>
    <row r="42" spans="3:21" ht="16.5" hidden="1" outlineLevel="1" thickTop="1" thickBot="1">
      <c r="C42"/>
      <c r="D42" s="384" t="s">
        <v>22</v>
      </c>
      <c r="E42"/>
      <c r="F42"/>
      <c r="G42" s="353"/>
      <c r="H42" s="353"/>
      <c r="I42" s="353"/>
      <c r="K42" s="457" t="str">
        <f t="shared" si="2"/>
        <v>LED MSB</v>
      </c>
      <c r="L42" s="457" t="str">
        <f t="shared" si="3"/>
        <v>Interior Support (Bathroom, Utility room, laundry room, garage)</v>
      </c>
      <c r="M42" s="457" t="str">
        <f t="shared" si="4"/>
        <v>All Residential 
(Single, Multi-family, and Mobile Homes)</v>
      </c>
      <c r="N42" s="457" t="str">
        <f t="shared" si="5"/>
        <v>Incandescent MSB</v>
      </c>
      <c r="O42" s="461">
        <f t="shared" si="6"/>
        <v>0</v>
      </c>
      <c r="P42" s="461">
        <f t="shared" si="7"/>
        <v>0</v>
      </c>
    </row>
    <row r="43" spans="3:21" ht="16.5" hidden="1" outlineLevel="1" thickTop="1" thickBot="1">
      <c r="C43"/>
      <c r="D43"/>
      <c r="E43" s="384" t="s">
        <v>1326</v>
      </c>
      <c r="F43"/>
      <c r="G43" s="353"/>
      <c r="H43" s="353"/>
      <c r="I43" s="353"/>
      <c r="K43" s="457" t="str">
        <f t="shared" si="2"/>
        <v>LED MSB</v>
      </c>
      <c r="L43" s="457" t="str">
        <f t="shared" si="3"/>
        <v>Interior Support (Bathroom, Utility room, laundry room, garage)</v>
      </c>
      <c r="M43" s="457" t="str">
        <f t="shared" si="4"/>
        <v>All Residential 
(Single, Multi-family, and Mobile Homes)</v>
      </c>
      <c r="N43" s="457" t="str">
        <f t="shared" si="5"/>
        <v>Incandescent MSB</v>
      </c>
      <c r="O43" s="461">
        <f t="shared" si="6"/>
        <v>0</v>
      </c>
      <c r="P43" s="461">
        <f t="shared" si="7"/>
        <v>0</v>
      </c>
    </row>
    <row r="44" spans="3:21" ht="16.5" hidden="1" outlineLevel="1" thickTop="1" thickBot="1">
      <c r="C44"/>
      <c r="D44"/>
      <c r="E44"/>
      <c r="F44" s="384" t="s">
        <v>13</v>
      </c>
      <c r="G44" s="353">
        <v>59.629230259154603</v>
      </c>
      <c r="H44" s="353">
        <v>61.454795882049204</v>
      </c>
      <c r="I44" s="353"/>
      <c r="K44" s="457" t="str">
        <f t="shared" si="2"/>
        <v>LED MSB</v>
      </c>
      <c r="L44" s="457" t="str">
        <f t="shared" si="3"/>
        <v>Interior Support (Bathroom, Utility room, laundry room, garage)</v>
      </c>
      <c r="M44" s="457" t="str">
        <f t="shared" si="4"/>
        <v>All Residential 
(Single, Multi-family, and Mobile Homes)</v>
      </c>
      <c r="N44" s="457" t="str">
        <f t="shared" si="5"/>
        <v>CFL MSB</v>
      </c>
      <c r="O44" s="461">
        <f t="shared" si="6"/>
        <v>59.629230259154603</v>
      </c>
      <c r="P44" s="461">
        <f t="shared" si="7"/>
        <v>61.454795882049204</v>
      </c>
    </row>
    <row r="45" spans="3:21" ht="16.5" hidden="1" outlineLevel="1" thickTop="1" thickBot="1">
      <c r="C45"/>
      <c r="D45"/>
      <c r="E45"/>
      <c r="F45" s="384" t="s">
        <v>82</v>
      </c>
      <c r="G45" s="353">
        <v>52.171795218190304</v>
      </c>
      <c r="H45" s="353">
        <v>14.362273165973862</v>
      </c>
      <c r="I45" s="353"/>
      <c r="K45" s="457" t="str">
        <f t="shared" si="2"/>
        <v>LED MSB</v>
      </c>
      <c r="L45" s="457" t="str">
        <f t="shared" si="3"/>
        <v>Interior Support (Bathroom, Utility room, laundry room, garage)</v>
      </c>
      <c r="M45" s="457" t="str">
        <f t="shared" si="4"/>
        <v>All Residential 
(Single, Multi-family, and Mobile Homes)</v>
      </c>
      <c r="N45" s="457" t="str">
        <f t="shared" si="5"/>
        <v>Halogen MSB</v>
      </c>
      <c r="O45" s="461">
        <f t="shared" si="6"/>
        <v>52.171795218190304</v>
      </c>
      <c r="P45" s="461">
        <f t="shared" si="7"/>
        <v>14.362273165973862</v>
      </c>
    </row>
    <row r="46" spans="3:21" ht="16.5" hidden="1" outlineLevel="1" thickTop="1" thickBot="1">
      <c r="C46"/>
      <c r="D46"/>
      <c r="E46"/>
      <c r="F46" s="384" t="s">
        <v>65</v>
      </c>
      <c r="G46" s="353">
        <v>1356.7496619042902</v>
      </c>
      <c r="H46" s="353">
        <v>378.20601053847685</v>
      </c>
      <c r="I46" s="353"/>
      <c r="K46" s="457" t="str">
        <f t="shared" si="2"/>
        <v>LED MSB</v>
      </c>
      <c r="L46" s="457" t="str">
        <f t="shared" si="3"/>
        <v>Interior Support (Bathroom, Utility room, laundry room, garage)</v>
      </c>
      <c r="M46" s="457" t="str">
        <f t="shared" si="4"/>
        <v>All Residential 
(Single, Multi-family, and Mobile Homes)</v>
      </c>
      <c r="N46" s="457" t="str">
        <f t="shared" si="5"/>
        <v>Incandescent MSB</v>
      </c>
      <c r="O46" s="461">
        <f t="shared" si="6"/>
        <v>1356.7496619042902</v>
      </c>
      <c r="P46" s="461">
        <f t="shared" si="7"/>
        <v>378.20601053847685</v>
      </c>
    </row>
    <row r="47" spans="3:21" ht="16.5" hidden="1" outlineLevel="1" thickTop="1" thickBot="1">
      <c r="C47" s="384" t="s">
        <v>15</v>
      </c>
      <c r="D47"/>
      <c r="E47"/>
      <c r="F47"/>
      <c r="G47" s="353"/>
      <c r="H47" s="353"/>
      <c r="I47" s="353"/>
      <c r="K47" s="457" t="str">
        <f t="shared" si="2"/>
        <v>LED Panel Lighting</v>
      </c>
      <c r="L47" s="457" t="str">
        <f t="shared" si="3"/>
        <v>Interior Support (Bathroom, Utility room, laundry room, garage)</v>
      </c>
      <c r="M47" s="457" t="str">
        <f t="shared" si="4"/>
        <v>All Residential 
(Single, Multi-family, and Mobile Homes)</v>
      </c>
      <c r="N47" s="457" t="str">
        <f t="shared" si="5"/>
        <v>Incandescent MSB</v>
      </c>
      <c r="O47" s="461">
        <f t="shared" si="6"/>
        <v>0</v>
      </c>
      <c r="P47" s="461">
        <f t="shared" si="7"/>
        <v>0</v>
      </c>
    </row>
    <row r="48" spans="3:21" ht="16.5" hidden="1" outlineLevel="1" thickTop="1" thickBot="1">
      <c r="C48"/>
      <c r="D48" s="384" t="s">
        <v>20</v>
      </c>
      <c r="E48"/>
      <c r="F48"/>
      <c r="G48" s="353"/>
      <c r="H48" s="353"/>
      <c r="I48" s="353"/>
      <c r="K48" s="457" t="str">
        <f t="shared" si="2"/>
        <v>LED Panel Lighting</v>
      </c>
      <c r="L48" s="457" t="str">
        <f t="shared" si="3"/>
        <v xml:space="preserve">Exterior </v>
      </c>
      <c r="M48" s="457" t="str">
        <f t="shared" si="4"/>
        <v>All Residential 
(Single, Multi-family, and Mobile Homes)</v>
      </c>
      <c r="N48" s="457" t="str">
        <f t="shared" si="5"/>
        <v>Incandescent MSB</v>
      </c>
      <c r="O48" s="461">
        <f t="shared" si="6"/>
        <v>0</v>
      </c>
      <c r="P48" s="461">
        <f t="shared" si="7"/>
        <v>0</v>
      </c>
    </row>
    <row r="49" spans="3:16" ht="16.5" hidden="1" outlineLevel="1" thickTop="1" thickBot="1">
      <c r="C49"/>
      <c r="D49"/>
      <c r="E49" s="384" t="s">
        <v>1326</v>
      </c>
      <c r="F49"/>
      <c r="G49" s="353"/>
      <c r="H49" s="353"/>
      <c r="I49" s="353"/>
      <c r="K49" s="457" t="str">
        <f t="shared" si="2"/>
        <v>LED Panel Lighting</v>
      </c>
      <c r="L49" s="457" t="str">
        <f t="shared" si="3"/>
        <v xml:space="preserve">Exterior </v>
      </c>
      <c r="M49" s="457" t="str">
        <f t="shared" si="4"/>
        <v>All Residential 
(Single, Multi-family, and Mobile Homes)</v>
      </c>
      <c r="N49" s="457" t="str">
        <f t="shared" si="5"/>
        <v>Incandescent MSB</v>
      </c>
      <c r="O49" s="461">
        <f t="shared" si="6"/>
        <v>0</v>
      </c>
      <c r="P49" s="461">
        <f t="shared" si="7"/>
        <v>0</v>
      </c>
    </row>
    <row r="50" spans="3:16" ht="16.5" hidden="1" outlineLevel="1" thickTop="1" thickBot="1">
      <c r="C50"/>
      <c r="D50"/>
      <c r="E50"/>
      <c r="F50" s="384" t="s">
        <v>27</v>
      </c>
      <c r="G50" s="353">
        <v>13.732406408342854</v>
      </c>
      <c r="H50" s="353">
        <v>9.0234363514845803</v>
      </c>
      <c r="I50" s="353"/>
      <c r="K50" s="457" t="str">
        <f t="shared" si="2"/>
        <v>LED Panel Lighting</v>
      </c>
      <c r="L50" s="457" t="str">
        <f t="shared" si="3"/>
        <v xml:space="preserve">Exterior </v>
      </c>
      <c r="M50" s="457" t="str">
        <f t="shared" si="4"/>
        <v>All Residential 
(Single, Multi-family, and Mobile Homes)</v>
      </c>
      <c r="N50" s="457" t="str">
        <f t="shared" si="5"/>
        <v>Linear Fluorescent</v>
      </c>
      <c r="O50" s="461">
        <f t="shared" si="6"/>
        <v>13.732406408342854</v>
      </c>
      <c r="P50" s="461">
        <f t="shared" si="7"/>
        <v>9.0234363514845803</v>
      </c>
    </row>
    <row r="51" spans="3:16" ht="16.5" hidden="1" outlineLevel="1" thickTop="1" thickBot="1">
      <c r="C51"/>
      <c r="D51" s="384" t="s">
        <v>21</v>
      </c>
      <c r="E51"/>
      <c r="F51"/>
      <c r="G51" s="353"/>
      <c r="H51" s="353"/>
      <c r="I51" s="353"/>
      <c r="K51" s="457" t="str">
        <f t="shared" si="2"/>
        <v>LED Panel Lighting</v>
      </c>
      <c r="L51" s="457" t="str">
        <f t="shared" si="3"/>
        <v>Interior Living 
(Kitchen, Bedroom, Living, Dining, etc)</v>
      </c>
      <c r="M51" s="457" t="str">
        <f t="shared" si="4"/>
        <v>All Residential 
(Single, Multi-family, and Mobile Homes)</v>
      </c>
      <c r="N51" s="457" t="str">
        <f t="shared" si="5"/>
        <v>Linear Fluorescent</v>
      </c>
      <c r="O51" s="461">
        <f t="shared" si="6"/>
        <v>0</v>
      </c>
      <c r="P51" s="461">
        <f t="shared" si="7"/>
        <v>0</v>
      </c>
    </row>
    <row r="52" spans="3:16" ht="16.5" hidden="1" outlineLevel="1" thickTop="1" thickBot="1">
      <c r="C52"/>
      <c r="D52"/>
      <c r="E52" s="384" t="s">
        <v>1326</v>
      </c>
      <c r="F52"/>
      <c r="G52" s="353"/>
      <c r="H52" s="353"/>
      <c r="I52" s="353"/>
      <c r="K52" s="457" t="str">
        <f t="shared" si="2"/>
        <v>LED Panel Lighting</v>
      </c>
      <c r="L52" s="457" t="str">
        <f t="shared" si="3"/>
        <v>Interior Living 
(Kitchen, Bedroom, Living, Dining, etc)</v>
      </c>
      <c r="M52" s="457" t="str">
        <f t="shared" si="4"/>
        <v>All Residential 
(Single, Multi-family, and Mobile Homes)</v>
      </c>
      <c r="N52" s="457" t="str">
        <f t="shared" si="5"/>
        <v>Linear Fluorescent</v>
      </c>
      <c r="O52" s="461">
        <f t="shared" si="6"/>
        <v>0</v>
      </c>
      <c r="P52" s="461">
        <f t="shared" si="7"/>
        <v>0</v>
      </c>
    </row>
    <row r="53" spans="3:16" ht="16.5" hidden="1" outlineLevel="1" thickTop="1" thickBot="1">
      <c r="C53"/>
      <c r="D53"/>
      <c r="E53"/>
      <c r="F53" s="384" t="s">
        <v>27</v>
      </c>
      <c r="G53" s="353">
        <v>87.028311165449054</v>
      </c>
      <c r="H53" s="353">
        <v>59.143148217924228</v>
      </c>
      <c r="I53" s="353"/>
      <c r="K53" s="457" t="str">
        <f t="shared" si="2"/>
        <v>LED Panel Lighting</v>
      </c>
      <c r="L53" s="457" t="str">
        <f t="shared" si="3"/>
        <v>Interior Living 
(Kitchen, Bedroom, Living, Dining, etc)</v>
      </c>
      <c r="M53" s="457" t="str">
        <f t="shared" si="4"/>
        <v>All Residential 
(Single, Multi-family, and Mobile Homes)</v>
      </c>
      <c r="N53" s="457" t="str">
        <f t="shared" si="5"/>
        <v>Linear Fluorescent</v>
      </c>
      <c r="O53" s="461">
        <f t="shared" si="6"/>
        <v>87.028311165449054</v>
      </c>
      <c r="P53" s="461">
        <f t="shared" si="7"/>
        <v>59.143148217924228</v>
      </c>
    </row>
    <row r="54" spans="3:16" ht="16.5" hidden="1" outlineLevel="1" thickTop="1" thickBot="1">
      <c r="C54"/>
      <c r="D54" s="384" t="s">
        <v>22</v>
      </c>
      <c r="E54"/>
      <c r="F54"/>
      <c r="G54" s="353"/>
      <c r="H54" s="353"/>
      <c r="I54" s="353"/>
      <c r="K54" s="457" t="str">
        <f t="shared" si="2"/>
        <v>LED Panel Lighting</v>
      </c>
      <c r="L54" s="457" t="str">
        <f t="shared" si="3"/>
        <v>Interior Support (Bathroom, Utility room, laundry room, garage)</v>
      </c>
      <c r="M54" s="457" t="str">
        <f t="shared" si="4"/>
        <v>All Residential 
(Single, Multi-family, and Mobile Homes)</v>
      </c>
      <c r="N54" s="457" t="str">
        <f t="shared" si="5"/>
        <v>Linear Fluorescent</v>
      </c>
      <c r="O54" s="461">
        <f t="shared" si="6"/>
        <v>0</v>
      </c>
      <c r="P54" s="461">
        <f t="shared" si="7"/>
        <v>0</v>
      </c>
    </row>
    <row r="55" spans="3:16" ht="16.5" hidden="1" outlineLevel="1" thickTop="1" thickBot="1">
      <c r="C55"/>
      <c r="D55"/>
      <c r="E55" s="384" t="s">
        <v>1326</v>
      </c>
      <c r="F55"/>
      <c r="G55" s="353"/>
      <c r="H55" s="353"/>
      <c r="I55" s="353"/>
      <c r="K55" s="457" t="str">
        <f t="shared" si="2"/>
        <v>LED Panel Lighting</v>
      </c>
      <c r="L55" s="457" t="str">
        <f t="shared" si="3"/>
        <v>Interior Support (Bathroom, Utility room, laundry room, garage)</v>
      </c>
      <c r="M55" s="457" t="str">
        <f t="shared" si="4"/>
        <v>All Residential 
(Single, Multi-family, and Mobile Homes)</v>
      </c>
      <c r="N55" s="457" t="str">
        <f t="shared" si="5"/>
        <v>Linear Fluorescent</v>
      </c>
      <c r="O55" s="461">
        <f t="shared" si="6"/>
        <v>0</v>
      </c>
      <c r="P55" s="461">
        <f t="shared" si="7"/>
        <v>0</v>
      </c>
    </row>
    <row r="56" spans="3:16" ht="16.5" hidden="1" outlineLevel="1" thickTop="1" thickBot="1">
      <c r="C56"/>
      <c r="D56"/>
      <c r="E56"/>
      <c r="F56" s="384" t="s">
        <v>27</v>
      </c>
      <c r="G56" s="353">
        <v>141.66657692476136</v>
      </c>
      <c r="H56" s="353">
        <v>95.626576599389395</v>
      </c>
      <c r="I56" s="353"/>
      <c r="K56" s="457" t="str">
        <f t="shared" si="2"/>
        <v>LED Panel Lighting</v>
      </c>
      <c r="L56" s="457" t="str">
        <f t="shared" si="3"/>
        <v>Interior Support (Bathroom, Utility room, laundry room, garage)</v>
      </c>
      <c r="M56" s="457" t="str">
        <f t="shared" si="4"/>
        <v>All Residential 
(Single, Multi-family, and Mobile Homes)</v>
      </c>
      <c r="N56" s="457" t="str">
        <f t="shared" si="5"/>
        <v>Linear Fluorescent</v>
      </c>
      <c r="O56" s="461">
        <f t="shared" si="6"/>
        <v>141.66657692476136</v>
      </c>
      <c r="P56" s="461">
        <f t="shared" si="7"/>
        <v>95.626576599389395</v>
      </c>
    </row>
    <row r="57" spans="3:16" ht="16.5" hidden="1" outlineLevel="1" thickTop="1" thickBot="1">
      <c r="C57" s="384" t="s">
        <v>16</v>
      </c>
      <c r="D57"/>
      <c r="E57"/>
      <c r="F57"/>
      <c r="G57" s="353"/>
      <c r="H57" s="353"/>
      <c r="I57" s="353"/>
      <c r="K57" s="457" t="str">
        <f t="shared" si="2"/>
        <v>LED Pin Base</v>
      </c>
      <c r="L57" s="457" t="str">
        <f t="shared" si="3"/>
        <v>Interior Support (Bathroom, Utility room, laundry room, garage)</v>
      </c>
      <c r="M57" s="457" t="str">
        <f t="shared" si="4"/>
        <v>All Residential 
(Single, Multi-family, and Mobile Homes)</v>
      </c>
      <c r="N57" s="457" t="str">
        <f t="shared" si="5"/>
        <v>Linear Fluorescent</v>
      </c>
      <c r="O57" s="461">
        <f t="shared" si="6"/>
        <v>0</v>
      </c>
      <c r="P57" s="461">
        <f t="shared" si="7"/>
        <v>0</v>
      </c>
    </row>
    <row r="58" spans="3:16" ht="16.5" hidden="1" outlineLevel="1" thickTop="1" thickBot="1">
      <c r="C58"/>
      <c r="D58" s="384" t="s">
        <v>20</v>
      </c>
      <c r="E58"/>
      <c r="F58"/>
      <c r="G58" s="353"/>
      <c r="H58" s="353"/>
      <c r="I58" s="353"/>
      <c r="K58" s="457" t="str">
        <f t="shared" si="2"/>
        <v>LED Pin Base</v>
      </c>
      <c r="L58" s="457" t="str">
        <f t="shared" si="3"/>
        <v xml:space="preserve">Exterior </v>
      </c>
      <c r="M58" s="457" t="str">
        <f t="shared" si="4"/>
        <v>All Residential 
(Single, Multi-family, and Mobile Homes)</v>
      </c>
      <c r="N58" s="457" t="str">
        <f t="shared" si="5"/>
        <v>Linear Fluorescent</v>
      </c>
      <c r="O58" s="461">
        <f t="shared" si="6"/>
        <v>0</v>
      </c>
      <c r="P58" s="461">
        <f t="shared" si="7"/>
        <v>0</v>
      </c>
    </row>
    <row r="59" spans="3:16" ht="16.5" hidden="1" outlineLevel="1" thickTop="1" thickBot="1">
      <c r="C59"/>
      <c r="D59"/>
      <c r="E59" s="384" t="s">
        <v>1326</v>
      </c>
      <c r="F59"/>
      <c r="G59" s="353"/>
      <c r="H59" s="353"/>
      <c r="I59" s="353"/>
      <c r="K59" s="457" t="str">
        <f t="shared" si="2"/>
        <v>LED Pin Base</v>
      </c>
      <c r="L59" s="457" t="str">
        <f t="shared" si="3"/>
        <v xml:space="preserve">Exterior </v>
      </c>
      <c r="M59" s="457" t="str">
        <f t="shared" si="4"/>
        <v>All Residential 
(Single, Multi-family, and Mobile Homes)</v>
      </c>
      <c r="N59" s="457" t="str">
        <f t="shared" si="5"/>
        <v>Linear Fluorescent</v>
      </c>
      <c r="O59" s="461">
        <f t="shared" si="6"/>
        <v>0</v>
      </c>
      <c r="P59" s="461">
        <f t="shared" si="7"/>
        <v>0</v>
      </c>
    </row>
    <row r="60" spans="3:16" ht="16.5" hidden="1" outlineLevel="1" thickTop="1" thickBot="1">
      <c r="C60"/>
      <c r="D60"/>
      <c r="E60"/>
      <c r="F60" s="384" t="s">
        <v>81</v>
      </c>
      <c r="G60" s="353">
        <v>183.20540563319796</v>
      </c>
      <c r="H60" s="353">
        <v>30.192722904897703</v>
      </c>
      <c r="I60" s="353"/>
      <c r="K60" s="457" t="str">
        <f t="shared" si="2"/>
        <v>LED Pin Base</v>
      </c>
      <c r="L60" s="457" t="str">
        <f t="shared" si="3"/>
        <v xml:space="preserve">Exterior </v>
      </c>
      <c r="M60" s="457" t="str">
        <f t="shared" si="4"/>
        <v>All Residential 
(Single, Multi-family, and Mobile Homes)</v>
      </c>
      <c r="N60" s="457" t="str">
        <f t="shared" si="5"/>
        <v>Halogen Pin Base</v>
      </c>
      <c r="O60" s="461">
        <f t="shared" si="6"/>
        <v>183.20540563319796</v>
      </c>
      <c r="P60" s="461">
        <f t="shared" si="7"/>
        <v>30.192722904897703</v>
      </c>
    </row>
    <row r="61" spans="3:16" ht="16.5" hidden="1" outlineLevel="1" thickTop="1" thickBot="1">
      <c r="C61"/>
      <c r="D61" s="384" t="s">
        <v>21</v>
      </c>
      <c r="E61"/>
      <c r="F61"/>
      <c r="G61" s="353"/>
      <c r="H61" s="353"/>
      <c r="I61" s="353"/>
      <c r="K61" s="457" t="str">
        <f t="shared" si="2"/>
        <v>LED Pin Base</v>
      </c>
      <c r="L61" s="457" t="str">
        <f t="shared" si="3"/>
        <v>Interior Living 
(Kitchen, Bedroom, Living, Dining, etc)</v>
      </c>
      <c r="M61" s="457" t="str">
        <f t="shared" si="4"/>
        <v>All Residential 
(Single, Multi-family, and Mobile Homes)</v>
      </c>
      <c r="N61" s="457" t="str">
        <f t="shared" si="5"/>
        <v>Halogen Pin Base</v>
      </c>
      <c r="O61" s="461">
        <f t="shared" si="6"/>
        <v>0</v>
      </c>
      <c r="P61" s="461">
        <f t="shared" si="7"/>
        <v>0</v>
      </c>
    </row>
    <row r="62" spans="3:16" ht="16.5" hidden="1" outlineLevel="1" thickTop="1" thickBot="1">
      <c r="C62"/>
      <c r="D62"/>
      <c r="E62" s="384" t="s">
        <v>1326</v>
      </c>
      <c r="F62"/>
      <c r="G62" s="353"/>
      <c r="H62" s="353"/>
      <c r="I62" s="353"/>
      <c r="K62" s="457" t="str">
        <f t="shared" si="2"/>
        <v>LED Pin Base</v>
      </c>
      <c r="L62" s="457" t="str">
        <f t="shared" si="3"/>
        <v>Interior Living 
(Kitchen, Bedroom, Living, Dining, etc)</v>
      </c>
      <c r="M62" s="457" t="str">
        <f t="shared" si="4"/>
        <v>All Residential 
(Single, Multi-family, and Mobile Homes)</v>
      </c>
      <c r="N62" s="457" t="str">
        <f t="shared" si="5"/>
        <v>Halogen Pin Base</v>
      </c>
      <c r="O62" s="461">
        <f t="shared" si="6"/>
        <v>0</v>
      </c>
      <c r="P62" s="461">
        <f t="shared" si="7"/>
        <v>0</v>
      </c>
    </row>
    <row r="63" spans="3:16" ht="16.5" hidden="1" outlineLevel="1" thickTop="1" thickBot="1">
      <c r="C63"/>
      <c r="D63"/>
      <c r="E63"/>
      <c r="F63" s="384" t="s">
        <v>81</v>
      </c>
      <c r="G63" s="353">
        <v>267.15088268841322</v>
      </c>
      <c r="H63" s="353">
        <v>47.677774239188643</v>
      </c>
      <c r="I63" s="353"/>
      <c r="K63" s="457" t="str">
        <f t="shared" si="2"/>
        <v>LED Pin Base</v>
      </c>
      <c r="L63" s="457" t="str">
        <f t="shared" si="3"/>
        <v>Interior Living 
(Kitchen, Bedroom, Living, Dining, etc)</v>
      </c>
      <c r="M63" s="457" t="str">
        <f t="shared" si="4"/>
        <v>All Residential 
(Single, Multi-family, and Mobile Homes)</v>
      </c>
      <c r="N63" s="457" t="str">
        <f t="shared" si="5"/>
        <v>Halogen Pin Base</v>
      </c>
      <c r="O63" s="461">
        <f t="shared" si="6"/>
        <v>267.15088268841322</v>
      </c>
      <c r="P63" s="461">
        <f t="shared" si="7"/>
        <v>47.677774239188643</v>
      </c>
    </row>
    <row r="64" spans="3:16" ht="16.5" hidden="1" outlineLevel="1" thickTop="1" thickBot="1">
      <c r="C64"/>
      <c r="D64" s="384" t="s">
        <v>22</v>
      </c>
      <c r="E64"/>
      <c r="F64"/>
      <c r="G64" s="353"/>
      <c r="H64" s="353"/>
      <c r="I64" s="353"/>
      <c r="K64" s="457" t="str">
        <f t="shared" si="2"/>
        <v>LED Pin Base</v>
      </c>
      <c r="L64" s="457" t="str">
        <f t="shared" si="3"/>
        <v>Interior Support (Bathroom, Utility room, laundry room, garage)</v>
      </c>
      <c r="M64" s="457" t="str">
        <f t="shared" si="4"/>
        <v>All Residential 
(Single, Multi-family, and Mobile Homes)</v>
      </c>
      <c r="N64" s="457" t="str">
        <f t="shared" si="5"/>
        <v>Halogen Pin Base</v>
      </c>
      <c r="O64" s="461">
        <f t="shared" si="6"/>
        <v>0</v>
      </c>
      <c r="P64" s="461">
        <f t="shared" si="7"/>
        <v>0</v>
      </c>
    </row>
    <row r="65" spans="3:16" ht="16.5" hidden="1" outlineLevel="1" thickTop="1" thickBot="1">
      <c r="C65"/>
      <c r="D65"/>
      <c r="E65" s="384" t="s">
        <v>1326</v>
      </c>
      <c r="F65"/>
      <c r="G65" s="353"/>
      <c r="H65" s="353"/>
      <c r="I65" s="353"/>
      <c r="K65" s="457" t="str">
        <f t="shared" si="2"/>
        <v>LED Pin Base</v>
      </c>
      <c r="L65" s="457" t="str">
        <f t="shared" si="3"/>
        <v>Interior Support (Bathroom, Utility room, laundry room, garage)</v>
      </c>
      <c r="M65" s="457" t="str">
        <f t="shared" si="4"/>
        <v>All Residential 
(Single, Multi-family, and Mobile Homes)</v>
      </c>
      <c r="N65" s="457" t="str">
        <f t="shared" si="5"/>
        <v>Halogen Pin Base</v>
      </c>
      <c r="O65" s="461">
        <f t="shared" si="6"/>
        <v>0</v>
      </c>
      <c r="P65" s="461">
        <f t="shared" si="7"/>
        <v>0</v>
      </c>
    </row>
    <row r="66" spans="3:16" ht="16.5" hidden="1" outlineLevel="1" thickTop="1" thickBot="1">
      <c r="C66"/>
      <c r="D66"/>
      <c r="E66"/>
      <c r="F66" s="384" t="s">
        <v>81</v>
      </c>
      <c r="G66" s="353">
        <v>75.923313463651795</v>
      </c>
      <c r="H66" s="353">
        <v>21.626585449116074</v>
      </c>
      <c r="I66" s="353"/>
      <c r="K66" s="457" t="str">
        <f t="shared" si="2"/>
        <v>LED Pin Base</v>
      </c>
      <c r="L66" s="457" t="str">
        <f t="shared" si="3"/>
        <v>Interior Support (Bathroom, Utility room, laundry room, garage)</v>
      </c>
      <c r="M66" s="457" t="str">
        <f t="shared" si="4"/>
        <v>All Residential 
(Single, Multi-family, and Mobile Homes)</v>
      </c>
      <c r="N66" s="457" t="str">
        <f t="shared" si="5"/>
        <v>Halogen Pin Base</v>
      </c>
      <c r="O66" s="461">
        <f t="shared" si="6"/>
        <v>75.923313463651795</v>
      </c>
      <c r="P66" s="461">
        <f t="shared" si="7"/>
        <v>21.626585449116074</v>
      </c>
    </row>
    <row r="67" spans="3:16" ht="16.5" hidden="1" outlineLevel="1" thickTop="1" thickBot="1">
      <c r="C67" s="384" t="s">
        <v>17</v>
      </c>
      <c r="D67"/>
      <c r="E67"/>
      <c r="F67"/>
      <c r="G67" s="353"/>
      <c r="H67" s="353"/>
      <c r="I67" s="353"/>
      <c r="K67" s="457" t="str">
        <f t="shared" si="2"/>
        <v>LED SSB</v>
      </c>
      <c r="L67" s="457" t="str">
        <f t="shared" si="3"/>
        <v>Interior Support (Bathroom, Utility room, laundry room, garage)</v>
      </c>
      <c r="M67" s="457" t="str">
        <f t="shared" si="4"/>
        <v>All Residential 
(Single, Multi-family, and Mobile Homes)</v>
      </c>
      <c r="N67" s="457" t="str">
        <f t="shared" si="5"/>
        <v>Halogen Pin Base</v>
      </c>
      <c r="O67" s="461">
        <f t="shared" si="6"/>
        <v>0</v>
      </c>
      <c r="P67" s="461">
        <f t="shared" si="7"/>
        <v>0</v>
      </c>
    </row>
    <row r="68" spans="3:16" ht="16.5" hidden="1" outlineLevel="1" thickTop="1" thickBot="1">
      <c r="C68"/>
      <c r="D68" s="384" t="s">
        <v>20</v>
      </c>
      <c r="E68"/>
      <c r="F68"/>
      <c r="G68" s="353"/>
      <c r="H68" s="353"/>
      <c r="I68" s="353"/>
      <c r="K68" s="457" t="str">
        <f t="shared" si="2"/>
        <v>LED SSB</v>
      </c>
      <c r="L68" s="457" t="str">
        <f t="shared" si="3"/>
        <v xml:space="preserve">Exterior </v>
      </c>
      <c r="M68" s="457" t="str">
        <f t="shared" si="4"/>
        <v>All Residential 
(Single, Multi-family, and Mobile Homes)</v>
      </c>
      <c r="N68" s="457" t="str">
        <f t="shared" si="5"/>
        <v>Halogen Pin Base</v>
      </c>
      <c r="O68" s="461">
        <f t="shared" si="6"/>
        <v>0</v>
      </c>
      <c r="P68" s="461">
        <f t="shared" si="7"/>
        <v>0</v>
      </c>
    </row>
    <row r="69" spans="3:16" ht="16.5" hidden="1" outlineLevel="1" thickTop="1" thickBot="1">
      <c r="C69"/>
      <c r="D69"/>
      <c r="E69" s="384" t="s">
        <v>1326</v>
      </c>
      <c r="F69"/>
      <c r="G69" s="353"/>
      <c r="H69" s="353"/>
      <c r="I69" s="353"/>
      <c r="K69" s="457" t="str">
        <f t="shared" si="2"/>
        <v>LED SSB</v>
      </c>
      <c r="L69" s="457" t="str">
        <f t="shared" si="3"/>
        <v xml:space="preserve">Exterior </v>
      </c>
      <c r="M69" s="457" t="str">
        <f t="shared" si="4"/>
        <v>All Residential 
(Single, Multi-family, and Mobile Homes)</v>
      </c>
      <c r="N69" s="457" t="str">
        <f t="shared" si="5"/>
        <v>Halogen Pin Base</v>
      </c>
      <c r="O69" s="461">
        <f t="shared" si="6"/>
        <v>0</v>
      </c>
      <c r="P69" s="461">
        <f t="shared" si="7"/>
        <v>0</v>
      </c>
    </row>
    <row r="70" spans="3:16" ht="16.5" hidden="1" outlineLevel="1" thickTop="1" thickBot="1">
      <c r="C70"/>
      <c r="D70"/>
      <c r="E70"/>
      <c r="F70" s="384" t="s">
        <v>79</v>
      </c>
      <c r="G70" s="353">
        <v>104.19128652001687</v>
      </c>
      <c r="H70" s="353">
        <v>27.46757909572003</v>
      </c>
      <c r="I70" s="353"/>
      <c r="K70" s="457" t="str">
        <f t="shared" si="2"/>
        <v>LED SSB</v>
      </c>
      <c r="L70" s="457" t="str">
        <f t="shared" si="3"/>
        <v xml:space="preserve">Exterior </v>
      </c>
      <c r="M70" s="457" t="str">
        <f t="shared" si="4"/>
        <v>All Residential 
(Single, Multi-family, and Mobile Homes)</v>
      </c>
      <c r="N70" s="457" t="str">
        <f t="shared" si="5"/>
        <v>Incandescent SSB</v>
      </c>
      <c r="O70" s="461">
        <f t="shared" si="6"/>
        <v>104.19128652001687</v>
      </c>
      <c r="P70" s="461">
        <f t="shared" si="7"/>
        <v>27.46757909572003</v>
      </c>
    </row>
    <row r="71" spans="3:16" ht="16.5" hidden="1" outlineLevel="1" thickTop="1" thickBot="1">
      <c r="C71"/>
      <c r="D71" s="384" t="s">
        <v>21</v>
      </c>
      <c r="E71"/>
      <c r="F71"/>
      <c r="G71" s="353"/>
      <c r="H71" s="353"/>
      <c r="I71" s="353"/>
      <c r="K71" s="457" t="str">
        <f t="shared" ref="K71:K102" si="8">IF(C71=0,K70,C71)</f>
        <v>LED SSB</v>
      </c>
      <c r="L71" s="457" t="str">
        <f t="shared" ref="L71:L102" si="9">IF(D71=0,L70,D71)</f>
        <v>Interior Living 
(Kitchen, Bedroom, Living, Dining, etc)</v>
      </c>
      <c r="M71" s="457" t="str">
        <f t="shared" ref="M71:M102" si="10">IF(E71=0,M70,E71)</f>
        <v>All Residential 
(Single, Multi-family, and Mobile Homes)</v>
      </c>
      <c r="N71" s="457" t="str">
        <f t="shared" si="5"/>
        <v>Incandescent SSB</v>
      </c>
      <c r="O71" s="461">
        <f t="shared" ref="O71:O102" si="11">G71</f>
        <v>0</v>
      </c>
      <c r="P71" s="461">
        <f t="shared" ref="P71:P102" si="12">H71</f>
        <v>0</v>
      </c>
    </row>
    <row r="72" spans="3:16" ht="16.5" hidden="1" outlineLevel="1" thickTop="1" thickBot="1">
      <c r="C72"/>
      <c r="D72"/>
      <c r="E72" s="384" t="s">
        <v>1326</v>
      </c>
      <c r="F72"/>
      <c r="G72" s="353"/>
      <c r="H72" s="353"/>
      <c r="I72" s="353"/>
      <c r="K72" s="457" t="str">
        <f t="shared" si="8"/>
        <v>LED SSB</v>
      </c>
      <c r="L72" s="457" t="str">
        <f t="shared" si="9"/>
        <v>Interior Living 
(Kitchen, Bedroom, Living, Dining, etc)</v>
      </c>
      <c r="M72" s="457" t="str">
        <f t="shared" si="10"/>
        <v>All Residential 
(Single, Multi-family, and Mobile Homes)</v>
      </c>
      <c r="N72" s="457" t="str">
        <f t="shared" ref="N72:N135" si="13">IF(F72=0,N71,F72)</f>
        <v>Incandescent SSB</v>
      </c>
      <c r="O72" s="461">
        <f t="shared" si="11"/>
        <v>0</v>
      </c>
      <c r="P72" s="461">
        <f t="shared" si="12"/>
        <v>0</v>
      </c>
    </row>
    <row r="73" spans="3:16" ht="16.5" hidden="1" outlineLevel="1" thickTop="1" thickBot="1">
      <c r="C73"/>
      <c r="D73"/>
      <c r="E73"/>
      <c r="F73" s="384" t="s">
        <v>79</v>
      </c>
      <c r="G73" s="353">
        <v>332.69200995969754</v>
      </c>
      <c r="H73" s="353">
        <v>72.104556789616055</v>
      </c>
      <c r="I73" s="353"/>
      <c r="K73" s="457" t="str">
        <f t="shared" si="8"/>
        <v>LED SSB</v>
      </c>
      <c r="L73" s="457" t="str">
        <f t="shared" si="9"/>
        <v>Interior Living 
(Kitchen, Bedroom, Living, Dining, etc)</v>
      </c>
      <c r="M73" s="457" t="str">
        <f t="shared" si="10"/>
        <v>All Residential 
(Single, Multi-family, and Mobile Homes)</v>
      </c>
      <c r="N73" s="457" t="str">
        <f t="shared" si="13"/>
        <v>Incandescent SSB</v>
      </c>
      <c r="O73" s="461">
        <f t="shared" si="11"/>
        <v>332.69200995969754</v>
      </c>
      <c r="P73" s="461">
        <f t="shared" si="12"/>
        <v>72.104556789616055</v>
      </c>
    </row>
    <row r="74" spans="3:16" ht="16.5" hidden="1" outlineLevel="1" thickTop="1" thickBot="1">
      <c r="C74"/>
      <c r="D74" s="384" t="s">
        <v>22</v>
      </c>
      <c r="E74"/>
      <c r="F74"/>
      <c r="G74" s="353"/>
      <c r="H74" s="353"/>
      <c r="I74" s="353"/>
      <c r="K74" s="457" t="str">
        <f t="shared" si="8"/>
        <v>LED SSB</v>
      </c>
      <c r="L74" s="457" t="str">
        <f t="shared" si="9"/>
        <v>Interior Support (Bathroom, Utility room, laundry room, garage)</v>
      </c>
      <c r="M74" s="457" t="str">
        <f t="shared" si="10"/>
        <v>All Residential 
(Single, Multi-family, and Mobile Homes)</v>
      </c>
      <c r="N74" s="457" t="str">
        <f t="shared" si="13"/>
        <v>Incandescent SSB</v>
      </c>
      <c r="O74" s="461">
        <f t="shared" si="11"/>
        <v>0</v>
      </c>
      <c r="P74" s="461">
        <f t="shared" si="12"/>
        <v>0</v>
      </c>
    </row>
    <row r="75" spans="3:16" ht="16.5" hidden="1" outlineLevel="1" thickTop="1" thickBot="1">
      <c r="C75"/>
      <c r="D75"/>
      <c r="E75" s="384" t="s">
        <v>1326</v>
      </c>
      <c r="F75"/>
      <c r="G75" s="353"/>
      <c r="H75" s="353"/>
      <c r="I75" s="353"/>
      <c r="K75" s="457" t="str">
        <f t="shared" si="8"/>
        <v>LED SSB</v>
      </c>
      <c r="L75" s="457" t="str">
        <f t="shared" si="9"/>
        <v>Interior Support (Bathroom, Utility room, laundry room, garage)</v>
      </c>
      <c r="M75" s="457" t="str">
        <f t="shared" si="10"/>
        <v>All Residential 
(Single, Multi-family, and Mobile Homes)</v>
      </c>
      <c r="N75" s="457" t="str">
        <f t="shared" si="13"/>
        <v>Incandescent SSB</v>
      </c>
      <c r="O75" s="461">
        <f t="shared" si="11"/>
        <v>0</v>
      </c>
      <c r="P75" s="461">
        <f t="shared" si="12"/>
        <v>0</v>
      </c>
    </row>
    <row r="76" spans="3:16" ht="16.5" hidden="1" outlineLevel="1" thickTop="1" thickBot="1">
      <c r="C76"/>
      <c r="D76"/>
      <c r="E76"/>
      <c r="F76" s="384" t="s">
        <v>79</v>
      </c>
      <c r="G76" s="353">
        <v>131.52500296407061</v>
      </c>
      <c r="H76" s="353">
        <v>36.152728703555312</v>
      </c>
      <c r="I76" s="353"/>
      <c r="K76" s="457" t="str">
        <f t="shared" si="8"/>
        <v>LED SSB</v>
      </c>
      <c r="L76" s="457" t="str">
        <f t="shared" si="9"/>
        <v>Interior Support (Bathroom, Utility room, laundry room, garage)</v>
      </c>
      <c r="M76" s="457" t="str">
        <f t="shared" si="10"/>
        <v>All Residential 
(Single, Multi-family, and Mobile Homes)</v>
      </c>
      <c r="N76" s="457" t="str">
        <f t="shared" si="13"/>
        <v>Incandescent SSB</v>
      </c>
      <c r="O76" s="461">
        <f t="shared" si="11"/>
        <v>131.52500296407061</v>
      </c>
      <c r="P76" s="461">
        <f t="shared" si="12"/>
        <v>36.152728703555312</v>
      </c>
    </row>
    <row r="77" spans="3:16" ht="16.5" hidden="1" outlineLevel="1" thickTop="1" thickBot="1">
      <c r="C77" s="384" t="s">
        <v>1360</v>
      </c>
      <c r="D77"/>
      <c r="E77"/>
      <c r="F77"/>
      <c r="G77" s="353"/>
      <c r="H77" s="353"/>
      <c r="I77" s="353"/>
      <c r="K77" s="457" t="str">
        <f t="shared" si="8"/>
        <v>CFL SSB</v>
      </c>
      <c r="L77" s="457" t="str">
        <f t="shared" si="9"/>
        <v>Interior Support (Bathroom, Utility room, laundry room, garage)</v>
      </c>
      <c r="M77" s="457" t="str">
        <f t="shared" si="10"/>
        <v>All Residential 
(Single, Multi-family, and Mobile Homes)</v>
      </c>
      <c r="N77" s="457" t="str">
        <f t="shared" si="13"/>
        <v>Incandescent SSB</v>
      </c>
      <c r="O77" s="461">
        <f t="shared" si="11"/>
        <v>0</v>
      </c>
      <c r="P77" s="461">
        <f t="shared" si="12"/>
        <v>0</v>
      </c>
    </row>
    <row r="78" spans="3:16" ht="16.5" hidden="1" outlineLevel="1" thickTop="1" thickBot="1">
      <c r="C78"/>
      <c r="D78" s="384" t="s">
        <v>20</v>
      </c>
      <c r="E78"/>
      <c r="F78"/>
      <c r="G78" s="353"/>
      <c r="H78" s="353"/>
      <c r="I78" s="353"/>
      <c r="K78" s="457" t="str">
        <f t="shared" si="8"/>
        <v>CFL SSB</v>
      </c>
      <c r="L78" s="457" t="str">
        <f t="shared" si="9"/>
        <v xml:space="preserve">Exterior </v>
      </c>
      <c r="M78" s="457" t="str">
        <f t="shared" si="10"/>
        <v>All Residential 
(Single, Multi-family, and Mobile Homes)</v>
      </c>
      <c r="N78" s="457" t="str">
        <f t="shared" si="13"/>
        <v>Incandescent SSB</v>
      </c>
      <c r="O78" s="461">
        <f t="shared" si="11"/>
        <v>0</v>
      </c>
      <c r="P78" s="461">
        <f t="shared" si="12"/>
        <v>0</v>
      </c>
    </row>
    <row r="79" spans="3:16" ht="16.5" hidden="1" outlineLevel="1" thickTop="1" thickBot="1">
      <c r="C79"/>
      <c r="D79"/>
      <c r="E79" s="384" t="s">
        <v>1326</v>
      </c>
      <c r="F79"/>
      <c r="G79" s="353"/>
      <c r="H79" s="353"/>
      <c r="I79" s="353"/>
      <c r="K79" s="457" t="str">
        <f t="shared" si="8"/>
        <v>CFL SSB</v>
      </c>
      <c r="L79" s="457" t="str">
        <f t="shared" si="9"/>
        <v xml:space="preserve">Exterior </v>
      </c>
      <c r="M79" s="457" t="str">
        <f t="shared" si="10"/>
        <v>All Residential 
(Single, Multi-family, and Mobile Homes)</v>
      </c>
      <c r="N79" s="457" t="str">
        <f t="shared" si="13"/>
        <v>Incandescent SSB</v>
      </c>
      <c r="O79" s="461">
        <f t="shared" si="11"/>
        <v>0</v>
      </c>
      <c r="P79" s="461">
        <f t="shared" si="12"/>
        <v>0</v>
      </c>
    </row>
    <row r="80" spans="3:16" ht="16.5" hidden="1" outlineLevel="1" thickTop="1" thickBot="1">
      <c r="C80"/>
      <c r="D80"/>
      <c r="E80"/>
      <c r="F80" s="384" t="s">
        <v>79</v>
      </c>
      <c r="G80" s="353">
        <v>97.939809328815855</v>
      </c>
      <c r="H80" s="353">
        <v>27.46757909572003</v>
      </c>
      <c r="I80" s="353"/>
      <c r="K80" s="457" t="str">
        <f t="shared" si="8"/>
        <v>CFL SSB</v>
      </c>
      <c r="L80" s="457" t="str">
        <f t="shared" si="9"/>
        <v xml:space="preserve">Exterior </v>
      </c>
      <c r="M80" s="457" t="str">
        <f t="shared" si="10"/>
        <v>All Residential 
(Single, Multi-family, and Mobile Homes)</v>
      </c>
      <c r="N80" s="457" t="str">
        <f t="shared" si="13"/>
        <v>Incandescent SSB</v>
      </c>
      <c r="O80" s="461">
        <f t="shared" si="11"/>
        <v>97.939809328815855</v>
      </c>
      <c r="P80" s="461">
        <f t="shared" si="12"/>
        <v>27.46757909572003</v>
      </c>
    </row>
    <row r="81" spans="3:16" ht="16.5" hidden="1" outlineLevel="1" thickTop="1" thickBot="1">
      <c r="C81"/>
      <c r="D81" s="384" t="s">
        <v>21</v>
      </c>
      <c r="E81"/>
      <c r="F81"/>
      <c r="G81" s="353"/>
      <c r="H81" s="353"/>
      <c r="I81" s="353"/>
      <c r="K81" s="457" t="str">
        <f t="shared" si="8"/>
        <v>CFL SSB</v>
      </c>
      <c r="L81" s="457" t="str">
        <f t="shared" si="9"/>
        <v>Interior Living 
(Kitchen, Bedroom, Living, Dining, etc)</v>
      </c>
      <c r="M81" s="457" t="str">
        <f t="shared" si="10"/>
        <v>All Residential 
(Single, Multi-family, and Mobile Homes)</v>
      </c>
      <c r="N81" s="457" t="str">
        <f t="shared" si="13"/>
        <v>Incandescent SSB</v>
      </c>
      <c r="O81" s="461">
        <f t="shared" si="11"/>
        <v>0</v>
      </c>
      <c r="P81" s="461">
        <f t="shared" si="12"/>
        <v>0</v>
      </c>
    </row>
    <row r="82" spans="3:16" ht="16.5" hidden="1" outlineLevel="1" thickTop="1" thickBot="1">
      <c r="C82"/>
      <c r="D82"/>
      <c r="E82" s="384" t="s">
        <v>1326</v>
      </c>
      <c r="F82"/>
      <c r="G82" s="353"/>
      <c r="H82" s="353"/>
      <c r="I82" s="353"/>
      <c r="K82" s="457" t="str">
        <f t="shared" si="8"/>
        <v>CFL SSB</v>
      </c>
      <c r="L82" s="457" t="str">
        <f t="shared" si="9"/>
        <v>Interior Living 
(Kitchen, Bedroom, Living, Dining, etc)</v>
      </c>
      <c r="M82" s="457" t="str">
        <f t="shared" si="10"/>
        <v>All Residential 
(Single, Multi-family, and Mobile Homes)</v>
      </c>
      <c r="N82" s="457" t="str">
        <f t="shared" si="13"/>
        <v>Incandescent SSB</v>
      </c>
      <c r="O82" s="461">
        <f t="shared" si="11"/>
        <v>0</v>
      </c>
      <c r="P82" s="461">
        <f t="shared" si="12"/>
        <v>0</v>
      </c>
    </row>
    <row r="83" spans="3:16" ht="16.5" hidden="1" outlineLevel="1" thickTop="1" thickBot="1">
      <c r="C83"/>
      <c r="D83"/>
      <c r="E83"/>
      <c r="F83" s="384" t="s">
        <v>79</v>
      </c>
      <c r="G83" s="353">
        <v>312.73048936211563</v>
      </c>
      <c r="H83" s="353">
        <v>72.104556789616055</v>
      </c>
      <c r="I83" s="353"/>
      <c r="K83" s="457" t="str">
        <f t="shared" si="8"/>
        <v>CFL SSB</v>
      </c>
      <c r="L83" s="457" t="str">
        <f t="shared" si="9"/>
        <v>Interior Living 
(Kitchen, Bedroom, Living, Dining, etc)</v>
      </c>
      <c r="M83" s="457" t="str">
        <f t="shared" si="10"/>
        <v>All Residential 
(Single, Multi-family, and Mobile Homes)</v>
      </c>
      <c r="N83" s="457" t="str">
        <f t="shared" si="13"/>
        <v>Incandescent SSB</v>
      </c>
      <c r="O83" s="461">
        <f t="shared" si="11"/>
        <v>312.73048936211563</v>
      </c>
      <c r="P83" s="461">
        <f t="shared" si="12"/>
        <v>72.104556789616055</v>
      </c>
    </row>
    <row r="84" spans="3:16" ht="16.5" hidden="1" outlineLevel="1" thickTop="1" thickBot="1">
      <c r="C84"/>
      <c r="D84" s="384" t="s">
        <v>22</v>
      </c>
      <c r="E84"/>
      <c r="F84"/>
      <c r="G84" s="353"/>
      <c r="H84" s="353"/>
      <c r="I84" s="353"/>
      <c r="K84" s="457" t="str">
        <f t="shared" si="8"/>
        <v>CFL SSB</v>
      </c>
      <c r="L84" s="457" t="str">
        <f t="shared" si="9"/>
        <v>Interior Support (Bathroom, Utility room, laundry room, garage)</v>
      </c>
      <c r="M84" s="457" t="str">
        <f t="shared" si="10"/>
        <v>All Residential 
(Single, Multi-family, and Mobile Homes)</v>
      </c>
      <c r="N84" s="457" t="str">
        <f t="shared" si="13"/>
        <v>Incandescent SSB</v>
      </c>
      <c r="O84" s="461">
        <f t="shared" si="11"/>
        <v>0</v>
      </c>
      <c r="P84" s="461">
        <f t="shared" si="12"/>
        <v>0</v>
      </c>
    </row>
    <row r="85" spans="3:16" ht="16.5" hidden="1" outlineLevel="1" thickTop="1" thickBot="1">
      <c r="C85"/>
      <c r="D85"/>
      <c r="E85" s="384" t="s">
        <v>1326</v>
      </c>
      <c r="F85"/>
      <c r="G85" s="353"/>
      <c r="H85" s="353"/>
      <c r="I85" s="353"/>
      <c r="K85" s="457" t="str">
        <f t="shared" si="8"/>
        <v>CFL SSB</v>
      </c>
      <c r="L85" s="457" t="str">
        <f t="shared" si="9"/>
        <v>Interior Support (Bathroom, Utility room, laundry room, garage)</v>
      </c>
      <c r="M85" s="457" t="str">
        <f t="shared" si="10"/>
        <v>All Residential 
(Single, Multi-family, and Mobile Homes)</v>
      </c>
      <c r="N85" s="457" t="str">
        <f t="shared" si="13"/>
        <v>Incandescent SSB</v>
      </c>
      <c r="O85" s="461">
        <f t="shared" si="11"/>
        <v>0</v>
      </c>
      <c r="P85" s="461">
        <f t="shared" si="12"/>
        <v>0</v>
      </c>
    </row>
    <row r="86" spans="3:16" ht="16.5" hidden="1" outlineLevel="1" thickTop="1" thickBot="1">
      <c r="C86"/>
      <c r="D86"/>
      <c r="E86"/>
      <c r="F86" s="384" t="s">
        <v>79</v>
      </c>
      <c r="G86" s="353">
        <v>123.63350278622639</v>
      </c>
      <c r="H86" s="353">
        <v>36.152728703555312</v>
      </c>
      <c r="I86" s="353"/>
      <c r="K86" s="457" t="str">
        <f t="shared" si="8"/>
        <v>CFL SSB</v>
      </c>
      <c r="L86" s="457" t="str">
        <f t="shared" si="9"/>
        <v>Interior Support (Bathroom, Utility room, laundry room, garage)</v>
      </c>
      <c r="M86" s="457" t="str">
        <f t="shared" si="10"/>
        <v>All Residential 
(Single, Multi-family, and Mobile Homes)</v>
      </c>
      <c r="N86" s="457" t="str">
        <f t="shared" si="13"/>
        <v>Incandescent SSB</v>
      </c>
      <c r="O86" s="461">
        <f t="shared" si="11"/>
        <v>123.63350278622639</v>
      </c>
      <c r="P86" s="461">
        <f t="shared" si="12"/>
        <v>36.152728703555312</v>
      </c>
    </row>
    <row r="87" spans="3:16" ht="16.5" hidden="1" outlineLevel="1" thickTop="1" thickBot="1">
      <c r="C87" s="384" t="s">
        <v>1367</v>
      </c>
      <c r="D87"/>
      <c r="E87"/>
      <c r="F87"/>
      <c r="G87" s="353"/>
      <c r="H87" s="353"/>
      <c r="I87" s="353"/>
      <c r="K87" s="457" t="str">
        <f t="shared" si="8"/>
        <v>CFL Pin Base</v>
      </c>
      <c r="L87" s="457" t="str">
        <f t="shared" si="9"/>
        <v>Interior Support (Bathroom, Utility room, laundry room, garage)</v>
      </c>
      <c r="M87" s="457" t="str">
        <f t="shared" si="10"/>
        <v>All Residential 
(Single, Multi-family, and Mobile Homes)</v>
      </c>
      <c r="N87" s="457" t="str">
        <f t="shared" si="13"/>
        <v>Incandescent SSB</v>
      </c>
      <c r="O87" s="461">
        <f t="shared" si="11"/>
        <v>0</v>
      </c>
      <c r="P87" s="461">
        <f t="shared" si="12"/>
        <v>0</v>
      </c>
    </row>
    <row r="88" spans="3:16" ht="16.5" hidden="1" outlineLevel="1" thickTop="1" thickBot="1">
      <c r="C88"/>
      <c r="D88" s="384" t="s">
        <v>20</v>
      </c>
      <c r="E88"/>
      <c r="F88"/>
      <c r="G88" s="353"/>
      <c r="H88" s="353"/>
      <c r="I88" s="353"/>
      <c r="K88" s="457" t="str">
        <f t="shared" si="8"/>
        <v>CFL Pin Base</v>
      </c>
      <c r="L88" s="457" t="str">
        <f t="shared" si="9"/>
        <v xml:space="preserve">Exterior </v>
      </c>
      <c r="M88" s="457" t="str">
        <f t="shared" si="10"/>
        <v>All Residential 
(Single, Multi-family, and Mobile Homes)</v>
      </c>
      <c r="N88" s="457" t="str">
        <f t="shared" si="13"/>
        <v>Incandescent SSB</v>
      </c>
      <c r="O88" s="461">
        <f t="shared" si="11"/>
        <v>0</v>
      </c>
      <c r="P88" s="461">
        <f t="shared" si="12"/>
        <v>0</v>
      </c>
    </row>
    <row r="89" spans="3:16" ht="16.5" hidden="1" outlineLevel="1" thickTop="1" thickBot="1">
      <c r="C89"/>
      <c r="D89"/>
      <c r="E89" s="384" t="s">
        <v>1326</v>
      </c>
      <c r="F89"/>
      <c r="G89" s="353"/>
      <c r="H89" s="353"/>
      <c r="I89" s="353"/>
      <c r="K89" s="457" t="str">
        <f t="shared" si="8"/>
        <v>CFL Pin Base</v>
      </c>
      <c r="L89" s="457" t="str">
        <f t="shared" si="9"/>
        <v xml:space="preserve">Exterior </v>
      </c>
      <c r="M89" s="457" t="str">
        <f t="shared" si="10"/>
        <v>All Residential 
(Single, Multi-family, and Mobile Homes)</v>
      </c>
      <c r="N89" s="457" t="str">
        <f t="shared" si="13"/>
        <v>Incandescent SSB</v>
      </c>
      <c r="O89" s="461">
        <f t="shared" si="11"/>
        <v>0</v>
      </c>
      <c r="P89" s="461">
        <f t="shared" si="12"/>
        <v>0</v>
      </c>
    </row>
    <row r="90" spans="3:16" ht="16.5" hidden="1" outlineLevel="1" thickTop="1" thickBot="1">
      <c r="C90"/>
      <c r="D90"/>
      <c r="E90"/>
      <c r="F90" s="384" t="s">
        <v>81</v>
      </c>
      <c r="G90" s="353">
        <v>168.74182097794548</v>
      </c>
      <c r="H90" s="353">
        <v>30.192722904897703</v>
      </c>
      <c r="I90" s="353"/>
      <c r="K90" s="457" t="str">
        <f t="shared" si="8"/>
        <v>CFL Pin Base</v>
      </c>
      <c r="L90" s="457" t="str">
        <f t="shared" si="9"/>
        <v xml:space="preserve">Exterior </v>
      </c>
      <c r="M90" s="457" t="str">
        <f t="shared" si="10"/>
        <v>All Residential 
(Single, Multi-family, and Mobile Homes)</v>
      </c>
      <c r="N90" s="457" t="str">
        <f t="shared" si="13"/>
        <v>Halogen Pin Base</v>
      </c>
      <c r="O90" s="461">
        <f t="shared" si="11"/>
        <v>168.74182097794548</v>
      </c>
      <c r="P90" s="461">
        <f t="shared" si="12"/>
        <v>30.192722904897703</v>
      </c>
    </row>
    <row r="91" spans="3:16" ht="16.5" hidden="1" outlineLevel="1" thickTop="1" thickBot="1">
      <c r="C91"/>
      <c r="D91" s="384" t="s">
        <v>21</v>
      </c>
      <c r="E91"/>
      <c r="F91"/>
      <c r="G91" s="353"/>
      <c r="H91" s="353"/>
      <c r="I91" s="353"/>
      <c r="K91" s="457" t="str">
        <f t="shared" si="8"/>
        <v>CFL Pin Base</v>
      </c>
      <c r="L91" s="457" t="str">
        <f t="shared" si="9"/>
        <v>Interior Living 
(Kitchen, Bedroom, Living, Dining, etc)</v>
      </c>
      <c r="M91" s="457" t="str">
        <f t="shared" si="10"/>
        <v>All Residential 
(Single, Multi-family, and Mobile Homes)</v>
      </c>
      <c r="N91" s="457" t="str">
        <f t="shared" si="13"/>
        <v>Halogen Pin Base</v>
      </c>
      <c r="O91" s="461">
        <f t="shared" si="11"/>
        <v>0</v>
      </c>
      <c r="P91" s="461">
        <f t="shared" si="12"/>
        <v>0</v>
      </c>
    </row>
    <row r="92" spans="3:16" ht="16.5" hidden="1" outlineLevel="1" thickTop="1" thickBot="1">
      <c r="C92"/>
      <c r="D92"/>
      <c r="E92" s="384" t="s">
        <v>1326</v>
      </c>
      <c r="F92"/>
      <c r="G92" s="353"/>
      <c r="H92" s="353"/>
      <c r="I92" s="353"/>
      <c r="K92" s="457" t="str">
        <f t="shared" si="8"/>
        <v>CFL Pin Base</v>
      </c>
      <c r="L92" s="457" t="str">
        <f t="shared" si="9"/>
        <v>Interior Living 
(Kitchen, Bedroom, Living, Dining, etc)</v>
      </c>
      <c r="M92" s="457" t="str">
        <f t="shared" si="10"/>
        <v>All Residential 
(Single, Multi-family, and Mobile Homes)</v>
      </c>
      <c r="N92" s="457" t="str">
        <f t="shared" si="13"/>
        <v>Halogen Pin Base</v>
      </c>
      <c r="O92" s="461">
        <f t="shared" si="11"/>
        <v>0</v>
      </c>
      <c r="P92" s="461">
        <f t="shared" si="12"/>
        <v>0</v>
      </c>
    </row>
    <row r="93" spans="3:16" ht="16.5" hidden="1" outlineLevel="1" thickTop="1" thickBot="1">
      <c r="C93"/>
      <c r="D93"/>
      <c r="E93"/>
      <c r="F93" s="384" t="s">
        <v>81</v>
      </c>
      <c r="G93" s="353">
        <v>246.06002352880165</v>
      </c>
      <c r="H93" s="353">
        <v>47.677774239188643</v>
      </c>
      <c r="I93" s="353"/>
      <c r="K93" s="457" t="str">
        <f t="shared" si="8"/>
        <v>CFL Pin Base</v>
      </c>
      <c r="L93" s="457" t="str">
        <f t="shared" si="9"/>
        <v>Interior Living 
(Kitchen, Bedroom, Living, Dining, etc)</v>
      </c>
      <c r="M93" s="457" t="str">
        <f t="shared" si="10"/>
        <v>All Residential 
(Single, Multi-family, and Mobile Homes)</v>
      </c>
      <c r="N93" s="457" t="str">
        <f t="shared" si="13"/>
        <v>Halogen Pin Base</v>
      </c>
      <c r="O93" s="461">
        <f t="shared" si="11"/>
        <v>246.06002352880165</v>
      </c>
      <c r="P93" s="461">
        <f t="shared" si="12"/>
        <v>47.677774239188643</v>
      </c>
    </row>
    <row r="94" spans="3:16" ht="16.5" hidden="1" outlineLevel="1" thickTop="1" thickBot="1">
      <c r="C94"/>
      <c r="D94" s="384" t="s">
        <v>22</v>
      </c>
      <c r="E94"/>
      <c r="F94"/>
      <c r="G94" s="353"/>
      <c r="H94" s="353"/>
      <c r="I94" s="353"/>
      <c r="K94" s="457" t="str">
        <f t="shared" si="8"/>
        <v>CFL Pin Base</v>
      </c>
      <c r="L94" s="457" t="str">
        <f t="shared" si="9"/>
        <v>Interior Support (Bathroom, Utility room, laundry room, garage)</v>
      </c>
      <c r="M94" s="457" t="str">
        <f t="shared" si="10"/>
        <v>All Residential 
(Single, Multi-family, and Mobile Homes)</v>
      </c>
      <c r="N94" s="457" t="str">
        <f t="shared" si="13"/>
        <v>Halogen Pin Base</v>
      </c>
      <c r="O94" s="461">
        <f t="shared" si="11"/>
        <v>0</v>
      </c>
      <c r="P94" s="461">
        <f t="shared" si="12"/>
        <v>0</v>
      </c>
    </row>
    <row r="95" spans="3:16" ht="16.5" hidden="1" outlineLevel="1" thickTop="1" thickBot="1">
      <c r="C95"/>
      <c r="D95"/>
      <c r="E95" s="384" t="s">
        <v>1326</v>
      </c>
      <c r="F95"/>
      <c r="G95" s="353"/>
      <c r="H95" s="353"/>
      <c r="I95" s="353"/>
      <c r="K95" s="457" t="str">
        <f t="shared" si="8"/>
        <v>CFL Pin Base</v>
      </c>
      <c r="L95" s="457" t="str">
        <f t="shared" si="9"/>
        <v>Interior Support (Bathroom, Utility room, laundry room, garage)</v>
      </c>
      <c r="M95" s="457" t="str">
        <f t="shared" si="10"/>
        <v>All Residential 
(Single, Multi-family, and Mobile Homes)</v>
      </c>
      <c r="N95" s="457" t="str">
        <f t="shared" si="13"/>
        <v>Halogen Pin Base</v>
      </c>
      <c r="O95" s="461">
        <f t="shared" si="11"/>
        <v>0</v>
      </c>
      <c r="P95" s="461">
        <f t="shared" si="12"/>
        <v>0</v>
      </c>
    </row>
    <row r="96" spans="3:16" ht="16.5" hidden="1" outlineLevel="1" thickTop="1" thickBot="1">
      <c r="C96"/>
      <c r="D96"/>
      <c r="E96"/>
      <c r="F96" s="384" t="s">
        <v>81</v>
      </c>
      <c r="G96" s="353">
        <v>69.929367663889806</v>
      </c>
      <c r="H96" s="353">
        <v>21.626585449116074</v>
      </c>
      <c r="I96" s="353"/>
      <c r="K96" s="457" t="str">
        <f t="shared" si="8"/>
        <v>CFL Pin Base</v>
      </c>
      <c r="L96" s="457" t="str">
        <f t="shared" si="9"/>
        <v>Interior Support (Bathroom, Utility room, laundry room, garage)</v>
      </c>
      <c r="M96" s="457" t="str">
        <f t="shared" si="10"/>
        <v>All Residential 
(Single, Multi-family, and Mobile Homes)</v>
      </c>
      <c r="N96" s="457" t="str">
        <f t="shared" si="13"/>
        <v>Halogen Pin Base</v>
      </c>
      <c r="O96" s="461">
        <f t="shared" si="11"/>
        <v>69.929367663889806</v>
      </c>
      <c r="P96" s="461">
        <f t="shared" si="12"/>
        <v>21.626585449116074</v>
      </c>
    </row>
    <row r="97" spans="3:58" ht="16.5" hidden="1" outlineLevel="1" thickTop="1" thickBot="1">
      <c r="C97"/>
      <c r="D97"/>
      <c r="E97"/>
      <c r="F97"/>
      <c r="G97"/>
      <c r="H97" s="353"/>
      <c r="I97" s="353"/>
      <c r="K97" s="457" t="str">
        <f t="shared" si="8"/>
        <v>CFL Pin Base</v>
      </c>
      <c r="L97" s="457" t="str">
        <f t="shared" si="9"/>
        <v>Interior Support (Bathroom, Utility room, laundry room, garage)</v>
      </c>
      <c r="M97" s="457" t="str">
        <f t="shared" si="10"/>
        <v>All Residential 
(Single, Multi-family, and Mobile Homes)</v>
      </c>
      <c r="N97" s="457" t="str">
        <f t="shared" si="13"/>
        <v>Halogen Pin Base</v>
      </c>
      <c r="O97" s="461">
        <f t="shared" si="11"/>
        <v>0</v>
      </c>
      <c r="P97" s="461">
        <f t="shared" si="12"/>
        <v>0</v>
      </c>
    </row>
    <row r="98" spans="3:58" ht="16.5" hidden="1" outlineLevel="1" thickTop="1" thickBot="1">
      <c r="C98"/>
      <c r="D98"/>
      <c r="E98"/>
      <c r="F98"/>
      <c r="G98"/>
      <c r="H98" s="353"/>
      <c r="I98" s="353"/>
      <c r="K98" s="457" t="str">
        <f t="shared" si="8"/>
        <v>CFL Pin Base</v>
      </c>
      <c r="L98" s="457" t="str">
        <f t="shared" si="9"/>
        <v>Interior Support (Bathroom, Utility room, laundry room, garage)</v>
      </c>
      <c r="M98" s="457" t="str">
        <f t="shared" si="10"/>
        <v>All Residential 
(Single, Multi-family, and Mobile Homes)</v>
      </c>
      <c r="N98" s="457" t="str">
        <f t="shared" si="13"/>
        <v>Halogen Pin Base</v>
      </c>
      <c r="O98" s="461">
        <f t="shared" si="11"/>
        <v>0</v>
      </c>
      <c r="P98" s="461">
        <f t="shared" si="12"/>
        <v>0</v>
      </c>
    </row>
    <row r="99" spans="3:58" ht="16.5" hidden="1" outlineLevel="1" thickTop="1" thickBot="1">
      <c r="C99"/>
      <c r="D99"/>
      <c r="E99"/>
      <c r="F99"/>
      <c r="G99"/>
      <c r="H99" s="353"/>
      <c r="I99" s="353"/>
      <c r="K99" s="457" t="str">
        <f t="shared" si="8"/>
        <v>CFL Pin Base</v>
      </c>
      <c r="L99" s="457" t="str">
        <f t="shared" si="9"/>
        <v>Interior Support (Bathroom, Utility room, laundry room, garage)</v>
      </c>
      <c r="M99" s="457" t="str">
        <f t="shared" si="10"/>
        <v>All Residential 
(Single, Multi-family, and Mobile Homes)</v>
      </c>
      <c r="N99" s="457" t="str">
        <f t="shared" si="13"/>
        <v>Halogen Pin Base</v>
      </c>
      <c r="O99" s="461">
        <f t="shared" si="11"/>
        <v>0</v>
      </c>
      <c r="P99" s="461">
        <f t="shared" si="12"/>
        <v>0</v>
      </c>
    </row>
    <row r="100" spans="3:58" ht="16.5" hidden="1" outlineLevel="1" thickTop="1" thickBot="1">
      <c r="C100"/>
      <c r="D100"/>
      <c r="E100"/>
      <c r="F100"/>
      <c r="G100"/>
      <c r="H100" s="353"/>
      <c r="I100" s="353"/>
      <c r="K100" s="457" t="str">
        <f t="shared" si="8"/>
        <v>CFL Pin Base</v>
      </c>
      <c r="L100" s="457" t="str">
        <f t="shared" si="9"/>
        <v>Interior Support (Bathroom, Utility room, laundry room, garage)</v>
      </c>
      <c r="M100" s="457" t="str">
        <f t="shared" si="10"/>
        <v>All Residential 
(Single, Multi-family, and Mobile Homes)</v>
      </c>
      <c r="N100" s="457" t="str">
        <f t="shared" si="13"/>
        <v>Halogen Pin Base</v>
      </c>
      <c r="O100" s="461">
        <f t="shared" si="11"/>
        <v>0</v>
      </c>
      <c r="P100" s="461">
        <f t="shared" si="12"/>
        <v>0</v>
      </c>
    </row>
    <row r="101" spans="3:58" ht="16.5" hidden="1" outlineLevel="1" thickTop="1" thickBot="1">
      <c r="C101"/>
      <c r="D101"/>
      <c r="E101"/>
      <c r="F101"/>
      <c r="G101"/>
      <c r="H101" s="353"/>
      <c r="I101" s="353"/>
      <c r="K101" s="457" t="str">
        <f t="shared" si="8"/>
        <v>CFL Pin Base</v>
      </c>
      <c r="L101" s="457" t="str">
        <f t="shared" si="9"/>
        <v>Interior Support (Bathroom, Utility room, laundry room, garage)</v>
      </c>
      <c r="M101" s="457" t="str">
        <f t="shared" si="10"/>
        <v>All Residential 
(Single, Multi-family, and Mobile Homes)</v>
      </c>
      <c r="N101" s="457" t="str">
        <f t="shared" si="13"/>
        <v>Halogen Pin Base</v>
      </c>
      <c r="O101" s="461">
        <f t="shared" si="11"/>
        <v>0</v>
      </c>
      <c r="P101" s="461">
        <f t="shared" si="12"/>
        <v>0</v>
      </c>
      <c r="BF101" s="1"/>
    </row>
    <row r="102" spans="3:58" ht="16.5" hidden="1" outlineLevel="1" thickTop="1" thickBot="1">
      <c r="C102"/>
      <c r="D102"/>
      <c r="E102"/>
      <c r="F102"/>
      <c r="G102"/>
      <c r="H102" s="353"/>
      <c r="I102" s="353"/>
      <c r="K102" s="457" t="str">
        <f t="shared" si="8"/>
        <v>CFL Pin Base</v>
      </c>
      <c r="L102" s="457" t="str">
        <f t="shared" si="9"/>
        <v>Interior Support (Bathroom, Utility room, laundry room, garage)</v>
      </c>
      <c r="M102" s="457" t="str">
        <f t="shared" si="10"/>
        <v>All Residential 
(Single, Multi-family, and Mobile Homes)</v>
      </c>
      <c r="N102" s="457" t="str">
        <f t="shared" si="13"/>
        <v>Halogen Pin Base</v>
      </c>
      <c r="O102" s="461">
        <f t="shared" si="11"/>
        <v>0</v>
      </c>
      <c r="P102" s="461">
        <f t="shared" si="12"/>
        <v>0</v>
      </c>
    </row>
    <row r="103" spans="3:58" ht="16.5" hidden="1" outlineLevel="1" thickTop="1" thickBot="1">
      <c r="C103"/>
      <c r="D103"/>
      <c r="E103"/>
      <c r="F103"/>
      <c r="G103"/>
      <c r="H103" s="353"/>
      <c r="I103" s="353"/>
      <c r="K103" s="457" t="str">
        <f t="shared" ref="K103:K134" si="14">IF(C103=0,K102,C103)</f>
        <v>CFL Pin Base</v>
      </c>
      <c r="L103" s="457" t="str">
        <f t="shared" ref="L103:L134" si="15">IF(D103=0,L102,D103)</f>
        <v>Interior Support (Bathroom, Utility room, laundry room, garage)</v>
      </c>
      <c r="M103" s="457" t="str">
        <f t="shared" ref="M103:M134" si="16">IF(E103=0,M102,E103)</f>
        <v>All Residential 
(Single, Multi-family, and Mobile Homes)</v>
      </c>
      <c r="N103" s="457" t="str">
        <f t="shared" si="13"/>
        <v>Halogen Pin Base</v>
      </c>
      <c r="O103" s="461">
        <f t="shared" ref="O103:O134" si="17">G103</f>
        <v>0</v>
      </c>
      <c r="P103" s="461">
        <f t="shared" ref="P103:P134" si="18">H103</f>
        <v>0</v>
      </c>
    </row>
    <row r="104" spans="3:58" ht="16.5" hidden="1" outlineLevel="1" thickTop="1" thickBot="1">
      <c r="C104"/>
      <c r="D104"/>
      <c r="E104"/>
      <c r="F104"/>
      <c r="G104"/>
      <c r="H104" s="353"/>
      <c r="I104" s="353"/>
      <c r="K104" s="457" t="str">
        <f t="shared" si="14"/>
        <v>CFL Pin Base</v>
      </c>
      <c r="L104" s="457" t="str">
        <f t="shared" si="15"/>
        <v>Interior Support (Bathroom, Utility room, laundry room, garage)</v>
      </c>
      <c r="M104" s="457" t="str">
        <f t="shared" si="16"/>
        <v>All Residential 
(Single, Multi-family, and Mobile Homes)</v>
      </c>
      <c r="N104" s="457" t="str">
        <f t="shared" si="13"/>
        <v>Halogen Pin Base</v>
      </c>
      <c r="O104" s="461">
        <f t="shared" si="17"/>
        <v>0</v>
      </c>
      <c r="P104" s="461">
        <f t="shared" si="18"/>
        <v>0</v>
      </c>
    </row>
    <row r="105" spans="3:58" ht="16.5" hidden="1" outlineLevel="1" thickTop="1" thickBot="1">
      <c r="C105"/>
      <c r="D105"/>
      <c r="E105"/>
      <c r="F105"/>
      <c r="G105"/>
      <c r="H105" s="353"/>
      <c r="I105" s="353"/>
      <c r="K105" s="457" t="str">
        <f t="shared" si="14"/>
        <v>CFL Pin Base</v>
      </c>
      <c r="L105" s="457" t="str">
        <f t="shared" si="15"/>
        <v>Interior Support (Bathroom, Utility room, laundry room, garage)</v>
      </c>
      <c r="M105" s="457" t="str">
        <f t="shared" si="16"/>
        <v>All Residential 
(Single, Multi-family, and Mobile Homes)</v>
      </c>
      <c r="N105" s="457" t="str">
        <f t="shared" si="13"/>
        <v>Halogen Pin Base</v>
      </c>
      <c r="O105" s="461">
        <f t="shared" si="17"/>
        <v>0</v>
      </c>
      <c r="P105" s="461">
        <f t="shared" si="18"/>
        <v>0</v>
      </c>
    </row>
    <row r="106" spans="3:58" ht="16.5" hidden="1" outlineLevel="1" thickTop="1" thickBot="1">
      <c r="C106"/>
      <c r="D106"/>
      <c r="E106"/>
      <c r="F106"/>
      <c r="G106"/>
      <c r="H106" s="353"/>
      <c r="I106" s="353"/>
      <c r="K106" s="457" t="str">
        <f t="shared" si="14"/>
        <v>CFL Pin Base</v>
      </c>
      <c r="L106" s="457" t="str">
        <f t="shared" si="15"/>
        <v>Interior Support (Bathroom, Utility room, laundry room, garage)</v>
      </c>
      <c r="M106" s="457" t="str">
        <f t="shared" si="16"/>
        <v>All Residential 
(Single, Multi-family, and Mobile Homes)</v>
      </c>
      <c r="N106" s="457" t="str">
        <f t="shared" si="13"/>
        <v>Halogen Pin Base</v>
      </c>
      <c r="O106" s="461">
        <f t="shared" si="17"/>
        <v>0</v>
      </c>
      <c r="P106" s="461">
        <f t="shared" si="18"/>
        <v>0</v>
      </c>
    </row>
    <row r="107" spans="3:58" ht="16.5" hidden="1" outlineLevel="1" thickTop="1" thickBot="1">
      <c r="C107"/>
      <c r="D107"/>
      <c r="E107"/>
      <c r="F107"/>
      <c r="G107"/>
      <c r="H107" s="353"/>
      <c r="I107" s="353"/>
      <c r="K107" s="457" t="str">
        <f t="shared" si="14"/>
        <v>CFL Pin Base</v>
      </c>
      <c r="L107" s="457" t="str">
        <f t="shared" si="15"/>
        <v>Interior Support (Bathroom, Utility room, laundry room, garage)</v>
      </c>
      <c r="M107" s="457" t="str">
        <f t="shared" si="16"/>
        <v>All Residential 
(Single, Multi-family, and Mobile Homes)</v>
      </c>
      <c r="N107" s="457" t="str">
        <f t="shared" si="13"/>
        <v>Halogen Pin Base</v>
      </c>
      <c r="O107" s="461">
        <f t="shared" si="17"/>
        <v>0</v>
      </c>
      <c r="P107" s="461">
        <f t="shared" si="18"/>
        <v>0</v>
      </c>
    </row>
    <row r="108" spans="3:58" ht="16.5" hidden="1" outlineLevel="1" thickTop="1" thickBot="1">
      <c r="C108"/>
      <c r="D108"/>
      <c r="E108"/>
      <c r="F108"/>
      <c r="G108"/>
      <c r="H108" s="353"/>
      <c r="I108" s="353"/>
      <c r="K108" s="457" t="str">
        <f t="shared" si="14"/>
        <v>CFL Pin Base</v>
      </c>
      <c r="L108" s="457" t="str">
        <f t="shared" si="15"/>
        <v>Interior Support (Bathroom, Utility room, laundry room, garage)</v>
      </c>
      <c r="M108" s="457" t="str">
        <f t="shared" si="16"/>
        <v>All Residential 
(Single, Multi-family, and Mobile Homes)</v>
      </c>
      <c r="N108" s="457" t="str">
        <f t="shared" si="13"/>
        <v>Halogen Pin Base</v>
      </c>
      <c r="O108" s="461">
        <f t="shared" si="17"/>
        <v>0</v>
      </c>
      <c r="P108" s="461">
        <f t="shared" si="18"/>
        <v>0</v>
      </c>
    </row>
    <row r="109" spans="3:58" ht="16.5" hidden="1" outlineLevel="1" thickTop="1" thickBot="1">
      <c r="C109"/>
      <c r="D109"/>
      <c r="E109"/>
      <c r="F109"/>
      <c r="G109"/>
      <c r="H109" s="353"/>
      <c r="I109" s="353"/>
      <c r="K109" s="457" t="str">
        <f t="shared" si="14"/>
        <v>CFL Pin Base</v>
      </c>
      <c r="L109" s="457" t="str">
        <f t="shared" si="15"/>
        <v>Interior Support (Bathroom, Utility room, laundry room, garage)</v>
      </c>
      <c r="M109" s="457" t="str">
        <f t="shared" si="16"/>
        <v>All Residential 
(Single, Multi-family, and Mobile Homes)</v>
      </c>
      <c r="N109" s="457" t="str">
        <f t="shared" si="13"/>
        <v>Halogen Pin Base</v>
      </c>
      <c r="O109" s="461">
        <f t="shared" si="17"/>
        <v>0</v>
      </c>
      <c r="P109" s="461">
        <f t="shared" si="18"/>
        <v>0</v>
      </c>
    </row>
    <row r="110" spans="3:58" ht="16.5" hidden="1" outlineLevel="1" thickTop="1" thickBot="1">
      <c r="C110"/>
      <c r="D110"/>
      <c r="E110"/>
      <c r="F110"/>
      <c r="G110"/>
      <c r="H110" s="353"/>
      <c r="I110" s="353"/>
      <c r="K110" s="457" t="str">
        <f t="shared" si="14"/>
        <v>CFL Pin Base</v>
      </c>
      <c r="L110" s="457" t="str">
        <f t="shared" si="15"/>
        <v>Interior Support (Bathroom, Utility room, laundry room, garage)</v>
      </c>
      <c r="M110" s="457" t="str">
        <f t="shared" si="16"/>
        <v>All Residential 
(Single, Multi-family, and Mobile Homes)</v>
      </c>
      <c r="N110" s="457" t="str">
        <f t="shared" si="13"/>
        <v>Halogen Pin Base</v>
      </c>
      <c r="O110" s="461">
        <f t="shared" si="17"/>
        <v>0</v>
      </c>
      <c r="P110" s="461">
        <f t="shared" si="18"/>
        <v>0</v>
      </c>
    </row>
    <row r="111" spans="3:58" ht="16.5" hidden="1" outlineLevel="1" thickTop="1" thickBot="1">
      <c r="C111"/>
      <c r="D111"/>
      <c r="E111"/>
      <c r="F111"/>
      <c r="G111"/>
      <c r="H111" s="353"/>
      <c r="I111" s="353"/>
      <c r="K111" s="457" t="str">
        <f t="shared" si="14"/>
        <v>CFL Pin Base</v>
      </c>
      <c r="L111" s="457" t="str">
        <f t="shared" si="15"/>
        <v>Interior Support (Bathroom, Utility room, laundry room, garage)</v>
      </c>
      <c r="M111" s="457" t="str">
        <f t="shared" si="16"/>
        <v>All Residential 
(Single, Multi-family, and Mobile Homes)</v>
      </c>
      <c r="N111" s="457" t="str">
        <f t="shared" si="13"/>
        <v>Halogen Pin Base</v>
      </c>
      <c r="O111" s="461">
        <f t="shared" si="17"/>
        <v>0</v>
      </c>
      <c r="P111" s="461">
        <f t="shared" si="18"/>
        <v>0</v>
      </c>
    </row>
    <row r="112" spans="3:58" ht="16.5" hidden="1" outlineLevel="1" thickTop="1" thickBot="1">
      <c r="C112"/>
      <c r="D112"/>
      <c r="E112"/>
      <c r="F112"/>
      <c r="G112"/>
      <c r="H112" s="353"/>
      <c r="I112" s="353"/>
      <c r="K112" s="457" t="str">
        <f t="shared" si="14"/>
        <v>CFL Pin Base</v>
      </c>
      <c r="L112" s="457" t="str">
        <f t="shared" si="15"/>
        <v>Interior Support (Bathroom, Utility room, laundry room, garage)</v>
      </c>
      <c r="M112" s="457" t="str">
        <f t="shared" si="16"/>
        <v>All Residential 
(Single, Multi-family, and Mobile Homes)</v>
      </c>
      <c r="N112" s="457" t="str">
        <f t="shared" si="13"/>
        <v>Halogen Pin Base</v>
      </c>
      <c r="O112" s="461">
        <f t="shared" si="17"/>
        <v>0</v>
      </c>
      <c r="P112" s="461">
        <f t="shared" si="18"/>
        <v>0</v>
      </c>
    </row>
    <row r="113" spans="3:16" ht="16.5" hidden="1" outlineLevel="1" thickTop="1" thickBot="1">
      <c r="C113"/>
      <c r="D113"/>
      <c r="E113"/>
      <c r="F113"/>
      <c r="G113"/>
      <c r="H113" s="353"/>
      <c r="I113" s="353"/>
      <c r="K113" s="457" t="str">
        <f t="shared" si="14"/>
        <v>CFL Pin Base</v>
      </c>
      <c r="L113" s="457" t="str">
        <f t="shared" si="15"/>
        <v>Interior Support (Bathroom, Utility room, laundry room, garage)</v>
      </c>
      <c r="M113" s="457" t="str">
        <f t="shared" si="16"/>
        <v>All Residential 
(Single, Multi-family, and Mobile Homes)</v>
      </c>
      <c r="N113" s="457" t="str">
        <f t="shared" si="13"/>
        <v>Halogen Pin Base</v>
      </c>
      <c r="O113" s="461">
        <f t="shared" si="17"/>
        <v>0</v>
      </c>
      <c r="P113" s="461">
        <f t="shared" si="18"/>
        <v>0</v>
      </c>
    </row>
    <row r="114" spans="3:16" ht="16.5" hidden="1" outlineLevel="1" thickTop="1" thickBot="1">
      <c r="C114"/>
      <c r="D114"/>
      <c r="E114"/>
      <c r="F114"/>
      <c r="G114"/>
      <c r="H114" s="353"/>
      <c r="I114" s="353"/>
      <c r="K114" s="457" t="str">
        <f t="shared" si="14"/>
        <v>CFL Pin Base</v>
      </c>
      <c r="L114" s="457" t="str">
        <f t="shared" si="15"/>
        <v>Interior Support (Bathroom, Utility room, laundry room, garage)</v>
      </c>
      <c r="M114" s="457" t="str">
        <f t="shared" si="16"/>
        <v>All Residential 
(Single, Multi-family, and Mobile Homes)</v>
      </c>
      <c r="N114" s="457" t="str">
        <f t="shared" si="13"/>
        <v>Halogen Pin Base</v>
      </c>
      <c r="O114" s="461">
        <f t="shared" si="17"/>
        <v>0</v>
      </c>
      <c r="P114" s="461">
        <f t="shared" si="18"/>
        <v>0</v>
      </c>
    </row>
    <row r="115" spans="3:16" ht="16.5" hidden="1" outlineLevel="1" thickTop="1" thickBot="1">
      <c r="C115"/>
      <c r="D115"/>
      <c r="E115"/>
      <c r="F115"/>
      <c r="G115"/>
      <c r="H115" s="353"/>
      <c r="I115" s="353"/>
      <c r="K115" s="457" t="str">
        <f t="shared" si="14"/>
        <v>CFL Pin Base</v>
      </c>
      <c r="L115" s="457" t="str">
        <f t="shared" si="15"/>
        <v>Interior Support (Bathroom, Utility room, laundry room, garage)</v>
      </c>
      <c r="M115" s="457" t="str">
        <f t="shared" si="16"/>
        <v>All Residential 
(Single, Multi-family, and Mobile Homes)</v>
      </c>
      <c r="N115" s="457" t="str">
        <f t="shared" si="13"/>
        <v>Halogen Pin Base</v>
      </c>
      <c r="O115" s="461">
        <f t="shared" si="17"/>
        <v>0</v>
      </c>
      <c r="P115" s="461">
        <f t="shared" si="18"/>
        <v>0</v>
      </c>
    </row>
    <row r="116" spans="3:16" ht="16.5" hidden="1" outlineLevel="1" thickTop="1" thickBot="1">
      <c r="C116"/>
      <c r="D116"/>
      <c r="E116"/>
      <c r="F116"/>
      <c r="G116"/>
      <c r="H116" s="353"/>
      <c r="I116" s="353"/>
      <c r="K116" s="457" t="str">
        <f t="shared" si="14"/>
        <v>CFL Pin Base</v>
      </c>
      <c r="L116" s="457" t="str">
        <f t="shared" si="15"/>
        <v>Interior Support (Bathroom, Utility room, laundry room, garage)</v>
      </c>
      <c r="M116" s="457" t="str">
        <f t="shared" si="16"/>
        <v>All Residential 
(Single, Multi-family, and Mobile Homes)</v>
      </c>
      <c r="N116" s="457" t="str">
        <f t="shared" si="13"/>
        <v>Halogen Pin Base</v>
      </c>
      <c r="O116" s="461">
        <f t="shared" si="17"/>
        <v>0</v>
      </c>
      <c r="P116" s="461">
        <f t="shared" si="18"/>
        <v>0</v>
      </c>
    </row>
    <row r="117" spans="3:16" ht="16.5" hidden="1" outlineLevel="1" thickTop="1" thickBot="1">
      <c r="C117"/>
      <c r="D117"/>
      <c r="E117"/>
      <c r="F117"/>
      <c r="G117"/>
      <c r="H117" s="353"/>
      <c r="I117" s="353"/>
      <c r="K117" s="457" t="str">
        <f t="shared" si="14"/>
        <v>CFL Pin Base</v>
      </c>
      <c r="L117" s="457" t="str">
        <f t="shared" si="15"/>
        <v>Interior Support (Bathroom, Utility room, laundry room, garage)</v>
      </c>
      <c r="M117" s="457" t="str">
        <f t="shared" si="16"/>
        <v>All Residential 
(Single, Multi-family, and Mobile Homes)</v>
      </c>
      <c r="N117" s="457" t="str">
        <f t="shared" si="13"/>
        <v>Halogen Pin Base</v>
      </c>
      <c r="O117" s="461">
        <f t="shared" si="17"/>
        <v>0</v>
      </c>
      <c r="P117" s="461">
        <f t="shared" si="18"/>
        <v>0</v>
      </c>
    </row>
    <row r="118" spans="3:16" ht="16.5" hidden="1" outlineLevel="1" thickTop="1" thickBot="1">
      <c r="C118"/>
      <c r="D118"/>
      <c r="E118"/>
      <c r="F118"/>
      <c r="G118"/>
      <c r="H118" s="353"/>
      <c r="I118" s="353"/>
      <c r="K118" s="457" t="str">
        <f t="shared" si="14"/>
        <v>CFL Pin Base</v>
      </c>
      <c r="L118" s="457" t="str">
        <f t="shared" si="15"/>
        <v>Interior Support (Bathroom, Utility room, laundry room, garage)</v>
      </c>
      <c r="M118" s="457" t="str">
        <f t="shared" si="16"/>
        <v>All Residential 
(Single, Multi-family, and Mobile Homes)</v>
      </c>
      <c r="N118" s="457" t="str">
        <f t="shared" si="13"/>
        <v>Halogen Pin Base</v>
      </c>
      <c r="O118" s="461">
        <f t="shared" si="17"/>
        <v>0</v>
      </c>
      <c r="P118" s="461">
        <f t="shared" si="18"/>
        <v>0</v>
      </c>
    </row>
    <row r="119" spans="3:16" ht="16.5" hidden="1" outlineLevel="1" thickTop="1" thickBot="1">
      <c r="C119"/>
      <c r="D119"/>
      <c r="E119"/>
      <c r="F119"/>
      <c r="G119"/>
      <c r="H119" s="353"/>
      <c r="I119" s="353"/>
      <c r="K119" s="457" t="str">
        <f t="shared" si="14"/>
        <v>CFL Pin Base</v>
      </c>
      <c r="L119" s="457" t="str">
        <f t="shared" si="15"/>
        <v>Interior Support (Bathroom, Utility room, laundry room, garage)</v>
      </c>
      <c r="M119" s="457" t="str">
        <f t="shared" si="16"/>
        <v>All Residential 
(Single, Multi-family, and Mobile Homes)</v>
      </c>
      <c r="N119" s="457" t="str">
        <f t="shared" si="13"/>
        <v>Halogen Pin Base</v>
      </c>
      <c r="O119" s="461">
        <f t="shared" si="17"/>
        <v>0</v>
      </c>
      <c r="P119" s="461">
        <f t="shared" si="18"/>
        <v>0</v>
      </c>
    </row>
    <row r="120" spans="3:16" ht="16.5" hidden="1" outlineLevel="1" thickTop="1" thickBot="1">
      <c r="C120"/>
      <c r="D120"/>
      <c r="E120"/>
      <c r="F120"/>
      <c r="G120"/>
      <c r="H120" s="353"/>
      <c r="I120" s="353"/>
      <c r="K120" s="457" t="str">
        <f t="shared" si="14"/>
        <v>CFL Pin Base</v>
      </c>
      <c r="L120" s="457" t="str">
        <f t="shared" si="15"/>
        <v>Interior Support (Bathroom, Utility room, laundry room, garage)</v>
      </c>
      <c r="M120" s="457" t="str">
        <f t="shared" si="16"/>
        <v>All Residential 
(Single, Multi-family, and Mobile Homes)</v>
      </c>
      <c r="N120" s="457" t="str">
        <f t="shared" si="13"/>
        <v>Halogen Pin Base</v>
      </c>
      <c r="O120" s="461">
        <f t="shared" si="17"/>
        <v>0</v>
      </c>
      <c r="P120" s="461">
        <f t="shared" si="18"/>
        <v>0</v>
      </c>
    </row>
    <row r="121" spans="3:16" ht="16.5" hidden="1" outlineLevel="1" thickTop="1" thickBot="1">
      <c r="C121"/>
      <c r="D121"/>
      <c r="E121"/>
      <c r="F121"/>
      <c r="G121"/>
      <c r="H121" s="353"/>
      <c r="I121" s="353"/>
      <c r="K121" s="457" t="str">
        <f t="shared" si="14"/>
        <v>CFL Pin Base</v>
      </c>
      <c r="L121" s="457" t="str">
        <f t="shared" si="15"/>
        <v>Interior Support (Bathroom, Utility room, laundry room, garage)</v>
      </c>
      <c r="M121" s="457" t="str">
        <f t="shared" si="16"/>
        <v>All Residential 
(Single, Multi-family, and Mobile Homes)</v>
      </c>
      <c r="N121" s="457" t="str">
        <f t="shared" si="13"/>
        <v>Halogen Pin Base</v>
      </c>
      <c r="O121" s="461">
        <f t="shared" si="17"/>
        <v>0</v>
      </c>
      <c r="P121" s="461">
        <f t="shared" si="18"/>
        <v>0</v>
      </c>
    </row>
    <row r="122" spans="3:16" ht="16.5" hidden="1" outlineLevel="1" thickTop="1" thickBot="1">
      <c r="C122"/>
      <c r="D122"/>
      <c r="E122"/>
      <c r="F122"/>
      <c r="G122"/>
      <c r="H122" s="353"/>
      <c r="I122" s="353"/>
      <c r="K122" s="457" t="str">
        <f t="shared" si="14"/>
        <v>CFL Pin Base</v>
      </c>
      <c r="L122" s="457" t="str">
        <f t="shared" si="15"/>
        <v>Interior Support (Bathroom, Utility room, laundry room, garage)</v>
      </c>
      <c r="M122" s="457" t="str">
        <f t="shared" si="16"/>
        <v>All Residential 
(Single, Multi-family, and Mobile Homes)</v>
      </c>
      <c r="N122" s="457" t="str">
        <f t="shared" si="13"/>
        <v>Halogen Pin Base</v>
      </c>
      <c r="O122" s="461">
        <f t="shared" si="17"/>
        <v>0</v>
      </c>
      <c r="P122" s="461">
        <f t="shared" si="18"/>
        <v>0</v>
      </c>
    </row>
    <row r="123" spans="3:16" ht="16.5" hidden="1" outlineLevel="1" thickTop="1" thickBot="1">
      <c r="C123"/>
      <c r="D123"/>
      <c r="E123"/>
      <c r="F123"/>
      <c r="G123"/>
      <c r="H123" s="353"/>
      <c r="I123" s="353"/>
      <c r="K123" s="457" t="str">
        <f t="shared" si="14"/>
        <v>CFL Pin Base</v>
      </c>
      <c r="L123" s="457" t="str">
        <f t="shared" si="15"/>
        <v>Interior Support (Bathroom, Utility room, laundry room, garage)</v>
      </c>
      <c r="M123" s="457" t="str">
        <f t="shared" si="16"/>
        <v>All Residential 
(Single, Multi-family, and Mobile Homes)</v>
      </c>
      <c r="N123" s="457" t="str">
        <f t="shared" si="13"/>
        <v>Halogen Pin Base</v>
      </c>
      <c r="O123" s="461">
        <f t="shared" si="17"/>
        <v>0</v>
      </c>
      <c r="P123" s="461">
        <f t="shared" si="18"/>
        <v>0</v>
      </c>
    </row>
    <row r="124" spans="3:16" ht="16.5" hidden="1" outlineLevel="1" thickTop="1" thickBot="1">
      <c r="C124"/>
      <c r="D124"/>
      <c r="E124"/>
      <c r="F124"/>
      <c r="G124"/>
      <c r="H124" s="353"/>
      <c r="I124" s="353"/>
      <c r="K124" s="457" t="str">
        <f t="shared" si="14"/>
        <v>CFL Pin Base</v>
      </c>
      <c r="L124" s="457" t="str">
        <f t="shared" si="15"/>
        <v>Interior Support (Bathroom, Utility room, laundry room, garage)</v>
      </c>
      <c r="M124" s="457" t="str">
        <f t="shared" si="16"/>
        <v>All Residential 
(Single, Multi-family, and Mobile Homes)</v>
      </c>
      <c r="N124" s="457" t="str">
        <f t="shared" si="13"/>
        <v>Halogen Pin Base</v>
      </c>
      <c r="O124" s="461">
        <f t="shared" si="17"/>
        <v>0</v>
      </c>
      <c r="P124" s="461">
        <f t="shared" si="18"/>
        <v>0</v>
      </c>
    </row>
    <row r="125" spans="3:16" ht="16.5" hidden="1" outlineLevel="1" thickTop="1" thickBot="1">
      <c r="C125"/>
      <c r="D125"/>
      <c r="E125"/>
      <c r="F125"/>
      <c r="G125"/>
      <c r="H125" s="353"/>
      <c r="I125" s="353"/>
      <c r="K125" s="457" t="str">
        <f t="shared" si="14"/>
        <v>CFL Pin Base</v>
      </c>
      <c r="L125" s="457" t="str">
        <f t="shared" si="15"/>
        <v>Interior Support (Bathroom, Utility room, laundry room, garage)</v>
      </c>
      <c r="M125" s="457" t="str">
        <f t="shared" si="16"/>
        <v>All Residential 
(Single, Multi-family, and Mobile Homes)</v>
      </c>
      <c r="N125" s="457" t="str">
        <f t="shared" si="13"/>
        <v>Halogen Pin Base</v>
      </c>
      <c r="O125" s="461">
        <f t="shared" si="17"/>
        <v>0</v>
      </c>
      <c r="P125" s="461">
        <f t="shared" si="18"/>
        <v>0</v>
      </c>
    </row>
    <row r="126" spans="3:16" ht="16.5" hidden="1" outlineLevel="1" thickTop="1" thickBot="1">
      <c r="C126"/>
      <c r="D126"/>
      <c r="E126"/>
      <c r="F126"/>
      <c r="G126"/>
      <c r="H126" s="353"/>
      <c r="I126" s="353"/>
      <c r="K126" s="457" t="str">
        <f t="shared" si="14"/>
        <v>CFL Pin Base</v>
      </c>
      <c r="L126" s="457" t="str">
        <f t="shared" si="15"/>
        <v>Interior Support (Bathroom, Utility room, laundry room, garage)</v>
      </c>
      <c r="M126" s="457" t="str">
        <f t="shared" si="16"/>
        <v>All Residential 
(Single, Multi-family, and Mobile Homes)</v>
      </c>
      <c r="N126" s="457" t="str">
        <f t="shared" si="13"/>
        <v>Halogen Pin Base</v>
      </c>
      <c r="O126" s="461">
        <f t="shared" si="17"/>
        <v>0</v>
      </c>
      <c r="P126" s="461">
        <f t="shared" si="18"/>
        <v>0</v>
      </c>
    </row>
    <row r="127" spans="3:16" ht="16.5" hidden="1" outlineLevel="1" thickTop="1" thickBot="1">
      <c r="C127"/>
      <c r="D127"/>
      <c r="E127"/>
      <c r="F127"/>
      <c r="G127"/>
      <c r="H127" s="353"/>
      <c r="I127" s="353"/>
      <c r="K127" s="457" t="str">
        <f t="shared" si="14"/>
        <v>CFL Pin Base</v>
      </c>
      <c r="L127" s="457" t="str">
        <f t="shared" si="15"/>
        <v>Interior Support (Bathroom, Utility room, laundry room, garage)</v>
      </c>
      <c r="M127" s="457" t="str">
        <f t="shared" si="16"/>
        <v>All Residential 
(Single, Multi-family, and Mobile Homes)</v>
      </c>
      <c r="N127" s="457" t="str">
        <f t="shared" si="13"/>
        <v>Halogen Pin Base</v>
      </c>
      <c r="O127" s="461">
        <f t="shared" si="17"/>
        <v>0</v>
      </c>
      <c r="P127" s="461">
        <f t="shared" si="18"/>
        <v>0</v>
      </c>
    </row>
    <row r="128" spans="3:16" ht="16.5" hidden="1" outlineLevel="1" thickTop="1" thickBot="1">
      <c r="C128"/>
      <c r="D128"/>
      <c r="E128"/>
      <c r="F128"/>
      <c r="G128"/>
      <c r="H128" s="353"/>
      <c r="I128" s="353"/>
      <c r="K128" s="457" t="str">
        <f t="shared" si="14"/>
        <v>CFL Pin Base</v>
      </c>
      <c r="L128" s="457" t="str">
        <f t="shared" si="15"/>
        <v>Interior Support (Bathroom, Utility room, laundry room, garage)</v>
      </c>
      <c r="M128" s="457" t="str">
        <f t="shared" si="16"/>
        <v>All Residential 
(Single, Multi-family, and Mobile Homes)</v>
      </c>
      <c r="N128" s="457" t="str">
        <f t="shared" si="13"/>
        <v>Halogen Pin Base</v>
      </c>
      <c r="O128" s="461">
        <f t="shared" si="17"/>
        <v>0</v>
      </c>
      <c r="P128" s="461">
        <f t="shared" si="18"/>
        <v>0</v>
      </c>
    </row>
    <row r="129" spans="3:16" ht="16.5" hidden="1" outlineLevel="1" thickTop="1" thickBot="1">
      <c r="C129"/>
      <c r="D129"/>
      <c r="E129"/>
      <c r="F129"/>
      <c r="G129"/>
      <c r="H129" s="353"/>
      <c r="I129" s="353"/>
      <c r="K129" s="457" t="str">
        <f t="shared" si="14"/>
        <v>CFL Pin Base</v>
      </c>
      <c r="L129" s="457" t="str">
        <f t="shared" si="15"/>
        <v>Interior Support (Bathroom, Utility room, laundry room, garage)</v>
      </c>
      <c r="M129" s="457" t="str">
        <f t="shared" si="16"/>
        <v>All Residential 
(Single, Multi-family, and Mobile Homes)</v>
      </c>
      <c r="N129" s="457" t="str">
        <f t="shared" si="13"/>
        <v>Halogen Pin Base</v>
      </c>
      <c r="O129" s="461">
        <f t="shared" si="17"/>
        <v>0</v>
      </c>
      <c r="P129" s="461">
        <f t="shared" si="18"/>
        <v>0</v>
      </c>
    </row>
    <row r="130" spans="3:16" ht="16.5" hidden="1" outlineLevel="1" thickTop="1" thickBot="1">
      <c r="C130"/>
      <c r="D130"/>
      <c r="E130"/>
      <c r="F130"/>
      <c r="G130"/>
      <c r="H130" s="353"/>
      <c r="I130" s="353"/>
      <c r="K130" s="457" t="str">
        <f t="shared" si="14"/>
        <v>CFL Pin Base</v>
      </c>
      <c r="L130" s="457" t="str">
        <f t="shared" si="15"/>
        <v>Interior Support (Bathroom, Utility room, laundry room, garage)</v>
      </c>
      <c r="M130" s="457" t="str">
        <f t="shared" si="16"/>
        <v>All Residential 
(Single, Multi-family, and Mobile Homes)</v>
      </c>
      <c r="N130" s="457" t="str">
        <f t="shared" si="13"/>
        <v>Halogen Pin Base</v>
      </c>
      <c r="O130" s="461">
        <f t="shared" si="17"/>
        <v>0</v>
      </c>
      <c r="P130" s="461">
        <f t="shared" si="18"/>
        <v>0</v>
      </c>
    </row>
    <row r="131" spans="3:16" ht="16.5" hidden="1" outlineLevel="1" thickTop="1" thickBot="1">
      <c r="C131"/>
      <c r="D131"/>
      <c r="E131"/>
      <c r="F131"/>
      <c r="G131"/>
      <c r="H131" s="353"/>
      <c r="I131" s="353"/>
      <c r="K131" s="457" t="str">
        <f t="shared" si="14"/>
        <v>CFL Pin Base</v>
      </c>
      <c r="L131" s="457" t="str">
        <f t="shared" si="15"/>
        <v>Interior Support (Bathroom, Utility room, laundry room, garage)</v>
      </c>
      <c r="M131" s="457" t="str">
        <f t="shared" si="16"/>
        <v>All Residential 
(Single, Multi-family, and Mobile Homes)</v>
      </c>
      <c r="N131" s="457" t="str">
        <f t="shared" si="13"/>
        <v>Halogen Pin Base</v>
      </c>
      <c r="O131" s="461">
        <f t="shared" si="17"/>
        <v>0</v>
      </c>
      <c r="P131" s="461">
        <f t="shared" si="18"/>
        <v>0</v>
      </c>
    </row>
    <row r="132" spans="3:16" ht="16.5" hidden="1" outlineLevel="1" thickTop="1" thickBot="1">
      <c r="C132"/>
      <c r="D132"/>
      <c r="E132"/>
      <c r="F132"/>
      <c r="G132"/>
      <c r="H132" s="353"/>
      <c r="I132" s="353"/>
      <c r="K132" s="457" t="str">
        <f t="shared" si="14"/>
        <v>CFL Pin Base</v>
      </c>
      <c r="L132" s="457" t="str">
        <f t="shared" si="15"/>
        <v>Interior Support (Bathroom, Utility room, laundry room, garage)</v>
      </c>
      <c r="M132" s="457" t="str">
        <f t="shared" si="16"/>
        <v>All Residential 
(Single, Multi-family, and Mobile Homes)</v>
      </c>
      <c r="N132" s="457" t="str">
        <f t="shared" si="13"/>
        <v>Halogen Pin Base</v>
      </c>
      <c r="O132" s="461">
        <f t="shared" si="17"/>
        <v>0</v>
      </c>
      <c r="P132" s="461">
        <f t="shared" si="18"/>
        <v>0</v>
      </c>
    </row>
    <row r="133" spans="3:16" ht="16.5" hidden="1" outlineLevel="1" thickTop="1" thickBot="1">
      <c r="C133"/>
      <c r="D133"/>
      <c r="E133"/>
      <c r="F133"/>
      <c r="G133"/>
      <c r="H133" s="353"/>
      <c r="I133" s="353"/>
      <c r="K133" s="457" t="str">
        <f t="shared" si="14"/>
        <v>CFL Pin Base</v>
      </c>
      <c r="L133" s="457" t="str">
        <f t="shared" si="15"/>
        <v>Interior Support (Bathroom, Utility room, laundry room, garage)</v>
      </c>
      <c r="M133" s="457" t="str">
        <f t="shared" si="16"/>
        <v>All Residential 
(Single, Multi-family, and Mobile Homes)</v>
      </c>
      <c r="N133" s="457" t="str">
        <f t="shared" si="13"/>
        <v>Halogen Pin Base</v>
      </c>
      <c r="O133" s="461">
        <f t="shared" si="17"/>
        <v>0</v>
      </c>
      <c r="P133" s="461">
        <f t="shared" si="18"/>
        <v>0</v>
      </c>
    </row>
    <row r="134" spans="3:16" ht="16.5" hidden="1" outlineLevel="1" thickTop="1" thickBot="1">
      <c r="C134"/>
      <c r="D134"/>
      <c r="E134"/>
      <c r="F134"/>
      <c r="G134"/>
      <c r="H134" s="353"/>
      <c r="I134" s="353"/>
      <c r="K134" s="457" t="str">
        <f t="shared" si="14"/>
        <v>CFL Pin Base</v>
      </c>
      <c r="L134" s="457" t="str">
        <f t="shared" si="15"/>
        <v>Interior Support (Bathroom, Utility room, laundry room, garage)</v>
      </c>
      <c r="M134" s="457" t="str">
        <f t="shared" si="16"/>
        <v>All Residential 
(Single, Multi-family, and Mobile Homes)</v>
      </c>
      <c r="N134" s="457" t="str">
        <f t="shared" si="13"/>
        <v>Halogen Pin Base</v>
      </c>
      <c r="O134" s="461">
        <f t="shared" si="17"/>
        <v>0</v>
      </c>
      <c r="P134" s="461">
        <f t="shared" si="18"/>
        <v>0</v>
      </c>
    </row>
    <row r="135" spans="3:16" ht="16.5" hidden="1" outlineLevel="1" thickTop="1" thickBot="1">
      <c r="C135"/>
      <c r="D135"/>
      <c r="E135"/>
      <c r="F135"/>
      <c r="G135"/>
      <c r="H135" s="353"/>
      <c r="I135" s="353"/>
      <c r="K135" s="457" t="str">
        <f t="shared" ref="K135:K155" si="19">IF(C135=0,K134,C135)</f>
        <v>CFL Pin Base</v>
      </c>
      <c r="L135" s="457" t="str">
        <f t="shared" ref="L135:L155" si="20">IF(D135=0,L134,D135)</f>
        <v>Interior Support (Bathroom, Utility room, laundry room, garage)</v>
      </c>
      <c r="M135" s="457" t="str">
        <f t="shared" ref="M135:M155" si="21">IF(E135=0,M134,E135)</f>
        <v>All Residential 
(Single, Multi-family, and Mobile Homes)</v>
      </c>
      <c r="N135" s="457" t="str">
        <f t="shared" si="13"/>
        <v>Halogen Pin Base</v>
      </c>
      <c r="O135" s="461">
        <f t="shared" ref="O135:O166" si="22">G135</f>
        <v>0</v>
      </c>
      <c r="P135" s="461">
        <f t="shared" ref="P135:P166" si="23">H135</f>
        <v>0</v>
      </c>
    </row>
    <row r="136" spans="3:16" ht="16.5" hidden="1" outlineLevel="1" thickTop="1" thickBot="1">
      <c r="C136"/>
      <c r="D136"/>
      <c r="E136"/>
      <c r="F136"/>
      <c r="G136"/>
      <c r="H136" s="353"/>
      <c r="I136" s="353"/>
      <c r="K136" s="457" t="str">
        <f t="shared" si="19"/>
        <v>CFL Pin Base</v>
      </c>
      <c r="L136" s="457" t="str">
        <f t="shared" si="20"/>
        <v>Interior Support (Bathroom, Utility room, laundry room, garage)</v>
      </c>
      <c r="M136" s="457" t="str">
        <f t="shared" si="21"/>
        <v>All Residential 
(Single, Multi-family, and Mobile Homes)</v>
      </c>
      <c r="N136" s="457" t="str">
        <f t="shared" ref="N136:N180" si="24">IF(F136=0,N135,F136)</f>
        <v>Halogen Pin Base</v>
      </c>
      <c r="O136" s="461">
        <f t="shared" si="22"/>
        <v>0</v>
      </c>
      <c r="P136" s="461">
        <f t="shared" si="23"/>
        <v>0</v>
      </c>
    </row>
    <row r="137" spans="3:16" ht="16.5" hidden="1" outlineLevel="1" thickTop="1" thickBot="1">
      <c r="H137" s="353"/>
      <c r="I137" s="353"/>
      <c r="K137" s="457" t="str">
        <f t="shared" si="19"/>
        <v>CFL Pin Base</v>
      </c>
      <c r="L137" s="457" t="str">
        <f t="shared" si="20"/>
        <v>Interior Support (Bathroom, Utility room, laundry room, garage)</v>
      </c>
      <c r="M137" s="457" t="str">
        <f t="shared" si="21"/>
        <v>All Residential 
(Single, Multi-family, and Mobile Homes)</v>
      </c>
      <c r="N137" s="457" t="str">
        <f t="shared" si="24"/>
        <v>Halogen Pin Base</v>
      </c>
      <c r="O137" s="461">
        <f t="shared" si="22"/>
        <v>0</v>
      </c>
      <c r="P137" s="461">
        <f t="shared" si="23"/>
        <v>0</v>
      </c>
    </row>
    <row r="138" spans="3:16" ht="16.5" hidden="1" outlineLevel="1" thickTop="1" thickBot="1">
      <c r="K138" s="457" t="str">
        <f t="shared" si="19"/>
        <v>CFL Pin Base</v>
      </c>
      <c r="L138" s="457" t="str">
        <f t="shared" si="20"/>
        <v>Interior Support (Bathroom, Utility room, laundry room, garage)</v>
      </c>
      <c r="M138" s="457" t="str">
        <f t="shared" si="21"/>
        <v>All Residential 
(Single, Multi-family, and Mobile Homes)</v>
      </c>
      <c r="N138" s="457" t="str">
        <f t="shared" si="24"/>
        <v>Halogen Pin Base</v>
      </c>
      <c r="O138" s="461">
        <f t="shared" si="22"/>
        <v>0</v>
      </c>
      <c r="P138" s="461">
        <f t="shared" si="23"/>
        <v>0</v>
      </c>
    </row>
    <row r="139" spans="3:16" ht="16.5" hidden="1" outlineLevel="1" thickTop="1" thickBot="1">
      <c r="K139" s="457" t="str">
        <f t="shared" si="19"/>
        <v>CFL Pin Base</v>
      </c>
      <c r="L139" s="457" t="str">
        <f t="shared" si="20"/>
        <v>Interior Support (Bathroom, Utility room, laundry room, garage)</v>
      </c>
      <c r="M139" s="457" t="str">
        <f t="shared" si="21"/>
        <v>All Residential 
(Single, Multi-family, and Mobile Homes)</v>
      </c>
      <c r="N139" s="457" t="str">
        <f t="shared" si="24"/>
        <v>Halogen Pin Base</v>
      </c>
      <c r="O139" s="461">
        <f t="shared" si="22"/>
        <v>0</v>
      </c>
      <c r="P139" s="461">
        <f t="shared" si="23"/>
        <v>0</v>
      </c>
    </row>
    <row r="140" spans="3:16" ht="16.5" hidden="1" outlineLevel="1" thickTop="1" thickBot="1">
      <c r="K140" s="457" t="str">
        <f t="shared" si="19"/>
        <v>CFL Pin Base</v>
      </c>
      <c r="L140" s="457" t="str">
        <f t="shared" si="20"/>
        <v>Interior Support (Bathroom, Utility room, laundry room, garage)</v>
      </c>
      <c r="M140" s="457" t="str">
        <f t="shared" si="21"/>
        <v>All Residential 
(Single, Multi-family, and Mobile Homes)</v>
      </c>
      <c r="N140" s="457" t="str">
        <f t="shared" si="24"/>
        <v>Halogen Pin Base</v>
      </c>
      <c r="O140" s="461">
        <f t="shared" si="22"/>
        <v>0</v>
      </c>
      <c r="P140" s="461">
        <f t="shared" si="23"/>
        <v>0</v>
      </c>
    </row>
    <row r="141" spans="3:16" ht="16.5" hidden="1" outlineLevel="1" thickTop="1" thickBot="1">
      <c r="K141" s="457" t="str">
        <f t="shared" si="19"/>
        <v>CFL Pin Base</v>
      </c>
      <c r="L141" s="457" t="str">
        <f t="shared" si="20"/>
        <v>Interior Support (Bathroom, Utility room, laundry room, garage)</v>
      </c>
      <c r="M141" s="457" t="str">
        <f t="shared" si="21"/>
        <v>All Residential 
(Single, Multi-family, and Mobile Homes)</v>
      </c>
      <c r="N141" s="457" t="str">
        <f t="shared" si="24"/>
        <v>Halogen Pin Base</v>
      </c>
      <c r="O141" s="461">
        <f t="shared" si="22"/>
        <v>0</v>
      </c>
      <c r="P141" s="461">
        <f t="shared" si="23"/>
        <v>0</v>
      </c>
    </row>
    <row r="142" spans="3:16" ht="16.5" hidden="1" outlineLevel="1" thickTop="1" thickBot="1">
      <c r="K142" s="457" t="str">
        <f t="shared" si="19"/>
        <v>CFL Pin Base</v>
      </c>
      <c r="L142" s="457" t="str">
        <f t="shared" si="20"/>
        <v>Interior Support (Bathroom, Utility room, laundry room, garage)</v>
      </c>
      <c r="M142" s="457" t="str">
        <f t="shared" si="21"/>
        <v>All Residential 
(Single, Multi-family, and Mobile Homes)</v>
      </c>
      <c r="N142" s="457" t="str">
        <f t="shared" si="24"/>
        <v>Halogen Pin Base</v>
      </c>
      <c r="O142" s="461">
        <f t="shared" si="22"/>
        <v>0</v>
      </c>
      <c r="P142" s="461">
        <f t="shared" si="23"/>
        <v>0</v>
      </c>
    </row>
    <row r="143" spans="3:16" ht="16.5" hidden="1" outlineLevel="1" thickTop="1" thickBot="1">
      <c r="K143" s="457" t="str">
        <f t="shared" si="19"/>
        <v>CFL Pin Base</v>
      </c>
      <c r="L143" s="457" t="str">
        <f t="shared" si="20"/>
        <v>Interior Support (Bathroom, Utility room, laundry room, garage)</v>
      </c>
      <c r="M143" s="457" t="str">
        <f t="shared" si="21"/>
        <v>All Residential 
(Single, Multi-family, and Mobile Homes)</v>
      </c>
      <c r="N143" s="457" t="str">
        <f t="shared" si="24"/>
        <v>Halogen Pin Base</v>
      </c>
      <c r="O143" s="461">
        <f t="shared" si="22"/>
        <v>0</v>
      </c>
      <c r="P143" s="461">
        <f t="shared" si="23"/>
        <v>0</v>
      </c>
    </row>
    <row r="144" spans="3:16" ht="16.5" hidden="1" outlineLevel="1" thickTop="1" thickBot="1">
      <c r="K144" s="457" t="str">
        <f t="shared" si="19"/>
        <v>CFL Pin Base</v>
      </c>
      <c r="L144" s="457" t="str">
        <f t="shared" si="20"/>
        <v>Interior Support (Bathroom, Utility room, laundry room, garage)</v>
      </c>
      <c r="M144" s="457" t="str">
        <f t="shared" si="21"/>
        <v>All Residential 
(Single, Multi-family, and Mobile Homes)</v>
      </c>
      <c r="N144" s="457" t="str">
        <f t="shared" si="24"/>
        <v>Halogen Pin Base</v>
      </c>
      <c r="O144" s="461">
        <f t="shared" si="22"/>
        <v>0</v>
      </c>
      <c r="P144" s="461">
        <f t="shared" si="23"/>
        <v>0</v>
      </c>
    </row>
    <row r="145" spans="11:16" ht="16.5" hidden="1" outlineLevel="1" thickTop="1" thickBot="1">
      <c r="K145" s="457" t="str">
        <f t="shared" si="19"/>
        <v>CFL Pin Base</v>
      </c>
      <c r="L145" s="457" t="str">
        <f t="shared" si="20"/>
        <v>Interior Support (Bathroom, Utility room, laundry room, garage)</v>
      </c>
      <c r="M145" s="457" t="str">
        <f t="shared" si="21"/>
        <v>All Residential 
(Single, Multi-family, and Mobile Homes)</v>
      </c>
      <c r="N145" s="457" t="str">
        <f t="shared" si="24"/>
        <v>Halogen Pin Base</v>
      </c>
      <c r="O145" s="461">
        <f t="shared" si="22"/>
        <v>0</v>
      </c>
      <c r="P145" s="461">
        <f t="shared" si="23"/>
        <v>0</v>
      </c>
    </row>
    <row r="146" spans="11:16" ht="16.5" hidden="1" outlineLevel="1" thickTop="1" thickBot="1">
      <c r="K146" s="457" t="str">
        <f t="shared" si="19"/>
        <v>CFL Pin Base</v>
      </c>
      <c r="L146" s="457" t="str">
        <f t="shared" si="20"/>
        <v>Interior Support (Bathroom, Utility room, laundry room, garage)</v>
      </c>
      <c r="M146" s="457" t="str">
        <f t="shared" si="21"/>
        <v>All Residential 
(Single, Multi-family, and Mobile Homes)</v>
      </c>
      <c r="N146" s="457" t="str">
        <f t="shared" si="24"/>
        <v>Halogen Pin Base</v>
      </c>
      <c r="O146" s="461">
        <f t="shared" si="22"/>
        <v>0</v>
      </c>
      <c r="P146" s="461">
        <f t="shared" si="23"/>
        <v>0</v>
      </c>
    </row>
    <row r="147" spans="11:16" ht="16.5" hidden="1" outlineLevel="1" thickTop="1" thickBot="1">
      <c r="K147" s="457" t="str">
        <f t="shared" si="19"/>
        <v>CFL Pin Base</v>
      </c>
      <c r="L147" s="457" t="str">
        <f t="shared" si="20"/>
        <v>Interior Support (Bathroom, Utility room, laundry room, garage)</v>
      </c>
      <c r="M147" s="457" t="str">
        <f t="shared" si="21"/>
        <v>All Residential 
(Single, Multi-family, and Mobile Homes)</v>
      </c>
      <c r="N147" s="457" t="str">
        <f t="shared" si="24"/>
        <v>Halogen Pin Base</v>
      </c>
      <c r="O147" s="461">
        <f t="shared" si="22"/>
        <v>0</v>
      </c>
      <c r="P147" s="461">
        <f t="shared" si="23"/>
        <v>0</v>
      </c>
    </row>
    <row r="148" spans="11:16" ht="16.5" hidden="1" outlineLevel="1" thickTop="1" thickBot="1">
      <c r="K148" s="457" t="str">
        <f t="shared" si="19"/>
        <v>CFL Pin Base</v>
      </c>
      <c r="L148" s="457" t="str">
        <f t="shared" si="20"/>
        <v>Interior Support (Bathroom, Utility room, laundry room, garage)</v>
      </c>
      <c r="M148" s="457" t="str">
        <f t="shared" si="21"/>
        <v>All Residential 
(Single, Multi-family, and Mobile Homes)</v>
      </c>
      <c r="N148" s="457" t="str">
        <f t="shared" si="24"/>
        <v>Halogen Pin Base</v>
      </c>
      <c r="O148" s="461">
        <f t="shared" si="22"/>
        <v>0</v>
      </c>
      <c r="P148" s="461">
        <f t="shared" si="23"/>
        <v>0</v>
      </c>
    </row>
    <row r="149" spans="11:16" ht="16.5" hidden="1" outlineLevel="1" thickTop="1" thickBot="1">
      <c r="K149" s="457" t="str">
        <f t="shared" si="19"/>
        <v>CFL Pin Base</v>
      </c>
      <c r="L149" s="457" t="str">
        <f t="shared" si="20"/>
        <v>Interior Support (Bathroom, Utility room, laundry room, garage)</v>
      </c>
      <c r="M149" s="457" t="str">
        <f t="shared" si="21"/>
        <v>All Residential 
(Single, Multi-family, and Mobile Homes)</v>
      </c>
      <c r="N149" s="457" t="str">
        <f t="shared" si="24"/>
        <v>Halogen Pin Base</v>
      </c>
      <c r="O149" s="461">
        <f t="shared" si="22"/>
        <v>0</v>
      </c>
      <c r="P149" s="461">
        <f t="shared" si="23"/>
        <v>0</v>
      </c>
    </row>
    <row r="150" spans="11:16" ht="16.5" hidden="1" outlineLevel="1" thickTop="1" thickBot="1">
      <c r="K150" s="457" t="str">
        <f t="shared" si="19"/>
        <v>CFL Pin Base</v>
      </c>
      <c r="L150" s="457" t="str">
        <f t="shared" si="20"/>
        <v>Interior Support (Bathroom, Utility room, laundry room, garage)</v>
      </c>
      <c r="M150" s="457" t="str">
        <f t="shared" si="21"/>
        <v>All Residential 
(Single, Multi-family, and Mobile Homes)</v>
      </c>
      <c r="N150" s="457" t="str">
        <f t="shared" si="24"/>
        <v>Halogen Pin Base</v>
      </c>
      <c r="O150" s="461">
        <f t="shared" si="22"/>
        <v>0</v>
      </c>
      <c r="P150" s="461">
        <f t="shared" si="23"/>
        <v>0</v>
      </c>
    </row>
    <row r="151" spans="11:16" ht="16.5" hidden="1" outlineLevel="1" thickTop="1" thickBot="1">
      <c r="K151" s="457" t="str">
        <f t="shared" si="19"/>
        <v>CFL Pin Base</v>
      </c>
      <c r="L151" s="457" t="str">
        <f t="shared" si="20"/>
        <v>Interior Support (Bathroom, Utility room, laundry room, garage)</v>
      </c>
      <c r="M151" s="457" t="str">
        <f t="shared" si="21"/>
        <v>All Residential 
(Single, Multi-family, and Mobile Homes)</v>
      </c>
      <c r="N151" s="457" t="str">
        <f t="shared" si="24"/>
        <v>Halogen Pin Base</v>
      </c>
      <c r="O151" s="461">
        <f t="shared" si="22"/>
        <v>0</v>
      </c>
      <c r="P151" s="461">
        <f t="shared" si="23"/>
        <v>0</v>
      </c>
    </row>
    <row r="152" spans="11:16" ht="16.5" hidden="1" outlineLevel="1" thickTop="1" thickBot="1">
      <c r="K152" s="457" t="str">
        <f t="shared" si="19"/>
        <v>CFL Pin Base</v>
      </c>
      <c r="L152" s="457" t="str">
        <f t="shared" si="20"/>
        <v>Interior Support (Bathroom, Utility room, laundry room, garage)</v>
      </c>
      <c r="M152" s="457" t="str">
        <f t="shared" si="21"/>
        <v>All Residential 
(Single, Multi-family, and Mobile Homes)</v>
      </c>
      <c r="N152" s="457" t="str">
        <f t="shared" si="24"/>
        <v>Halogen Pin Base</v>
      </c>
      <c r="O152" s="461">
        <f t="shared" si="22"/>
        <v>0</v>
      </c>
      <c r="P152" s="461">
        <f t="shared" si="23"/>
        <v>0</v>
      </c>
    </row>
    <row r="153" spans="11:16" ht="16.5" hidden="1" outlineLevel="1" thickTop="1" thickBot="1">
      <c r="K153" s="457" t="str">
        <f t="shared" si="19"/>
        <v>CFL Pin Base</v>
      </c>
      <c r="L153" s="457" t="str">
        <f t="shared" si="20"/>
        <v>Interior Support (Bathroom, Utility room, laundry room, garage)</v>
      </c>
      <c r="M153" s="457" t="str">
        <f t="shared" si="21"/>
        <v>All Residential 
(Single, Multi-family, and Mobile Homes)</v>
      </c>
      <c r="N153" s="457" t="str">
        <f t="shared" si="24"/>
        <v>Halogen Pin Base</v>
      </c>
      <c r="O153" s="461">
        <f t="shared" si="22"/>
        <v>0</v>
      </c>
      <c r="P153" s="461">
        <f t="shared" si="23"/>
        <v>0</v>
      </c>
    </row>
    <row r="154" spans="11:16" ht="16.5" hidden="1" outlineLevel="1" thickTop="1" thickBot="1">
      <c r="K154" s="457" t="str">
        <f t="shared" si="19"/>
        <v>CFL Pin Base</v>
      </c>
      <c r="L154" s="457" t="str">
        <f t="shared" si="20"/>
        <v>Interior Support (Bathroom, Utility room, laundry room, garage)</v>
      </c>
      <c r="M154" s="457" t="str">
        <f t="shared" si="21"/>
        <v>All Residential 
(Single, Multi-family, and Mobile Homes)</v>
      </c>
      <c r="N154" s="457" t="str">
        <f t="shared" si="24"/>
        <v>Halogen Pin Base</v>
      </c>
      <c r="O154" s="461">
        <f t="shared" si="22"/>
        <v>0</v>
      </c>
      <c r="P154" s="461">
        <f t="shared" si="23"/>
        <v>0</v>
      </c>
    </row>
    <row r="155" spans="11:16" ht="16.5" hidden="1" outlineLevel="1" thickTop="1" thickBot="1">
      <c r="K155" s="457" t="str">
        <f t="shared" si="19"/>
        <v>CFL Pin Base</v>
      </c>
      <c r="L155" s="457" t="str">
        <f t="shared" si="20"/>
        <v>Interior Support (Bathroom, Utility room, laundry room, garage)</v>
      </c>
      <c r="M155" s="457" t="str">
        <f t="shared" si="21"/>
        <v>All Residential 
(Single, Multi-family, and Mobile Homes)</v>
      </c>
      <c r="N155" s="457" t="str">
        <f t="shared" si="24"/>
        <v>Halogen Pin Base</v>
      </c>
      <c r="O155" s="461">
        <f t="shared" si="22"/>
        <v>0</v>
      </c>
      <c r="P155" s="461">
        <f t="shared" si="23"/>
        <v>0</v>
      </c>
    </row>
    <row r="156" spans="11:16" ht="16.5" hidden="1" outlineLevel="1" thickTop="1" thickBot="1">
      <c r="K156" s="457" t="str">
        <f t="shared" ref="K156:K180" si="25">IF(C156=0,K155,C156)</f>
        <v>CFL Pin Base</v>
      </c>
      <c r="L156" s="457" t="str">
        <f t="shared" ref="L156:L180" si="26">IF(D156=0,L155,D156)</f>
        <v>Interior Support (Bathroom, Utility room, laundry room, garage)</v>
      </c>
      <c r="M156" s="457" t="str">
        <f t="shared" ref="M156:M180" si="27">IF(E156=0,M155,E156)</f>
        <v>All Residential 
(Single, Multi-family, and Mobile Homes)</v>
      </c>
      <c r="N156" s="457" t="str">
        <f t="shared" si="24"/>
        <v>Halogen Pin Base</v>
      </c>
      <c r="O156" s="461">
        <f t="shared" si="22"/>
        <v>0</v>
      </c>
      <c r="P156" s="461">
        <f t="shared" si="23"/>
        <v>0</v>
      </c>
    </row>
    <row r="157" spans="11:16" ht="16.5" hidden="1" outlineLevel="1" thickTop="1" thickBot="1">
      <c r="K157" s="457" t="str">
        <f t="shared" si="25"/>
        <v>CFL Pin Base</v>
      </c>
      <c r="L157" s="457" t="str">
        <f t="shared" si="26"/>
        <v>Interior Support (Bathroom, Utility room, laundry room, garage)</v>
      </c>
      <c r="M157" s="457" t="str">
        <f t="shared" si="27"/>
        <v>All Residential 
(Single, Multi-family, and Mobile Homes)</v>
      </c>
      <c r="N157" s="457" t="str">
        <f t="shared" si="24"/>
        <v>Halogen Pin Base</v>
      </c>
      <c r="O157" s="461">
        <f t="shared" si="22"/>
        <v>0</v>
      </c>
      <c r="P157" s="461">
        <f t="shared" si="23"/>
        <v>0</v>
      </c>
    </row>
    <row r="158" spans="11:16" ht="16.5" hidden="1" outlineLevel="1" thickTop="1" thickBot="1">
      <c r="K158" s="457" t="str">
        <f t="shared" si="25"/>
        <v>CFL Pin Base</v>
      </c>
      <c r="L158" s="457" t="str">
        <f t="shared" si="26"/>
        <v>Interior Support (Bathroom, Utility room, laundry room, garage)</v>
      </c>
      <c r="M158" s="457" t="str">
        <f t="shared" si="27"/>
        <v>All Residential 
(Single, Multi-family, and Mobile Homes)</v>
      </c>
      <c r="N158" s="457" t="str">
        <f t="shared" si="24"/>
        <v>Halogen Pin Base</v>
      </c>
      <c r="O158" s="461">
        <f t="shared" si="22"/>
        <v>0</v>
      </c>
      <c r="P158" s="461">
        <f t="shared" si="23"/>
        <v>0</v>
      </c>
    </row>
    <row r="159" spans="11:16" ht="16.5" hidden="1" outlineLevel="1" thickTop="1" thickBot="1">
      <c r="K159" s="457" t="str">
        <f t="shared" si="25"/>
        <v>CFL Pin Base</v>
      </c>
      <c r="L159" s="457" t="str">
        <f t="shared" si="26"/>
        <v>Interior Support (Bathroom, Utility room, laundry room, garage)</v>
      </c>
      <c r="M159" s="457" t="str">
        <f t="shared" si="27"/>
        <v>All Residential 
(Single, Multi-family, and Mobile Homes)</v>
      </c>
      <c r="N159" s="457" t="str">
        <f t="shared" si="24"/>
        <v>Halogen Pin Base</v>
      </c>
      <c r="O159" s="461">
        <f t="shared" si="22"/>
        <v>0</v>
      </c>
      <c r="P159" s="461">
        <f t="shared" si="23"/>
        <v>0</v>
      </c>
    </row>
    <row r="160" spans="11:16" ht="16.5" hidden="1" outlineLevel="1" thickTop="1" thickBot="1">
      <c r="K160" s="457" t="str">
        <f t="shared" si="25"/>
        <v>CFL Pin Base</v>
      </c>
      <c r="L160" s="457" t="str">
        <f t="shared" si="26"/>
        <v>Interior Support (Bathroom, Utility room, laundry room, garage)</v>
      </c>
      <c r="M160" s="457" t="str">
        <f t="shared" si="27"/>
        <v>All Residential 
(Single, Multi-family, and Mobile Homes)</v>
      </c>
      <c r="N160" s="457" t="str">
        <f t="shared" si="24"/>
        <v>Halogen Pin Base</v>
      </c>
      <c r="O160" s="461">
        <f t="shared" si="22"/>
        <v>0</v>
      </c>
      <c r="P160" s="461">
        <f t="shared" si="23"/>
        <v>0</v>
      </c>
    </row>
    <row r="161" spans="11:16" ht="16.5" hidden="1" outlineLevel="1" thickTop="1" thickBot="1">
      <c r="K161" s="457" t="str">
        <f t="shared" si="25"/>
        <v>CFL Pin Base</v>
      </c>
      <c r="L161" s="457" t="str">
        <f t="shared" si="26"/>
        <v>Interior Support (Bathroom, Utility room, laundry room, garage)</v>
      </c>
      <c r="M161" s="457" t="str">
        <f t="shared" si="27"/>
        <v>All Residential 
(Single, Multi-family, and Mobile Homes)</v>
      </c>
      <c r="N161" s="457" t="str">
        <f t="shared" si="24"/>
        <v>Halogen Pin Base</v>
      </c>
      <c r="O161" s="461">
        <f t="shared" si="22"/>
        <v>0</v>
      </c>
      <c r="P161" s="461">
        <f t="shared" si="23"/>
        <v>0</v>
      </c>
    </row>
    <row r="162" spans="11:16" ht="16.5" hidden="1" outlineLevel="1" thickTop="1" thickBot="1">
      <c r="K162" s="457" t="str">
        <f t="shared" si="25"/>
        <v>CFL Pin Base</v>
      </c>
      <c r="L162" s="457" t="str">
        <f t="shared" si="26"/>
        <v>Interior Support (Bathroom, Utility room, laundry room, garage)</v>
      </c>
      <c r="M162" s="457" t="str">
        <f t="shared" si="27"/>
        <v>All Residential 
(Single, Multi-family, and Mobile Homes)</v>
      </c>
      <c r="N162" s="457" t="str">
        <f t="shared" si="24"/>
        <v>Halogen Pin Base</v>
      </c>
      <c r="O162" s="461">
        <f t="shared" si="22"/>
        <v>0</v>
      </c>
      <c r="P162" s="461">
        <f t="shared" si="23"/>
        <v>0</v>
      </c>
    </row>
    <row r="163" spans="11:16" ht="16.5" hidden="1" outlineLevel="1" thickTop="1" thickBot="1">
      <c r="K163" s="457" t="str">
        <f t="shared" si="25"/>
        <v>CFL Pin Base</v>
      </c>
      <c r="L163" s="457" t="str">
        <f t="shared" si="26"/>
        <v>Interior Support (Bathroom, Utility room, laundry room, garage)</v>
      </c>
      <c r="M163" s="457" t="str">
        <f t="shared" si="27"/>
        <v>All Residential 
(Single, Multi-family, and Mobile Homes)</v>
      </c>
      <c r="N163" s="457" t="str">
        <f t="shared" si="24"/>
        <v>Halogen Pin Base</v>
      </c>
      <c r="O163" s="461">
        <f t="shared" si="22"/>
        <v>0</v>
      </c>
      <c r="P163" s="461">
        <f t="shared" si="23"/>
        <v>0</v>
      </c>
    </row>
    <row r="164" spans="11:16" ht="16.5" hidden="1" outlineLevel="1" thickTop="1" thickBot="1">
      <c r="K164" s="457" t="str">
        <f t="shared" si="25"/>
        <v>CFL Pin Base</v>
      </c>
      <c r="L164" s="457" t="str">
        <f t="shared" si="26"/>
        <v>Interior Support (Bathroom, Utility room, laundry room, garage)</v>
      </c>
      <c r="M164" s="457" t="str">
        <f t="shared" si="27"/>
        <v>All Residential 
(Single, Multi-family, and Mobile Homes)</v>
      </c>
      <c r="N164" s="457" t="str">
        <f t="shared" si="24"/>
        <v>Halogen Pin Base</v>
      </c>
      <c r="O164" s="461">
        <f t="shared" si="22"/>
        <v>0</v>
      </c>
      <c r="P164" s="461">
        <f t="shared" si="23"/>
        <v>0</v>
      </c>
    </row>
    <row r="165" spans="11:16" ht="16.5" hidden="1" outlineLevel="1" thickTop="1" thickBot="1">
      <c r="K165" s="457" t="str">
        <f t="shared" si="25"/>
        <v>CFL Pin Base</v>
      </c>
      <c r="L165" s="457" t="str">
        <f t="shared" si="26"/>
        <v>Interior Support (Bathroom, Utility room, laundry room, garage)</v>
      </c>
      <c r="M165" s="457" t="str">
        <f t="shared" si="27"/>
        <v>All Residential 
(Single, Multi-family, and Mobile Homes)</v>
      </c>
      <c r="N165" s="457" t="str">
        <f t="shared" si="24"/>
        <v>Halogen Pin Base</v>
      </c>
      <c r="O165" s="461">
        <f t="shared" si="22"/>
        <v>0</v>
      </c>
      <c r="P165" s="461">
        <f t="shared" si="23"/>
        <v>0</v>
      </c>
    </row>
    <row r="166" spans="11:16" ht="16.5" hidden="1" outlineLevel="1" thickTop="1" thickBot="1">
      <c r="K166" s="457" t="str">
        <f t="shared" si="25"/>
        <v>CFL Pin Base</v>
      </c>
      <c r="L166" s="457" t="str">
        <f t="shared" si="26"/>
        <v>Interior Support (Bathroom, Utility room, laundry room, garage)</v>
      </c>
      <c r="M166" s="457" t="str">
        <f t="shared" si="27"/>
        <v>All Residential 
(Single, Multi-family, and Mobile Homes)</v>
      </c>
      <c r="N166" s="457" t="str">
        <f t="shared" si="24"/>
        <v>Halogen Pin Base</v>
      </c>
      <c r="O166" s="461">
        <f t="shared" si="22"/>
        <v>0</v>
      </c>
      <c r="P166" s="461">
        <f t="shared" si="23"/>
        <v>0</v>
      </c>
    </row>
    <row r="167" spans="11:16" ht="16.5" hidden="1" outlineLevel="1" thickTop="1" thickBot="1">
      <c r="K167" s="457" t="str">
        <f t="shared" si="25"/>
        <v>CFL Pin Base</v>
      </c>
      <c r="L167" s="457" t="str">
        <f t="shared" si="26"/>
        <v>Interior Support (Bathroom, Utility room, laundry room, garage)</v>
      </c>
      <c r="M167" s="457" t="str">
        <f t="shared" si="27"/>
        <v>All Residential 
(Single, Multi-family, and Mobile Homes)</v>
      </c>
      <c r="N167" s="457" t="str">
        <f t="shared" si="24"/>
        <v>Halogen Pin Base</v>
      </c>
      <c r="O167" s="461">
        <f t="shared" ref="O167:O180" si="28">G167</f>
        <v>0</v>
      </c>
      <c r="P167" s="461">
        <f t="shared" ref="P167:P180" si="29">H167</f>
        <v>0</v>
      </c>
    </row>
    <row r="168" spans="11:16" ht="16.5" hidden="1" outlineLevel="1" thickTop="1" thickBot="1">
      <c r="K168" s="457" t="str">
        <f t="shared" si="25"/>
        <v>CFL Pin Base</v>
      </c>
      <c r="L168" s="457" t="str">
        <f t="shared" si="26"/>
        <v>Interior Support (Bathroom, Utility room, laundry room, garage)</v>
      </c>
      <c r="M168" s="457" t="str">
        <f t="shared" si="27"/>
        <v>All Residential 
(Single, Multi-family, and Mobile Homes)</v>
      </c>
      <c r="N168" s="457" t="str">
        <f t="shared" si="24"/>
        <v>Halogen Pin Base</v>
      </c>
      <c r="O168" s="461">
        <f t="shared" si="28"/>
        <v>0</v>
      </c>
      <c r="P168" s="461">
        <f t="shared" si="29"/>
        <v>0</v>
      </c>
    </row>
    <row r="169" spans="11:16" ht="16.5" hidden="1" outlineLevel="1" thickTop="1" thickBot="1">
      <c r="K169" s="457" t="str">
        <f t="shared" si="25"/>
        <v>CFL Pin Base</v>
      </c>
      <c r="L169" s="457" t="str">
        <f t="shared" si="26"/>
        <v>Interior Support (Bathroom, Utility room, laundry room, garage)</v>
      </c>
      <c r="M169" s="457" t="str">
        <f t="shared" si="27"/>
        <v>All Residential 
(Single, Multi-family, and Mobile Homes)</v>
      </c>
      <c r="N169" s="457" t="str">
        <f t="shared" si="24"/>
        <v>Halogen Pin Base</v>
      </c>
      <c r="O169" s="461">
        <f t="shared" si="28"/>
        <v>0</v>
      </c>
      <c r="P169" s="461">
        <f t="shared" si="29"/>
        <v>0</v>
      </c>
    </row>
    <row r="170" spans="11:16" ht="16.5" hidden="1" outlineLevel="1" thickTop="1" thickBot="1">
      <c r="K170" s="457" t="str">
        <f t="shared" si="25"/>
        <v>CFL Pin Base</v>
      </c>
      <c r="L170" s="457" t="str">
        <f t="shared" si="26"/>
        <v>Interior Support (Bathroom, Utility room, laundry room, garage)</v>
      </c>
      <c r="M170" s="457" t="str">
        <f t="shared" si="27"/>
        <v>All Residential 
(Single, Multi-family, and Mobile Homes)</v>
      </c>
      <c r="N170" s="457" t="str">
        <f t="shared" si="24"/>
        <v>Halogen Pin Base</v>
      </c>
      <c r="O170" s="461">
        <f t="shared" si="28"/>
        <v>0</v>
      </c>
      <c r="P170" s="461">
        <f t="shared" si="29"/>
        <v>0</v>
      </c>
    </row>
    <row r="171" spans="11:16" ht="16.5" hidden="1" outlineLevel="1" thickTop="1" thickBot="1">
      <c r="K171" s="457" t="str">
        <f t="shared" si="25"/>
        <v>CFL Pin Base</v>
      </c>
      <c r="L171" s="457" t="str">
        <f t="shared" si="26"/>
        <v>Interior Support (Bathroom, Utility room, laundry room, garage)</v>
      </c>
      <c r="M171" s="457" t="str">
        <f t="shared" si="27"/>
        <v>All Residential 
(Single, Multi-family, and Mobile Homes)</v>
      </c>
      <c r="N171" s="457" t="str">
        <f t="shared" si="24"/>
        <v>Halogen Pin Base</v>
      </c>
      <c r="O171" s="461">
        <f t="shared" si="28"/>
        <v>0</v>
      </c>
      <c r="P171" s="461">
        <f t="shared" si="29"/>
        <v>0</v>
      </c>
    </row>
    <row r="172" spans="11:16" ht="16.5" hidden="1" outlineLevel="1" thickTop="1" thickBot="1">
      <c r="K172" s="457" t="str">
        <f t="shared" si="25"/>
        <v>CFL Pin Base</v>
      </c>
      <c r="L172" s="457" t="str">
        <f t="shared" si="26"/>
        <v>Interior Support (Bathroom, Utility room, laundry room, garage)</v>
      </c>
      <c r="M172" s="457" t="str">
        <f t="shared" si="27"/>
        <v>All Residential 
(Single, Multi-family, and Mobile Homes)</v>
      </c>
      <c r="N172" s="457" t="str">
        <f t="shared" si="24"/>
        <v>Halogen Pin Base</v>
      </c>
      <c r="O172" s="461">
        <f t="shared" si="28"/>
        <v>0</v>
      </c>
      <c r="P172" s="461">
        <f t="shared" si="29"/>
        <v>0</v>
      </c>
    </row>
    <row r="173" spans="11:16" ht="16.5" hidden="1" outlineLevel="1" thickTop="1" thickBot="1">
      <c r="K173" s="457" t="str">
        <f t="shared" si="25"/>
        <v>CFL Pin Base</v>
      </c>
      <c r="L173" s="457" t="str">
        <f t="shared" si="26"/>
        <v>Interior Support (Bathroom, Utility room, laundry room, garage)</v>
      </c>
      <c r="M173" s="457" t="str">
        <f t="shared" si="27"/>
        <v>All Residential 
(Single, Multi-family, and Mobile Homes)</v>
      </c>
      <c r="N173" s="457" t="str">
        <f t="shared" si="24"/>
        <v>Halogen Pin Base</v>
      </c>
      <c r="O173" s="461">
        <f t="shared" si="28"/>
        <v>0</v>
      </c>
      <c r="P173" s="461">
        <f t="shared" si="29"/>
        <v>0</v>
      </c>
    </row>
    <row r="174" spans="11:16" ht="16.5" hidden="1" outlineLevel="1" thickTop="1" thickBot="1">
      <c r="K174" s="457" t="str">
        <f t="shared" si="25"/>
        <v>CFL Pin Base</v>
      </c>
      <c r="L174" s="457" t="str">
        <f t="shared" si="26"/>
        <v>Interior Support (Bathroom, Utility room, laundry room, garage)</v>
      </c>
      <c r="M174" s="457" t="str">
        <f t="shared" si="27"/>
        <v>All Residential 
(Single, Multi-family, and Mobile Homes)</v>
      </c>
      <c r="N174" s="457" t="str">
        <f t="shared" si="24"/>
        <v>Halogen Pin Base</v>
      </c>
      <c r="O174" s="461">
        <f t="shared" si="28"/>
        <v>0</v>
      </c>
      <c r="P174" s="461">
        <f t="shared" si="29"/>
        <v>0</v>
      </c>
    </row>
    <row r="175" spans="11:16" ht="16.5" hidden="1" outlineLevel="1" thickTop="1" thickBot="1">
      <c r="K175" s="457" t="str">
        <f t="shared" si="25"/>
        <v>CFL Pin Base</v>
      </c>
      <c r="L175" s="457" t="str">
        <f t="shared" si="26"/>
        <v>Interior Support (Bathroom, Utility room, laundry room, garage)</v>
      </c>
      <c r="M175" s="457" t="str">
        <f t="shared" si="27"/>
        <v>All Residential 
(Single, Multi-family, and Mobile Homes)</v>
      </c>
      <c r="N175" s="457" t="str">
        <f t="shared" si="24"/>
        <v>Halogen Pin Base</v>
      </c>
      <c r="O175" s="461">
        <f t="shared" si="28"/>
        <v>0</v>
      </c>
      <c r="P175" s="461">
        <f t="shared" si="29"/>
        <v>0</v>
      </c>
    </row>
    <row r="176" spans="11:16" ht="16.5" hidden="1" outlineLevel="1" thickTop="1" thickBot="1">
      <c r="K176" s="457" t="str">
        <f t="shared" si="25"/>
        <v>CFL Pin Base</v>
      </c>
      <c r="L176" s="457" t="str">
        <f t="shared" si="26"/>
        <v>Interior Support (Bathroom, Utility room, laundry room, garage)</v>
      </c>
      <c r="M176" s="457" t="str">
        <f t="shared" si="27"/>
        <v>All Residential 
(Single, Multi-family, and Mobile Homes)</v>
      </c>
      <c r="N176" s="457" t="str">
        <f t="shared" si="24"/>
        <v>Halogen Pin Base</v>
      </c>
      <c r="O176" s="461">
        <f t="shared" si="28"/>
        <v>0</v>
      </c>
      <c r="P176" s="461">
        <f t="shared" si="29"/>
        <v>0</v>
      </c>
    </row>
    <row r="177" spans="11:16" ht="16.5" hidden="1" outlineLevel="1" thickTop="1" thickBot="1">
      <c r="K177" s="457" t="str">
        <f t="shared" si="25"/>
        <v>CFL Pin Base</v>
      </c>
      <c r="L177" s="457" t="str">
        <f t="shared" si="26"/>
        <v>Interior Support (Bathroom, Utility room, laundry room, garage)</v>
      </c>
      <c r="M177" s="457" t="str">
        <f t="shared" si="27"/>
        <v>All Residential 
(Single, Multi-family, and Mobile Homes)</v>
      </c>
      <c r="N177" s="457" t="str">
        <f t="shared" si="24"/>
        <v>Halogen Pin Base</v>
      </c>
      <c r="O177" s="461">
        <f t="shared" si="28"/>
        <v>0</v>
      </c>
      <c r="P177" s="461">
        <f t="shared" si="29"/>
        <v>0</v>
      </c>
    </row>
    <row r="178" spans="11:16" ht="16.5" hidden="1" outlineLevel="1" thickTop="1" thickBot="1">
      <c r="K178" s="457" t="str">
        <f t="shared" si="25"/>
        <v>CFL Pin Base</v>
      </c>
      <c r="L178" s="457" t="str">
        <f t="shared" si="26"/>
        <v>Interior Support (Bathroom, Utility room, laundry room, garage)</v>
      </c>
      <c r="M178" s="457" t="str">
        <f t="shared" si="27"/>
        <v>All Residential 
(Single, Multi-family, and Mobile Homes)</v>
      </c>
      <c r="N178" s="457" t="str">
        <f t="shared" si="24"/>
        <v>Halogen Pin Base</v>
      </c>
      <c r="O178" s="461">
        <f t="shared" si="28"/>
        <v>0</v>
      </c>
      <c r="P178" s="461">
        <f t="shared" si="29"/>
        <v>0</v>
      </c>
    </row>
    <row r="179" spans="11:16" ht="16.5" hidden="1" outlineLevel="1" thickTop="1" thickBot="1">
      <c r="K179" s="457" t="str">
        <f t="shared" si="25"/>
        <v>CFL Pin Base</v>
      </c>
      <c r="L179" s="457" t="str">
        <f t="shared" si="26"/>
        <v>Interior Support (Bathroom, Utility room, laundry room, garage)</v>
      </c>
      <c r="M179" s="457" t="str">
        <f t="shared" si="27"/>
        <v>All Residential 
(Single, Multi-family, and Mobile Homes)</v>
      </c>
      <c r="N179" s="457" t="str">
        <f t="shared" si="24"/>
        <v>Halogen Pin Base</v>
      </c>
      <c r="O179" s="461">
        <f t="shared" si="28"/>
        <v>0</v>
      </c>
      <c r="P179" s="461">
        <f t="shared" si="29"/>
        <v>0</v>
      </c>
    </row>
    <row r="180" spans="11:16" ht="16.5" hidden="1" outlineLevel="1" thickTop="1" thickBot="1">
      <c r="K180" s="457" t="str">
        <f t="shared" si="25"/>
        <v>CFL Pin Base</v>
      </c>
      <c r="L180" s="457" t="str">
        <f t="shared" si="26"/>
        <v>Interior Support (Bathroom, Utility room, laundry room, garage)</v>
      </c>
      <c r="M180" s="457" t="str">
        <f t="shared" si="27"/>
        <v>All Residential 
(Single, Multi-family, and Mobile Homes)</v>
      </c>
      <c r="N180" s="457" t="str">
        <f t="shared" si="24"/>
        <v>Halogen Pin Base</v>
      </c>
      <c r="O180" s="461">
        <f t="shared" si="28"/>
        <v>0</v>
      </c>
      <c r="P180" s="461">
        <f t="shared" si="29"/>
        <v>0</v>
      </c>
    </row>
    <row r="181" spans="11:16" ht="15.75" hidden="1" outlineLevel="1" thickTop="1"/>
    <row r="182" spans="11:16" hidden="1" outlineLevel="1"/>
    <row r="183" spans="11:16" hidden="1" outlineLevel="1"/>
    <row r="184" spans="11:16" hidden="1" outlineLevel="1"/>
    <row r="185" spans="11:16" hidden="1" outlineLevel="1"/>
    <row r="186" spans="11:16" hidden="1" outlineLevel="1"/>
    <row r="187" spans="11:16" hidden="1" outlineLevel="1"/>
    <row r="188" spans="11:16" hidden="1" outlineLevel="1"/>
    <row r="189" spans="11:16" hidden="1" outlineLevel="1"/>
    <row r="190" spans="11:16" hidden="1" outlineLevel="1"/>
    <row r="191" spans="11:16" hidden="1" outlineLevel="1"/>
    <row r="192" spans="11:16" hidden="1" outlineLevel="1"/>
    <row r="193" spans="1:21" ht="15.75" collapsed="1" thickTop="1"/>
    <row r="195" spans="1:21">
      <c r="A195" s="1" t="s">
        <v>19</v>
      </c>
    </row>
    <row r="197" spans="1:21">
      <c r="C197"/>
      <c r="D197"/>
    </row>
    <row r="198" spans="1:21">
      <c r="C198" s="238" t="s">
        <v>9</v>
      </c>
      <c r="D198" s="384" t="s">
        <v>10</v>
      </c>
    </row>
    <row r="200" spans="1:21" ht="15.75" thickBot="1">
      <c r="C200" s="238" t="s">
        <v>36</v>
      </c>
      <c r="D200" s="238" t="s">
        <v>49</v>
      </c>
      <c r="E200" s="238" t="s">
        <v>11</v>
      </c>
      <c r="F200" s="384" t="s">
        <v>944</v>
      </c>
      <c r="G200" s="384" t="s">
        <v>945</v>
      </c>
      <c r="K200" s="458" t="s">
        <v>36</v>
      </c>
      <c r="L200" s="458" t="s">
        <v>49</v>
      </c>
      <c r="M200" s="458" t="s">
        <v>11</v>
      </c>
      <c r="N200" s="458" t="s">
        <v>944</v>
      </c>
      <c r="O200" s="458" t="s">
        <v>945</v>
      </c>
      <c r="S200" s="238" t="s">
        <v>12</v>
      </c>
      <c r="T200" s="384" t="s">
        <v>1365</v>
      </c>
      <c r="U200" s="384" t="s">
        <v>1366</v>
      </c>
    </row>
    <row r="201" spans="1:21" ht="16.5" thickTop="1" thickBot="1">
      <c r="C201" s="384" t="s">
        <v>20</v>
      </c>
      <c r="D201"/>
      <c r="E201"/>
      <c r="F201" s="353"/>
      <c r="G201" s="353"/>
      <c r="H201" s="353"/>
      <c r="I201" s="353"/>
      <c r="K201" s="457" t="str">
        <f t="shared" ref="K201:K232" si="30">IF(C201=0,K200,C201)</f>
        <v xml:space="preserve">Exterior </v>
      </c>
      <c r="L201" s="457" t="str">
        <f t="shared" ref="L201:L232" si="31">IF(D201=0,L200,D201)</f>
        <v>Baseline Lighting</v>
      </c>
      <c r="M201" s="457" t="str">
        <f t="shared" ref="M201:M232" si="32">IF(E201=0,M200,E201)</f>
        <v>Building Sub-Sector</v>
      </c>
      <c r="N201" s="458">
        <f t="shared" ref="N201:N232" si="33">F201</f>
        <v>0</v>
      </c>
      <c r="O201" s="458">
        <f t="shared" ref="O201:O232" si="34">G201</f>
        <v>0</v>
      </c>
      <c r="S201" s="239" t="s">
        <v>20</v>
      </c>
      <c r="T201" s="353">
        <v>1242.5052623820209</v>
      </c>
      <c r="U201" s="353">
        <v>298.27625955405477</v>
      </c>
    </row>
    <row r="202" spans="1:21" ht="16.5" thickTop="1" thickBot="1">
      <c r="C202"/>
      <c r="D202" s="384" t="s">
        <v>13</v>
      </c>
      <c r="E202"/>
      <c r="F202" s="353"/>
      <c r="G202" s="353"/>
      <c r="H202" s="353"/>
      <c r="I202" s="353"/>
      <c r="K202" s="457" t="str">
        <f t="shared" si="30"/>
        <v xml:space="preserve">Exterior </v>
      </c>
      <c r="L202" s="457" t="str">
        <f t="shared" si="31"/>
        <v>CFL MSB</v>
      </c>
      <c r="M202" s="457" t="str">
        <f t="shared" si="32"/>
        <v>Building Sub-Sector</v>
      </c>
      <c r="N202" s="458">
        <f t="shared" si="33"/>
        <v>0</v>
      </c>
      <c r="O202" s="458">
        <f t="shared" si="34"/>
        <v>0</v>
      </c>
      <c r="S202" s="239" t="s">
        <v>21</v>
      </c>
      <c r="T202" s="353">
        <v>2473.6679389198052</v>
      </c>
      <c r="U202" s="353">
        <v>676.54342012564882</v>
      </c>
    </row>
    <row r="203" spans="1:21" ht="16.5" thickTop="1" thickBot="1">
      <c r="C203"/>
      <c r="D203"/>
      <c r="E203" s="384" t="s">
        <v>1326</v>
      </c>
      <c r="F203" s="353">
        <v>34.134486238074636</v>
      </c>
      <c r="G203" s="353">
        <v>32.426436471726809</v>
      </c>
      <c r="H203" s="353"/>
      <c r="I203" s="353"/>
      <c r="K203" s="457" t="str">
        <f t="shared" si="30"/>
        <v xml:space="preserve">Exterior </v>
      </c>
      <c r="L203" s="457" t="str">
        <f t="shared" si="31"/>
        <v>CFL MSB</v>
      </c>
      <c r="M203" s="457" t="str">
        <f t="shared" si="32"/>
        <v>All Residential 
(Single, Multi-family, and Mobile Homes)</v>
      </c>
      <c r="N203" s="458">
        <f t="shared" si="33"/>
        <v>34.134486238074636</v>
      </c>
      <c r="O203" s="458">
        <f t="shared" si="34"/>
        <v>32.426436471726809</v>
      </c>
      <c r="S203" s="239" t="s">
        <v>22</v>
      </c>
      <c r="T203" s="353">
        <v>1817.6655807341187</v>
      </c>
      <c r="U203" s="353">
        <v>607.4289703385607</v>
      </c>
    </row>
    <row r="204" spans="1:21" ht="16.5" thickTop="1" thickBot="1">
      <c r="C204"/>
      <c r="D204" s="384" t="s">
        <v>82</v>
      </c>
      <c r="E204"/>
      <c r="F204" s="353"/>
      <c r="G204" s="353"/>
      <c r="H204" s="353"/>
      <c r="I204" s="353"/>
      <c r="K204" s="457" t="str">
        <f t="shared" si="30"/>
        <v xml:space="preserve">Exterior </v>
      </c>
      <c r="L204" s="457" t="str">
        <f t="shared" si="31"/>
        <v>Halogen MSB</v>
      </c>
      <c r="M204" s="457" t="str">
        <f t="shared" si="32"/>
        <v>All Residential 
(Single, Multi-family, and Mobile Homes)</v>
      </c>
      <c r="N204" s="458">
        <f t="shared" si="33"/>
        <v>0</v>
      </c>
      <c r="O204" s="458">
        <f t="shared" si="34"/>
        <v>0</v>
      </c>
      <c r="S204" s="239" t="s">
        <v>18</v>
      </c>
      <c r="T204" s="353">
        <v>5533.8387820359449</v>
      </c>
      <c r="U204" s="353">
        <v>1582.2486500182642</v>
      </c>
    </row>
    <row r="205" spans="1:21" ht="16.5" thickTop="1" thickBot="1">
      <c r="C205"/>
      <c r="D205"/>
      <c r="E205" s="384" t="s">
        <v>1326</v>
      </c>
      <c r="F205" s="353">
        <v>271.99942965435008</v>
      </c>
      <c r="G205" s="353">
        <v>43.08850432166836</v>
      </c>
      <c r="H205" s="353"/>
      <c r="I205" s="353"/>
      <c r="K205" s="457" t="str">
        <f t="shared" si="30"/>
        <v xml:space="preserve">Exterior </v>
      </c>
      <c r="L205" s="457" t="str">
        <f t="shared" si="31"/>
        <v>Halogen MSB</v>
      </c>
      <c r="M205" s="457" t="str">
        <f t="shared" si="32"/>
        <v>All Residential 
(Single, Multi-family, and Mobile Homes)</v>
      </c>
      <c r="N205" s="458">
        <f t="shared" si="33"/>
        <v>271.99942965435008</v>
      </c>
      <c r="O205" s="458">
        <f t="shared" si="34"/>
        <v>43.08850432166836</v>
      </c>
      <c r="R205"/>
      <c r="S205"/>
      <c r="T205"/>
    </row>
    <row r="206" spans="1:21" ht="16.5" thickTop="1" thickBot="1">
      <c r="C206"/>
      <c r="D206" s="384" t="s">
        <v>81</v>
      </c>
      <c r="E206"/>
      <c r="F206" s="353"/>
      <c r="G206" s="353"/>
      <c r="H206" s="353"/>
      <c r="I206" s="353"/>
      <c r="K206" s="457" t="str">
        <f t="shared" si="30"/>
        <v xml:space="preserve">Exterior </v>
      </c>
      <c r="L206" s="457" t="str">
        <f t="shared" si="31"/>
        <v>Halogen Pin Base</v>
      </c>
      <c r="M206" s="457" t="str">
        <f t="shared" si="32"/>
        <v>All Residential 
(Single, Multi-family, and Mobile Homes)</v>
      </c>
      <c r="N206" s="458">
        <f t="shared" si="33"/>
        <v>0</v>
      </c>
      <c r="O206" s="458">
        <f t="shared" si="34"/>
        <v>0</v>
      </c>
      <c r="R206"/>
      <c r="S206"/>
      <c r="T206"/>
    </row>
    <row r="207" spans="1:21" ht="16.5" thickTop="1" thickBot="1">
      <c r="C207"/>
      <c r="D207"/>
      <c r="E207" s="384" t="s">
        <v>1326</v>
      </c>
      <c r="F207" s="353">
        <v>183.20540563319796</v>
      </c>
      <c r="G207" s="353">
        <v>30.192722904897703</v>
      </c>
      <c r="H207" s="353"/>
      <c r="I207" s="353"/>
      <c r="K207" s="457" t="str">
        <f t="shared" si="30"/>
        <v xml:space="preserve">Exterior </v>
      </c>
      <c r="L207" s="457" t="str">
        <f t="shared" si="31"/>
        <v>Halogen Pin Base</v>
      </c>
      <c r="M207" s="457" t="str">
        <f t="shared" si="32"/>
        <v>All Residential 
(Single, Multi-family, and Mobile Homes)</v>
      </c>
      <c r="N207" s="458">
        <f t="shared" si="33"/>
        <v>183.20540563319796</v>
      </c>
      <c r="O207" s="458">
        <f t="shared" si="34"/>
        <v>30.192722904897703</v>
      </c>
      <c r="R207"/>
      <c r="S207"/>
      <c r="T207"/>
    </row>
    <row r="208" spans="1:21" ht="16.5" thickTop="1" thickBot="1">
      <c r="C208"/>
      <c r="D208" s="384" t="s">
        <v>65</v>
      </c>
      <c r="E208"/>
      <c r="F208" s="353"/>
      <c r="G208" s="353"/>
      <c r="H208" s="353"/>
      <c r="I208" s="353"/>
      <c r="K208" s="457" t="str">
        <f t="shared" si="30"/>
        <v xml:space="preserve">Exterior </v>
      </c>
      <c r="L208" s="457" t="str">
        <f t="shared" si="31"/>
        <v>Incandescent MSB</v>
      </c>
      <c r="M208" s="457" t="str">
        <f t="shared" si="32"/>
        <v>All Residential 
(Single, Multi-family, and Mobile Homes)</v>
      </c>
      <c r="N208" s="458">
        <f t="shared" si="33"/>
        <v>0</v>
      </c>
      <c r="O208" s="458">
        <f t="shared" si="34"/>
        <v>0</v>
      </c>
      <c r="R208"/>
      <c r="S208"/>
      <c r="T208"/>
    </row>
    <row r="209" spans="3:20" ht="16.5" thickTop="1" thickBot="1">
      <c r="C209"/>
      <c r="D209"/>
      <c r="E209" s="384" t="s">
        <v>1326</v>
      </c>
      <c r="F209" s="353">
        <v>615.99678807972987</v>
      </c>
      <c r="G209" s="353">
        <v>151.40398243734009</v>
      </c>
      <c r="H209" s="353"/>
      <c r="I209" s="353"/>
      <c r="K209" s="457" t="str">
        <f t="shared" si="30"/>
        <v xml:space="preserve">Exterior </v>
      </c>
      <c r="L209" s="457" t="str">
        <f t="shared" si="31"/>
        <v>Incandescent MSB</v>
      </c>
      <c r="M209" s="457" t="str">
        <f t="shared" si="32"/>
        <v>All Residential 
(Single, Multi-family, and Mobile Homes)</v>
      </c>
      <c r="N209" s="458">
        <f t="shared" si="33"/>
        <v>615.99678807972987</v>
      </c>
      <c r="O209" s="458">
        <f t="shared" si="34"/>
        <v>151.40398243734009</v>
      </c>
      <c r="R209"/>
      <c r="S209"/>
      <c r="T209"/>
    </row>
    <row r="210" spans="3:20" ht="16.5" thickTop="1" thickBot="1">
      <c r="C210"/>
      <c r="D210" s="384" t="s">
        <v>79</v>
      </c>
      <c r="E210"/>
      <c r="F210" s="353"/>
      <c r="G210" s="353"/>
      <c r="H210" s="353"/>
      <c r="I210" s="353"/>
      <c r="K210" s="457" t="str">
        <f t="shared" si="30"/>
        <v xml:space="preserve">Exterior </v>
      </c>
      <c r="L210" s="457" t="str">
        <f t="shared" si="31"/>
        <v>Incandescent SSB</v>
      </c>
      <c r="M210" s="457" t="str">
        <f t="shared" si="32"/>
        <v>All Residential 
(Single, Multi-family, and Mobile Homes)</v>
      </c>
      <c r="N210" s="458">
        <f t="shared" si="33"/>
        <v>0</v>
      </c>
      <c r="O210" s="458">
        <f t="shared" si="34"/>
        <v>0</v>
      </c>
      <c r="R210"/>
      <c r="S210"/>
      <c r="T210"/>
    </row>
    <row r="211" spans="3:20" ht="16.5" thickTop="1" thickBot="1">
      <c r="C211"/>
      <c r="D211"/>
      <c r="E211" s="384" t="s">
        <v>1326</v>
      </c>
      <c r="F211" s="353">
        <v>104.19128652001687</v>
      </c>
      <c r="G211" s="353">
        <v>27.46757909572003</v>
      </c>
      <c r="H211" s="353"/>
      <c r="I211" s="353"/>
      <c r="K211" s="457" t="str">
        <f t="shared" si="30"/>
        <v xml:space="preserve">Exterior </v>
      </c>
      <c r="L211" s="457" t="str">
        <f t="shared" si="31"/>
        <v>Incandescent SSB</v>
      </c>
      <c r="M211" s="457" t="str">
        <f t="shared" si="32"/>
        <v>All Residential 
(Single, Multi-family, and Mobile Homes)</v>
      </c>
      <c r="N211" s="458">
        <f t="shared" si="33"/>
        <v>104.19128652001687</v>
      </c>
      <c r="O211" s="458">
        <f t="shared" si="34"/>
        <v>27.46757909572003</v>
      </c>
      <c r="R211"/>
      <c r="S211"/>
      <c r="T211"/>
    </row>
    <row r="212" spans="3:20" ht="16.5" thickTop="1" thickBot="1">
      <c r="C212"/>
      <c r="D212" s="384" t="s">
        <v>27</v>
      </c>
      <c r="E212"/>
      <c r="F212" s="353"/>
      <c r="G212" s="353"/>
      <c r="H212" s="353"/>
      <c r="I212" s="353"/>
      <c r="K212" s="457" t="str">
        <f t="shared" si="30"/>
        <v xml:space="preserve">Exterior </v>
      </c>
      <c r="L212" s="457" t="str">
        <f t="shared" si="31"/>
        <v>Linear Fluorescent</v>
      </c>
      <c r="M212" s="457" t="str">
        <f t="shared" si="32"/>
        <v>All Residential 
(Single, Multi-family, and Mobile Homes)</v>
      </c>
      <c r="N212" s="458">
        <f t="shared" si="33"/>
        <v>0</v>
      </c>
      <c r="O212" s="458">
        <f t="shared" si="34"/>
        <v>0</v>
      </c>
      <c r="R212"/>
      <c r="S212"/>
      <c r="T212"/>
    </row>
    <row r="213" spans="3:20" ht="16.5" thickTop="1" thickBot="1">
      <c r="C213"/>
      <c r="D213"/>
      <c r="E213" s="384" t="s">
        <v>1326</v>
      </c>
      <c r="F213" s="353">
        <v>13.732406408342854</v>
      </c>
      <c r="G213" s="353">
        <v>9.0234363514845803</v>
      </c>
      <c r="H213" s="353"/>
      <c r="I213" s="353"/>
      <c r="K213" s="457" t="str">
        <f t="shared" si="30"/>
        <v xml:space="preserve">Exterior </v>
      </c>
      <c r="L213" s="457" t="str">
        <f t="shared" si="31"/>
        <v>Linear Fluorescent</v>
      </c>
      <c r="M213" s="457" t="str">
        <f t="shared" si="32"/>
        <v>All Residential 
(Single, Multi-family, and Mobile Homes)</v>
      </c>
      <c r="N213" s="458">
        <f t="shared" si="33"/>
        <v>13.732406408342854</v>
      </c>
      <c r="O213" s="458">
        <f t="shared" si="34"/>
        <v>9.0234363514845803</v>
      </c>
      <c r="R213"/>
      <c r="S213"/>
      <c r="T213"/>
    </row>
    <row r="214" spans="3:20" ht="16.5" thickTop="1" thickBot="1">
      <c r="C214"/>
      <c r="D214" s="384" t="s">
        <v>1325</v>
      </c>
      <c r="E214"/>
      <c r="F214" s="353"/>
      <c r="G214" s="353"/>
      <c r="H214" s="353"/>
      <c r="I214" s="353"/>
      <c r="K214" s="457" t="str">
        <f t="shared" si="30"/>
        <v xml:space="preserve">Exterior </v>
      </c>
      <c r="L214" s="457" t="str">
        <f t="shared" si="31"/>
        <v>HID MSB</v>
      </c>
      <c r="M214" s="457" t="str">
        <f t="shared" si="32"/>
        <v>All Residential 
(Single, Multi-family, and Mobile Homes)</v>
      </c>
      <c r="N214" s="458">
        <f t="shared" si="33"/>
        <v>0</v>
      </c>
      <c r="O214" s="458">
        <f t="shared" si="34"/>
        <v>0</v>
      </c>
      <c r="R214"/>
      <c r="S214"/>
      <c r="T214"/>
    </row>
    <row r="215" spans="3:20" ht="16.5" thickTop="1" thickBot="1">
      <c r="C215"/>
      <c r="D215"/>
      <c r="E215" s="384" t="s">
        <v>1326</v>
      </c>
      <c r="F215" s="353">
        <v>19.245459848308336</v>
      </c>
      <c r="G215" s="353">
        <v>4.6735979712171938</v>
      </c>
      <c r="H215" s="353"/>
      <c r="I215" s="353"/>
      <c r="K215" s="457" t="str">
        <f t="shared" si="30"/>
        <v xml:space="preserve">Exterior </v>
      </c>
      <c r="L215" s="457" t="str">
        <f t="shared" si="31"/>
        <v>HID MSB</v>
      </c>
      <c r="M215" s="457" t="str">
        <f t="shared" si="32"/>
        <v>All Residential 
(Single, Multi-family, and Mobile Homes)</v>
      </c>
      <c r="N215" s="458">
        <f t="shared" si="33"/>
        <v>19.245459848308336</v>
      </c>
      <c r="O215" s="458">
        <f t="shared" si="34"/>
        <v>4.6735979712171938</v>
      </c>
      <c r="R215"/>
      <c r="S215"/>
      <c r="T215"/>
    </row>
    <row r="216" spans="3:20" ht="16.5" thickTop="1" thickBot="1">
      <c r="C216" s="384" t="s">
        <v>21</v>
      </c>
      <c r="D216"/>
      <c r="E216"/>
      <c r="F216" s="353"/>
      <c r="G216" s="353"/>
      <c r="H216" s="353"/>
      <c r="I216" s="353"/>
      <c r="K216" s="457" t="str">
        <f t="shared" si="30"/>
        <v>Interior Living 
(Kitchen, Bedroom, Living, Dining, etc)</v>
      </c>
      <c r="L216" s="457" t="str">
        <f t="shared" si="31"/>
        <v>HID MSB</v>
      </c>
      <c r="M216" s="457" t="str">
        <f t="shared" si="32"/>
        <v>All Residential 
(Single, Multi-family, and Mobile Homes)</v>
      </c>
      <c r="N216" s="458">
        <f t="shared" si="33"/>
        <v>0</v>
      </c>
      <c r="O216" s="458">
        <f t="shared" si="34"/>
        <v>0</v>
      </c>
      <c r="R216"/>
      <c r="S216"/>
      <c r="T216"/>
    </row>
    <row r="217" spans="3:20" ht="16.5" thickTop="1" thickBot="1">
      <c r="C217"/>
      <c r="D217" s="384" t="s">
        <v>13</v>
      </c>
      <c r="E217"/>
      <c r="F217" s="353"/>
      <c r="G217" s="353"/>
      <c r="H217" s="353"/>
      <c r="I217" s="353"/>
      <c r="K217" s="457" t="str">
        <f t="shared" si="30"/>
        <v>Interior Living 
(Kitchen, Bedroom, Living, Dining, etc)</v>
      </c>
      <c r="L217" s="457" t="str">
        <f t="shared" si="31"/>
        <v>CFL MSB</v>
      </c>
      <c r="M217" s="457" t="str">
        <f t="shared" si="32"/>
        <v>All Residential 
(Single, Multi-family, and Mobile Homes)</v>
      </c>
      <c r="N217" s="458">
        <f t="shared" si="33"/>
        <v>0</v>
      </c>
      <c r="O217" s="458">
        <f t="shared" si="34"/>
        <v>0</v>
      </c>
      <c r="R217"/>
      <c r="S217"/>
      <c r="T217"/>
    </row>
    <row r="218" spans="3:20" ht="16.5" thickTop="1" thickBot="1">
      <c r="C218"/>
      <c r="D218"/>
      <c r="E218" s="384" t="s">
        <v>1326</v>
      </c>
      <c r="F218" s="353">
        <v>98.149121413350727</v>
      </c>
      <c r="G218" s="353">
        <v>99.137397614107897</v>
      </c>
      <c r="H218" s="353"/>
      <c r="I218" s="353"/>
      <c r="K218" s="457" t="str">
        <f t="shared" si="30"/>
        <v>Interior Living 
(Kitchen, Bedroom, Living, Dining, etc)</v>
      </c>
      <c r="L218" s="457" t="str">
        <f t="shared" si="31"/>
        <v>CFL MSB</v>
      </c>
      <c r="M218" s="457" t="str">
        <f t="shared" si="32"/>
        <v>All Residential 
(Single, Multi-family, and Mobile Homes)</v>
      </c>
      <c r="N218" s="458">
        <f t="shared" si="33"/>
        <v>98.149121413350727</v>
      </c>
      <c r="O218" s="458">
        <f t="shared" si="34"/>
        <v>99.137397614107897</v>
      </c>
      <c r="R218"/>
      <c r="S218"/>
      <c r="T218"/>
    </row>
    <row r="219" spans="3:20" ht="16.5" thickTop="1" thickBot="1">
      <c r="C219"/>
      <c r="D219" s="384" t="s">
        <v>82</v>
      </c>
      <c r="E219"/>
      <c r="F219" s="353"/>
      <c r="G219" s="353"/>
      <c r="H219" s="353"/>
      <c r="I219" s="353"/>
      <c r="K219" s="457" t="str">
        <f t="shared" si="30"/>
        <v>Interior Living 
(Kitchen, Bedroom, Living, Dining, etc)</v>
      </c>
      <c r="L219" s="457" t="str">
        <f t="shared" si="31"/>
        <v>Halogen MSB</v>
      </c>
      <c r="M219" s="457" t="str">
        <f t="shared" si="32"/>
        <v>All Residential 
(Single, Multi-family, and Mobile Homes)</v>
      </c>
      <c r="N219" s="458">
        <f t="shared" si="33"/>
        <v>0</v>
      </c>
      <c r="O219" s="458">
        <f t="shared" si="34"/>
        <v>0</v>
      </c>
      <c r="R219"/>
      <c r="S219"/>
      <c r="T219"/>
    </row>
    <row r="220" spans="3:20" ht="16.5" thickTop="1" thickBot="1">
      <c r="C220"/>
      <c r="D220"/>
      <c r="E220" s="384" t="s">
        <v>1326</v>
      </c>
      <c r="F220" s="353">
        <v>88.960467627455117</v>
      </c>
      <c r="G220" s="353">
        <v>15.290909384659747</v>
      </c>
      <c r="H220" s="353"/>
      <c r="I220" s="353"/>
      <c r="K220" s="457" t="str">
        <f t="shared" si="30"/>
        <v>Interior Living 
(Kitchen, Bedroom, Living, Dining, etc)</v>
      </c>
      <c r="L220" s="457" t="str">
        <f t="shared" si="31"/>
        <v>Halogen MSB</v>
      </c>
      <c r="M220" s="457" t="str">
        <f t="shared" si="32"/>
        <v>All Residential 
(Single, Multi-family, and Mobile Homes)</v>
      </c>
      <c r="N220" s="458">
        <f t="shared" si="33"/>
        <v>88.960467627455117</v>
      </c>
      <c r="O220" s="458">
        <f t="shared" si="34"/>
        <v>15.290909384659747</v>
      </c>
      <c r="R220"/>
      <c r="S220"/>
      <c r="T220"/>
    </row>
    <row r="221" spans="3:20" ht="16.5" thickTop="1" thickBot="1">
      <c r="C221"/>
      <c r="D221" s="384" t="s">
        <v>81</v>
      </c>
      <c r="E221"/>
      <c r="F221" s="353"/>
      <c r="G221" s="353"/>
      <c r="H221" s="353"/>
      <c r="I221" s="353"/>
      <c r="K221" s="457" t="str">
        <f t="shared" si="30"/>
        <v>Interior Living 
(Kitchen, Bedroom, Living, Dining, etc)</v>
      </c>
      <c r="L221" s="457" t="str">
        <f t="shared" si="31"/>
        <v>Halogen Pin Base</v>
      </c>
      <c r="M221" s="457" t="str">
        <f t="shared" si="32"/>
        <v>All Residential 
(Single, Multi-family, and Mobile Homes)</v>
      </c>
      <c r="N221" s="458">
        <f t="shared" si="33"/>
        <v>0</v>
      </c>
      <c r="O221" s="458">
        <f t="shared" si="34"/>
        <v>0</v>
      </c>
    </row>
    <row r="222" spans="3:20" ht="16.5" thickTop="1" thickBot="1">
      <c r="C222"/>
      <c r="D222"/>
      <c r="E222" s="384" t="s">
        <v>1326</v>
      </c>
      <c r="F222" s="353">
        <v>267.15088268841322</v>
      </c>
      <c r="G222" s="353">
        <v>47.677774239188643</v>
      </c>
      <c r="H222" s="353"/>
      <c r="I222" s="353"/>
      <c r="K222" s="457" t="str">
        <f t="shared" si="30"/>
        <v>Interior Living 
(Kitchen, Bedroom, Living, Dining, etc)</v>
      </c>
      <c r="L222" s="457" t="str">
        <f t="shared" si="31"/>
        <v>Halogen Pin Base</v>
      </c>
      <c r="M222" s="457" t="str">
        <f t="shared" si="32"/>
        <v>All Residential 
(Single, Multi-family, and Mobile Homes)</v>
      </c>
      <c r="N222" s="458">
        <f t="shared" si="33"/>
        <v>267.15088268841322</v>
      </c>
      <c r="O222" s="458">
        <f t="shared" si="34"/>
        <v>47.677774239188643</v>
      </c>
    </row>
    <row r="223" spans="3:20" ht="16.5" thickTop="1" thickBot="1">
      <c r="C223"/>
      <c r="D223" s="384" t="s">
        <v>65</v>
      </c>
      <c r="E223"/>
      <c r="F223" s="353"/>
      <c r="G223" s="353"/>
      <c r="H223" s="353"/>
      <c r="I223" s="353"/>
      <c r="K223" s="457" t="str">
        <f t="shared" si="30"/>
        <v>Interior Living 
(Kitchen, Bedroom, Living, Dining, etc)</v>
      </c>
      <c r="L223" s="457" t="str">
        <f t="shared" si="31"/>
        <v>Incandescent MSB</v>
      </c>
      <c r="M223" s="457" t="str">
        <f t="shared" si="32"/>
        <v>All Residential 
(Single, Multi-family, and Mobile Homes)</v>
      </c>
      <c r="N223" s="458">
        <f t="shared" si="33"/>
        <v>0</v>
      </c>
      <c r="O223" s="458">
        <f t="shared" si="34"/>
        <v>0</v>
      </c>
    </row>
    <row r="224" spans="3:20" ht="16.5" thickTop="1" thickBot="1">
      <c r="C224"/>
      <c r="D224"/>
      <c r="E224" s="384" t="s">
        <v>1326</v>
      </c>
      <c r="F224" s="353">
        <v>1599.6871460654402</v>
      </c>
      <c r="G224" s="353">
        <v>383.1896338801522</v>
      </c>
      <c r="H224" s="353"/>
      <c r="I224" s="353"/>
      <c r="K224" s="457" t="str">
        <f t="shared" si="30"/>
        <v>Interior Living 
(Kitchen, Bedroom, Living, Dining, etc)</v>
      </c>
      <c r="L224" s="457" t="str">
        <f t="shared" si="31"/>
        <v>Incandescent MSB</v>
      </c>
      <c r="M224" s="457" t="str">
        <f t="shared" si="32"/>
        <v>All Residential 
(Single, Multi-family, and Mobile Homes)</v>
      </c>
      <c r="N224" s="458">
        <f t="shared" si="33"/>
        <v>1599.6871460654402</v>
      </c>
      <c r="O224" s="458">
        <f t="shared" si="34"/>
        <v>383.1896338801522</v>
      </c>
    </row>
    <row r="225" spans="3:15" ht="16.5" thickTop="1" thickBot="1">
      <c r="C225"/>
      <c r="D225" s="384" t="s">
        <v>79</v>
      </c>
      <c r="E225"/>
      <c r="F225" s="353"/>
      <c r="G225" s="353"/>
      <c r="H225" s="353"/>
      <c r="I225" s="353"/>
      <c r="K225" s="457" t="str">
        <f t="shared" si="30"/>
        <v>Interior Living 
(Kitchen, Bedroom, Living, Dining, etc)</v>
      </c>
      <c r="L225" s="457" t="str">
        <f t="shared" si="31"/>
        <v>Incandescent SSB</v>
      </c>
      <c r="M225" s="457" t="str">
        <f t="shared" si="32"/>
        <v>All Residential 
(Single, Multi-family, and Mobile Homes)</v>
      </c>
      <c r="N225" s="458">
        <f t="shared" si="33"/>
        <v>0</v>
      </c>
      <c r="O225" s="458">
        <f t="shared" si="34"/>
        <v>0</v>
      </c>
    </row>
    <row r="226" spans="3:15" ht="16.5" thickTop="1" thickBot="1">
      <c r="C226"/>
      <c r="D226"/>
      <c r="E226" s="384" t="s">
        <v>1326</v>
      </c>
      <c r="F226" s="353">
        <v>332.69200995969754</v>
      </c>
      <c r="G226" s="353">
        <v>72.104556789616055</v>
      </c>
      <c r="H226" s="353"/>
      <c r="I226" s="353"/>
      <c r="K226" s="457" t="str">
        <f t="shared" si="30"/>
        <v>Interior Living 
(Kitchen, Bedroom, Living, Dining, etc)</v>
      </c>
      <c r="L226" s="457" t="str">
        <f t="shared" si="31"/>
        <v>Incandescent SSB</v>
      </c>
      <c r="M226" s="457" t="str">
        <f t="shared" si="32"/>
        <v>All Residential 
(Single, Multi-family, and Mobile Homes)</v>
      </c>
      <c r="N226" s="458">
        <f t="shared" si="33"/>
        <v>332.69200995969754</v>
      </c>
      <c r="O226" s="458">
        <f t="shared" si="34"/>
        <v>72.104556789616055</v>
      </c>
    </row>
    <row r="227" spans="3:15" ht="16.5" thickTop="1" thickBot="1">
      <c r="C227"/>
      <c r="D227" s="384" t="s">
        <v>27</v>
      </c>
      <c r="E227"/>
      <c r="F227" s="353"/>
      <c r="G227" s="353"/>
      <c r="H227" s="353"/>
      <c r="I227" s="353"/>
      <c r="K227" s="457" t="str">
        <f t="shared" si="30"/>
        <v>Interior Living 
(Kitchen, Bedroom, Living, Dining, etc)</v>
      </c>
      <c r="L227" s="457" t="str">
        <f t="shared" si="31"/>
        <v>Linear Fluorescent</v>
      </c>
      <c r="M227" s="457" t="str">
        <f t="shared" si="32"/>
        <v>All Residential 
(Single, Multi-family, and Mobile Homes)</v>
      </c>
      <c r="N227" s="458">
        <f t="shared" si="33"/>
        <v>0</v>
      </c>
      <c r="O227" s="458">
        <f t="shared" si="34"/>
        <v>0</v>
      </c>
    </row>
    <row r="228" spans="3:15" ht="16.5" thickTop="1" thickBot="1">
      <c r="C228"/>
      <c r="D228"/>
      <c r="E228" s="384" t="s">
        <v>1326</v>
      </c>
      <c r="F228" s="353">
        <v>87.028311165449054</v>
      </c>
      <c r="G228" s="353">
        <v>59.143148217924228</v>
      </c>
      <c r="H228" s="353"/>
      <c r="I228" s="353"/>
      <c r="K228" s="457" t="str">
        <f t="shared" si="30"/>
        <v>Interior Living 
(Kitchen, Bedroom, Living, Dining, etc)</v>
      </c>
      <c r="L228" s="457" t="str">
        <f t="shared" si="31"/>
        <v>Linear Fluorescent</v>
      </c>
      <c r="M228" s="457" t="str">
        <f t="shared" si="32"/>
        <v>All Residential 
(Single, Multi-family, and Mobile Homes)</v>
      </c>
      <c r="N228" s="458">
        <f t="shared" si="33"/>
        <v>87.028311165449054</v>
      </c>
      <c r="O228" s="458">
        <f t="shared" si="34"/>
        <v>59.143148217924228</v>
      </c>
    </row>
    <row r="229" spans="3:15" ht="16.5" thickTop="1" thickBot="1">
      <c r="C229" s="384" t="s">
        <v>22</v>
      </c>
      <c r="D229"/>
      <c r="E229"/>
      <c r="F229" s="353"/>
      <c r="G229" s="353"/>
      <c r="H229" s="353"/>
      <c r="I229" s="353"/>
      <c r="K229" s="457" t="str">
        <f t="shared" si="30"/>
        <v>Interior Support (Bathroom, Utility room, laundry room, garage)</v>
      </c>
      <c r="L229" s="457" t="str">
        <f t="shared" si="31"/>
        <v>Linear Fluorescent</v>
      </c>
      <c r="M229" s="457" t="str">
        <f t="shared" si="32"/>
        <v>All Residential 
(Single, Multi-family, and Mobile Homes)</v>
      </c>
      <c r="N229" s="458">
        <f t="shared" si="33"/>
        <v>0</v>
      </c>
      <c r="O229" s="458">
        <f t="shared" si="34"/>
        <v>0</v>
      </c>
    </row>
    <row r="230" spans="3:15" ht="16.5" thickTop="1" thickBot="1">
      <c r="C230"/>
      <c r="D230" s="384" t="s">
        <v>13</v>
      </c>
      <c r="E230"/>
      <c r="F230" s="353"/>
      <c r="G230" s="353"/>
      <c r="H230" s="353"/>
      <c r="I230" s="353"/>
      <c r="K230" s="457" t="str">
        <f t="shared" si="30"/>
        <v>Interior Support (Bathroom, Utility room, laundry room, garage)</v>
      </c>
      <c r="L230" s="457" t="str">
        <f t="shared" si="31"/>
        <v>CFL MSB</v>
      </c>
      <c r="M230" s="457" t="str">
        <f t="shared" si="32"/>
        <v>All Residential 
(Single, Multi-family, and Mobile Homes)</v>
      </c>
      <c r="N230" s="458">
        <f t="shared" si="33"/>
        <v>0</v>
      </c>
      <c r="O230" s="458">
        <f t="shared" si="34"/>
        <v>0</v>
      </c>
    </row>
    <row r="231" spans="3:15" ht="16.5" thickTop="1" thickBot="1">
      <c r="C231"/>
      <c r="D231"/>
      <c r="E231" s="384" t="s">
        <v>1326</v>
      </c>
      <c r="F231" s="353">
        <v>59.629230259154603</v>
      </c>
      <c r="G231" s="353">
        <v>61.454795882049204</v>
      </c>
      <c r="H231" s="353"/>
      <c r="I231" s="353"/>
      <c r="K231" s="457" t="str">
        <f t="shared" si="30"/>
        <v>Interior Support (Bathroom, Utility room, laundry room, garage)</v>
      </c>
      <c r="L231" s="457" t="str">
        <f t="shared" si="31"/>
        <v>CFL MSB</v>
      </c>
      <c r="M231" s="457" t="str">
        <f t="shared" si="32"/>
        <v>All Residential 
(Single, Multi-family, and Mobile Homes)</v>
      </c>
      <c r="N231" s="458">
        <f t="shared" si="33"/>
        <v>59.629230259154603</v>
      </c>
      <c r="O231" s="458">
        <f t="shared" si="34"/>
        <v>61.454795882049204</v>
      </c>
    </row>
    <row r="232" spans="3:15" ht="16.5" thickTop="1" thickBot="1">
      <c r="C232"/>
      <c r="D232" s="384" t="s">
        <v>82</v>
      </c>
      <c r="E232"/>
      <c r="F232" s="353"/>
      <c r="G232" s="353"/>
      <c r="H232" s="353"/>
      <c r="I232" s="353"/>
      <c r="K232" s="457" t="str">
        <f t="shared" si="30"/>
        <v>Interior Support (Bathroom, Utility room, laundry room, garage)</v>
      </c>
      <c r="L232" s="457" t="str">
        <f t="shared" si="31"/>
        <v>Halogen MSB</v>
      </c>
      <c r="M232" s="457" t="str">
        <f t="shared" si="32"/>
        <v>All Residential 
(Single, Multi-family, and Mobile Homes)</v>
      </c>
      <c r="N232" s="458">
        <f t="shared" si="33"/>
        <v>0</v>
      </c>
      <c r="O232" s="458">
        <f t="shared" si="34"/>
        <v>0</v>
      </c>
    </row>
    <row r="233" spans="3:15" ht="16.5" thickTop="1" thickBot="1">
      <c r="C233"/>
      <c r="D233"/>
      <c r="E233" s="384" t="s">
        <v>1326</v>
      </c>
      <c r="F233" s="353">
        <v>52.171795218190304</v>
      </c>
      <c r="G233" s="353">
        <v>14.362273165973862</v>
      </c>
      <c r="H233" s="353"/>
      <c r="I233" s="353"/>
      <c r="K233" s="457" t="str">
        <f t="shared" ref="K233:K264" si="35">IF(C233=0,K232,C233)</f>
        <v>Interior Support (Bathroom, Utility room, laundry room, garage)</v>
      </c>
      <c r="L233" s="457" t="str">
        <f t="shared" ref="L233:L264" si="36">IF(D233=0,L232,D233)</f>
        <v>Halogen MSB</v>
      </c>
      <c r="M233" s="457" t="str">
        <f t="shared" ref="M233:M264" si="37">IF(E233=0,M232,E233)</f>
        <v>All Residential 
(Single, Multi-family, and Mobile Homes)</v>
      </c>
      <c r="N233" s="458">
        <f t="shared" ref="N233:N264" si="38">F233</f>
        <v>52.171795218190304</v>
      </c>
      <c r="O233" s="458">
        <f t="shared" ref="O233:O264" si="39">G233</f>
        <v>14.362273165973862</v>
      </c>
    </row>
    <row r="234" spans="3:15" ht="16.5" thickTop="1" thickBot="1">
      <c r="C234"/>
      <c r="D234" s="384" t="s">
        <v>81</v>
      </c>
      <c r="E234"/>
      <c r="F234" s="353"/>
      <c r="G234" s="353"/>
      <c r="H234" s="353"/>
      <c r="I234" s="353"/>
      <c r="K234" s="457" t="str">
        <f t="shared" si="35"/>
        <v>Interior Support (Bathroom, Utility room, laundry room, garage)</v>
      </c>
      <c r="L234" s="457" t="str">
        <f t="shared" si="36"/>
        <v>Halogen Pin Base</v>
      </c>
      <c r="M234" s="457" t="str">
        <f t="shared" si="37"/>
        <v>All Residential 
(Single, Multi-family, and Mobile Homes)</v>
      </c>
      <c r="N234" s="458">
        <f t="shared" si="38"/>
        <v>0</v>
      </c>
      <c r="O234" s="458">
        <f t="shared" si="39"/>
        <v>0</v>
      </c>
    </row>
    <row r="235" spans="3:15" ht="16.5" thickTop="1" thickBot="1">
      <c r="C235"/>
      <c r="D235"/>
      <c r="E235" s="384" t="s">
        <v>1326</v>
      </c>
      <c r="F235" s="353">
        <v>75.923313463651795</v>
      </c>
      <c r="G235" s="353">
        <v>21.626585449116074</v>
      </c>
      <c r="H235" s="353"/>
      <c r="I235" s="353"/>
      <c r="K235" s="457" t="str">
        <f t="shared" si="35"/>
        <v>Interior Support (Bathroom, Utility room, laundry room, garage)</v>
      </c>
      <c r="L235" s="457" t="str">
        <f t="shared" si="36"/>
        <v>Halogen Pin Base</v>
      </c>
      <c r="M235" s="457" t="str">
        <f t="shared" si="37"/>
        <v>All Residential 
(Single, Multi-family, and Mobile Homes)</v>
      </c>
      <c r="N235" s="458">
        <f t="shared" si="38"/>
        <v>75.923313463651795</v>
      </c>
      <c r="O235" s="458">
        <f t="shared" si="39"/>
        <v>21.626585449116074</v>
      </c>
    </row>
    <row r="236" spans="3:15" ht="16.5" thickTop="1" thickBot="1">
      <c r="C236"/>
      <c r="D236" s="384" t="s">
        <v>65</v>
      </c>
      <c r="E236"/>
      <c r="F236" s="353"/>
      <c r="G236" s="353"/>
      <c r="H236" s="353"/>
      <c r="I236" s="353"/>
      <c r="K236" s="457" t="str">
        <f t="shared" si="35"/>
        <v>Interior Support (Bathroom, Utility room, laundry room, garage)</v>
      </c>
      <c r="L236" s="457" t="str">
        <f t="shared" si="36"/>
        <v>Incandescent MSB</v>
      </c>
      <c r="M236" s="457" t="str">
        <f t="shared" si="37"/>
        <v>All Residential 
(Single, Multi-family, and Mobile Homes)</v>
      </c>
      <c r="N236" s="458">
        <f t="shared" si="38"/>
        <v>0</v>
      </c>
      <c r="O236" s="458">
        <f t="shared" si="39"/>
        <v>0</v>
      </c>
    </row>
    <row r="237" spans="3:15" ht="16.5" thickTop="1" thickBot="1">
      <c r="C237"/>
      <c r="D237"/>
      <c r="E237" s="384" t="s">
        <v>1326</v>
      </c>
      <c r="F237" s="353">
        <v>1356.7496619042902</v>
      </c>
      <c r="G237" s="353">
        <v>378.20601053847685</v>
      </c>
      <c r="H237" s="353"/>
      <c r="I237" s="353"/>
      <c r="K237" s="457" t="str">
        <f t="shared" si="35"/>
        <v>Interior Support (Bathroom, Utility room, laundry room, garage)</v>
      </c>
      <c r="L237" s="457" t="str">
        <f t="shared" si="36"/>
        <v>Incandescent MSB</v>
      </c>
      <c r="M237" s="457" t="str">
        <f t="shared" si="37"/>
        <v>All Residential 
(Single, Multi-family, and Mobile Homes)</v>
      </c>
      <c r="N237" s="458">
        <f t="shared" si="38"/>
        <v>1356.7496619042902</v>
      </c>
      <c r="O237" s="458">
        <f t="shared" si="39"/>
        <v>378.20601053847685</v>
      </c>
    </row>
    <row r="238" spans="3:15" ht="16.5" thickTop="1" thickBot="1">
      <c r="C238"/>
      <c r="D238" s="384" t="s">
        <v>79</v>
      </c>
      <c r="E238"/>
      <c r="F238" s="353"/>
      <c r="G238" s="353"/>
      <c r="H238" s="353"/>
      <c r="I238" s="353"/>
      <c r="K238" s="457" t="str">
        <f t="shared" si="35"/>
        <v>Interior Support (Bathroom, Utility room, laundry room, garage)</v>
      </c>
      <c r="L238" s="457" t="str">
        <f t="shared" si="36"/>
        <v>Incandescent SSB</v>
      </c>
      <c r="M238" s="457" t="str">
        <f t="shared" si="37"/>
        <v>All Residential 
(Single, Multi-family, and Mobile Homes)</v>
      </c>
      <c r="N238" s="458">
        <f t="shared" si="38"/>
        <v>0</v>
      </c>
      <c r="O238" s="458">
        <f t="shared" si="39"/>
        <v>0</v>
      </c>
    </row>
    <row r="239" spans="3:15" ht="16.5" thickTop="1" thickBot="1">
      <c r="C239"/>
      <c r="D239"/>
      <c r="E239" s="384" t="s">
        <v>1326</v>
      </c>
      <c r="F239" s="353">
        <v>131.52500296407061</v>
      </c>
      <c r="G239" s="353">
        <v>36.152728703555312</v>
      </c>
      <c r="H239" s="353"/>
      <c r="I239" s="353"/>
      <c r="K239" s="457" t="str">
        <f t="shared" si="35"/>
        <v>Interior Support (Bathroom, Utility room, laundry room, garage)</v>
      </c>
      <c r="L239" s="457" t="str">
        <f t="shared" si="36"/>
        <v>Incandescent SSB</v>
      </c>
      <c r="M239" s="457" t="str">
        <f t="shared" si="37"/>
        <v>All Residential 
(Single, Multi-family, and Mobile Homes)</v>
      </c>
      <c r="N239" s="458">
        <f t="shared" si="38"/>
        <v>131.52500296407061</v>
      </c>
      <c r="O239" s="458">
        <f t="shared" si="39"/>
        <v>36.152728703555312</v>
      </c>
    </row>
    <row r="240" spans="3:15" ht="16.5" thickTop="1" thickBot="1">
      <c r="C240"/>
      <c r="D240" s="384" t="s">
        <v>27</v>
      </c>
      <c r="E240"/>
      <c r="F240" s="353"/>
      <c r="G240" s="353"/>
      <c r="H240" s="353"/>
      <c r="I240" s="353"/>
      <c r="K240" s="457" t="str">
        <f t="shared" si="35"/>
        <v>Interior Support (Bathroom, Utility room, laundry room, garage)</v>
      </c>
      <c r="L240" s="457" t="str">
        <f t="shared" si="36"/>
        <v>Linear Fluorescent</v>
      </c>
      <c r="M240" s="457" t="str">
        <f t="shared" si="37"/>
        <v>All Residential 
(Single, Multi-family, and Mobile Homes)</v>
      </c>
      <c r="N240" s="458">
        <f t="shared" si="38"/>
        <v>0</v>
      </c>
      <c r="O240" s="458">
        <f t="shared" si="39"/>
        <v>0</v>
      </c>
    </row>
    <row r="241" spans="3:15" ht="16.5" thickTop="1" thickBot="1">
      <c r="C241"/>
      <c r="D241"/>
      <c r="E241" s="384" t="s">
        <v>1326</v>
      </c>
      <c r="F241" s="353">
        <v>141.66657692476136</v>
      </c>
      <c r="G241" s="353">
        <v>95.626576599389395</v>
      </c>
      <c r="H241" s="353"/>
      <c r="I241" s="353"/>
      <c r="K241" s="457" t="str">
        <f t="shared" si="35"/>
        <v>Interior Support (Bathroom, Utility room, laundry room, garage)</v>
      </c>
      <c r="L241" s="457" t="str">
        <f t="shared" si="36"/>
        <v>Linear Fluorescent</v>
      </c>
      <c r="M241" s="457" t="str">
        <f t="shared" si="37"/>
        <v>All Residential 
(Single, Multi-family, and Mobile Homes)</v>
      </c>
      <c r="N241" s="458">
        <f t="shared" si="38"/>
        <v>141.66657692476136</v>
      </c>
      <c r="O241" s="458">
        <f t="shared" si="39"/>
        <v>95.626576599389395</v>
      </c>
    </row>
    <row r="242" spans="3:15" ht="16.5" thickTop="1" thickBot="1">
      <c r="C242"/>
      <c r="D242"/>
      <c r="E242"/>
      <c r="F242"/>
      <c r="G242"/>
      <c r="H242" s="353"/>
      <c r="I242" s="353"/>
      <c r="K242" s="457" t="str">
        <f t="shared" si="35"/>
        <v>Interior Support (Bathroom, Utility room, laundry room, garage)</v>
      </c>
      <c r="L242" s="457" t="str">
        <f t="shared" si="36"/>
        <v>Linear Fluorescent</v>
      </c>
      <c r="M242" s="457" t="str">
        <f t="shared" si="37"/>
        <v>All Residential 
(Single, Multi-family, and Mobile Homes)</v>
      </c>
      <c r="N242" s="458">
        <f t="shared" si="38"/>
        <v>0</v>
      </c>
      <c r="O242" s="458">
        <f t="shared" si="39"/>
        <v>0</v>
      </c>
    </row>
    <row r="243" spans="3:15" ht="16.5" thickTop="1" thickBot="1">
      <c r="C243"/>
      <c r="D243"/>
      <c r="E243"/>
      <c r="F243"/>
      <c r="G243"/>
      <c r="H243" s="353"/>
      <c r="I243" s="353"/>
      <c r="K243" s="457" t="str">
        <f t="shared" si="35"/>
        <v>Interior Support (Bathroom, Utility room, laundry room, garage)</v>
      </c>
      <c r="L243" s="457" t="str">
        <f t="shared" si="36"/>
        <v>Linear Fluorescent</v>
      </c>
      <c r="M243" s="457" t="str">
        <f t="shared" si="37"/>
        <v>All Residential 
(Single, Multi-family, and Mobile Homes)</v>
      </c>
      <c r="N243" s="458">
        <f t="shared" si="38"/>
        <v>0</v>
      </c>
      <c r="O243" s="458">
        <f t="shared" si="39"/>
        <v>0</v>
      </c>
    </row>
    <row r="244" spans="3:15" ht="16.5" thickTop="1" thickBot="1">
      <c r="C244"/>
      <c r="D244"/>
      <c r="E244"/>
      <c r="F244"/>
      <c r="G244"/>
      <c r="H244" s="353"/>
      <c r="I244" s="353"/>
      <c r="K244" s="457" t="str">
        <f t="shared" si="35"/>
        <v>Interior Support (Bathroom, Utility room, laundry room, garage)</v>
      </c>
      <c r="L244" s="457" t="str">
        <f t="shared" si="36"/>
        <v>Linear Fluorescent</v>
      </c>
      <c r="M244" s="457" t="str">
        <f t="shared" si="37"/>
        <v>All Residential 
(Single, Multi-family, and Mobile Homes)</v>
      </c>
      <c r="N244" s="458">
        <f t="shared" si="38"/>
        <v>0</v>
      </c>
      <c r="O244" s="458">
        <f t="shared" si="39"/>
        <v>0</v>
      </c>
    </row>
    <row r="245" spans="3:15" ht="16.5" thickTop="1" thickBot="1">
      <c r="C245"/>
      <c r="D245"/>
      <c r="E245"/>
      <c r="F245"/>
      <c r="G245"/>
      <c r="H245" s="353"/>
      <c r="I245" s="353"/>
      <c r="K245" s="457" t="str">
        <f t="shared" si="35"/>
        <v>Interior Support (Bathroom, Utility room, laundry room, garage)</v>
      </c>
      <c r="L245" s="457" t="str">
        <f t="shared" si="36"/>
        <v>Linear Fluorescent</v>
      </c>
      <c r="M245" s="457" t="str">
        <f t="shared" si="37"/>
        <v>All Residential 
(Single, Multi-family, and Mobile Homes)</v>
      </c>
      <c r="N245" s="458">
        <f t="shared" si="38"/>
        <v>0</v>
      </c>
      <c r="O245" s="458">
        <f t="shared" si="39"/>
        <v>0</v>
      </c>
    </row>
    <row r="246" spans="3:15" ht="16.5" thickTop="1" thickBot="1">
      <c r="C246"/>
      <c r="D246"/>
      <c r="E246"/>
      <c r="F246"/>
      <c r="G246"/>
      <c r="H246" s="353"/>
      <c r="I246" s="353"/>
      <c r="K246" s="457" t="str">
        <f t="shared" si="35"/>
        <v>Interior Support (Bathroom, Utility room, laundry room, garage)</v>
      </c>
      <c r="L246" s="457" t="str">
        <f t="shared" si="36"/>
        <v>Linear Fluorescent</v>
      </c>
      <c r="M246" s="457" t="str">
        <f t="shared" si="37"/>
        <v>All Residential 
(Single, Multi-family, and Mobile Homes)</v>
      </c>
      <c r="N246" s="458">
        <f t="shared" si="38"/>
        <v>0</v>
      </c>
      <c r="O246" s="458">
        <f t="shared" si="39"/>
        <v>0</v>
      </c>
    </row>
    <row r="247" spans="3:15" ht="16.5" thickTop="1" thickBot="1">
      <c r="C247"/>
      <c r="D247"/>
      <c r="E247"/>
      <c r="F247"/>
      <c r="G247"/>
      <c r="H247" s="353"/>
      <c r="I247" s="353"/>
      <c r="K247" s="457" t="str">
        <f t="shared" si="35"/>
        <v>Interior Support (Bathroom, Utility room, laundry room, garage)</v>
      </c>
      <c r="L247" s="457" t="str">
        <f t="shared" si="36"/>
        <v>Linear Fluorescent</v>
      </c>
      <c r="M247" s="457" t="str">
        <f t="shared" si="37"/>
        <v>All Residential 
(Single, Multi-family, and Mobile Homes)</v>
      </c>
      <c r="N247" s="458">
        <f t="shared" si="38"/>
        <v>0</v>
      </c>
      <c r="O247" s="458">
        <f t="shared" si="39"/>
        <v>0</v>
      </c>
    </row>
    <row r="248" spans="3:15" ht="16.5" thickTop="1" thickBot="1">
      <c r="C248"/>
      <c r="D248"/>
      <c r="E248"/>
      <c r="F248"/>
      <c r="G248"/>
      <c r="H248" s="353"/>
      <c r="I248" s="353"/>
      <c r="K248" s="457" t="str">
        <f t="shared" si="35"/>
        <v>Interior Support (Bathroom, Utility room, laundry room, garage)</v>
      </c>
      <c r="L248" s="457" t="str">
        <f t="shared" si="36"/>
        <v>Linear Fluorescent</v>
      </c>
      <c r="M248" s="457" t="str">
        <f t="shared" si="37"/>
        <v>All Residential 
(Single, Multi-family, and Mobile Homes)</v>
      </c>
      <c r="N248" s="458">
        <f t="shared" si="38"/>
        <v>0</v>
      </c>
      <c r="O248" s="458">
        <f t="shared" si="39"/>
        <v>0</v>
      </c>
    </row>
    <row r="249" spans="3:15" ht="16.5" thickTop="1" thickBot="1">
      <c r="C249"/>
      <c r="D249"/>
      <c r="E249"/>
      <c r="F249"/>
      <c r="G249"/>
      <c r="H249" s="353"/>
      <c r="I249" s="353"/>
      <c r="K249" s="457" t="str">
        <f t="shared" si="35"/>
        <v>Interior Support (Bathroom, Utility room, laundry room, garage)</v>
      </c>
      <c r="L249" s="457" t="str">
        <f t="shared" si="36"/>
        <v>Linear Fluorescent</v>
      </c>
      <c r="M249" s="457" t="str">
        <f t="shared" si="37"/>
        <v>All Residential 
(Single, Multi-family, and Mobile Homes)</v>
      </c>
      <c r="N249" s="458">
        <f t="shared" si="38"/>
        <v>0</v>
      </c>
      <c r="O249" s="458">
        <f t="shared" si="39"/>
        <v>0</v>
      </c>
    </row>
    <row r="250" spans="3:15" ht="16.5" thickTop="1" thickBot="1">
      <c r="C250"/>
      <c r="D250"/>
      <c r="E250"/>
      <c r="F250"/>
      <c r="G250"/>
      <c r="H250" s="353"/>
      <c r="I250" s="353"/>
      <c r="K250" s="457" t="str">
        <f t="shared" si="35"/>
        <v>Interior Support (Bathroom, Utility room, laundry room, garage)</v>
      </c>
      <c r="L250" s="457" t="str">
        <f t="shared" si="36"/>
        <v>Linear Fluorescent</v>
      </c>
      <c r="M250" s="457" t="str">
        <f t="shared" si="37"/>
        <v>All Residential 
(Single, Multi-family, and Mobile Homes)</v>
      </c>
      <c r="N250" s="458">
        <f t="shared" si="38"/>
        <v>0</v>
      </c>
      <c r="O250" s="458">
        <f t="shared" si="39"/>
        <v>0</v>
      </c>
    </row>
    <row r="251" spans="3:15" ht="16.5" thickTop="1" thickBot="1">
      <c r="C251"/>
      <c r="D251"/>
      <c r="E251"/>
      <c r="F251"/>
      <c r="G251"/>
      <c r="H251" s="353"/>
      <c r="I251" s="353"/>
      <c r="K251" s="457" t="str">
        <f t="shared" si="35"/>
        <v>Interior Support (Bathroom, Utility room, laundry room, garage)</v>
      </c>
      <c r="L251" s="457" t="str">
        <f t="shared" si="36"/>
        <v>Linear Fluorescent</v>
      </c>
      <c r="M251" s="457" t="str">
        <f t="shared" si="37"/>
        <v>All Residential 
(Single, Multi-family, and Mobile Homes)</v>
      </c>
      <c r="N251" s="458">
        <f t="shared" si="38"/>
        <v>0</v>
      </c>
      <c r="O251" s="458">
        <f t="shared" si="39"/>
        <v>0</v>
      </c>
    </row>
    <row r="252" spans="3:15" ht="16.5" thickTop="1" thickBot="1">
      <c r="C252"/>
      <c r="D252"/>
      <c r="E252"/>
      <c r="F252"/>
      <c r="G252"/>
      <c r="H252" s="353"/>
      <c r="I252" s="353"/>
      <c r="K252" s="457" t="str">
        <f t="shared" si="35"/>
        <v>Interior Support (Bathroom, Utility room, laundry room, garage)</v>
      </c>
      <c r="L252" s="457" t="str">
        <f t="shared" si="36"/>
        <v>Linear Fluorescent</v>
      </c>
      <c r="M252" s="457" t="str">
        <f t="shared" si="37"/>
        <v>All Residential 
(Single, Multi-family, and Mobile Homes)</v>
      </c>
      <c r="N252" s="458">
        <f t="shared" si="38"/>
        <v>0</v>
      </c>
      <c r="O252" s="458">
        <f t="shared" si="39"/>
        <v>0</v>
      </c>
    </row>
    <row r="253" spans="3:15" ht="16.5" thickTop="1" thickBot="1">
      <c r="C253"/>
      <c r="D253"/>
      <c r="E253"/>
      <c r="F253"/>
      <c r="G253"/>
      <c r="H253" s="353"/>
      <c r="I253" s="353"/>
      <c r="K253" s="457" t="str">
        <f t="shared" si="35"/>
        <v>Interior Support (Bathroom, Utility room, laundry room, garage)</v>
      </c>
      <c r="L253" s="457" t="str">
        <f t="shared" si="36"/>
        <v>Linear Fluorescent</v>
      </c>
      <c r="M253" s="457" t="str">
        <f t="shared" si="37"/>
        <v>All Residential 
(Single, Multi-family, and Mobile Homes)</v>
      </c>
      <c r="N253" s="458">
        <f t="shared" si="38"/>
        <v>0</v>
      </c>
      <c r="O253" s="458">
        <f t="shared" si="39"/>
        <v>0</v>
      </c>
    </row>
    <row r="254" spans="3:15" ht="16.5" thickTop="1" thickBot="1">
      <c r="C254"/>
      <c r="D254"/>
      <c r="E254"/>
      <c r="F254"/>
      <c r="G254"/>
      <c r="H254" s="353"/>
      <c r="I254" s="353"/>
      <c r="K254" s="457" t="str">
        <f t="shared" si="35"/>
        <v>Interior Support (Bathroom, Utility room, laundry room, garage)</v>
      </c>
      <c r="L254" s="457" t="str">
        <f t="shared" si="36"/>
        <v>Linear Fluorescent</v>
      </c>
      <c r="M254" s="457" t="str">
        <f t="shared" si="37"/>
        <v>All Residential 
(Single, Multi-family, and Mobile Homes)</v>
      </c>
      <c r="N254" s="458">
        <f t="shared" si="38"/>
        <v>0</v>
      </c>
      <c r="O254" s="458">
        <f t="shared" si="39"/>
        <v>0</v>
      </c>
    </row>
    <row r="255" spans="3:15" ht="16.5" thickTop="1" thickBot="1">
      <c r="C255"/>
      <c r="D255"/>
      <c r="E255"/>
      <c r="F255"/>
      <c r="G255"/>
      <c r="H255" s="353"/>
      <c r="I255" s="353"/>
      <c r="K255" s="457" t="str">
        <f t="shared" si="35"/>
        <v>Interior Support (Bathroom, Utility room, laundry room, garage)</v>
      </c>
      <c r="L255" s="457" t="str">
        <f t="shared" si="36"/>
        <v>Linear Fluorescent</v>
      </c>
      <c r="M255" s="457" t="str">
        <f t="shared" si="37"/>
        <v>All Residential 
(Single, Multi-family, and Mobile Homes)</v>
      </c>
      <c r="N255" s="458">
        <f t="shared" si="38"/>
        <v>0</v>
      </c>
      <c r="O255" s="458">
        <f t="shared" si="39"/>
        <v>0</v>
      </c>
    </row>
    <row r="256" spans="3:15" ht="16.5" thickTop="1" thickBot="1">
      <c r="C256"/>
      <c r="D256"/>
      <c r="E256"/>
      <c r="F256"/>
      <c r="G256"/>
      <c r="H256" s="353"/>
      <c r="I256" s="353"/>
      <c r="K256" s="457" t="str">
        <f t="shared" si="35"/>
        <v>Interior Support (Bathroom, Utility room, laundry room, garage)</v>
      </c>
      <c r="L256" s="457" t="str">
        <f t="shared" si="36"/>
        <v>Linear Fluorescent</v>
      </c>
      <c r="M256" s="457" t="str">
        <f t="shared" si="37"/>
        <v>All Residential 
(Single, Multi-family, and Mobile Homes)</v>
      </c>
      <c r="N256" s="458">
        <f t="shared" si="38"/>
        <v>0</v>
      </c>
      <c r="O256" s="458">
        <f t="shared" si="39"/>
        <v>0</v>
      </c>
    </row>
    <row r="257" spans="3:15" ht="16.5" thickTop="1" thickBot="1">
      <c r="C257"/>
      <c r="D257"/>
      <c r="E257"/>
      <c r="F257"/>
      <c r="G257"/>
      <c r="H257" s="353"/>
      <c r="I257" s="353"/>
      <c r="K257" s="457" t="str">
        <f t="shared" si="35"/>
        <v>Interior Support (Bathroom, Utility room, laundry room, garage)</v>
      </c>
      <c r="L257" s="457" t="str">
        <f t="shared" si="36"/>
        <v>Linear Fluorescent</v>
      </c>
      <c r="M257" s="457" t="str">
        <f t="shared" si="37"/>
        <v>All Residential 
(Single, Multi-family, and Mobile Homes)</v>
      </c>
      <c r="N257" s="458">
        <f t="shared" si="38"/>
        <v>0</v>
      </c>
      <c r="O257" s="458">
        <f t="shared" si="39"/>
        <v>0</v>
      </c>
    </row>
    <row r="258" spans="3:15" ht="16.5" thickTop="1" thickBot="1">
      <c r="C258"/>
      <c r="D258"/>
      <c r="E258"/>
      <c r="F258"/>
      <c r="G258"/>
      <c r="H258" s="353"/>
      <c r="I258" s="353"/>
      <c r="K258" s="457" t="str">
        <f t="shared" si="35"/>
        <v>Interior Support (Bathroom, Utility room, laundry room, garage)</v>
      </c>
      <c r="L258" s="457" t="str">
        <f t="shared" si="36"/>
        <v>Linear Fluorescent</v>
      </c>
      <c r="M258" s="457" t="str">
        <f t="shared" si="37"/>
        <v>All Residential 
(Single, Multi-family, and Mobile Homes)</v>
      </c>
      <c r="N258" s="458">
        <f t="shared" si="38"/>
        <v>0</v>
      </c>
      <c r="O258" s="458">
        <f t="shared" si="39"/>
        <v>0</v>
      </c>
    </row>
    <row r="259" spans="3:15" ht="16.5" thickTop="1" thickBot="1">
      <c r="C259"/>
      <c r="D259"/>
      <c r="E259"/>
      <c r="F259"/>
      <c r="G259"/>
      <c r="H259" s="353"/>
      <c r="I259" s="353"/>
      <c r="K259" s="457" t="str">
        <f t="shared" si="35"/>
        <v>Interior Support (Bathroom, Utility room, laundry room, garage)</v>
      </c>
      <c r="L259" s="457" t="str">
        <f t="shared" si="36"/>
        <v>Linear Fluorescent</v>
      </c>
      <c r="M259" s="457" t="str">
        <f t="shared" si="37"/>
        <v>All Residential 
(Single, Multi-family, and Mobile Homes)</v>
      </c>
      <c r="N259" s="458">
        <f t="shared" si="38"/>
        <v>0</v>
      </c>
      <c r="O259" s="458">
        <f t="shared" si="39"/>
        <v>0</v>
      </c>
    </row>
    <row r="260" spans="3:15" ht="16.5" thickTop="1" thickBot="1">
      <c r="C260"/>
      <c r="D260"/>
      <c r="E260"/>
      <c r="F260"/>
      <c r="G260"/>
      <c r="H260" s="353"/>
      <c r="I260" s="353"/>
      <c r="K260" s="457" t="str">
        <f t="shared" si="35"/>
        <v>Interior Support (Bathroom, Utility room, laundry room, garage)</v>
      </c>
      <c r="L260" s="457" t="str">
        <f t="shared" si="36"/>
        <v>Linear Fluorescent</v>
      </c>
      <c r="M260" s="457" t="str">
        <f t="shared" si="37"/>
        <v>All Residential 
(Single, Multi-family, and Mobile Homes)</v>
      </c>
      <c r="N260" s="458">
        <f t="shared" si="38"/>
        <v>0</v>
      </c>
      <c r="O260" s="458">
        <f t="shared" si="39"/>
        <v>0</v>
      </c>
    </row>
    <row r="261" spans="3:15" ht="16.5" thickTop="1" thickBot="1">
      <c r="C261"/>
      <c r="D261"/>
      <c r="E261"/>
      <c r="F261"/>
      <c r="G261"/>
      <c r="H261" s="353"/>
      <c r="I261" s="353"/>
      <c r="K261" s="457" t="str">
        <f t="shared" si="35"/>
        <v>Interior Support (Bathroom, Utility room, laundry room, garage)</v>
      </c>
      <c r="L261" s="457" t="str">
        <f t="shared" si="36"/>
        <v>Linear Fluorescent</v>
      </c>
      <c r="M261" s="457" t="str">
        <f t="shared" si="37"/>
        <v>All Residential 
(Single, Multi-family, and Mobile Homes)</v>
      </c>
      <c r="N261" s="458">
        <f t="shared" si="38"/>
        <v>0</v>
      </c>
      <c r="O261" s="458">
        <f t="shared" si="39"/>
        <v>0</v>
      </c>
    </row>
    <row r="262" spans="3:15" ht="16.5" thickTop="1" thickBot="1">
      <c r="C262"/>
      <c r="D262"/>
      <c r="E262"/>
      <c r="F262"/>
      <c r="G262"/>
      <c r="H262" s="353"/>
      <c r="I262" s="353"/>
      <c r="K262" s="457" t="str">
        <f t="shared" si="35"/>
        <v>Interior Support (Bathroom, Utility room, laundry room, garage)</v>
      </c>
      <c r="L262" s="457" t="str">
        <f t="shared" si="36"/>
        <v>Linear Fluorescent</v>
      </c>
      <c r="M262" s="457" t="str">
        <f t="shared" si="37"/>
        <v>All Residential 
(Single, Multi-family, and Mobile Homes)</v>
      </c>
      <c r="N262" s="458">
        <f t="shared" si="38"/>
        <v>0</v>
      </c>
      <c r="O262" s="458">
        <f t="shared" si="39"/>
        <v>0</v>
      </c>
    </row>
    <row r="263" spans="3:15" ht="16.5" thickTop="1" thickBot="1">
      <c r="C263"/>
      <c r="D263"/>
      <c r="E263"/>
      <c r="F263"/>
      <c r="G263"/>
      <c r="H263" s="353"/>
      <c r="I263" s="353"/>
      <c r="K263" s="457" t="str">
        <f t="shared" si="35"/>
        <v>Interior Support (Bathroom, Utility room, laundry room, garage)</v>
      </c>
      <c r="L263" s="457" t="str">
        <f t="shared" si="36"/>
        <v>Linear Fluorescent</v>
      </c>
      <c r="M263" s="457" t="str">
        <f t="shared" si="37"/>
        <v>All Residential 
(Single, Multi-family, and Mobile Homes)</v>
      </c>
      <c r="N263" s="458">
        <f t="shared" si="38"/>
        <v>0</v>
      </c>
      <c r="O263" s="458">
        <f t="shared" si="39"/>
        <v>0</v>
      </c>
    </row>
    <row r="264" spans="3:15" ht="16.5" thickTop="1" thickBot="1">
      <c r="C264"/>
      <c r="D264"/>
      <c r="E264"/>
      <c r="F264"/>
      <c r="G264"/>
      <c r="H264" s="353"/>
      <c r="I264" s="353"/>
      <c r="K264" s="457" t="str">
        <f t="shared" si="35"/>
        <v>Interior Support (Bathroom, Utility room, laundry room, garage)</v>
      </c>
      <c r="L264" s="457" t="str">
        <f t="shared" si="36"/>
        <v>Linear Fluorescent</v>
      </c>
      <c r="M264" s="457" t="str">
        <f t="shared" si="37"/>
        <v>All Residential 
(Single, Multi-family, and Mobile Homes)</v>
      </c>
      <c r="N264" s="458">
        <f t="shared" si="38"/>
        <v>0</v>
      </c>
      <c r="O264" s="458">
        <f t="shared" si="39"/>
        <v>0</v>
      </c>
    </row>
    <row r="265" spans="3:15" ht="16.5" thickTop="1" thickBot="1">
      <c r="C265"/>
      <c r="D265"/>
      <c r="E265"/>
      <c r="F265"/>
      <c r="G265"/>
      <c r="H265" s="353"/>
      <c r="I265" s="353"/>
      <c r="K265" s="457" t="str">
        <f t="shared" ref="K265:K296" si="40">IF(C265=0,K264,C265)</f>
        <v>Interior Support (Bathroom, Utility room, laundry room, garage)</v>
      </c>
      <c r="L265" s="457" t="str">
        <f t="shared" ref="L265:L296" si="41">IF(D265=0,L264,D265)</f>
        <v>Linear Fluorescent</v>
      </c>
      <c r="M265" s="457" t="str">
        <f t="shared" ref="M265:M296" si="42">IF(E265=0,M264,E265)</f>
        <v>All Residential 
(Single, Multi-family, and Mobile Homes)</v>
      </c>
      <c r="N265" s="458">
        <f t="shared" ref="N265:N296" si="43">F265</f>
        <v>0</v>
      </c>
      <c r="O265" s="458">
        <f t="shared" ref="O265:O296" si="44">G265</f>
        <v>0</v>
      </c>
    </row>
    <row r="266" spans="3:15" ht="16.5" thickTop="1" thickBot="1">
      <c r="C266"/>
      <c r="D266"/>
      <c r="E266"/>
      <c r="F266"/>
      <c r="G266"/>
      <c r="H266" s="353"/>
      <c r="I266" s="353"/>
      <c r="K266" s="457" t="str">
        <f t="shared" si="40"/>
        <v>Interior Support (Bathroom, Utility room, laundry room, garage)</v>
      </c>
      <c r="L266" s="457" t="str">
        <f t="shared" si="41"/>
        <v>Linear Fluorescent</v>
      </c>
      <c r="M266" s="457" t="str">
        <f t="shared" si="42"/>
        <v>All Residential 
(Single, Multi-family, and Mobile Homes)</v>
      </c>
      <c r="N266" s="458">
        <f t="shared" si="43"/>
        <v>0</v>
      </c>
      <c r="O266" s="458">
        <f t="shared" si="44"/>
        <v>0</v>
      </c>
    </row>
    <row r="267" spans="3:15" ht="16.5" thickTop="1" thickBot="1">
      <c r="C267"/>
      <c r="D267"/>
      <c r="E267"/>
      <c r="F267"/>
      <c r="G267"/>
      <c r="H267" s="353"/>
      <c r="I267" s="353"/>
      <c r="K267" s="457" t="str">
        <f t="shared" si="40"/>
        <v>Interior Support (Bathroom, Utility room, laundry room, garage)</v>
      </c>
      <c r="L267" s="457" t="str">
        <f t="shared" si="41"/>
        <v>Linear Fluorescent</v>
      </c>
      <c r="M267" s="457" t="str">
        <f t="shared" si="42"/>
        <v>All Residential 
(Single, Multi-family, and Mobile Homes)</v>
      </c>
      <c r="N267" s="458">
        <f t="shared" si="43"/>
        <v>0</v>
      </c>
      <c r="O267" s="458">
        <f t="shared" si="44"/>
        <v>0</v>
      </c>
    </row>
    <row r="268" spans="3:15" ht="16.5" thickTop="1" thickBot="1">
      <c r="C268"/>
      <c r="D268"/>
      <c r="E268"/>
      <c r="F268"/>
      <c r="G268"/>
      <c r="H268" s="353"/>
      <c r="I268" s="353"/>
      <c r="K268" s="457" t="str">
        <f t="shared" si="40"/>
        <v>Interior Support (Bathroom, Utility room, laundry room, garage)</v>
      </c>
      <c r="L268" s="457" t="str">
        <f t="shared" si="41"/>
        <v>Linear Fluorescent</v>
      </c>
      <c r="M268" s="457" t="str">
        <f t="shared" si="42"/>
        <v>All Residential 
(Single, Multi-family, and Mobile Homes)</v>
      </c>
      <c r="N268" s="458">
        <f t="shared" si="43"/>
        <v>0</v>
      </c>
      <c r="O268" s="458">
        <f t="shared" si="44"/>
        <v>0</v>
      </c>
    </row>
    <row r="269" spans="3:15" ht="16.5" thickTop="1" thickBot="1">
      <c r="C269"/>
      <c r="D269"/>
      <c r="E269"/>
      <c r="F269"/>
      <c r="G269"/>
      <c r="H269" s="353"/>
      <c r="I269" s="353"/>
      <c r="K269" s="457" t="str">
        <f t="shared" si="40"/>
        <v>Interior Support (Bathroom, Utility room, laundry room, garage)</v>
      </c>
      <c r="L269" s="457" t="str">
        <f t="shared" si="41"/>
        <v>Linear Fluorescent</v>
      </c>
      <c r="M269" s="457" t="str">
        <f t="shared" si="42"/>
        <v>All Residential 
(Single, Multi-family, and Mobile Homes)</v>
      </c>
      <c r="N269" s="458">
        <f t="shared" si="43"/>
        <v>0</v>
      </c>
      <c r="O269" s="458">
        <f t="shared" si="44"/>
        <v>0</v>
      </c>
    </row>
    <row r="270" spans="3:15" ht="16.5" thickTop="1" thickBot="1">
      <c r="C270"/>
      <c r="D270"/>
      <c r="E270"/>
      <c r="F270"/>
      <c r="G270"/>
      <c r="H270" s="353"/>
      <c r="I270" s="353"/>
      <c r="K270" s="457" t="str">
        <f t="shared" si="40"/>
        <v>Interior Support (Bathroom, Utility room, laundry room, garage)</v>
      </c>
      <c r="L270" s="457" t="str">
        <f t="shared" si="41"/>
        <v>Linear Fluorescent</v>
      </c>
      <c r="M270" s="457" t="str">
        <f t="shared" si="42"/>
        <v>All Residential 
(Single, Multi-family, and Mobile Homes)</v>
      </c>
      <c r="N270" s="458">
        <f t="shared" si="43"/>
        <v>0</v>
      </c>
      <c r="O270" s="458">
        <f t="shared" si="44"/>
        <v>0</v>
      </c>
    </row>
    <row r="271" spans="3:15" ht="16.5" thickTop="1" thickBot="1">
      <c r="C271"/>
      <c r="D271"/>
      <c r="E271"/>
      <c r="F271"/>
      <c r="G271"/>
      <c r="H271" s="353"/>
      <c r="I271" s="353"/>
      <c r="K271" s="457" t="str">
        <f t="shared" si="40"/>
        <v>Interior Support (Bathroom, Utility room, laundry room, garage)</v>
      </c>
      <c r="L271" s="457" t="str">
        <f t="shared" si="41"/>
        <v>Linear Fluorescent</v>
      </c>
      <c r="M271" s="457" t="str">
        <f t="shared" si="42"/>
        <v>All Residential 
(Single, Multi-family, and Mobile Homes)</v>
      </c>
      <c r="N271" s="458">
        <f t="shared" si="43"/>
        <v>0</v>
      </c>
      <c r="O271" s="458">
        <f t="shared" si="44"/>
        <v>0</v>
      </c>
    </row>
    <row r="272" spans="3:15" ht="16.5" thickTop="1" thickBot="1">
      <c r="C272"/>
      <c r="D272"/>
      <c r="E272"/>
      <c r="F272"/>
      <c r="G272"/>
      <c r="H272" s="353"/>
      <c r="I272" s="353"/>
      <c r="K272" s="457" t="str">
        <f t="shared" si="40"/>
        <v>Interior Support (Bathroom, Utility room, laundry room, garage)</v>
      </c>
      <c r="L272" s="457" t="str">
        <f t="shared" si="41"/>
        <v>Linear Fluorescent</v>
      </c>
      <c r="M272" s="457" t="str">
        <f t="shared" si="42"/>
        <v>All Residential 
(Single, Multi-family, and Mobile Homes)</v>
      </c>
      <c r="N272" s="458">
        <f t="shared" si="43"/>
        <v>0</v>
      </c>
      <c r="O272" s="458">
        <f t="shared" si="44"/>
        <v>0</v>
      </c>
    </row>
    <row r="273" spans="3:15" ht="16.5" thickTop="1" thickBot="1">
      <c r="C273"/>
      <c r="D273"/>
      <c r="E273"/>
      <c r="F273"/>
      <c r="G273"/>
      <c r="H273" s="353"/>
      <c r="I273" s="353"/>
      <c r="K273" s="457" t="str">
        <f t="shared" si="40"/>
        <v>Interior Support (Bathroom, Utility room, laundry room, garage)</v>
      </c>
      <c r="L273" s="457" t="str">
        <f t="shared" si="41"/>
        <v>Linear Fluorescent</v>
      </c>
      <c r="M273" s="457" t="str">
        <f t="shared" si="42"/>
        <v>All Residential 
(Single, Multi-family, and Mobile Homes)</v>
      </c>
      <c r="N273" s="458">
        <f t="shared" si="43"/>
        <v>0</v>
      </c>
      <c r="O273" s="458">
        <f t="shared" si="44"/>
        <v>0</v>
      </c>
    </row>
    <row r="274" spans="3:15" ht="16.5" thickTop="1" thickBot="1">
      <c r="C274"/>
      <c r="D274"/>
      <c r="E274"/>
      <c r="F274"/>
      <c r="G274"/>
      <c r="H274" s="353"/>
      <c r="I274" s="353"/>
      <c r="K274" s="457" t="str">
        <f t="shared" si="40"/>
        <v>Interior Support (Bathroom, Utility room, laundry room, garage)</v>
      </c>
      <c r="L274" s="457" t="str">
        <f t="shared" si="41"/>
        <v>Linear Fluorescent</v>
      </c>
      <c r="M274" s="457" t="str">
        <f t="shared" si="42"/>
        <v>All Residential 
(Single, Multi-family, and Mobile Homes)</v>
      </c>
      <c r="N274" s="458">
        <f t="shared" si="43"/>
        <v>0</v>
      </c>
      <c r="O274" s="458">
        <f t="shared" si="44"/>
        <v>0</v>
      </c>
    </row>
    <row r="275" spans="3:15" ht="16.5" thickTop="1" thickBot="1">
      <c r="C275"/>
      <c r="D275"/>
      <c r="E275"/>
      <c r="F275"/>
      <c r="G275"/>
      <c r="H275" s="353"/>
      <c r="I275" s="353"/>
      <c r="K275" s="457" t="str">
        <f t="shared" si="40"/>
        <v>Interior Support (Bathroom, Utility room, laundry room, garage)</v>
      </c>
      <c r="L275" s="457" t="str">
        <f t="shared" si="41"/>
        <v>Linear Fluorescent</v>
      </c>
      <c r="M275" s="457" t="str">
        <f t="shared" si="42"/>
        <v>All Residential 
(Single, Multi-family, and Mobile Homes)</v>
      </c>
      <c r="N275" s="458">
        <f t="shared" si="43"/>
        <v>0</v>
      </c>
      <c r="O275" s="458">
        <f t="shared" si="44"/>
        <v>0</v>
      </c>
    </row>
    <row r="276" spans="3:15" ht="16.5" thickTop="1" thickBot="1">
      <c r="C276"/>
      <c r="D276"/>
      <c r="E276"/>
      <c r="F276"/>
      <c r="G276"/>
      <c r="H276" s="353"/>
      <c r="I276" s="353"/>
      <c r="K276" s="457" t="str">
        <f t="shared" si="40"/>
        <v>Interior Support (Bathroom, Utility room, laundry room, garage)</v>
      </c>
      <c r="L276" s="457" t="str">
        <f t="shared" si="41"/>
        <v>Linear Fluorescent</v>
      </c>
      <c r="M276" s="457" t="str">
        <f t="shared" si="42"/>
        <v>All Residential 
(Single, Multi-family, and Mobile Homes)</v>
      </c>
      <c r="N276" s="458">
        <f t="shared" si="43"/>
        <v>0</v>
      </c>
      <c r="O276" s="458">
        <f t="shared" si="44"/>
        <v>0</v>
      </c>
    </row>
    <row r="277" spans="3:15" ht="16.5" thickTop="1" thickBot="1">
      <c r="C277"/>
      <c r="D277"/>
      <c r="E277"/>
      <c r="F277"/>
      <c r="G277"/>
      <c r="H277" s="353"/>
      <c r="I277" s="353"/>
      <c r="K277" s="457" t="str">
        <f t="shared" si="40"/>
        <v>Interior Support (Bathroom, Utility room, laundry room, garage)</v>
      </c>
      <c r="L277" s="457" t="str">
        <f t="shared" si="41"/>
        <v>Linear Fluorescent</v>
      </c>
      <c r="M277" s="457" t="str">
        <f t="shared" si="42"/>
        <v>All Residential 
(Single, Multi-family, and Mobile Homes)</v>
      </c>
      <c r="N277" s="458">
        <f t="shared" si="43"/>
        <v>0</v>
      </c>
      <c r="O277" s="458">
        <f t="shared" si="44"/>
        <v>0</v>
      </c>
    </row>
    <row r="278" spans="3:15" ht="16.5" thickTop="1" thickBot="1">
      <c r="C278"/>
      <c r="D278"/>
      <c r="E278"/>
      <c r="F278"/>
      <c r="G278"/>
      <c r="H278" s="353"/>
      <c r="I278" s="353"/>
      <c r="K278" s="457" t="str">
        <f t="shared" si="40"/>
        <v>Interior Support (Bathroom, Utility room, laundry room, garage)</v>
      </c>
      <c r="L278" s="457" t="str">
        <f t="shared" si="41"/>
        <v>Linear Fluorescent</v>
      </c>
      <c r="M278" s="457" t="str">
        <f t="shared" si="42"/>
        <v>All Residential 
(Single, Multi-family, and Mobile Homes)</v>
      </c>
      <c r="N278" s="458">
        <f t="shared" si="43"/>
        <v>0</v>
      </c>
      <c r="O278" s="458">
        <f t="shared" si="44"/>
        <v>0</v>
      </c>
    </row>
    <row r="279" spans="3:15" ht="16.5" thickTop="1" thickBot="1">
      <c r="C279"/>
      <c r="D279"/>
      <c r="E279"/>
      <c r="F279"/>
      <c r="G279"/>
      <c r="H279" s="353"/>
      <c r="I279" s="353"/>
      <c r="K279" s="457" t="str">
        <f t="shared" si="40"/>
        <v>Interior Support (Bathroom, Utility room, laundry room, garage)</v>
      </c>
      <c r="L279" s="457" t="str">
        <f t="shared" si="41"/>
        <v>Linear Fluorescent</v>
      </c>
      <c r="M279" s="457" t="str">
        <f t="shared" si="42"/>
        <v>All Residential 
(Single, Multi-family, and Mobile Homes)</v>
      </c>
      <c r="N279" s="458">
        <f t="shared" si="43"/>
        <v>0</v>
      </c>
      <c r="O279" s="458">
        <f t="shared" si="44"/>
        <v>0</v>
      </c>
    </row>
    <row r="280" spans="3:15" ht="16.5" thickTop="1" thickBot="1">
      <c r="C280"/>
      <c r="D280"/>
      <c r="E280"/>
      <c r="F280"/>
      <c r="G280"/>
      <c r="H280" s="353"/>
      <c r="I280" s="353"/>
      <c r="K280" s="457" t="str">
        <f t="shared" si="40"/>
        <v>Interior Support (Bathroom, Utility room, laundry room, garage)</v>
      </c>
      <c r="L280" s="457" t="str">
        <f t="shared" si="41"/>
        <v>Linear Fluorescent</v>
      </c>
      <c r="M280" s="457" t="str">
        <f t="shared" si="42"/>
        <v>All Residential 
(Single, Multi-family, and Mobile Homes)</v>
      </c>
      <c r="N280" s="458">
        <f t="shared" si="43"/>
        <v>0</v>
      </c>
      <c r="O280" s="458">
        <f t="shared" si="44"/>
        <v>0</v>
      </c>
    </row>
    <row r="281" spans="3:15" ht="16.5" thickTop="1" thickBot="1">
      <c r="C281"/>
      <c r="D281"/>
      <c r="E281"/>
      <c r="F281"/>
      <c r="G281"/>
      <c r="H281" s="353"/>
      <c r="I281" s="353"/>
      <c r="K281" s="457" t="str">
        <f t="shared" si="40"/>
        <v>Interior Support (Bathroom, Utility room, laundry room, garage)</v>
      </c>
      <c r="L281" s="457" t="str">
        <f t="shared" si="41"/>
        <v>Linear Fluorescent</v>
      </c>
      <c r="M281" s="457" t="str">
        <f t="shared" si="42"/>
        <v>All Residential 
(Single, Multi-family, and Mobile Homes)</v>
      </c>
      <c r="N281" s="458">
        <f t="shared" si="43"/>
        <v>0</v>
      </c>
      <c r="O281" s="458">
        <f t="shared" si="44"/>
        <v>0</v>
      </c>
    </row>
    <row r="282" spans="3:15" ht="16.5" thickTop="1" thickBot="1">
      <c r="H282" s="353"/>
      <c r="I282" s="353"/>
      <c r="K282" s="457" t="str">
        <f t="shared" si="40"/>
        <v>Interior Support (Bathroom, Utility room, laundry room, garage)</v>
      </c>
      <c r="L282" s="457" t="str">
        <f t="shared" si="41"/>
        <v>Linear Fluorescent</v>
      </c>
      <c r="M282" s="457" t="str">
        <f t="shared" si="42"/>
        <v>All Residential 
(Single, Multi-family, and Mobile Homes)</v>
      </c>
      <c r="N282" s="458">
        <f t="shared" si="43"/>
        <v>0</v>
      </c>
      <c r="O282" s="458">
        <f t="shared" si="44"/>
        <v>0</v>
      </c>
    </row>
    <row r="283" spans="3:15" ht="16.5" thickTop="1" thickBot="1">
      <c r="K283" s="457" t="str">
        <f t="shared" si="40"/>
        <v>Interior Support (Bathroom, Utility room, laundry room, garage)</v>
      </c>
      <c r="L283" s="457" t="str">
        <f t="shared" si="41"/>
        <v>Linear Fluorescent</v>
      </c>
      <c r="M283" s="457" t="str">
        <f t="shared" si="42"/>
        <v>All Residential 
(Single, Multi-family, and Mobile Homes)</v>
      </c>
      <c r="N283" s="458">
        <f t="shared" si="43"/>
        <v>0</v>
      </c>
      <c r="O283" s="458">
        <f t="shared" si="44"/>
        <v>0</v>
      </c>
    </row>
    <row r="284" spans="3:15" ht="16.5" thickTop="1" thickBot="1">
      <c r="K284" s="457" t="str">
        <f t="shared" si="40"/>
        <v>Interior Support (Bathroom, Utility room, laundry room, garage)</v>
      </c>
      <c r="L284" s="457" t="str">
        <f t="shared" si="41"/>
        <v>Linear Fluorescent</v>
      </c>
      <c r="M284" s="457" t="str">
        <f t="shared" si="42"/>
        <v>All Residential 
(Single, Multi-family, and Mobile Homes)</v>
      </c>
      <c r="N284" s="458">
        <f t="shared" si="43"/>
        <v>0</v>
      </c>
      <c r="O284" s="458">
        <f t="shared" si="44"/>
        <v>0</v>
      </c>
    </row>
    <row r="285" spans="3:15" ht="16.5" thickTop="1" thickBot="1">
      <c r="K285" s="457" t="str">
        <f t="shared" si="40"/>
        <v>Interior Support (Bathroom, Utility room, laundry room, garage)</v>
      </c>
      <c r="L285" s="457" t="str">
        <f t="shared" si="41"/>
        <v>Linear Fluorescent</v>
      </c>
      <c r="M285" s="457" t="str">
        <f t="shared" si="42"/>
        <v>All Residential 
(Single, Multi-family, and Mobile Homes)</v>
      </c>
      <c r="N285" s="458">
        <f t="shared" si="43"/>
        <v>0</v>
      </c>
      <c r="O285" s="458">
        <f t="shared" si="44"/>
        <v>0</v>
      </c>
    </row>
    <row r="286" spans="3:15" ht="16.5" thickTop="1" thickBot="1">
      <c r="K286" s="457" t="str">
        <f t="shared" si="40"/>
        <v>Interior Support (Bathroom, Utility room, laundry room, garage)</v>
      </c>
      <c r="L286" s="457" t="str">
        <f t="shared" si="41"/>
        <v>Linear Fluorescent</v>
      </c>
      <c r="M286" s="457" t="str">
        <f t="shared" si="42"/>
        <v>All Residential 
(Single, Multi-family, and Mobile Homes)</v>
      </c>
      <c r="N286" s="458">
        <f t="shared" si="43"/>
        <v>0</v>
      </c>
      <c r="O286" s="458">
        <f t="shared" si="44"/>
        <v>0</v>
      </c>
    </row>
    <row r="287" spans="3:15" ht="16.5" thickTop="1" thickBot="1">
      <c r="K287" s="457" t="str">
        <f t="shared" si="40"/>
        <v>Interior Support (Bathroom, Utility room, laundry room, garage)</v>
      </c>
      <c r="L287" s="457" t="str">
        <f t="shared" si="41"/>
        <v>Linear Fluorescent</v>
      </c>
      <c r="M287" s="457" t="str">
        <f t="shared" si="42"/>
        <v>All Residential 
(Single, Multi-family, and Mobile Homes)</v>
      </c>
      <c r="N287" s="458">
        <f t="shared" si="43"/>
        <v>0</v>
      </c>
      <c r="O287" s="458">
        <f t="shared" si="44"/>
        <v>0</v>
      </c>
    </row>
    <row r="288" spans="3:15" ht="16.5" thickTop="1" thickBot="1">
      <c r="K288" s="457" t="str">
        <f t="shared" si="40"/>
        <v>Interior Support (Bathroom, Utility room, laundry room, garage)</v>
      </c>
      <c r="L288" s="457" t="str">
        <f t="shared" si="41"/>
        <v>Linear Fluorescent</v>
      </c>
      <c r="M288" s="457" t="str">
        <f t="shared" si="42"/>
        <v>All Residential 
(Single, Multi-family, and Mobile Homes)</v>
      </c>
      <c r="N288" s="458">
        <f t="shared" si="43"/>
        <v>0</v>
      </c>
      <c r="O288" s="458">
        <f t="shared" si="44"/>
        <v>0</v>
      </c>
    </row>
    <row r="289" spans="11:15" ht="16.5" thickTop="1" thickBot="1">
      <c r="K289" s="457" t="str">
        <f t="shared" si="40"/>
        <v>Interior Support (Bathroom, Utility room, laundry room, garage)</v>
      </c>
      <c r="L289" s="457" t="str">
        <f t="shared" si="41"/>
        <v>Linear Fluorescent</v>
      </c>
      <c r="M289" s="457" t="str">
        <f t="shared" si="42"/>
        <v>All Residential 
(Single, Multi-family, and Mobile Homes)</v>
      </c>
      <c r="N289" s="458">
        <f t="shared" si="43"/>
        <v>0</v>
      </c>
      <c r="O289" s="458">
        <f t="shared" si="44"/>
        <v>0</v>
      </c>
    </row>
    <row r="290" spans="11:15" ht="16.5" thickTop="1" thickBot="1">
      <c r="K290" s="457" t="str">
        <f t="shared" si="40"/>
        <v>Interior Support (Bathroom, Utility room, laundry room, garage)</v>
      </c>
      <c r="L290" s="457" t="str">
        <f t="shared" si="41"/>
        <v>Linear Fluorescent</v>
      </c>
      <c r="M290" s="457" t="str">
        <f t="shared" si="42"/>
        <v>All Residential 
(Single, Multi-family, and Mobile Homes)</v>
      </c>
      <c r="N290" s="458">
        <f t="shared" si="43"/>
        <v>0</v>
      </c>
      <c r="O290" s="458">
        <f t="shared" si="44"/>
        <v>0</v>
      </c>
    </row>
    <row r="291" spans="11:15" ht="16.5" thickTop="1" thickBot="1">
      <c r="K291" s="457" t="str">
        <f t="shared" si="40"/>
        <v>Interior Support (Bathroom, Utility room, laundry room, garage)</v>
      </c>
      <c r="L291" s="457" t="str">
        <f t="shared" si="41"/>
        <v>Linear Fluorescent</v>
      </c>
      <c r="M291" s="457" t="str">
        <f t="shared" si="42"/>
        <v>All Residential 
(Single, Multi-family, and Mobile Homes)</v>
      </c>
      <c r="N291" s="458">
        <f t="shared" si="43"/>
        <v>0</v>
      </c>
      <c r="O291" s="458">
        <f t="shared" si="44"/>
        <v>0</v>
      </c>
    </row>
    <row r="292" spans="11:15" ht="16.5" thickTop="1" thickBot="1">
      <c r="K292" s="457" t="str">
        <f t="shared" si="40"/>
        <v>Interior Support (Bathroom, Utility room, laundry room, garage)</v>
      </c>
      <c r="L292" s="457" t="str">
        <f t="shared" si="41"/>
        <v>Linear Fluorescent</v>
      </c>
      <c r="M292" s="457" t="str">
        <f t="shared" si="42"/>
        <v>All Residential 
(Single, Multi-family, and Mobile Homes)</v>
      </c>
      <c r="N292" s="458">
        <f t="shared" si="43"/>
        <v>0</v>
      </c>
      <c r="O292" s="458">
        <f t="shared" si="44"/>
        <v>0</v>
      </c>
    </row>
    <row r="293" spans="11:15" ht="16.5" thickTop="1" thickBot="1">
      <c r="K293" s="457" t="str">
        <f t="shared" si="40"/>
        <v>Interior Support (Bathroom, Utility room, laundry room, garage)</v>
      </c>
      <c r="L293" s="457" t="str">
        <f t="shared" si="41"/>
        <v>Linear Fluorescent</v>
      </c>
      <c r="M293" s="457" t="str">
        <f t="shared" si="42"/>
        <v>All Residential 
(Single, Multi-family, and Mobile Homes)</v>
      </c>
      <c r="N293" s="458">
        <f t="shared" si="43"/>
        <v>0</v>
      </c>
      <c r="O293" s="458">
        <f t="shared" si="44"/>
        <v>0</v>
      </c>
    </row>
    <row r="294" spans="11:15" ht="16.5" thickTop="1" thickBot="1">
      <c r="K294" s="457" t="str">
        <f t="shared" si="40"/>
        <v>Interior Support (Bathroom, Utility room, laundry room, garage)</v>
      </c>
      <c r="L294" s="457" t="str">
        <f t="shared" si="41"/>
        <v>Linear Fluorescent</v>
      </c>
      <c r="M294" s="457" t="str">
        <f t="shared" si="42"/>
        <v>All Residential 
(Single, Multi-family, and Mobile Homes)</v>
      </c>
      <c r="N294" s="458">
        <f t="shared" si="43"/>
        <v>0</v>
      </c>
      <c r="O294" s="458">
        <f t="shared" si="44"/>
        <v>0</v>
      </c>
    </row>
    <row r="295" spans="11:15" ht="16.5" thickTop="1" thickBot="1">
      <c r="K295" s="457" t="str">
        <f t="shared" si="40"/>
        <v>Interior Support (Bathroom, Utility room, laundry room, garage)</v>
      </c>
      <c r="L295" s="457" t="str">
        <f t="shared" si="41"/>
        <v>Linear Fluorescent</v>
      </c>
      <c r="M295" s="457" t="str">
        <f t="shared" si="42"/>
        <v>All Residential 
(Single, Multi-family, and Mobile Homes)</v>
      </c>
      <c r="N295" s="458">
        <f t="shared" si="43"/>
        <v>0</v>
      </c>
      <c r="O295" s="458">
        <f t="shared" si="44"/>
        <v>0</v>
      </c>
    </row>
    <row r="296" spans="11:15" ht="16.5" thickTop="1" thickBot="1">
      <c r="K296" s="457" t="str">
        <f t="shared" si="40"/>
        <v>Interior Support (Bathroom, Utility room, laundry room, garage)</v>
      </c>
      <c r="L296" s="457" t="str">
        <f t="shared" si="41"/>
        <v>Linear Fluorescent</v>
      </c>
      <c r="M296" s="457" t="str">
        <f t="shared" si="42"/>
        <v>All Residential 
(Single, Multi-family, and Mobile Homes)</v>
      </c>
      <c r="N296" s="458">
        <f t="shared" si="43"/>
        <v>0</v>
      </c>
      <c r="O296" s="458">
        <f t="shared" si="44"/>
        <v>0</v>
      </c>
    </row>
    <row r="297" spans="11:15" ht="16.5" thickTop="1" thickBot="1">
      <c r="K297" s="457" t="str">
        <f t="shared" ref="K297:K330" si="45">IF(C297=0,K296,C297)</f>
        <v>Interior Support (Bathroom, Utility room, laundry room, garage)</v>
      </c>
      <c r="L297" s="457" t="str">
        <f t="shared" ref="L297:L330" si="46">IF(D297=0,L296,D297)</f>
        <v>Linear Fluorescent</v>
      </c>
      <c r="M297" s="457" t="str">
        <f t="shared" ref="M297:M330" si="47">IF(E297=0,M296,E297)</f>
        <v>All Residential 
(Single, Multi-family, and Mobile Homes)</v>
      </c>
      <c r="N297" s="458">
        <f t="shared" ref="N297:N310" si="48">F297</f>
        <v>0</v>
      </c>
      <c r="O297" s="458">
        <f t="shared" ref="O297:O310" si="49">G297</f>
        <v>0</v>
      </c>
    </row>
    <row r="298" spans="11:15" ht="16.5" thickTop="1" thickBot="1">
      <c r="K298" s="457" t="str">
        <f t="shared" si="45"/>
        <v>Interior Support (Bathroom, Utility room, laundry room, garage)</v>
      </c>
      <c r="L298" s="457" t="str">
        <f t="shared" si="46"/>
        <v>Linear Fluorescent</v>
      </c>
      <c r="M298" s="457" t="str">
        <f t="shared" si="47"/>
        <v>All Residential 
(Single, Multi-family, and Mobile Homes)</v>
      </c>
      <c r="N298" s="458">
        <f t="shared" si="48"/>
        <v>0</v>
      </c>
      <c r="O298" s="458">
        <f t="shared" si="49"/>
        <v>0</v>
      </c>
    </row>
    <row r="299" spans="11:15" ht="16.5" thickTop="1" thickBot="1">
      <c r="K299" s="457" t="str">
        <f t="shared" si="45"/>
        <v>Interior Support (Bathroom, Utility room, laundry room, garage)</v>
      </c>
      <c r="L299" s="457" t="str">
        <f t="shared" si="46"/>
        <v>Linear Fluorescent</v>
      </c>
      <c r="M299" s="457" t="str">
        <f t="shared" si="47"/>
        <v>All Residential 
(Single, Multi-family, and Mobile Homes)</v>
      </c>
      <c r="N299" s="458">
        <f t="shared" si="48"/>
        <v>0</v>
      </c>
      <c r="O299" s="458">
        <f t="shared" si="49"/>
        <v>0</v>
      </c>
    </row>
    <row r="300" spans="11:15" ht="16.5" thickTop="1" thickBot="1">
      <c r="K300" s="457" t="str">
        <f t="shared" si="45"/>
        <v>Interior Support (Bathroom, Utility room, laundry room, garage)</v>
      </c>
      <c r="L300" s="457" t="str">
        <f t="shared" si="46"/>
        <v>Linear Fluorescent</v>
      </c>
      <c r="M300" s="457" t="str">
        <f t="shared" si="47"/>
        <v>All Residential 
(Single, Multi-family, and Mobile Homes)</v>
      </c>
      <c r="N300" s="458">
        <f t="shared" si="48"/>
        <v>0</v>
      </c>
      <c r="O300" s="458">
        <f t="shared" si="49"/>
        <v>0</v>
      </c>
    </row>
    <row r="301" spans="11:15" ht="16.5" thickTop="1" thickBot="1">
      <c r="K301" s="457" t="str">
        <f t="shared" si="45"/>
        <v>Interior Support (Bathroom, Utility room, laundry room, garage)</v>
      </c>
      <c r="L301" s="457" t="str">
        <f t="shared" si="46"/>
        <v>Linear Fluorescent</v>
      </c>
      <c r="M301" s="457" t="str">
        <f t="shared" si="47"/>
        <v>All Residential 
(Single, Multi-family, and Mobile Homes)</v>
      </c>
      <c r="N301" s="458">
        <f t="shared" si="48"/>
        <v>0</v>
      </c>
      <c r="O301" s="458">
        <f t="shared" si="49"/>
        <v>0</v>
      </c>
    </row>
    <row r="302" spans="11:15" ht="16.5" thickTop="1" thickBot="1">
      <c r="K302" s="457" t="str">
        <f t="shared" si="45"/>
        <v>Interior Support (Bathroom, Utility room, laundry room, garage)</v>
      </c>
      <c r="L302" s="457" t="str">
        <f t="shared" si="46"/>
        <v>Linear Fluorescent</v>
      </c>
      <c r="M302" s="457" t="str">
        <f t="shared" si="47"/>
        <v>All Residential 
(Single, Multi-family, and Mobile Homes)</v>
      </c>
      <c r="N302" s="458">
        <f t="shared" si="48"/>
        <v>0</v>
      </c>
      <c r="O302" s="458">
        <f t="shared" si="49"/>
        <v>0</v>
      </c>
    </row>
    <row r="303" spans="11:15" ht="16.5" thickTop="1" thickBot="1">
      <c r="K303" s="457" t="str">
        <f t="shared" si="45"/>
        <v>Interior Support (Bathroom, Utility room, laundry room, garage)</v>
      </c>
      <c r="L303" s="457" t="str">
        <f t="shared" si="46"/>
        <v>Linear Fluorescent</v>
      </c>
      <c r="M303" s="457" t="str">
        <f t="shared" si="47"/>
        <v>All Residential 
(Single, Multi-family, and Mobile Homes)</v>
      </c>
      <c r="N303" s="458">
        <f t="shared" si="48"/>
        <v>0</v>
      </c>
      <c r="O303" s="458">
        <f t="shared" si="49"/>
        <v>0</v>
      </c>
    </row>
    <row r="304" spans="11:15" ht="16.5" thickTop="1" thickBot="1">
      <c r="K304" s="457" t="str">
        <f t="shared" si="45"/>
        <v>Interior Support (Bathroom, Utility room, laundry room, garage)</v>
      </c>
      <c r="L304" s="457" t="str">
        <f t="shared" si="46"/>
        <v>Linear Fluorescent</v>
      </c>
      <c r="M304" s="457" t="str">
        <f t="shared" si="47"/>
        <v>All Residential 
(Single, Multi-family, and Mobile Homes)</v>
      </c>
      <c r="N304" s="458">
        <f t="shared" si="48"/>
        <v>0</v>
      </c>
      <c r="O304" s="458">
        <f t="shared" si="49"/>
        <v>0</v>
      </c>
    </row>
    <row r="305" spans="11:15" ht="16.5" thickTop="1" thickBot="1">
      <c r="K305" s="457" t="str">
        <f t="shared" si="45"/>
        <v>Interior Support (Bathroom, Utility room, laundry room, garage)</v>
      </c>
      <c r="L305" s="457" t="str">
        <f t="shared" si="46"/>
        <v>Linear Fluorescent</v>
      </c>
      <c r="M305" s="457" t="str">
        <f t="shared" si="47"/>
        <v>All Residential 
(Single, Multi-family, and Mobile Homes)</v>
      </c>
      <c r="N305" s="458">
        <f t="shared" si="48"/>
        <v>0</v>
      </c>
      <c r="O305" s="458">
        <f t="shared" si="49"/>
        <v>0</v>
      </c>
    </row>
    <row r="306" spans="11:15" ht="16.5" thickTop="1" thickBot="1">
      <c r="K306" s="457" t="str">
        <f t="shared" si="45"/>
        <v>Interior Support (Bathroom, Utility room, laundry room, garage)</v>
      </c>
      <c r="L306" s="457" t="str">
        <f t="shared" si="46"/>
        <v>Linear Fluorescent</v>
      </c>
      <c r="M306" s="457" t="str">
        <f t="shared" si="47"/>
        <v>All Residential 
(Single, Multi-family, and Mobile Homes)</v>
      </c>
      <c r="N306" s="458">
        <f t="shared" si="48"/>
        <v>0</v>
      </c>
      <c r="O306" s="458">
        <f t="shared" si="49"/>
        <v>0</v>
      </c>
    </row>
    <row r="307" spans="11:15" ht="16.5" thickTop="1" thickBot="1">
      <c r="K307" s="457" t="str">
        <f t="shared" si="45"/>
        <v>Interior Support (Bathroom, Utility room, laundry room, garage)</v>
      </c>
      <c r="L307" s="457" t="str">
        <f t="shared" si="46"/>
        <v>Linear Fluorescent</v>
      </c>
      <c r="M307" s="457" t="str">
        <f t="shared" si="47"/>
        <v>All Residential 
(Single, Multi-family, and Mobile Homes)</v>
      </c>
      <c r="N307" s="458">
        <f t="shared" si="48"/>
        <v>0</v>
      </c>
      <c r="O307" s="458">
        <f t="shared" si="49"/>
        <v>0</v>
      </c>
    </row>
    <row r="308" spans="11:15" ht="16.5" thickTop="1" thickBot="1">
      <c r="K308" s="457" t="str">
        <f t="shared" si="45"/>
        <v>Interior Support (Bathroom, Utility room, laundry room, garage)</v>
      </c>
      <c r="L308" s="457" t="str">
        <f t="shared" si="46"/>
        <v>Linear Fluorescent</v>
      </c>
      <c r="M308" s="457" t="str">
        <f t="shared" si="47"/>
        <v>All Residential 
(Single, Multi-family, and Mobile Homes)</v>
      </c>
      <c r="N308" s="458">
        <f t="shared" si="48"/>
        <v>0</v>
      </c>
      <c r="O308" s="458">
        <f t="shared" si="49"/>
        <v>0</v>
      </c>
    </row>
    <row r="309" spans="11:15" ht="16.5" thickTop="1" thickBot="1">
      <c r="K309" s="457" t="str">
        <f t="shared" si="45"/>
        <v>Interior Support (Bathroom, Utility room, laundry room, garage)</v>
      </c>
      <c r="L309" s="457" t="str">
        <f t="shared" si="46"/>
        <v>Linear Fluorescent</v>
      </c>
      <c r="M309" s="457" t="str">
        <f t="shared" si="47"/>
        <v>All Residential 
(Single, Multi-family, and Mobile Homes)</v>
      </c>
      <c r="N309" s="458">
        <f t="shared" si="48"/>
        <v>0</v>
      </c>
      <c r="O309" s="458">
        <f t="shared" si="49"/>
        <v>0</v>
      </c>
    </row>
    <row r="310" spans="11:15" ht="16.5" thickTop="1" thickBot="1">
      <c r="K310" s="457" t="str">
        <f t="shared" si="45"/>
        <v>Interior Support (Bathroom, Utility room, laundry room, garage)</v>
      </c>
      <c r="L310" s="457" t="str">
        <f t="shared" si="46"/>
        <v>Linear Fluorescent</v>
      </c>
      <c r="M310" s="457" t="str">
        <f t="shared" si="47"/>
        <v>All Residential 
(Single, Multi-family, and Mobile Homes)</v>
      </c>
      <c r="N310" s="458">
        <f t="shared" si="48"/>
        <v>0</v>
      </c>
      <c r="O310" s="458">
        <f t="shared" si="49"/>
        <v>0</v>
      </c>
    </row>
    <row r="311" spans="11:15" ht="16.5" thickTop="1" thickBot="1">
      <c r="K311" s="457" t="str">
        <f t="shared" si="45"/>
        <v>Interior Support (Bathroom, Utility room, laundry room, garage)</v>
      </c>
      <c r="L311" s="457" t="str">
        <f t="shared" si="46"/>
        <v>Linear Fluorescent</v>
      </c>
      <c r="M311" s="457" t="str">
        <f t="shared" si="47"/>
        <v>All Residential 
(Single, Multi-family, and Mobile Homes)</v>
      </c>
      <c r="N311" s="458">
        <f t="shared" ref="N311:O330" si="50">F311</f>
        <v>0</v>
      </c>
      <c r="O311" s="458">
        <f t="shared" si="50"/>
        <v>0</v>
      </c>
    </row>
    <row r="312" spans="11:15" ht="16.5" thickTop="1" thickBot="1">
      <c r="K312" s="457" t="str">
        <f t="shared" si="45"/>
        <v>Interior Support (Bathroom, Utility room, laundry room, garage)</v>
      </c>
      <c r="L312" s="457" t="str">
        <f t="shared" si="46"/>
        <v>Linear Fluorescent</v>
      </c>
      <c r="M312" s="457" t="str">
        <f t="shared" si="47"/>
        <v>All Residential 
(Single, Multi-family, and Mobile Homes)</v>
      </c>
      <c r="N312" s="458">
        <f t="shared" si="50"/>
        <v>0</v>
      </c>
      <c r="O312" s="458">
        <f t="shared" si="50"/>
        <v>0</v>
      </c>
    </row>
    <row r="313" spans="11:15" ht="16.5" thickTop="1" thickBot="1">
      <c r="K313" s="457" t="str">
        <f t="shared" si="45"/>
        <v>Interior Support (Bathroom, Utility room, laundry room, garage)</v>
      </c>
      <c r="L313" s="457" t="str">
        <f t="shared" si="46"/>
        <v>Linear Fluorescent</v>
      </c>
      <c r="M313" s="457" t="str">
        <f t="shared" si="47"/>
        <v>All Residential 
(Single, Multi-family, and Mobile Homes)</v>
      </c>
      <c r="N313" s="458">
        <f t="shared" si="50"/>
        <v>0</v>
      </c>
      <c r="O313" s="458">
        <f t="shared" si="50"/>
        <v>0</v>
      </c>
    </row>
    <row r="314" spans="11:15" ht="16.5" thickTop="1" thickBot="1">
      <c r="K314" s="457" t="str">
        <f t="shared" si="45"/>
        <v>Interior Support (Bathroom, Utility room, laundry room, garage)</v>
      </c>
      <c r="L314" s="457" t="str">
        <f t="shared" si="46"/>
        <v>Linear Fluorescent</v>
      </c>
      <c r="M314" s="457" t="str">
        <f t="shared" si="47"/>
        <v>All Residential 
(Single, Multi-family, and Mobile Homes)</v>
      </c>
      <c r="N314" s="458">
        <f t="shared" si="50"/>
        <v>0</v>
      </c>
      <c r="O314" s="458">
        <f t="shared" si="50"/>
        <v>0</v>
      </c>
    </row>
    <row r="315" spans="11:15" ht="16.5" thickTop="1" thickBot="1">
      <c r="K315" s="457" t="str">
        <f t="shared" si="45"/>
        <v>Interior Support (Bathroom, Utility room, laundry room, garage)</v>
      </c>
      <c r="L315" s="457" t="str">
        <f t="shared" si="46"/>
        <v>Linear Fluorescent</v>
      </c>
      <c r="M315" s="457" t="str">
        <f t="shared" si="47"/>
        <v>All Residential 
(Single, Multi-family, and Mobile Homes)</v>
      </c>
      <c r="N315" s="458">
        <f t="shared" si="50"/>
        <v>0</v>
      </c>
      <c r="O315" s="458">
        <f t="shared" si="50"/>
        <v>0</v>
      </c>
    </row>
    <row r="316" spans="11:15" ht="16.5" thickTop="1" thickBot="1">
      <c r="K316" s="457" t="str">
        <f t="shared" si="45"/>
        <v>Interior Support (Bathroom, Utility room, laundry room, garage)</v>
      </c>
      <c r="L316" s="457" t="str">
        <f t="shared" si="46"/>
        <v>Linear Fluorescent</v>
      </c>
      <c r="M316" s="457" t="str">
        <f t="shared" si="47"/>
        <v>All Residential 
(Single, Multi-family, and Mobile Homes)</v>
      </c>
      <c r="N316" s="458">
        <f t="shared" si="50"/>
        <v>0</v>
      </c>
      <c r="O316" s="458">
        <f t="shared" si="50"/>
        <v>0</v>
      </c>
    </row>
    <row r="317" spans="11:15" ht="16.5" thickTop="1" thickBot="1">
      <c r="K317" s="457" t="str">
        <f t="shared" si="45"/>
        <v>Interior Support (Bathroom, Utility room, laundry room, garage)</v>
      </c>
      <c r="L317" s="457" t="str">
        <f t="shared" si="46"/>
        <v>Linear Fluorescent</v>
      </c>
      <c r="M317" s="457" t="str">
        <f t="shared" si="47"/>
        <v>All Residential 
(Single, Multi-family, and Mobile Homes)</v>
      </c>
      <c r="N317" s="458">
        <f t="shared" si="50"/>
        <v>0</v>
      </c>
      <c r="O317" s="458">
        <f t="shared" si="50"/>
        <v>0</v>
      </c>
    </row>
    <row r="318" spans="11:15" ht="16.5" thickTop="1" thickBot="1">
      <c r="K318" s="457" t="str">
        <f t="shared" si="45"/>
        <v>Interior Support (Bathroom, Utility room, laundry room, garage)</v>
      </c>
      <c r="L318" s="457" t="str">
        <f t="shared" si="46"/>
        <v>Linear Fluorescent</v>
      </c>
      <c r="M318" s="457" t="str">
        <f t="shared" si="47"/>
        <v>All Residential 
(Single, Multi-family, and Mobile Homes)</v>
      </c>
      <c r="N318" s="458">
        <f t="shared" si="50"/>
        <v>0</v>
      </c>
      <c r="O318" s="458">
        <f t="shared" si="50"/>
        <v>0</v>
      </c>
    </row>
    <row r="319" spans="11:15" ht="16.5" thickTop="1" thickBot="1">
      <c r="K319" s="457" t="str">
        <f t="shared" si="45"/>
        <v>Interior Support (Bathroom, Utility room, laundry room, garage)</v>
      </c>
      <c r="L319" s="457" t="str">
        <f t="shared" si="46"/>
        <v>Linear Fluorescent</v>
      </c>
      <c r="M319" s="457" t="str">
        <f t="shared" si="47"/>
        <v>All Residential 
(Single, Multi-family, and Mobile Homes)</v>
      </c>
      <c r="N319" s="458">
        <f t="shared" si="50"/>
        <v>0</v>
      </c>
      <c r="O319" s="458">
        <f t="shared" si="50"/>
        <v>0</v>
      </c>
    </row>
    <row r="320" spans="11:15" ht="16.5" thickTop="1" thickBot="1">
      <c r="K320" s="457" t="str">
        <f t="shared" si="45"/>
        <v>Interior Support (Bathroom, Utility room, laundry room, garage)</v>
      </c>
      <c r="L320" s="457" t="str">
        <f t="shared" si="46"/>
        <v>Linear Fluorescent</v>
      </c>
      <c r="M320" s="457" t="str">
        <f t="shared" si="47"/>
        <v>All Residential 
(Single, Multi-family, and Mobile Homes)</v>
      </c>
      <c r="N320" s="458">
        <f t="shared" si="50"/>
        <v>0</v>
      </c>
      <c r="O320" s="458">
        <f t="shared" si="50"/>
        <v>0</v>
      </c>
    </row>
    <row r="321" spans="11:15" ht="16.5" thickTop="1" thickBot="1">
      <c r="K321" s="457" t="str">
        <f t="shared" si="45"/>
        <v>Interior Support (Bathroom, Utility room, laundry room, garage)</v>
      </c>
      <c r="L321" s="457" t="str">
        <f t="shared" si="46"/>
        <v>Linear Fluorescent</v>
      </c>
      <c r="M321" s="457" t="str">
        <f t="shared" si="47"/>
        <v>All Residential 
(Single, Multi-family, and Mobile Homes)</v>
      </c>
      <c r="N321" s="458">
        <f t="shared" si="50"/>
        <v>0</v>
      </c>
      <c r="O321" s="458">
        <f t="shared" si="50"/>
        <v>0</v>
      </c>
    </row>
    <row r="322" spans="11:15" ht="16.5" thickTop="1" thickBot="1">
      <c r="K322" s="457" t="str">
        <f t="shared" si="45"/>
        <v>Interior Support (Bathroom, Utility room, laundry room, garage)</v>
      </c>
      <c r="L322" s="457" t="str">
        <f t="shared" si="46"/>
        <v>Linear Fluorescent</v>
      </c>
      <c r="M322" s="457" t="str">
        <f t="shared" si="47"/>
        <v>All Residential 
(Single, Multi-family, and Mobile Homes)</v>
      </c>
      <c r="N322" s="458">
        <f t="shared" si="50"/>
        <v>0</v>
      </c>
      <c r="O322" s="458">
        <f t="shared" si="50"/>
        <v>0</v>
      </c>
    </row>
    <row r="323" spans="11:15" ht="16.5" thickTop="1" thickBot="1">
      <c r="K323" s="457" t="str">
        <f t="shared" si="45"/>
        <v>Interior Support (Bathroom, Utility room, laundry room, garage)</v>
      </c>
      <c r="L323" s="457" t="str">
        <f t="shared" si="46"/>
        <v>Linear Fluorescent</v>
      </c>
      <c r="M323" s="457" t="str">
        <f t="shared" si="47"/>
        <v>All Residential 
(Single, Multi-family, and Mobile Homes)</v>
      </c>
      <c r="N323" s="458">
        <f t="shared" si="50"/>
        <v>0</v>
      </c>
      <c r="O323" s="458">
        <f t="shared" si="50"/>
        <v>0</v>
      </c>
    </row>
    <row r="324" spans="11:15" ht="16.5" thickTop="1" thickBot="1">
      <c r="K324" s="457" t="str">
        <f t="shared" si="45"/>
        <v>Interior Support (Bathroom, Utility room, laundry room, garage)</v>
      </c>
      <c r="L324" s="457" t="str">
        <f t="shared" si="46"/>
        <v>Linear Fluorescent</v>
      </c>
      <c r="M324" s="457" t="str">
        <f t="shared" si="47"/>
        <v>All Residential 
(Single, Multi-family, and Mobile Homes)</v>
      </c>
      <c r="N324" s="458">
        <f t="shared" si="50"/>
        <v>0</v>
      </c>
      <c r="O324" s="458">
        <f t="shared" si="50"/>
        <v>0</v>
      </c>
    </row>
    <row r="325" spans="11:15" ht="16.5" thickTop="1" thickBot="1">
      <c r="K325" s="457" t="str">
        <f t="shared" si="45"/>
        <v>Interior Support (Bathroom, Utility room, laundry room, garage)</v>
      </c>
      <c r="L325" s="457" t="str">
        <f t="shared" si="46"/>
        <v>Linear Fluorescent</v>
      </c>
      <c r="M325" s="457" t="str">
        <f t="shared" si="47"/>
        <v>All Residential 
(Single, Multi-family, and Mobile Homes)</v>
      </c>
      <c r="N325" s="458">
        <f t="shared" si="50"/>
        <v>0</v>
      </c>
      <c r="O325" s="458">
        <f t="shared" si="50"/>
        <v>0</v>
      </c>
    </row>
    <row r="326" spans="11:15" ht="16.5" thickTop="1" thickBot="1">
      <c r="K326" s="457" t="str">
        <f t="shared" si="45"/>
        <v>Interior Support (Bathroom, Utility room, laundry room, garage)</v>
      </c>
      <c r="L326" s="457" t="str">
        <f t="shared" si="46"/>
        <v>Linear Fluorescent</v>
      </c>
      <c r="M326" s="457" t="str">
        <f t="shared" si="47"/>
        <v>All Residential 
(Single, Multi-family, and Mobile Homes)</v>
      </c>
      <c r="N326" s="458">
        <f t="shared" si="50"/>
        <v>0</v>
      </c>
      <c r="O326" s="458">
        <f t="shared" si="50"/>
        <v>0</v>
      </c>
    </row>
    <row r="327" spans="11:15" ht="16.5" thickTop="1" thickBot="1">
      <c r="K327" s="457" t="str">
        <f t="shared" si="45"/>
        <v>Interior Support (Bathroom, Utility room, laundry room, garage)</v>
      </c>
      <c r="L327" s="457" t="str">
        <f t="shared" si="46"/>
        <v>Linear Fluorescent</v>
      </c>
      <c r="M327" s="457" t="str">
        <f t="shared" si="47"/>
        <v>All Residential 
(Single, Multi-family, and Mobile Homes)</v>
      </c>
      <c r="N327" s="458">
        <f t="shared" si="50"/>
        <v>0</v>
      </c>
      <c r="O327" s="458">
        <f t="shared" si="50"/>
        <v>0</v>
      </c>
    </row>
    <row r="328" spans="11:15" ht="16.5" thickTop="1" thickBot="1">
      <c r="K328" s="457" t="str">
        <f t="shared" si="45"/>
        <v>Interior Support (Bathroom, Utility room, laundry room, garage)</v>
      </c>
      <c r="L328" s="457" t="str">
        <f t="shared" si="46"/>
        <v>Linear Fluorescent</v>
      </c>
      <c r="M328" s="457" t="str">
        <f t="shared" si="47"/>
        <v>All Residential 
(Single, Multi-family, and Mobile Homes)</v>
      </c>
      <c r="N328" s="458">
        <f t="shared" si="50"/>
        <v>0</v>
      </c>
      <c r="O328" s="458">
        <f t="shared" si="50"/>
        <v>0</v>
      </c>
    </row>
    <row r="329" spans="11:15" ht="16.5" thickTop="1" thickBot="1">
      <c r="K329" s="457" t="str">
        <f t="shared" si="45"/>
        <v>Interior Support (Bathroom, Utility room, laundry room, garage)</v>
      </c>
      <c r="L329" s="457" t="str">
        <f t="shared" si="46"/>
        <v>Linear Fluorescent</v>
      </c>
      <c r="M329" s="457" t="str">
        <f t="shared" si="47"/>
        <v>All Residential 
(Single, Multi-family, and Mobile Homes)</v>
      </c>
      <c r="N329" s="458">
        <f t="shared" si="50"/>
        <v>0</v>
      </c>
      <c r="O329" s="458">
        <f t="shared" si="50"/>
        <v>0</v>
      </c>
    </row>
    <row r="330" spans="11:15" ht="16.5" thickTop="1" thickBot="1">
      <c r="K330" s="457" t="str">
        <f t="shared" si="45"/>
        <v>Interior Support (Bathroom, Utility room, laundry room, garage)</v>
      </c>
      <c r="L330" s="457" t="str">
        <f t="shared" si="46"/>
        <v>Linear Fluorescent</v>
      </c>
      <c r="M330" s="457" t="str">
        <f t="shared" si="47"/>
        <v>All Residential 
(Single, Multi-family, and Mobile Homes)</v>
      </c>
      <c r="N330" s="458">
        <f t="shared" si="50"/>
        <v>0</v>
      </c>
      <c r="O330" s="458">
        <f t="shared" si="50"/>
        <v>0</v>
      </c>
    </row>
    <row r="331" spans="11:15" ht="15.75" thickTop="1"/>
  </sheetData>
  <sheetProtection password="CD9A" sheet="1" objects="1" scenarios="1"/>
  <pageMargins left="0.7" right="0.7" top="0.75" bottom="0.75" header="0.3" footer="0.3"/>
  <pageSetup orientation="portrait" r:id="rId5"/>
  <drawing r:id="rId6"/>
  <tableParts count="2">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546"/>
  <sheetViews>
    <sheetView topLeftCell="A22" zoomScale="60" zoomScaleNormal="60" workbookViewId="0">
      <selection activeCell="W11" sqref="W11"/>
    </sheetView>
  </sheetViews>
  <sheetFormatPr defaultRowHeight="15" outlineLevelRow="1" outlineLevelCol="1"/>
  <cols>
    <col min="1" max="1" width="4.42578125" style="384" customWidth="1"/>
    <col min="2" max="2" width="9.140625" style="384" customWidth="1"/>
    <col min="3" max="3" width="53.85546875" style="384" hidden="1" customWidth="1" outlineLevel="1"/>
    <col min="4" max="4" width="29.140625" style="384" hidden="1" customWidth="1" outlineLevel="1"/>
    <col min="5" max="5" width="38.7109375" style="384" hidden="1" customWidth="1" outlineLevel="1"/>
    <col min="6" max="6" width="33" style="384" hidden="1" customWidth="1" outlineLevel="1"/>
    <col min="7" max="7" width="31.85546875" style="384" hidden="1" customWidth="1" outlineLevel="1"/>
    <col min="8" max="8" width="31.5703125" style="384" hidden="1" customWidth="1" outlineLevel="1"/>
    <col min="9" max="10" width="9.140625" style="384" hidden="1" customWidth="1" outlineLevel="1"/>
    <col min="11" max="11" width="42.42578125" style="384" hidden="1" customWidth="1" outlineLevel="1"/>
    <col min="12" max="12" width="41.140625" style="384" hidden="1" customWidth="1" outlineLevel="1"/>
    <col min="13" max="13" width="96.42578125" style="384" hidden="1" customWidth="1" outlineLevel="1"/>
    <col min="14" max="14" width="25.28515625" style="384" hidden="1" customWidth="1" outlineLevel="1"/>
    <col min="15" max="15" width="24.42578125" style="384" hidden="1" customWidth="1" outlineLevel="1"/>
    <col min="16" max="16" width="23" style="384" hidden="1" customWidth="1" outlineLevel="1"/>
    <col min="17" max="18" width="9.140625" style="384" hidden="1" customWidth="1" outlineLevel="1"/>
    <col min="19" max="19" width="56.42578125" style="384" hidden="1" customWidth="1" outlineLevel="1"/>
    <col min="20" max="20" width="47" style="384" hidden="1" customWidth="1" outlineLevel="1"/>
    <col min="21" max="21" width="46.85546875" style="384" hidden="1" customWidth="1" outlineLevel="1"/>
    <col min="22" max="22" width="9.140625" style="384" hidden="1" customWidth="1" outlineLevel="1"/>
    <col min="23" max="23" width="9.140625" style="384" collapsed="1"/>
    <col min="24" max="50" width="9.140625" style="384"/>
    <col min="51" max="51" width="10.42578125" style="384" customWidth="1"/>
    <col min="52" max="52" width="42.42578125" style="384" bestFit="1" customWidth="1"/>
    <col min="53" max="53" width="23.85546875" style="384" bestFit="1" customWidth="1"/>
    <col min="54" max="54" width="23" style="384" bestFit="1" customWidth="1"/>
    <col min="55" max="55" width="9.140625" style="384"/>
    <col min="56" max="96" width="9.140625" style="384" customWidth="1"/>
    <col min="97" max="16384" width="9.140625" style="384"/>
  </cols>
  <sheetData>
    <row r="1" spans="1:57">
      <c r="A1" s="1" t="s">
        <v>8</v>
      </c>
    </row>
    <row r="3" spans="1:57">
      <c r="C3"/>
      <c r="D3"/>
    </row>
    <row r="4" spans="1:57">
      <c r="C4" s="238" t="s">
        <v>9</v>
      </c>
      <c r="D4" s="384" t="s">
        <v>23</v>
      </c>
      <c r="BE4" s="1"/>
    </row>
    <row r="6" spans="1:57" s="269" customFormat="1" ht="15.75" thickBot="1">
      <c r="C6" s="409" t="s">
        <v>51</v>
      </c>
      <c r="D6" s="238" t="s">
        <v>36</v>
      </c>
      <c r="E6" s="238" t="s">
        <v>11</v>
      </c>
      <c r="F6" s="238" t="s">
        <v>49</v>
      </c>
      <c r="G6" s="269" t="s">
        <v>944</v>
      </c>
      <c r="H6" s="269" t="s">
        <v>945</v>
      </c>
      <c r="K6" s="458" t="s">
        <v>51</v>
      </c>
      <c r="L6" s="458" t="s">
        <v>36</v>
      </c>
      <c r="M6" s="458" t="s">
        <v>11</v>
      </c>
      <c r="N6" s="458" t="s">
        <v>49</v>
      </c>
      <c r="O6" s="458" t="s">
        <v>944</v>
      </c>
      <c r="P6" s="458" t="s">
        <v>945</v>
      </c>
      <c r="S6" s="463" t="s">
        <v>12</v>
      </c>
      <c r="T6" s="796" t="s">
        <v>1286</v>
      </c>
      <c r="U6" s="796" t="s">
        <v>1287</v>
      </c>
    </row>
    <row r="7" spans="1:57" ht="16.5" thickTop="1" thickBot="1">
      <c r="C7" s="384" t="s">
        <v>24</v>
      </c>
      <c r="D7"/>
      <c r="E7"/>
      <c r="F7"/>
      <c r="G7" s="353"/>
      <c r="H7" s="353"/>
      <c r="I7" s="353"/>
      <c r="K7" s="457" t="str">
        <f>IF(C7=0,K6,C7)</f>
        <v>CFL</v>
      </c>
      <c r="L7" s="457" t="str">
        <f>IF(D7=0,L6,D7)</f>
        <v>Lighting Application</v>
      </c>
      <c r="M7" s="457" t="str">
        <f>IF(E7=0,M6,E7)</f>
        <v>Building Sub-Sector</v>
      </c>
      <c r="N7" s="457" t="str">
        <f>IF(F7=0,N6,F7)</f>
        <v>Baseline Lighting</v>
      </c>
      <c r="O7" s="461">
        <f t="shared" ref="O7:O38" si="0">G7</f>
        <v>0</v>
      </c>
      <c r="P7" s="461">
        <f t="shared" ref="P7:P38" si="1">H7</f>
        <v>0</v>
      </c>
      <c r="S7" s="239" t="s">
        <v>15</v>
      </c>
      <c r="T7" s="353">
        <v>3041.7017481172584</v>
      </c>
      <c r="U7" s="353">
        <v>3740.1212715379706</v>
      </c>
    </row>
    <row r="8" spans="1:57" ht="16.5" thickTop="1" thickBot="1">
      <c r="C8"/>
      <c r="D8" s="384" t="s">
        <v>1224</v>
      </c>
      <c r="E8"/>
      <c r="F8"/>
      <c r="G8" s="353"/>
      <c r="H8" s="353"/>
      <c r="I8" s="353"/>
      <c r="K8" s="457" t="str">
        <f t="shared" ref="K8:K39" si="2">IF(C8=0,K7,C8)</f>
        <v>CFL</v>
      </c>
      <c r="L8" s="457" t="str">
        <f t="shared" ref="L8:L39" si="3">IF(D8=0,L7,D8)</f>
        <v>Display and Advertising</v>
      </c>
      <c r="M8" s="457" t="str">
        <f t="shared" ref="M8:M20" si="4">IF(E8=0,M7,E8)</f>
        <v>Building Sub-Sector</v>
      </c>
      <c r="N8" s="457" t="str">
        <f t="shared" ref="N8:N71" si="5">IF(F8=0,N7,F8)</f>
        <v>Baseline Lighting</v>
      </c>
      <c r="O8" s="461">
        <f t="shared" si="0"/>
        <v>0</v>
      </c>
      <c r="P8" s="461">
        <f t="shared" si="1"/>
        <v>0</v>
      </c>
      <c r="S8" s="239" t="s">
        <v>24</v>
      </c>
      <c r="T8" s="353">
        <v>349.81667292479455</v>
      </c>
      <c r="U8" s="353">
        <v>167.21830588732703</v>
      </c>
    </row>
    <row r="9" spans="1:57" ht="16.5" thickTop="1" thickBot="1">
      <c r="C9"/>
      <c r="D9"/>
      <c r="E9" s="384" t="s">
        <v>499</v>
      </c>
      <c r="F9"/>
      <c r="G9" s="353"/>
      <c r="H9" s="353"/>
      <c r="I9" s="353"/>
      <c r="K9" s="457" t="str">
        <f t="shared" si="2"/>
        <v>CFL</v>
      </c>
      <c r="L9" s="457" t="str">
        <f t="shared" si="3"/>
        <v>Display and Advertising</v>
      </c>
      <c r="M9" s="457" t="str">
        <f t="shared" si="4"/>
        <v>Retail</v>
      </c>
      <c r="N9" s="457" t="str">
        <f t="shared" si="5"/>
        <v>Baseline Lighting</v>
      </c>
      <c r="O9" s="461">
        <f t="shared" si="0"/>
        <v>0</v>
      </c>
      <c r="P9" s="461">
        <f t="shared" si="1"/>
        <v>0</v>
      </c>
      <c r="S9" s="239" t="s">
        <v>101</v>
      </c>
      <c r="T9" s="353">
        <v>30.269593789578746</v>
      </c>
      <c r="U9" s="353">
        <v>71.420784133301666</v>
      </c>
    </row>
    <row r="10" spans="1:57" ht="16.5" thickTop="1" thickBot="1">
      <c r="C10"/>
      <c r="D10"/>
      <c r="E10"/>
      <c r="F10" s="384" t="s">
        <v>26</v>
      </c>
      <c r="G10" s="353">
        <v>59.938821078683446</v>
      </c>
      <c r="H10" s="353">
        <v>27.067941186289993</v>
      </c>
      <c r="I10" s="353"/>
      <c r="K10" s="457" t="str">
        <f t="shared" si="2"/>
        <v>CFL</v>
      </c>
      <c r="L10" s="457" t="str">
        <f t="shared" si="3"/>
        <v>Display and Advertising</v>
      </c>
      <c r="M10" s="457" t="str">
        <f t="shared" si="4"/>
        <v>Retail</v>
      </c>
      <c r="N10" s="457" t="str">
        <f t="shared" si="5"/>
        <v>Incandescent</v>
      </c>
      <c r="O10" s="461">
        <f t="shared" si="0"/>
        <v>59.938821078683446</v>
      </c>
      <c r="P10" s="461">
        <f t="shared" si="1"/>
        <v>27.067941186289993</v>
      </c>
      <c r="S10" s="239" t="s">
        <v>95</v>
      </c>
      <c r="T10" s="353">
        <v>653.82656029514658</v>
      </c>
      <c r="U10" s="353">
        <v>569.29219071357238</v>
      </c>
    </row>
    <row r="11" spans="1:57" ht="16.5" thickTop="1" thickBot="1">
      <c r="C11"/>
      <c r="D11"/>
      <c r="E11"/>
      <c r="F11" s="384" t="s">
        <v>846</v>
      </c>
      <c r="G11" s="353">
        <v>123.45808118780829</v>
      </c>
      <c r="H11" s="353">
        <v>55.014698736214626</v>
      </c>
      <c r="I11" s="353"/>
      <c r="K11" s="457" t="str">
        <f t="shared" si="2"/>
        <v>CFL</v>
      </c>
      <c r="L11" s="457" t="str">
        <f t="shared" si="3"/>
        <v>Display and Advertising</v>
      </c>
      <c r="M11" s="457" t="str">
        <f t="shared" si="4"/>
        <v>Retail</v>
      </c>
      <c r="N11" s="457" t="str">
        <f t="shared" si="5"/>
        <v xml:space="preserve">Halogen </v>
      </c>
      <c r="O11" s="461">
        <f t="shared" si="0"/>
        <v>123.45808118780829</v>
      </c>
      <c r="P11" s="461">
        <f t="shared" si="1"/>
        <v>55.014698736214626</v>
      </c>
      <c r="S11" s="239" t="s">
        <v>102</v>
      </c>
      <c r="T11" s="353">
        <v>10.401415268762834</v>
      </c>
      <c r="U11" s="353">
        <v>5.4896358362914954</v>
      </c>
    </row>
    <row r="12" spans="1:57" ht="16.5" thickTop="1" thickBot="1">
      <c r="C12"/>
      <c r="D12"/>
      <c r="E12" s="384" t="s">
        <v>502</v>
      </c>
      <c r="F12"/>
      <c r="G12" s="353"/>
      <c r="H12" s="353"/>
      <c r="I12" s="353"/>
      <c r="K12" s="457" t="str">
        <f t="shared" si="2"/>
        <v>CFL</v>
      </c>
      <c r="L12" s="457" t="str">
        <f t="shared" si="3"/>
        <v>Display and Advertising</v>
      </c>
      <c r="M12" s="457" t="str">
        <f t="shared" si="4"/>
        <v>Restaurant</v>
      </c>
      <c r="N12" s="457" t="str">
        <f t="shared" si="5"/>
        <v xml:space="preserve">Halogen </v>
      </c>
      <c r="O12" s="461">
        <f t="shared" si="0"/>
        <v>0</v>
      </c>
      <c r="P12" s="461">
        <f t="shared" si="1"/>
        <v>0</v>
      </c>
      <c r="S12" s="239" t="s">
        <v>99</v>
      </c>
      <c r="T12" s="353">
        <v>546.54524175981624</v>
      </c>
      <c r="U12" s="353">
        <v>372.39183589969929</v>
      </c>
    </row>
    <row r="13" spans="1:57" ht="16.5" thickTop="1" thickBot="1">
      <c r="C13"/>
      <c r="D13"/>
      <c r="E13"/>
      <c r="F13" s="384" t="s">
        <v>846</v>
      </c>
      <c r="G13" s="353">
        <v>2.8155126540158388</v>
      </c>
      <c r="H13" s="353">
        <v>1.3900588188969629</v>
      </c>
      <c r="I13" s="353"/>
      <c r="K13" s="457" t="str">
        <f t="shared" si="2"/>
        <v>CFL</v>
      </c>
      <c r="L13" s="457" t="str">
        <f t="shared" si="3"/>
        <v>Display and Advertising</v>
      </c>
      <c r="M13" s="457" t="str">
        <f t="shared" si="4"/>
        <v>Restaurant</v>
      </c>
      <c r="N13" s="457" t="str">
        <f t="shared" si="5"/>
        <v xml:space="preserve">Halogen </v>
      </c>
      <c r="O13" s="461">
        <f t="shared" si="0"/>
        <v>2.8155126540158388</v>
      </c>
      <c r="P13" s="461">
        <f t="shared" si="1"/>
        <v>1.3900588188969629</v>
      </c>
      <c r="S13" s="239" t="s">
        <v>94</v>
      </c>
      <c r="T13" s="353">
        <v>488.41610883303082</v>
      </c>
      <c r="U13" s="353">
        <v>226.85661499567902</v>
      </c>
    </row>
    <row r="14" spans="1:57" ht="16.5" thickTop="1" thickBot="1">
      <c r="C14"/>
      <c r="D14" s="384" t="s">
        <v>1220</v>
      </c>
      <c r="E14"/>
      <c r="F14"/>
      <c r="G14" s="353"/>
      <c r="H14" s="353"/>
      <c r="I14" s="353"/>
      <c r="K14" s="457" t="str">
        <f t="shared" si="2"/>
        <v>CFL</v>
      </c>
      <c r="L14" s="457" t="str">
        <f t="shared" si="3"/>
        <v>Area Lighting (Low/Medium Bay)</v>
      </c>
      <c r="M14" s="457" t="str">
        <f t="shared" si="4"/>
        <v>Restaurant</v>
      </c>
      <c r="N14" s="457" t="str">
        <f t="shared" si="5"/>
        <v xml:space="preserve">Halogen </v>
      </c>
      <c r="O14" s="461">
        <f t="shared" si="0"/>
        <v>0</v>
      </c>
      <c r="P14" s="461">
        <f t="shared" si="1"/>
        <v>0</v>
      </c>
      <c r="S14" s="239" t="s">
        <v>960</v>
      </c>
      <c r="T14" s="353">
        <v>2183.6330194532666</v>
      </c>
      <c r="U14" s="353">
        <v>3740.1212715379706</v>
      </c>
    </row>
    <row r="15" spans="1:57" ht="16.5" thickTop="1" thickBot="1">
      <c r="C15"/>
      <c r="D15"/>
      <c r="E15" s="384" t="s">
        <v>938</v>
      </c>
      <c r="F15"/>
      <c r="G15" s="353"/>
      <c r="H15" s="353"/>
      <c r="I15" s="353"/>
      <c r="K15" s="457" t="str">
        <f t="shared" si="2"/>
        <v>CFL</v>
      </c>
      <c r="L15" s="457" t="str">
        <f t="shared" si="3"/>
        <v>Area Lighting (Low/Medium Bay)</v>
      </c>
      <c r="M15" s="457" t="str">
        <f t="shared" si="4"/>
        <v>Hotel/Motel, Dorms, Assisted Living</v>
      </c>
      <c r="N15" s="457" t="str">
        <f t="shared" si="5"/>
        <v xml:space="preserve">Halogen </v>
      </c>
      <c r="O15" s="461">
        <f t="shared" si="0"/>
        <v>0</v>
      </c>
      <c r="P15" s="461">
        <f t="shared" si="1"/>
        <v>0</v>
      </c>
      <c r="S15" s="239" t="s">
        <v>995</v>
      </c>
      <c r="T15" s="353">
        <v>280.54674215088028</v>
      </c>
      <c r="U15" s="353">
        <v>384.54571053185197</v>
      </c>
    </row>
    <row r="16" spans="1:57" ht="16.5" thickTop="1" thickBot="1">
      <c r="C16"/>
      <c r="D16"/>
      <c r="E16"/>
      <c r="F16" s="384" t="s">
        <v>25</v>
      </c>
      <c r="G16" s="353">
        <v>34.169469782581899</v>
      </c>
      <c r="H16" s="353">
        <v>20.033071998245159</v>
      </c>
      <c r="I16" s="353"/>
      <c r="K16" s="457" t="str">
        <f t="shared" si="2"/>
        <v>CFL</v>
      </c>
      <c r="L16" s="457" t="str">
        <f t="shared" si="3"/>
        <v>Area Lighting (Low/Medium Bay)</v>
      </c>
      <c r="M16" s="457" t="str">
        <f t="shared" si="4"/>
        <v>Hotel/Motel, Dorms, Assisted Living</v>
      </c>
      <c r="N16" s="457" t="str">
        <f t="shared" si="5"/>
        <v>Halogen</v>
      </c>
      <c r="O16" s="461">
        <f t="shared" si="0"/>
        <v>34.169469782581899</v>
      </c>
      <c r="P16" s="461">
        <f t="shared" si="1"/>
        <v>20.033071998245159</v>
      </c>
      <c r="S16" s="239" t="s">
        <v>1053</v>
      </c>
      <c r="T16" s="353">
        <v>103.67270008579072</v>
      </c>
      <c r="U16" s="353">
        <v>0</v>
      </c>
    </row>
    <row r="17" spans="3:21" ht="16.5" thickTop="1" thickBot="1">
      <c r="C17"/>
      <c r="D17"/>
      <c r="E17"/>
      <c r="F17" s="384" t="s">
        <v>26</v>
      </c>
      <c r="G17" s="353">
        <v>36.707773252145124</v>
      </c>
      <c r="H17" s="353">
        <v>20.033071998245159</v>
      </c>
      <c r="I17" s="353"/>
      <c r="K17" s="457" t="str">
        <f t="shared" si="2"/>
        <v>CFL</v>
      </c>
      <c r="L17" s="457" t="str">
        <f t="shared" si="3"/>
        <v>Area Lighting (Low/Medium Bay)</v>
      </c>
      <c r="M17" s="457" t="str">
        <f t="shared" si="4"/>
        <v>Hotel/Motel, Dorms, Assisted Living</v>
      </c>
      <c r="N17" s="457" t="str">
        <f t="shared" si="5"/>
        <v>Incandescent</v>
      </c>
      <c r="O17" s="461">
        <f t="shared" si="0"/>
        <v>36.707773252145124</v>
      </c>
      <c r="P17" s="461">
        <f t="shared" si="1"/>
        <v>20.033071998245159</v>
      </c>
      <c r="S17" s="239" t="s">
        <v>1228</v>
      </c>
      <c r="T17" s="353">
        <v>1303.9679469848468</v>
      </c>
      <c r="U17" s="353">
        <v>2246.9579974457656</v>
      </c>
    </row>
    <row r="18" spans="3:21" ht="16.5" thickTop="1" thickBot="1">
      <c r="C18"/>
      <c r="D18"/>
      <c r="E18" s="384" t="s">
        <v>502</v>
      </c>
      <c r="F18"/>
      <c r="G18" s="353"/>
      <c r="H18" s="353"/>
      <c r="I18" s="353"/>
      <c r="K18" s="457" t="str">
        <f t="shared" si="2"/>
        <v>CFL</v>
      </c>
      <c r="L18" s="457" t="str">
        <f t="shared" si="3"/>
        <v>Area Lighting (Low/Medium Bay)</v>
      </c>
      <c r="M18" s="457" t="str">
        <f t="shared" si="4"/>
        <v>Restaurant</v>
      </c>
      <c r="N18" s="457" t="str">
        <f t="shared" si="5"/>
        <v>Incandescent</v>
      </c>
      <c r="O18" s="461">
        <f t="shared" si="0"/>
        <v>0</v>
      </c>
      <c r="P18" s="461">
        <f t="shared" si="1"/>
        <v>0</v>
      </c>
      <c r="S18" s="239" t="s">
        <v>1227</v>
      </c>
      <c r="T18" s="353">
        <v>2310.131890711139</v>
      </c>
      <c r="U18" s="353">
        <v>2307.5550347038779</v>
      </c>
    </row>
    <row r="19" spans="3:21" ht="16.5" thickTop="1" thickBot="1">
      <c r="C19"/>
      <c r="D19"/>
      <c r="E19"/>
      <c r="F19" s="384" t="s">
        <v>26</v>
      </c>
      <c r="G19" s="353">
        <v>75.723018549797118</v>
      </c>
      <c r="H19" s="353">
        <v>34.849089983059841</v>
      </c>
      <c r="I19" s="353"/>
      <c r="K19" s="457" t="str">
        <f t="shared" si="2"/>
        <v>CFL</v>
      </c>
      <c r="L19" s="457" t="str">
        <f t="shared" si="3"/>
        <v>Area Lighting (Low/Medium Bay)</v>
      </c>
      <c r="M19" s="457" t="str">
        <f t="shared" si="4"/>
        <v>Restaurant</v>
      </c>
      <c r="N19" s="457" t="str">
        <f t="shared" si="5"/>
        <v>Incandescent</v>
      </c>
      <c r="O19" s="461">
        <f t="shared" si="0"/>
        <v>75.723018549797118</v>
      </c>
      <c r="P19" s="461">
        <f t="shared" si="1"/>
        <v>34.849089983059841</v>
      </c>
      <c r="S19" s="239" t="s">
        <v>1384</v>
      </c>
      <c r="T19" s="353">
        <v>181.72408856695813</v>
      </c>
      <c r="U19" s="353">
        <v>88.511740089988152</v>
      </c>
    </row>
    <row r="20" spans="3:21" ht="16.5" thickTop="1" thickBot="1">
      <c r="C20"/>
      <c r="D20"/>
      <c r="E20"/>
      <c r="F20" s="384" t="s">
        <v>846</v>
      </c>
      <c r="G20" s="353">
        <v>17.003996419762828</v>
      </c>
      <c r="H20" s="353">
        <v>8.8303731663752725</v>
      </c>
      <c r="I20" s="353"/>
      <c r="K20" s="457" t="str">
        <f t="shared" si="2"/>
        <v>CFL</v>
      </c>
      <c r="L20" s="457" t="str">
        <f t="shared" si="3"/>
        <v>Area Lighting (Low/Medium Bay)</v>
      </c>
      <c r="M20" s="457" t="str">
        <f t="shared" si="4"/>
        <v>Restaurant</v>
      </c>
      <c r="N20" s="457" t="str">
        <f t="shared" si="5"/>
        <v xml:space="preserve">Halogen </v>
      </c>
      <c r="O20" s="461">
        <f t="shared" si="0"/>
        <v>17.003996419762828</v>
      </c>
      <c r="P20" s="461">
        <f t="shared" si="1"/>
        <v>8.8303731663752725</v>
      </c>
      <c r="S20" s="239" t="s">
        <v>18</v>
      </c>
      <c r="T20" s="353">
        <v>11484.653728941268</v>
      </c>
      <c r="U20" s="353">
        <v>13920.482393313296</v>
      </c>
    </row>
    <row r="21" spans="3:21" ht="16.5" thickTop="1" thickBot="1">
      <c r="C21" s="384" t="s">
        <v>101</v>
      </c>
      <c r="D21"/>
      <c r="E21"/>
      <c r="F21"/>
      <c r="G21" s="353"/>
      <c r="H21" s="353"/>
      <c r="I21" s="353"/>
      <c r="K21" s="457" t="str">
        <f t="shared" si="2"/>
        <v>Induction</v>
      </c>
      <c r="L21" s="457" t="str">
        <f t="shared" si="3"/>
        <v>Area Lighting (Low/Medium Bay)</v>
      </c>
      <c r="M21" s="457" t="str">
        <f t="shared" ref="M21:M52" si="6">IF(E21=0,M20,E21)</f>
        <v>Restaurant</v>
      </c>
      <c r="N21" s="457" t="str">
        <f t="shared" si="5"/>
        <v xml:space="preserve">Halogen </v>
      </c>
      <c r="O21" s="461">
        <f t="shared" si="0"/>
        <v>0</v>
      </c>
      <c r="P21" s="461">
        <f t="shared" si="1"/>
        <v>0</v>
      </c>
      <c r="S21"/>
      <c r="T21"/>
      <c r="U21"/>
    </row>
    <row r="22" spans="3:21" ht="16.5" thickTop="1" thickBot="1">
      <c r="C22"/>
      <c r="D22" s="384" t="s">
        <v>1226</v>
      </c>
      <c r="E22"/>
      <c r="F22"/>
      <c r="G22" s="353"/>
      <c r="H22" s="353"/>
      <c r="I22" s="353"/>
      <c r="K22" s="457" t="str">
        <f t="shared" si="2"/>
        <v>Induction</v>
      </c>
      <c r="L22" s="457" t="str">
        <f t="shared" si="3"/>
        <v>Area Lighting (High Bay)</v>
      </c>
      <c r="M22" s="457" t="str">
        <f t="shared" si="6"/>
        <v>Restaurant</v>
      </c>
      <c r="N22" s="457" t="str">
        <f t="shared" si="5"/>
        <v xml:space="preserve">Halogen </v>
      </c>
      <c r="O22" s="461">
        <f t="shared" si="0"/>
        <v>0</v>
      </c>
      <c r="P22" s="461">
        <f t="shared" si="1"/>
        <v>0</v>
      </c>
      <c r="S22"/>
      <c r="T22"/>
      <c r="U22"/>
    </row>
    <row r="23" spans="3:21" ht="16.5" thickTop="1" thickBot="1">
      <c r="C23"/>
      <c r="D23"/>
      <c r="E23" s="384" t="s">
        <v>1149</v>
      </c>
      <c r="F23"/>
      <c r="G23" s="353"/>
      <c r="H23" s="353"/>
      <c r="I23" s="353"/>
      <c r="K23" s="457" t="str">
        <f t="shared" si="2"/>
        <v>Induction</v>
      </c>
      <c r="L23" s="457" t="str">
        <f t="shared" si="3"/>
        <v>Area Lighting (High Bay)</v>
      </c>
      <c r="M23" s="457" t="str">
        <f t="shared" si="6"/>
        <v xml:space="preserve">Warehouse </v>
      </c>
      <c r="N23" s="457" t="str">
        <f t="shared" si="5"/>
        <v xml:space="preserve">Halogen </v>
      </c>
      <c r="O23" s="461">
        <f t="shared" si="0"/>
        <v>0</v>
      </c>
      <c r="P23" s="461">
        <f t="shared" si="1"/>
        <v>0</v>
      </c>
      <c r="S23"/>
      <c r="T23"/>
      <c r="U23"/>
    </row>
    <row r="24" spans="3:21" ht="16.5" thickTop="1" thickBot="1">
      <c r="C24"/>
      <c r="D24"/>
      <c r="E24"/>
      <c r="F24" s="384" t="s">
        <v>1245</v>
      </c>
      <c r="G24" s="353">
        <v>30.269593789578746</v>
      </c>
      <c r="H24" s="353">
        <v>71.420784133301666</v>
      </c>
      <c r="I24" s="353"/>
      <c r="K24" s="457" t="str">
        <f t="shared" si="2"/>
        <v>Induction</v>
      </c>
      <c r="L24" s="457" t="str">
        <f t="shared" si="3"/>
        <v>Area Lighting (High Bay)</v>
      </c>
      <c r="M24" s="457" t="str">
        <f t="shared" si="6"/>
        <v xml:space="preserve">Warehouse </v>
      </c>
      <c r="N24" s="457" t="str">
        <f t="shared" si="5"/>
        <v>MH (Std, PS, CMH)</v>
      </c>
      <c r="O24" s="461">
        <f t="shared" si="0"/>
        <v>30.269593789578746</v>
      </c>
      <c r="P24" s="461">
        <f t="shared" si="1"/>
        <v>71.420784133301666</v>
      </c>
      <c r="S24"/>
      <c r="T24"/>
      <c r="U24"/>
    </row>
    <row r="25" spans="3:21" ht="16.5" thickTop="1" thickBot="1">
      <c r="C25" s="384" t="s">
        <v>95</v>
      </c>
      <c r="D25"/>
      <c r="E25"/>
      <c r="F25"/>
      <c r="G25" s="353"/>
      <c r="H25" s="353"/>
      <c r="I25" s="353"/>
      <c r="K25" s="457" t="str">
        <f t="shared" si="2"/>
        <v>LED</v>
      </c>
      <c r="L25" s="457" t="str">
        <f t="shared" si="3"/>
        <v>Area Lighting (High Bay)</v>
      </c>
      <c r="M25" s="457" t="str">
        <f t="shared" si="6"/>
        <v xml:space="preserve">Warehouse </v>
      </c>
      <c r="N25" s="457" t="str">
        <f t="shared" si="5"/>
        <v>MH (Std, PS, CMH)</v>
      </c>
      <c r="O25" s="461">
        <f t="shared" si="0"/>
        <v>0</v>
      </c>
      <c r="P25" s="461">
        <f t="shared" si="1"/>
        <v>0</v>
      </c>
      <c r="S25"/>
      <c r="T25"/>
      <c r="U25"/>
    </row>
    <row r="26" spans="3:21" ht="16.5" thickTop="1" thickBot="1">
      <c r="C26"/>
      <c r="D26" s="384" t="s">
        <v>1224</v>
      </c>
      <c r="E26"/>
      <c r="F26"/>
      <c r="G26" s="353"/>
      <c r="H26" s="353"/>
      <c r="I26" s="353"/>
      <c r="K26" s="457" t="str">
        <f t="shared" si="2"/>
        <v>LED</v>
      </c>
      <c r="L26" s="457" t="str">
        <f t="shared" si="3"/>
        <v>Display and Advertising</v>
      </c>
      <c r="M26" s="457" t="str">
        <f t="shared" si="6"/>
        <v xml:space="preserve">Warehouse </v>
      </c>
      <c r="N26" s="457" t="str">
        <f t="shared" si="5"/>
        <v>MH (Std, PS, CMH)</v>
      </c>
      <c r="O26" s="461">
        <f t="shared" si="0"/>
        <v>0</v>
      </c>
      <c r="P26" s="461">
        <f t="shared" si="1"/>
        <v>0</v>
      </c>
      <c r="S26"/>
      <c r="T26"/>
      <c r="U26"/>
    </row>
    <row r="27" spans="3:21" ht="16.5" thickTop="1" thickBot="1">
      <c r="C27"/>
      <c r="D27"/>
      <c r="E27" s="384" t="s">
        <v>499</v>
      </c>
      <c r="F27"/>
      <c r="G27" s="353"/>
      <c r="H27" s="353"/>
      <c r="I27" s="353"/>
      <c r="K27" s="457" t="str">
        <f t="shared" si="2"/>
        <v>LED</v>
      </c>
      <c r="L27" s="457" t="str">
        <f t="shared" si="3"/>
        <v>Display and Advertising</v>
      </c>
      <c r="M27" s="457" t="str">
        <f t="shared" si="6"/>
        <v>Retail</v>
      </c>
      <c r="N27" s="457" t="str">
        <f t="shared" si="5"/>
        <v>MH (Std, PS, CMH)</v>
      </c>
      <c r="O27" s="461">
        <f t="shared" si="0"/>
        <v>0</v>
      </c>
      <c r="P27" s="461">
        <f t="shared" si="1"/>
        <v>0</v>
      </c>
      <c r="S27"/>
      <c r="T27"/>
      <c r="U27"/>
    </row>
    <row r="28" spans="3:21" ht="16.5" thickTop="1" thickBot="1">
      <c r="C28"/>
      <c r="D28"/>
      <c r="E28"/>
      <c r="F28" s="384" t="s">
        <v>24</v>
      </c>
      <c r="G28" s="353">
        <v>5.4034262912268671</v>
      </c>
      <c r="H28" s="353">
        <v>8.3723582249597559</v>
      </c>
      <c r="I28" s="353"/>
      <c r="K28" s="457" t="str">
        <f t="shared" si="2"/>
        <v>LED</v>
      </c>
      <c r="L28" s="457" t="str">
        <f t="shared" si="3"/>
        <v>Display and Advertising</v>
      </c>
      <c r="M28" s="457" t="str">
        <f t="shared" si="6"/>
        <v>Retail</v>
      </c>
      <c r="N28" s="457" t="str">
        <f t="shared" si="5"/>
        <v>CFL</v>
      </c>
      <c r="O28" s="461">
        <f t="shared" si="0"/>
        <v>5.4034262912268671</v>
      </c>
      <c r="P28" s="461">
        <f t="shared" si="1"/>
        <v>8.3723582249597559</v>
      </c>
      <c r="S28"/>
      <c r="T28"/>
      <c r="U28"/>
    </row>
    <row r="29" spans="3:21" ht="16.5" thickTop="1" thickBot="1">
      <c r="C29"/>
      <c r="D29"/>
      <c r="E29"/>
      <c r="F29" s="384" t="s">
        <v>26</v>
      </c>
      <c r="G29" s="353">
        <v>63.76470327519516</v>
      </c>
      <c r="H29" s="353">
        <v>27.067941186289993</v>
      </c>
      <c r="I29" s="353"/>
      <c r="K29" s="457" t="str">
        <f t="shared" si="2"/>
        <v>LED</v>
      </c>
      <c r="L29" s="457" t="str">
        <f t="shared" si="3"/>
        <v>Display and Advertising</v>
      </c>
      <c r="M29" s="457" t="str">
        <f t="shared" si="6"/>
        <v>Retail</v>
      </c>
      <c r="N29" s="457" t="str">
        <f t="shared" si="5"/>
        <v>Incandescent</v>
      </c>
      <c r="O29" s="461">
        <f t="shared" si="0"/>
        <v>63.76470327519516</v>
      </c>
      <c r="P29" s="461">
        <f t="shared" si="1"/>
        <v>27.067941186289993</v>
      </c>
      <c r="S29"/>
      <c r="T29"/>
      <c r="U29"/>
    </row>
    <row r="30" spans="3:21" ht="16.5" thickTop="1" thickBot="1">
      <c r="C30"/>
      <c r="D30"/>
      <c r="E30"/>
      <c r="F30" s="384" t="s">
        <v>95</v>
      </c>
      <c r="G30" s="353">
        <v>0</v>
      </c>
      <c r="H30" s="353">
        <v>9.5771018193796138</v>
      </c>
      <c r="I30" s="353"/>
      <c r="K30" s="457" t="str">
        <f t="shared" si="2"/>
        <v>LED</v>
      </c>
      <c r="L30" s="457" t="str">
        <f t="shared" si="3"/>
        <v>Display and Advertising</v>
      </c>
      <c r="M30" s="457" t="str">
        <f t="shared" si="6"/>
        <v>Retail</v>
      </c>
      <c r="N30" s="457" t="str">
        <f t="shared" si="5"/>
        <v>LED</v>
      </c>
      <c r="O30" s="461">
        <f t="shared" si="0"/>
        <v>0</v>
      </c>
      <c r="P30" s="461">
        <f t="shared" si="1"/>
        <v>9.5771018193796138</v>
      </c>
      <c r="S30"/>
      <c r="T30"/>
      <c r="U30"/>
    </row>
    <row r="31" spans="3:21" ht="16.5" thickTop="1" thickBot="1">
      <c r="C31"/>
      <c r="D31"/>
      <c r="E31"/>
      <c r="F31" s="384" t="s">
        <v>846</v>
      </c>
      <c r="G31" s="353">
        <v>134.04020243247757</v>
      </c>
      <c r="H31" s="353">
        <v>55.014698736214626</v>
      </c>
      <c r="I31" s="353"/>
      <c r="K31" s="457" t="str">
        <f t="shared" si="2"/>
        <v>LED</v>
      </c>
      <c r="L31" s="457" t="str">
        <f t="shared" si="3"/>
        <v>Display and Advertising</v>
      </c>
      <c r="M31" s="457" t="str">
        <f t="shared" si="6"/>
        <v>Retail</v>
      </c>
      <c r="N31" s="457" t="str">
        <f t="shared" si="5"/>
        <v xml:space="preserve">Halogen </v>
      </c>
      <c r="O31" s="461">
        <f t="shared" si="0"/>
        <v>134.04020243247757</v>
      </c>
      <c r="P31" s="461">
        <f t="shared" si="1"/>
        <v>55.014698736214626</v>
      </c>
      <c r="S31"/>
      <c r="T31"/>
      <c r="U31"/>
    </row>
    <row r="32" spans="3:21" ht="16.5" thickTop="1" thickBot="1">
      <c r="C32"/>
      <c r="D32"/>
      <c r="E32" s="384" t="s">
        <v>502</v>
      </c>
      <c r="F32"/>
      <c r="G32" s="353"/>
      <c r="H32" s="353"/>
      <c r="I32" s="353"/>
      <c r="K32" s="457" t="str">
        <f t="shared" si="2"/>
        <v>LED</v>
      </c>
      <c r="L32" s="457" t="str">
        <f t="shared" si="3"/>
        <v>Display and Advertising</v>
      </c>
      <c r="M32" s="457" t="str">
        <f t="shared" si="6"/>
        <v>Restaurant</v>
      </c>
      <c r="N32" s="457" t="str">
        <f t="shared" si="5"/>
        <v xml:space="preserve">Halogen </v>
      </c>
      <c r="O32" s="461">
        <f t="shared" si="0"/>
        <v>0</v>
      </c>
      <c r="P32" s="461">
        <f t="shared" si="1"/>
        <v>0</v>
      </c>
      <c r="S32"/>
      <c r="T32"/>
      <c r="U32"/>
    </row>
    <row r="33" spans="3:21" ht="16.5" thickTop="1" thickBot="1">
      <c r="C33"/>
      <c r="D33"/>
      <c r="E33"/>
      <c r="F33" s="384" t="s">
        <v>24</v>
      </c>
      <c r="G33" s="353">
        <v>2.6412956770904246</v>
      </c>
      <c r="H33" s="353">
        <v>2.4979079398164457</v>
      </c>
      <c r="I33" s="353"/>
      <c r="K33" s="457" t="str">
        <f t="shared" si="2"/>
        <v>LED</v>
      </c>
      <c r="L33" s="457" t="str">
        <f t="shared" si="3"/>
        <v>Display and Advertising</v>
      </c>
      <c r="M33" s="457" t="str">
        <f t="shared" si="6"/>
        <v>Restaurant</v>
      </c>
      <c r="N33" s="457" t="str">
        <f t="shared" si="5"/>
        <v>CFL</v>
      </c>
      <c r="O33" s="461">
        <f t="shared" si="0"/>
        <v>2.6412956770904246</v>
      </c>
      <c r="P33" s="461">
        <f t="shared" si="1"/>
        <v>2.4979079398164457</v>
      </c>
      <c r="S33"/>
      <c r="T33"/>
      <c r="U33"/>
    </row>
    <row r="34" spans="3:21" ht="16.5" thickTop="1" thickBot="1">
      <c r="C34"/>
      <c r="D34"/>
      <c r="E34"/>
      <c r="F34" s="384" t="s">
        <v>95</v>
      </c>
      <c r="G34" s="353">
        <v>0</v>
      </c>
      <c r="H34" s="353">
        <v>1.3762424594011338</v>
      </c>
      <c r="I34" s="353"/>
      <c r="K34" s="457" t="str">
        <f t="shared" si="2"/>
        <v>LED</v>
      </c>
      <c r="L34" s="457" t="str">
        <f t="shared" si="3"/>
        <v>Display and Advertising</v>
      </c>
      <c r="M34" s="457" t="str">
        <f t="shared" si="6"/>
        <v>Restaurant</v>
      </c>
      <c r="N34" s="457" t="str">
        <f t="shared" si="5"/>
        <v>LED</v>
      </c>
      <c r="O34" s="461">
        <f t="shared" si="0"/>
        <v>0</v>
      </c>
      <c r="P34" s="461">
        <f t="shared" si="1"/>
        <v>1.3762424594011338</v>
      </c>
      <c r="S34"/>
      <c r="T34"/>
      <c r="U34"/>
    </row>
    <row r="35" spans="3:21" ht="16.5" thickTop="1" thickBot="1">
      <c r="C35"/>
      <c r="D35"/>
      <c r="E35"/>
      <c r="F35" s="384" t="s">
        <v>846</v>
      </c>
      <c r="G35" s="353">
        <v>3.0568423100743396</v>
      </c>
      <c r="H35" s="353">
        <v>1.3900588188969629</v>
      </c>
      <c r="I35" s="353"/>
      <c r="K35" s="457" t="str">
        <f t="shared" si="2"/>
        <v>LED</v>
      </c>
      <c r="L35" s="457" t="str">
        <f t="shared" si="3"/>
        <v>Display and Advertising</v>
      </c>
      <c r="M35" s="457" t="str">
        <f t="shared" si="6"/>
        <v>Restaurant</v>
      </c>
      <c r="N35" s="457" t="str">
        <f t="shared" si="5"/>
        <v xml:space="preserve">Halogen </v>
      </c>
      <c r="O35" s="461">
        <f t="shared" si="0"/>
        <v>3.0568423100743396</v>
      </c>
      <c r="P35" s="461">
        <f t="shared" si="1"/>
        <v>1.3900588188969629</v>
      </c>
      <c r="S35"/>
      <c r="T35"/>
      <c r="U35"/>
    </row>
    <row r="36" spans="3:21" ht="16.5" thickTop="1" thickBot="1">
      <c r="C36"/>
      <c r="D36" s="384" t="s">
        <v>1267</v>
      </c>
      <c r="E36"/>
      <c r="F36"/>
      <c r="G36" s="353"/>
      <c r="H36" s="353"/>
      <c r="I36" s="353"/>
      <c r="K36" s="457" t="str">
        <f t="shared" si="2"/>
        <v>LED</v>
      </c>
      <c r="L36" s="457" t="str">
        <f t="shared" si="3"/>
        <v>Area Lighting for Lobbies, Corridors</v>
      </c>
      <c r="M36" s="457" t="str">
        <f t="shared" si="6"/>
        <v>Restaurant</v>
      </c>
      <c r="N36" s="457" t="str">
        <f t="shared" si="5"/>
        <v xml:space="preserve">Halogen </v>
      </c>
      <c r="O36" s="461">
        <f t="shared" si="0"/>
        <v>0</v>
      </c>
      <c r="P36" s="461">
        <f t="shared" si="1"/>
        <v>0</v>
      </c>
      <c r="S36"/>
      <c r="T36"/>
      <c r="U36"/>
    </row>
    <row r="37" spans="3:21" ht="16.5" thickTop="1" thickBot="1">
      <c r="C37"/>
      <c r="D37"/>
      <c r="E37" s="384" t="s">
        <v>1266</v>
      </c>
      <c r="F37"/>
      <c r="G37" s="353"/>
      <c r="H37" s="353"/>
      <c r="I37" s="353"/>
      <c r="K37" s="457" t="str">
        <f t="shared" si="2"/>
        <v>LED</v>
      </c>
      <c r="L37" s="457" t="str">
        <f t="shared" si="3"/>
        <v>Area Lighting for Lobbies, Corridors</v>
      </c>
      <c r="M37" s="457" t="str">
        <f t="shared" si="6"/>
        <v>All Commercial</v>
      </c>
      <c r="N37" s="457" t="str">
        <f t="shared" si="5"/>
        <v xml:space="preserve">Halogen </v>
      </c>
      <c r="O37" s="461">
        <f t="shared" si="0"/>
        <v>0</v>
      </c>
      <c r="P37" s="461">
        <f t="shared" si="1"/>
        <v>0</v>
      </c>
      <c r="S37"/>
      <c r="T37"/>
      <c r="U37"/>
    </row>
    <row r="38" spans="3:21" ht="16.5" hidden="1" outlineLevel="1" thickTop="1" thickBot="1">
      <c r="C38"/>
      <c r="D38"/>
      <c r="E38"/>
      <c r="F38" s="384" t="s">
        <v>24</v>
      </c>
      <c r="G38" s="353">
        <v>145.99775740210993</v>
      </c>
      <c r="H38" s="353">
        <v>207.82956327222885</v>
      </c>
      <c r="I38" s="353"/>
      <c r="K38" s="457" t="str">
        <f t="shared" si="2"/>
        <v>LED</v>
      </c>
      <c r="L38" s="457" t="str">
        <f t="shared" si="3"/>
        <v>Area Lighting for Lobbies, Corridors</v>
      </c>
      <c r="M38" s="457" t="str">
        <f t="shared" si="6"/>
        <v>All Commercial</v>
      </c>
      <c r="N38" s="457" t="str">
        <f t="shared" si="5"/>
        <v>CFL</v>
      </c>
      <c r="O38" s="461">
        <f t="shared" si="0"/>
        <v>145.99775740210993</v>
      </c>
      <c r="P38" s="461">
        <f t="shared" si="1"/>
        <v>207.82956327222885</v>
      </c>
      <c r="S38"/>
      <c r="T38"/>
      <c r="U38"/>
    </row>
    <row r="39" spans="3:21" ht="16.5" hidden="1" outlineLevel="1" thickTop="1" thickBot="1">
      <c r="C39"/>
      <c r="D39" s="384" t="s">
        <v>1268</v>
      </c>
      <c r="E39"/>
      <c r="F39"/>
      <c r="G39" s="353"/>
      <c r="H39" s="353"/>
      <c r="I39" s="353"/>
      <c r="K39" s="457" t="str">
        <f t="shared" si="2"/>
        <v>LED</v>
      </c>
      <c r="L39" s="457" t="str">
        <f t="shared" si="3"/>
        <v>Area Lighting for Stairwells</v>
      </c>
      <c r="M39" s="457" t="str">
        <f t="shared" si="6"/>
        <v>All Commercial</v>
      </c>
      <c r="N39" s="457" t="str">
        <f t="shared" si="5"/>
        <v>CFL</v>
      </c>
      <c r="O39" s="461">
        <f t="shared" ref="O39:O70" si="7">G39</f>
        <v>0</v>
      </c>
      <c r="P39" s="461">
        <f t="shared" ref="P39:P70" si="8">H39</f>
        <v>0</v>
      </c>
      <c r="S39"/>
      <c r="T39"/>
      <c r="U39"/>
    </row>
    <row r="40" spans="3:21" ht="16.5" hidden="1" outlineLevel="1" thickTop="1" thickBot="1">
      <c r="C40"/>
      <c r="D40"/>
      <c r="E40" s="384" t="s">
        <v>1266</v>
      </c>
      <c r="F40"/>
      <c r="G40" s="353"/>
      <c r="H40" s="353"/>
      <c r="I40" s="353"/>
      <c r="K40" s="457" t="str">
        <f t="shared" ref="K40:K71" si="9">IF(C40=0,K39,C40)</f>
        <v>LED</v>
      </c>
      <c r="L40" s="457" t="str">
        <f t="shared" ref="L40:L71" si="10">IF(D40=0,L39,D40)</f>
        <v>Area Lighting for Stairwells</v>
      </c>
      <c r="M40" s="457" t="str">
        <f t="shared" si="6"/>
        <v>All Commercial</v>
      </c>
      <c r="N40" s="457" t="str">
        <f t="shared" si="5"/>
        <v>CFL</v>
      </c>
      <c r="O40" s="461">
        <f t="shared" si="7"/>
        <v>0</v>
      </c>
      <c r="P40" s="461">
        <f t="shared" si="8"/>
        <v>0</v>
      </c>
      <c r="S40"/>
      <c r="T40"/>
      <c r="U40"/>
    </row>
    <row r="41" spans="3:21" ht="16.5" hidden="1" outlineLevel="1" thickTop="1" thickBot="1">
      <c r="C41"/>
      <c r="D41"/>
      <c r="E41"/>
      <c r="F41" s="384" t="s">
        <v>24</v>
      </c>
      <c r="G41" s="353">
        <v>16.139381899512461</v>
      </c>
      <c r="H41" s="353">
        <v>22.974604208618583</v>
      </c>
      <c r="I41" s="353"/>
      <c r="K41" s="457" t="str">
        <f t="shared" si="9"/>
        <v>LED</v>
      </c>
      <c r="L41" s="457" t="str">
        <f t="shared" si="10"/>
        <v>Area Lighting for Stairwells</v>
      </c>
      <c r="M41" s="457" t="str">
        <f t="shared" si="6"/>
        <v>All Commercial</v>
      </c>
      <c r="N41" s="457" t="str">
        <f t="shared" si="5"/>
        <v>CFL</v>
      </c>
      <c r="O41" s="461">
        <f t="shared" si="7"/>
        <v>16.139381899512461</v>
      </c>
      <c r="P41" s="461">
        <f t="shared" si="8"/>
        <v>22.974604208618583</v>
      </c>
      <c r="S41"/>
      <c r="T41"/>
      <c r="U41"/>
    </row>
    <row r="42" spans="3:21" ht="16.5" hidden="1" outlineLevel="1" thickTop="1" thickBot="1">
      <c r="C42"/>
      <c r="D42" s="384" t="s">
        <v>1220</v>
      </c>
      <c r="E42"/>
      <c r="F42"/>
      <c r="G42" s="353"/>
      <c r="H42" s="353"/>
      <c r="I42" s="353"/>
      <c r="K42" s="457" t="str">
        <f t="shared" si="9"/>
        <v>LED</v>
      </c>
      <c r="L42" s="457" t="str">
        <f t="shared" si="10"/>
        <v>Area Lighting (Low/Medium Bay)</v>
      </c>
      <c r="M42" s="457" t="str">
        <f t="shared" si="6"/>
        <v>All Commercial</v>
      </c>
      <c r="N42" s="457" t="str">
        <f t="shared" si="5"/>
        <v>CFL</v>
      </c>
      <c r="O42" s="461">
        <f t="shared" si="7"/>
        <v>0</v>
      </c>
      <c r="P42" s="461">
        <f t="shared" si="8"/>
        <v>0</v>
      </c>
      <c r="S42"/>
      <c r="T42"/>
      <c r="U42"/>
    </row>
    <row r="43" spans="3:21" ht="16.5" hidden="1" outlineLevel="1" thickTop="1" thickBot="1">
      <c r="C43"/>
      <c r="D43"/>
      <c r="E43" s="384" t="s">
        <v>105</v>
      </c>
      <c r="F43"/>
      <c r="G43" s="353"/>
      <c r="H43" s="353"/>
      <c r="I43" s="353"/>
      <c r="K43" s="457" t="str">
        <f t="shared" si="9"/>
        <v>LED</v>
      </c>
      <c r="L43" s="457" t="str">
        <f t="shared" si="10"/>
        <v>Area Lighting (Low/Medium Bay)</v>
      </c>
      <c r="M43" s="457" t="str">
        <f t="shared" si="6"/>
        <v>University/College</v>
      </c>
      <c r="N43" s="457" t="str">
        <f t="shared" si="5"/>
        <v>CFL</v>
      </c>
      <c r="O43" s="461">
        <f t="shared" si="7"/>
        <v>0</v>
      </c>
      <c r="P43" s="461">
        <f t="shared" si="8"/>
        <v>0</v>
      </c>
      <c r="S43"/>
      <c r="T43"/>
      <c r="U43"/>
    </row>
    <row r="44" spans="3:21" ht="16.5" hidden="1" outlineLevel="1" thickTop="1" thickBot="1">
      <c r="C44"/>
      <c r="D44"/>
      <c r="E44"/>
      <c r="F44" s="384" t="s">
        <v>24</v>
      </c>
      <c r="G44" s="353">
        <v>13.020316269491438</v>
      </c>
      <c r="H44" s="353">
        <v>17.795300256056262</v>
      </c>
      <c r="I44" s="353"/>
      <c r="K44" s="457" t="str">
        <f t="shared" si="9"/>
        <v>LED</v>
      </c>
      <c r="L44" s="457" t="str">
        <f t="shared" si="10"/>
        <v>Area Lighting (Low/Medium Bay)</v>
      </c>
      <c r="M44" s="457" t="str">
        <f t="shared" si="6"/>
        <v>University/College</v>
      </c>
      <c r="N44" s="457" t="str">
        <f t="shared" si="5"/>
        <v>CFL</v>
      </c>
      <c r="O44" s="461">
        <f t="shared" si="7"/>
        <v>13.020316269491438</v>
      </c>
      <c r="P44" s="461">
        <f t="shared" si="8"/>
        <v>17.795300256056262</v>
      </c>
      <c r="S44"/>
      <c r="T44"/>
      <c r="U44"/>
    </row>
    <row r="45" spans="3:21" ht="16.5" hidden="1" outlineLevel="1" thickTop="1" thickBot="1">
      <c r="C45"/>
      <c r="D45"/>
      <c r="E45" s="384" t="s">
        <v>938</v>
      </c>
      <c r="F45"/>
      <c r="G45" s="353"/>
      <c r="H45" s="353"/>
      <c r="I45" s="353"/>
      <c r="K45" s="457" t="str">
        <f t="shared" si="9"/>
        <v>LED</v>
      </c>
      <c r="L45" s="457" t="str">
        <f t="shared" si="10"/>
        <v>Area Lighting (Low/Medium Bay)</v>
      </c>
      <c r="M45" s="457" t="str">
        <f t="shared" si="6"/>
        <v>Hotel/Motel, Dorms, Assisted Living</v>
      </c>
      <c r="N45" s="457" t="str">
        <f t="shared" si="5"/>
        <v>CFL</v>
      </c>
      <c r="O45" s="461">
        <f t="shared" si="7"/>
        <v>0</v>
      </c>
      <c r="P45" s="461">
        <f t="shared" si="8"/>
        <v>0</v>
      </c>
      <c r="S45"/>
      <c r="T45"/>
      <c r="U45"/>
    </row>
    <row r="46" spans="3:21" ht="16.5" hidden="1" outlineLevel="1" thickTop="1" thickBot="1">
      <c r="C46"/>
      <c r="D46"/>
      <c r="E46"/>
      <c r="F46" s="384" t="s">
        <v>25</v>
      </c>
      <c r="G46" s="353">
        <v>37.098281478231776</v>
      </c>
      <c r="H46" s="353">
        <v>20.033071998245159</v>
      </c>
      <c r="I46" s="353"/>
      <c r="K46" s="457" t="str">
        <f t="shared" si="9"/>
        <v>LED</v>
      </c>
      <c r="L46" s="457" t="str">
        <f t="shared" si="10"/>
        <v>Area Lighting (Low/Medium Bay)</v>
      </c>
      <c r="M46" s="457" t="str">
        <f t="shared" si="6"/>
        <v>Hotel/Motel, Dorms, Assisted Living</v>
      </c>
      <c r="N46" s="457" t="str">
        <f t="shared" si="5"/>
        <v>Halogen</v>
      </c>
      <c r="O46" s="461">
        <f t="shared" si="7"/>
        <v>37.098281478231776</v>
      </c>
      <c r="P46" s="461">
        <f t="shared" si="8"/>
        <v>20.033071998245159</v>
      </c>
      <c r="S46"/>
      <c r="T46"/>
      <c r="U46"/>
    </row>
    <row r="47" spans="3:21" ht="16.5" hidden="1" outlineLevel="1" thickTop="1" thickBot="1">
      <c r="C47"/>
      <c r="D47"/>
      <c r="E47"/>
      <c r="F47" s="384" t="s">
        <v>26</v>
      </c>
      <c r="G47" s="353">
        <v>39.050822608665037</v>
      </c>
      <c r="H47" s="353">
        <v>20.033071998245159</v>
      </c>
      <c r="I47" s="353"/>
      <c r="K47" s="457" t="str">
        <f t="shared" si="9"/>
        <v>LED</v>
      </c>
      <c r="L47" s="457" t="str">
        <f t="shared" si="10"/>
        <v>Area Lighting (Low/Medium Bay)</v>
      </c>
      <c r="M47" s="457" t="str">
        <f t="shared" si="6"/>
        <v>Hotel/Motel, Dorms, Assisted Living</v>
      </c>
      <c r="N47" s="457" t="str">
        <f t="shared" si="5"/>
        <v>Incandescent</v>
      </c>
      <c r="O47" s="461">
        <f t="shared" si="7"/>
        <v>39.050822608665037</v>
      </c>
      <c r="P47" s="461">
        <f t="shared" si="8"/>
        <v>20.033071998245159</v>
      </c>
      <c r="S47"/>
      <c r="T47"/>
      <c r="U47"/>
    </row>
    <row r="48" spans="3:21" ht="16.5" hidden="1" outlineLevel="1" thickTop="1" thickBot="1">
      <c r="C48"/>
      <c r="D48"/>
      <c r="E48" s="384" t="s">
        <v>1149</v>
      </c>
      <c r="F48"/>
      <c r="G48" s="353"/>
      <c r="H48" s="353"/>
      <c r="I48" s="353"/>
      <c r="K48" s="457" t="str">
        <f t="shared" si="9"/>
        <v>LED</v>
      </c>
      <c r="L48" s="457" t="str">
        <f t="shared" si="10"/>
        <v>Area Lighting (Low/Medium Bay)</v>
      </c>
      <c r="M48" s="457" t="str">
        <f t="shared" si="6"/>
        <v xml:space="preserve">Warehouse </v>
      </c>
      <c r="N48" s="457" t="str">
        <f t="shared" si="5"/>
        <v>Incandescent</v>
      </c>
      <c r="O48" s="461">
        <f t="shared" si="7"/>
        <v>0</v>
      </c>
      <c r="P48" s="461">
        <f t="shared" si="8"/>
        <v>0</v>
      </c>
      <c r="S48"/>
      <c r="T48"/>
      <c r="U48"/>
    </row>
    <row r="49" spans="3:21" ht="16.5" hidden="1" outlineLevel="1" thickTop="1" thickBot="1">
      <c r="C49"/>
      <c r="D49"/>
      <c r="E49"/>
      <c r="F49" s="384" t="s">
        <v>24</v>
      </c>
      <c r="G49" s="353">
        <v>6.9683725514715551</v>
      </c>
      <c r="H49" s="353">
        <v>11.460133514744564</v>
      </c>
      <c r="I49" s="353"/>
      <c r="K49" s="457" t="str">
        <f t="shared" si="9"/>
        <v>LED</v>
      </c>
      <c r="L49" s="457" t="str">
        <f t="shared" si="10"/>
        <v>Area Lighting (Low/Medium Bay)</v>
      </c>
      <c r="M49" s="457" t="str">
        <f t="shared" si="6"/>
        <v xml:space="preserve">Warehouse </v>
      </c>
      <c r="N49" s="457" t="str">
        <f t="shared" si="5"/>
        <v>CFL</v>
      </c>
      <c r="O49" s="461">
        <f t="shared" si="7"/>
        <v>6.9683725514715551</v>
      </c>
      <c r="P49" s="461">
        <f t="shared" si="8"/>
        <v>11.460133514744564</v>
      </c>
      <c r="S49"/>
      <c r="T49"/>
      <c r="U49"/>
    </row>
    <row r="50" spans="3:21" ht="16.5" hidden="1" outlineLevel="1" thickTop="1" thickBot="1">
      <c r="C50"/>
      <c r="D50"/>
      <c r="E50" s="384" t="s">
        <v>1143</v>
      </c>
      <c r="F50"/>
      <c r="G50" s="353"/>
      <c r="H50" s="353"/>
      <c r="I50" s="353"/>
      <c r="K50" s="457" t="str">
        <f t="shared" si="9"/>
        <v>LED</v>
      </c>
      <c r="L50" s="457" t="str">
        <f t="shared" si="10"/>
        <v>Area Lighting (Low/Medium Bay)</v>
      </c>
      <c r="M50" s="457" t="str">
        <f t="shared" si="6"/>
        <v>Health and Medical Clinics</v>
      </c>
      <c r="N50" s="457" t="str">
        <f t="shared" si="5"/>
        <v>CFL</v>
      </c>
      <c r="O50" s="461">
        <f t="shared" si="7"/>
        <v>0</v>
      </c>
      <c r="P50" s="461">
        <f t="shared" si="8"/>
        <v>0</v>
      </c>
      <c r="S50"/>
      <c r="T50"/>
      <c r="U50"/>
    </row>
    <row r="51" spans="3:21" ht="16.5" hidden="1" outlineLevel="1" thickTop="1" thickBot="1">
      <c r="C51"/>
      <c r="D51"/>
      <c r="E51"/>
      <c r="F51" s="384" t="s">
        <v>24</v>
      </c>
      <c r="G51" s="353">
        <v>15.928601381203244</v>
      </c>
      <c r="H51" s="353">
        <v>7.217226909974527</v>
      </c>
      <c r="I51" s="353"/>
      <c r="K51" s="457" t="str">
        <f t="shared" si="9"/>
        <v>LED</v>
      </c>
      <c r="L51" s="457" t="str">
        <f t="shared" si="10"/>
        <v>Area Lighting (Low/Medium Bay)</v>
      </c>
      <c r="M51" s="457" t="str">
        <f t="shared" si="6"/>
        <v>Health and Medical Clinics</v>
      </c>
      <c r="N51" s="457" t="str">
        <f t="shared" si="5"/>
        <v>CFL</v>
      </c>
      <c r="O51" s="461">
        <f t="shared" si="7"/>
        <v>15.928601381203244</v>
      </c>
      <c r="P51" s="461">
        <f t="shared" si="8"/>
        <v>7.217226909974527</v>
      </c>
      <c r="S51"/>
      <c r="T51"/>
      <c r="U51"/>
    </row>
    <row r="52" spans="3:21" ht="16.5" hidden="1" outlineLevel="1" thickTop="1" thickBot="1">
      <c r="C52"/>
      <c r="D52"/>
      <c r="E52" s="384" t="s">
        <v>502</v>
      </c>
      <c r="F52"/>
      <c r="G52" s="353"/>
      <c r="H52" s="353"/>
      <c r="I52" s="353"/>
      <c r="K52" s="457" t="str">
        <f t="shared" si="9"/>
        <v>LED</v>
      </c>
      <c r="L52" s="457" t="str">
        <f t="shared" si="10"/>
        <v>Area Lighting (Low/Medium Bay)</v>
      </c>
      <c r="M52" s="457" t="str">
        <f t="shared" si="6"/>
        <v>Restaurant</v>
      </c>
      <c r="N52" s="457" t="str">
        <f t="shared" si="5"/>
        <v>CFL</v>
      </c>
      <c r="O52" s="461">
        <f t="shared" si="7"/>
        <v>0</v>
      </c>
      <c r="P52" s="461">
        <f t="shared" si="8"/>
        <v>0</v>
      </c>
      <c r="S52"/>
      <c r="T52"/>
      <c r="U52"/>
    </row>
    <row r="53" spans="3:21" ht="16.5" hidden="1" outlineLevel="1" thickTop="1" thickBot="1">
      <c r="C53"/>
      <c r="D53"/>
      <c r="E53"/>
      <c r="F53" s="384" t="s">
        <v>24</v>
      </c>
      <c r="G53" s="353">
        <v>11.193439428405396</v>
      </c>
      <c r="H53" s="353">
        <v>18.066960553027982</v>
      </c>
      <c r="I53" s="353"/>
      <c r="K53" s="457" t="str">
        <f t="shared" si="9"/>
        <v>LED</v>
      </c>
      <c r="L53" s="457" t="str">
        <f t="shared" si="10"/>
        <v>Area Lighting (Low/Medium Bay)</v>
      </c>
      <c r="M53" s="457" t="str">
        <f t="shared" ref="M53:M84" si="11">IF(E53=0,M52,E53)</f>
        <v>Restaurant</v>
      </c>
      <c r="N53" s="457" t="str">
        <f t="shared" si="5"/>
        <v>CFL</v>
      </c>
      <c r="O53" s="461">
        <f t="shared" si="7"/>
        <v>11.193439428405396</v>
      </c>
      <c r="P53" s="461">
        <f t="shared" si="8"/>
        <v>18.066960553027982</v>
      </c>
      <c r="S53"/>
      <c r="T53"/>
      <c r="U53"/>
    </row>
    <row r="54" spans="3:21" ht="16.5" hidden="1" outlineLevel="1" thickTop="1" thickBot="1">
      <c r="C54"/>
      <c r="D54"/>
      <c r="E54"/>
      <c r="F54" s="384" t="s">
        <v>26</v>
      </c>
      <c r="G54" s="353">
        <v>80.556402712550138</v>
      </c>
      <c r="H54" s="353">
        <v>34.849089983059841</v>
      </c>
      <c r="I54" s="353"/>
      <c r="K54" s="457" t="str">
        <f t="shared" si="9"/>
        <v>LED</v>
      </c>
      <c r="L54" s="457" t="str">
        <f t="shared" si="10"/>
        <v>Area Lighting (Low/Medium Bay)</v>
      </c>
      <c r="M54" s="457" t="str">
        <f t="shared" si="11"/>
        <v>Restaurant</v>
      </c>
      <c r="N54" s="457" t="str">
        <f t="shared" si="5"/>
        <v>Incandescent</v>
      </c>
      <c r="O54" s="461">
        <f t="shared" si="7"/>
        <v>80.556402712550138</v>
      </c>
      <c r="P54" s="461">
        <f t="shared" si="8"/>
        <v>34.849089983059841</v>
      </c>
      <c r="S54"/>
      <c r="T54"/>
      <c r="U54"/>
    </row>
    <row r="55" spans="3:21" ht="16.5" hidden="1" outlineLevel="1" thickTop="1" thickBot="1">
      <c r="C55"/>
      <c r="D55"/>
      <c r="E55"/>
      <c r="F55" s="384" t="s">
        <v>846</v>
      </c>
      <c r="G55" s="353">
        <v>18.46148182717107</v>
      </c>
      <c r="H55" s="353">
        <v>8.8303731663752725</v>
      </c>
      <c r="I55" s="353"/>
      <c r="K55" s="457" t="str">
        <f t="shared" si="9"/>
        <v>LED</v>
      </c>
      <c r="L55" s="457" t="str">
        <f t="shared" si="10"/>
        <v>Area Lighting (Low/Medium Bay)</v>
      </c>
      <c r="M55" s="457" t="str">
        <f t="shared" si="11"/>
        <v>Restaurant</v>
      </c>
      <c r="N55" s="457" t="str">
        <f t="shared" si="5"/>
        <v xml:space="preserve">Halogen </v>
      </c>
      <c r="O55" s="461">
        <f t="shared" si="7"/>
        <v>18.46148182717107</v>
      </c>
      <c r="P55" s="461">
        <f t="shared" si="8"/>
        <v>8.8303731663752725</v>
      </c>
      <c r="S55"/>
      <c r="T55"/>
      <c r="U55"/>
    </row>
    <row r="56" spans="3:21" ht="16.5" hidden="1" outlineLevel="1" thickTop="1" thickBot="1">
      <c r="C56"/>
      <c r="D56"/>
      <c r="E56" s="384" t="s">
        <v>541</v>
      </c>
      <c r="F56"/>
      <c r="G56" s="353"/>
      <c r="H56" s="353"/>
      <c r="I56" s="353"/>
      <c r="K56" s="457" t="str">
        <f t="shared" si="9"/>
        <v>LED</v>
      </c>
      <c r="L56" s="457" t="str">
        <f t="shared" si="10"/>
        <v>Area Lighting (Low/Medium Bay)</v>
      </c>
      <c r="M56" s="457" t="str">
        <f t="shared" si="11"/>
        <v>Miscellaneous</v>
      </c>
      <c r="N56" s="457" t="str">
        <f t="shared" si="5"/>
        <v xml:space="preserve">Halogen </v>
      </c>
      <c r="O56" s="461">
        <f t="shared" si="7"/>
        <v>0</v>
      </c>
      <c r="P56" s="461">
        <f t="shared" si="8"/>
        <v>0</v>
      </c>
      <c r="S56"/>
      <c r="T56"/>
      <c r="U56"/>
    </row>
    <row r="57" spans="3:21" ht="16.5" hidden="1" outlineLevel="1" thickTop="1" thickBot="1">
      <c r="C57"/>
      <c r="D57"/>
      <c r="E57"/>
      <c r="F57" s="384" t="s">
        <v>24</v>
      </c>
      <c r="G57" s="353">
        <v>45.291681603459011</v>
      </c>
      <c r="H57" s="353">
        <v>73.612585246217634</v>
      </c>
      <c r="I57" s="353"/>
      <c r="K57" s="457" t="str">
        <f t="shared" si="9"/>
        <v>LED</v>
      </c>
      <c r="L57" s="457" t="str">
        <f t="shared" si="10"/>
        <v>Area Lighting (Low/Medium Bay)</v>
      </c>
      <c r="M57" s="457" t="str">
        <f t="shared" si="11"/>
        <v>Miscellaneous</v>
      </c>
      <c r="N57" s="457" t="str">
        <f t="shared" si="5"/>
        <v>CFL</v>
      </c>
      <c r="O57" s="461">
        <f t="shared" si="7"/>
        <v>45.291681603459011</v>
      </c>
      <c r="P57" s="461">
        <f t="shared" si="8"/>
        <v>73.612585246217634</v>
      </c>
      <c r="S57"/>
      <c r="T57"/>
      <c r="U57"/>
    </row>
    <row r="58" spans="3:21" ht="16.5" hidden="1" outlineLevel="1" thickTop="1" thickBot="1">
      <c r="C58"/>
      <c r="D58"/>
      <c r="E58" s="384" t="s">
        <v>1223</v>
      </c>
      <c r="F58"/>
      <c r="G58" s="353"/>
      <c r="H58" s="353"/>
      <c r="I58" s="353"/>
      <c r="K58" s="457" t="str">
        <f t="shared" si="9"/>
        <v>LED</v>
      </c>
      <c r="L58" s="457" t="str">
        <f t="shared" si="10"/>
        <v>Area Lighting (Low/Medium Bay)</v>
      </c>
      <c r="M58" s="457" t="str">
        <f t="shared" si="11"/>
        <v>Health and Medical Hospital</v>
      </c>
      <c r="N58" s="457" t="str">
        <f t="shared" si="5"/>
        <v>CFL</v>
      </c>
      <c r="O58" s="461">
        <f t="shared" si="7"/>
        <v>0</v>
      </c>
      <c r="P58" s="461">
        <f t="shared" si="8"/>
        <v>0</v>
      </c>
      <c r="S58"/>
      <c r="T58"/>
      <c r="U58"/>
    </row>
    <row r="59" spans="3:21" ht="16.5" hidden="1" outlineLevel="1" thickTop="1" thickBot="1">
      <c r="C59"/>
      <c r="D59"/>
      <c r="E59"/>
      <c r="F59" s="384" t="s">
        <v>24</v>
      </c>
      <c r="G59" s="353">
        <v>15.213551146811216</v>
      </c>
      <c r="H59" s="353">
        <v>21.293900421820101</v>
      </c>
      <c r="I59" s="353"/>
      <c r="K59" s="457" t="str">
        <f t="shared" si="9"/>
        <v>LED</v>
      </c>
      <c r="L59" s="457" t="str">
        <f t="shared" si="10"/>
        <v>Area Lighting (Low/Medium Bay)</v>
      </c>
      <c r="M59" s="457" t="str">
        <f t="shared" si="11"/>
        <v>Health and Medical Hospital</v>
      </c>
      <c r="N59" s="457" t="str">
        <f t="shared" si="5"/>
        <v>CFL</v>
      </c>
      <c r="O59" s="461">
        <f t="shared" si="7"/>
        <v>15.213551146811216</v>
      </c>
      <c r="P59" s="461">
        <f t="shared" si="8"/>
        <v>21.293900421820101</v>
      </c>
      <c r="S59"/>
      <c r="T59"/>
      <c r="U59"/>
    </row>
    <row r="60" spans="3:21" ht="16.5" hidden="1" outlineLevel="1" thickTop="1" thickBot="1">
      <c r="C60" s="384" t="s">
        <v>102</v>
      </c>
      <c r="D60"/>
      <c r="E60"/>
      <c r="F60"/>
      <c r="G60" s="353"/>
      <c r="H60" s="353"/>
      <c r="I60" s="353"/>
      <c r="K60" s="457" t="str">
        <f t="shared" si="9"/>
        <v>LED Case Lights</v>
      </c>
      <c r="L60" s="457" t="str">
        <f t="shared" si="10"/>
        <v>Area Lighting (Low/Medium Bay)</v>
      </c>
      <c r="M60" s="457" t="str">
        <f t="shared" si="11"/>
        <v>Health and Medical Hospital</v>
      </c>
      <c r="N60" s="457" t="str">
        <f t="shared" si="5"/>
        <v>CFL</v>
      </c>
      <c r="O60" s="461">
        <f t="shared" si="7"/>
        <v>0</v>
      </c>
      <c r="P60" s="461">
        <f t="shared" si="8"/>
        <v>0</v>
      </c>
      <c r="S60"/>
      <c r="T60"/>
      <c r="U60"/>
    </row>
    <row r="61" spans="3:21" ht="16.5" hidden="1" outlineLevel="1" thickTop="1" thickBot="1">
      <c r="C61"/>
      <c r="D61" s="384" t="s">
        <v>1224</v>
      </c>
      <c r="E61"/>
      <c r="F61"/>
      <c r="G61" s="353"/>
      <c r="H61" s="353"/>
      <c r="I61" s="353"/>
      <c r="K61" s="457" t="str">
        <f t="shared" si="9"/>
        <v>LED Case Lights</v>
      </c>
      <c r="L61" s="457" t="str">
        <f t="shared" si="10"/>
        <v>Display and Advertising</v>
      </c>
      <c r="M61" s="457" t="str">
        <f t="shared" si="11"/>
        <v>Health and Medical Hospital</v>
      </c>
      <c r="N61" s="457" t="str">
        <f t="shared" si="5"/>
        <v>CFL</v>
      </c>
      <c r="O61" s="461">
        <f t="shared" si="7"/>
        <v>0</v>
      </c>
      <c r="P61" s="461">
        <f t="shared" si="8"/>
        <v>0</v>
      </c>
      <c r="S61"/>
      <c r="T61"/>
      <c r="U61"/>
    </row>
    <row r="62" spans="3:21" ht="16.5" hidden="1" outlineLevel="1" thickTop="1" thickBot="1">
      <c r="C62"/>
      <c r="D62"/>
      <c r="E62" s="384" t="s">
        <v>1142</v>
      </c>
      <c r="F62"/>
      <c r="G62" s="353"/>
      <c r="H62" s="353"/>
      <c r="I62" s="353"/>
      <c r="K62" s="457" t="str">
        <f t="shared" si="9"/>
        <v>LED Case Lights</v>
      </c>
      <c r="L62" s="457" t="str">
        <f t="shared" si="10"/>
        <v>Display and Advertising</v>
      </c>
      <c r="M62" s="457" t="str">
        <f t="shared" si="11"/>
        <v>Food and Liquor Stores</v>
      </c>
      <c r="N62" s="457" t="str">
        <f t="shared" si="5"/>
        <v>CFL</v>
      </c>
      <c r="O62" s="461">
        <f t="shared" si="7"/>
        <v>0</v>
      </c>
      <c r="P62" s="461">
        <f t="shared" si="8"/>
        <v>0</v>
      </c>
      <c r="S62"/>
      <c r="T62"/>
      <c r="U62"/>
    </row>
    <row r="63" spans="3:21" ht="16.5" hidden="1" outlineLevel="1" thickTop="1" thickBot="1">
      <c r="C63"/>
      <c r="D63"/>
      <c r="E63"/>
      <c r="F63" s="384" t="s">
        <v>28</v>
      </c>
      <c r="G63" s="353">
        <v>10.401415268762834</v>
      </c>
      <c r="H63" s="353">
        <v>5.4896358362914954</v>
      </c>
      <c r="I63" s="353"/>
      <c r="K63" s="457" t="str">
        <f t="shared" si="9"/>
        <v>LED Case Lights</v>
      </c>
      <c r="L63" s="457" t="str">
        <f t="shared" si="10"/>
        <v>Display and Advertising</v>
      </c>
      <c r="M63" s="457" t="str">
        <f t="shared" si="11"/>
        <v>Food and Liquor Stores</v>
      </c>
      <c r="N63" s="457" t="str">
        <f t="shared" si="5"/>
        <v>Linear Fluorescent Case Lights</v>
      </c>
      <c r="O63" s="461">
        <f t="shared" si="7"/>
        <v>10.401415268762834</v>
      </c>
      <c r="P63" s="461">
        <f t="shared" si="8"/>
        <v>5.4896358362914954</v>
      </c>
      <c r="S63"/>
      <c r="T63"/>
      <c r="U63"/>
    </row>
    <row r="64" spans="3:21" ht="16.5" hidden="1" outlineLevel="1" thickTop="1" thickBot="1">
      <c r="C64" s="384" t="s">
        <v>15</v>
      </c>
      <c r="D64"/>
      <c r="E64"/>
      <c r="F64"/>
      <c r="G64" s="353"/>
      <c r="H64" s="353"/>
      <c r="I64" s="353"/>
      <c r="K64" s="457" t="str">
        <f t="shared" si="9"/>
        <v>LED Panel Lighting</v>
      </c>
      <c r="L64" s="457" t="str">
        <f t="shared" si="10"/>
        <v>Display and Advertising</v>
      </c>
      <c r="M64" s="457" t="str">
        <f t="shared" si="11"/>
        <v>Food and Liquor Stores</v>
      </c>
      <c r="N64" s="457" t="str">
        <f t="shared" si="5"/>
        <v>Linear Fluorescent Case Lights</v>
      </c>
      <c r="O64" s="461">
        <f t="shared" si="7"/>
        <v>0</v>
      </c>
      <c r="P64" s="461">
        <f t="shared" si="8"/>
        <v>0</v>
      </c>
      <c r="S64"/>
      <c r="T64"/>
      <c r="U64"/>
    </row>
    <row r="65" spans="3:21" ht="16.5" hidden="1" outlineLevel="1" thickTop="1" thickBot="1">
      <c r="C65"/>
      <c r="D65" s="384" t="s">
        <v>97</v>
      </c>
      <c r="E65"/>
      <c r="F65"/>
      <c r="G65" s="353"/>
      <c r="H65" s="353"/>
      <c r="I65" s="353"/>
      <c r="K65" s="457" t="str">
        <f t="shared" si="9"/>
        <v>LED Panel Lighting</v>
      </c>
      <c r="L65" s="457" t="str">
        <f t="shared" si="10"/>
        <v>Task Lighting</v>
      </c>
      <c r="M65" s="457" t="str">
        <f t="shared" si="11"/>
        <v>Food and Liquor Stores</v>
      </c>
      <c r="N65" s="457" t="str">
        <f t="shared" si="5"/>
        <v>Linear Fluorescent Case Lights</v>
      </c>
      <c r="O65" s="461">
        <f t="shared" si="7"/>
        <v>0</v>
      </c>
      <c r="P65" s="461">
        <f t="shared" si="8"/>
        <v>0</v>
      </c>
      <c r="S65"/>
      <c r="T65"/>
      <c r="U65"/>
    </row>
    <row r="66" spans="3:21" ht="16.5" hidden="1" outlineLevel="1" thickTop="1" thickBot="1">
      <c r="C66"/>
      <c r="D66"/>
      <c r="E66" s="384" t="s">
        <v>181</v>
      </c>
      <c r="F66"/>
      <c r="G66" s="353"/>
      <c r="H66" s="353"/>
      <c r="I66" s="353"/>
      <c r="K66" s="457" t="str">
        <f t="shared" si="9"/>
        <v>LED Panel Lighting</v>
      </c>
      <c r="L66" s="457" t="str">
        <f t="shared" si="10"/>
        <v>Task Lighting</v>
      </c>
      <c r="M66" s="457" t="str">
        <f t="shared" si="11"/>
        <v>Office</v>
      </c>
      <c r="N66" s="457" t="str">
        <f t="shared" si="5"/>
        <v>Linear Fluorescent Case Lights</v>
      </c>
      <c r="O66" s="461">
        <f t="shared" si="7"/>
        <v>0</v>
      </c>
      <c r="P66" s="461">
        <f t="shared" si="8"/>
        <v>0</v>
      </c>
      <c r="S66"/>
      <c r="T66"/>
      <c r="U66"/>
    </row>
    <row r="67" spans="3:21" ht="16.5" hidden="1" outlineLevel="1" thickTop="1" thickBot="1">
      <c r="C67"/>
      <c r="D67"/>
      <c r="E67"/>
      <c r="F67" s="384" t="s">
        <v>27</v>
      </c>
      <c r="G67" s="353">
        <v>23.637277248920416</v>
      </c>
      <c r="H67" s="353">
        <v>36.940117002963994</v>
      </c>
      <c r="I67" s="353"/>
      <c r="K67" s="457" t="str">
        <f t="shared" si="9"/>
        <v>LED Panel Lighting</v>
      </c>
      <c r="L67" s="457" t="str">
        <f t="shared" si="10"/>
        <v>Task Lighting</v>
      </c>
      <c r="M67" s="457" t="str">
        <f t="shared" si="11"/>
        <v>Office</v>
      </c>
      <c r="N67" s="457" t="str">
        <f t="shared" si="5"/>
        <v>Linear Fluorescent</v>
      </c>
      <c r="O67" s="461">
        <f t="shared" si="7"/>
        <v>23.637277248920416</v>
      </c>
      <c r="P67" s="461">
        <f t="shared" si="8"/>
        <v>36.940117002963994</v>
      </c>
      <c r="S67"/>
      <c r="T67"/>
      <c r="U67"/>
    </row>
    <row r="68" spans="3:21" ht="16.5" hidden="1" outlineLevel="1" thickTop="1" thickBot="1">
      <c r="C68"/>
      <c r="D68" s="384" t="s">
        <v>1224</v>
      </c>
      <c r="E68"/>
      <c r="F68"/>
      <c r="G68" s="353"/>
      <c r="H68" s="353"/>
      <c r="I68" s="353"/>
      <c r="K68" s="457" t="str">
        <f t="shared" si="9"/>
        <v>LED Panel Lighting</v>
      </c>
      <c r="L68" s="457" t="str">
        <f t="shared" si="10"/>
        <v>Display and Advertising</v>
      </c>
      <c r="M68" s="457" t="str">
        <f t="shared" si="11"/>
        <v>Office</v>
      </c>
      <c r="N68" s="457" t="str">
        <f t="shared" si="5"/>
        <v>Linear Fluorescent</v>
      </c>
      <c r="O68" s="461">
        <f t="shared" si="7"/>
        <v>0</v>
      </c>
      <c r="P68" s="461">
        <f t="shared" si="8"/>
        <v>0</v>
      </c>
      <c r="S68"/>
      <c r="T68"/>
      <c r="U68"/>
    </row>
    <row r="69" spans="3:21" ht="16.5" hidden="1" outlineLevel="1" thickTop="1" thickBot="1">
      <c r="C69"/>
      <c r="D69"/>
      <c r="E69" s="384" t="s">
        <v>499</v>
      </c>
      <c r="F69"/>
      <c r="G69" s="353"/>
      <c r="H69" s="353"/>
      <c r="I69" s="353"/>
      <c r="K69" s="457" t="str">
        <f t="shared" si="9"/>
        <v>LED Panel Lighting</v>
      </c>
      <c r="L69" s="457" t="str">
        <f t="shared" si="10"/>
        <v>Display and Advertising</v>
      </c>
      <c r="M69" s="457" t="str">
        <f t="shared" si="11"/>
        <v>Retail</v>
      </c>
      <c r="N69" s="457" t="str">
        <f t="shared" si="5"/>
        <v>Linear Fluorescent</v>
      </c>
      <c r="O69" s="461">
        <f t="shared" si="7"/>
        <v>0</v>
      </c>
      <c r="P69" s="461">
        <f t="shared" si="8"/>
        <v>0</v>
      </c>
      <c r="S69"/>
      <c r="T69"/>
      <c r="U69"/>
    </row>
    <row r="70" spans="3:21" ht="16.5" hidden="1" outlineLevel="1" thickTop="1" thickBot="1">
      <c r="C70"/>
      <c r="D70"/>
      <c r="E70"/>
      <c r="F70" s="384" t="s">
        <v>27</v>
      </c>
      <c r="G70" s="353">
        <v>35.186800955524369</v>
      </c>
      <c r="H70" s="353">
        <v>43.301822340592075</v>
      </c>
      <c r="I70" s="353"/>
      <c r="K70" s="457" t="str">
        <f t="shared" si="9"/>
        <v>LED Panel Lighting</v>
      </c>
      <c r="L70" s="457" t="str">
        <f t="shared" si="10"/>
        <v>Display and Advertising</v>
      </c>
      <c r="M70" s="457" t="str">
        <f t="shared" si="11"/>
        <v>Retail</v>
      </c>
      <c r="N70" s="457" t="str">
        <f t="shared" si="5"/>
        <v>Linear Fluorescent</v>
      </c>
      <c r="O70" s="461">
        <f t="shared" si="7"/>
        <v>35.186800955524369</v>
      </c>
      <c r="P70" s="461">
        <f t="shared" si="8"/>
        <v>43.301822340592075</v>
      </c>
      <c r="S70"/>
      <c r="T70"/>
      <c r="U70"/>
    </row>
    <row r="71" spans="3:21" ht="16.5" hidden="1" outlineLevel="1" thickTop="1" thickBot="1">
      <c r="C71"/>
      <c r="D71"/>
      <c r="E71" s="384" t="s">
        <v>502</v>
      </c>
      <c r="F71"/>
      <c r="G71" s="353"/>
      <c r="H71" s="353"/>
      <c r="I71" s="353"/>
      <c r="K71" s="457" t="str">
        <f t="shared" si="9"/>
        <v>LED Panel Lighting</v>
      </c>
      <c r="L71" s="457" t="str">
        <f t="shared" si="10"/>
        <v>Display and Advertising</v>
      </c>
      <c r="M71" s="457" t="str">
        <f t="shared" si="11"/>
        <v>Restaurant</v>
      </c>
      <c r="N71" s="457" t="str">
        <f t="shared" si="5"/>
        <v>Linear Fluorescent</v>
      </c>
      <c r="O71" s="461">
        <f t="shared" ref="O71:O102" si="12">G71</f>
        <v>0</v>
      </c>
      <c r="P71" s="461">
        <f t="shared" ref="P71:P102" si="13">H71</f>
        <v>0</v>
      </c>
      <c r="S71"/>
      <c r="T71"/>
      <c r="U71"/>
    </row>
    <row r="72" spans="3:21" ht="16.5" hidden="1" outlineLevel="1" thickTop="1" thickBot="1">
      <c r="C72"/>
      <c r="D72"/>
      <c r="E72"/>
      <c r="F72" s="384" t="s">
        <v>27</v>
      </c>
      <c r="G72" s="353">
        <v>2.5433212369502054</v>
      </c>
      <c r="H72" s="353">
        <v>3.5772108932732181</v>
      </c>
      <c r="I72" s="353"/>
      <c r="K72" s="457" t="str">
        <f t="shared" ref="K72:K103" si="14">IF(C72=0,K71,C72)</f>
        <v>LED Panel Lighting</v>
      </c>
      <c r="L72" s="457" t="str">
        <f t="shared" ref="L72:L103" si="15">IF(D72=0,L71,D72)</f>
        <v>Display and Advertising</v>
      </c>
      <c r="M72" s="457" t="str">
        <f t="shared" si="11"/>
        <v>Restaurant</v>
      </c>
      <c r="N72" s="457" t="str">
        <f t="shared" ref="N72:N135" si="16">IF(F72=0,N71,F72)</f>
        <v>Linear Fluorescent</v>
      </c>
      <c r="O72" s="461">
        <f t="shared" si="12"/>
        <v>2.5433212369502054</v>
      </c>
      <c r="P72" s="461">
        <f t="shared" si="13"/>
        <v>3.5772108932732181</v>
      </c>
      <c r="S72"/>
      <c r="T72"/>
      <c r="U72"/>
    </row>
    <row r="73" spans="3:21" ht="16.5" hidden="1" outlineLevel="1" thickTop="1" thickBot="1">
      <c r="C73"/>
      <c r="D73" s="384" t="s">
        <v>1267</v>
      </c>
      <c r="E73"/>
      <c r="F73"/>
      <c r="G73" s="353"/>
      <c r="H73" s="353"/>
      <c r="I73" s="353"/>
      <c r="K73" s="457" t="str">
        <f t="shared" si="14"/>
        <v>LED Panel Lighting</v>
      </c>
      <c r="L73" s="457" t="str">
        <f t="shared" si="15"/>
        <v>Area Lighting for Lobbies, Corridors</v>
      </c>
      <c r="M73" s="457" t="str">
        <f t="shared" si="11"/>
        <v>Restaurant</v>
      </c>
      <c r="N73" s="457" t="str">
        <f t="shared" si="16"/>
        <v>Linear Fluorescent</v>
      </c>
      <c r="O73" s="461">
        <f t="shared" si="12"/>
        <v>0</v>
      </c>
      <c r="P73" s="461">
        <f t="shared" si="13"/>
        <v>0</v>
      </c>
      <c r="S73"/>
      <c r="T73"/>
      <c r="U73"/>
    </row>
    <row r="74" spans="3:21" ht="16.5" hidden="1" outlineLevel="1" thickTop="1" thickBot="1">
      <c r="C74"/>
      <c r="D74"/>
      <c r="E74" s="384" t="s">
        <v>1266</v>
      </c>
      <c r="F74"/>
      <c r="G74" s="353"/>
      <c r="H74" s="353"/>
      <c r="I74" s="353"/>
      <c r="K74" s="457" t="str">
        <f t="shared" si="14"/>
        <v>LED Panel Lighting</v>
      </c>
      <c r="L74" s="457" t="str">
        <f t="shared" si="15"/>
        <v>Area Lighting for Lobbies, Corridors</v>
      </c>
      <c r="M74" s="457" t="str">
        <f t="shared" si="11"/>
        <v>All Commercial</v>
      </c>
      <c r="N74" s="457" t="str">
        <f t="shared" si="16"/>
        <v>Linear Fluorescent</v>
      </c>
      <c r="O74" s="461">
        <f t="shared" si="12"/>
        <v>0</v>
      </c>
      <c r="P74" s="461">
        <f t="shared" si="13"/>
        <v>0</v>
      </c>
    </row>
    <row r="75" spans="3:21" ht="16.5" hidden="1" outlineLevel="1" thickTop="1" thickBot="1">
      <c r="C75"/>
      <c r="D75"/>
      <c r="E75"/>
      <c r="F75" s="384" t="s">
        <v>27</v>
      </c>
      <c r="G75" s="353">
        <v>529.77347990666283</v>
      </c>
      <c r="H75" s="353">
        <v>653.38729122230916</v>
      </c>
      <c r="I75" s="353"/>
      <c r="K75" s="457" t="str">
        <f t="shared" si="14"/>
        <v>LED Panel Lighting</v>
      </c>
      <c r="L75" s="457" t="str">
        <f t="shared" si="15"/>
        <v>Area Lighting for Lobbies, Corridors</v>
      </c>
      <c r="M75" s="457" t="str">
        <f t="shared" si="11"/>
        <v>All Commercial</v>
      </c>
      <c r="N75" s="457" t="str">
        <f t="shared" si="16"/>
        <v>Linear Fluorescent</v>
      </c>
      <c r="O75" s="461">
        <f t="shared" si="12"/>
        <v>529.77347990666283</v>
      </c>
      <c r="P75" s="461">
        <f t="shared" si="13"/>
        <v>653.38729122230916</v>
      </c>
    </row>
    <row r="76" spans="3:21" ht="16.5" hidden="1" outlineLevel="1" thickTop="1" thickBot="1">
      <c r="C76"/>
      <c r="D76" s="384" t="s">
        <v>1268</v>
      </c>
      <c r="E76"/>
      <c r="F76"/>
      <c r="G76" s="353"/>
      <c r="H76" s="353"/>
      <c r="I76" s="353"/>
      <c r="K76" s="457" t="str">
        <f t="shared" si="14"/>
        <v>LED Panel Lighting</v>
      </c>
      <c r="L76" s="457" t="str">
        <f t="shared" si="15"/>
        <v>Area Lighting for Stairwells</v>
      </c>
      <c r="M76" s="457" t="str">
        <f t="shared" si="11"/>
        <v>All Commercial</v>
      </c>
      <c r="N76" s="457" t="str">
        <f t="shared" si="16"/>
        <v>Linear Fluorescent</v>
      </c>
      <c r="O76" s="461">
        <f t="shared" si="12"/>
        <v>0</v>
      </c>
      <c r="P76" s="461">
        <f t="shared" si="13"/>
        <v>0</v>
      </c>
    </row>
    <row r="77" spans="3:21" ht="16.5" hidden="1" outlineLevel="1" thickTop="1" thickBot="1">
      <c r="C77"/>
      <c r="D77"/>
      <c r="E77" s="384" t="s">
        <v>1266</v>
      </c>
      <c r="F77"/>
      <c r="G77" s="353"/>
      <c r="H77" s="353"/>
      <c r="I77" s="353"/>
      <c r="K77" s="457" t="str">
        <f t="shared" si="14"/>
        <v>LED Panel Lighting</v>
      </c>
      <c r="L77" s="457" t="str">
        <f t="shared" si="15"/>
        <v>Area Lighting for Stairwells</v>
      </c>
      <c r="M77" s="457" t="str">
        <f t="shared" si="11"/>
        <v>All Commercial</v>
      </c>
      <c r="N77" s="457" t="str">
        <f t="shared" si="16"/>
        <v>Linear Fluorescent</v>
      </c>
      <c r="O77" s="461">
        <f t="shared" si="12"/>
        <v>0</v>
      </c>
      <c r="P77" s="461">
        <f t="shared" si="13"/>
        <v>0</v>
      </c>
    </row>
    <row r="78" spans="3:21" ht="16.5" hidden="1" outlineLevel="1" thickTop="1" thickBot="1">
      <c r="C78"/>
      <c r="D78"/>
      <c r="E78"/>
      <c r="F78" s="384" t="s">
        <v>27</v>
      </c>
      <c r="G78" s="353">
        <v>58.564026356227821</v>
      </c>
      <c r="H78" s="353">
        <v>72.228965766103016</v>
      </c>
      <c r="I78" s="353"/>
      <c r="K78" s="457" t="str">
        <f t="shared" si="14"/>
        <v>LED Panel Lighting</v>
      </c>
      <c r="L78" s="457" t="str">
        <f t="shared" si="15"/>
        <v>Area Lighting for Stairwells</v>
      </c>
      <c r="M78" s="457" t="str">
        <f t="shared" si="11"/>
        <v>All Commercial</v>
      </c>
      <c r="N78" s="457" t="str">
        <f t="shared" si="16"/>
        <v>Linear Fluorescent</v>
      </c>
      <c r="O78" s="461">
        <f t="shared" si="12"/>
        <v>58.564026356227821</v>
      </c>
      <c r="P78" s="461">
        <f t="shared" si="13"/>
        <v>72.228965766103016</v>
      </c>
    </row>
    <row r="79" spans="3:21" ht="16.5" hidden="1" outlineLevel="1" thickTop="1" thickBot="1">
      <c r="C79"/>
      <c r="D79" s="384" t="s">
        <v>1220</v>
      </c>
      <c r="E79"/>
      <c r="F79"/>
      <c r="G79" s="353"/>
      <c r="H79" s="353"/>
      <c r="I79" s="353"/>
      <c r="K79" s="457" t="str">
        <f t="shared" si="14"/>
        <v>LED Panel Lighting</v>
      </c>
      <c r="L79" s="457" t="str">
        <f t="shared" si="15"/>
        <v>Area Lighting (Low/Medium Bay)</v>
      </c>
      <c r="M79" s="457" t="str">
        <f t="shared" si="11"/>
        <v>All Commercial</v>
      </c>
      <c r="N79" s="457" t="str">
        <f t="shared" si="16"/>
        <v>Linear Fluorescent</v>
      </c>
      <c r="O79" s="461">
        <f t="shared" si="12"/>
        <v>0</v>
      </c>
      <c r="P79" s="461">
        <f t="shared" si="13"/>
        <v>0</v>
      </c>
    </row>
    <row r="80" spans="3:21" ht="16.5" hidden="1" outlineLevel="1" thickTop="1" thickBot="1">
      <c r="C80"/>
      <c r="D80"/>
      <c r="E80" s="384" t="s">
        <v>105</v>
      </c>
      <c r="F80"/>
      <c r="G80" s="353"/>
      <c r="H80" s="353"/>
      <c r="I80" s="353"/>
      <c r="K80" s="457" t="str">
        <f t="shared" si="14"/>
        <v>LED Panel Lighting</v>
      </c>
      <c r="L80" s="457" t="str">
        <f t="shared" si="15"/>
        <v>Area Lighting (Low/Medium Bay)</v>
      </c>
      <c r="M80" s="457" t="str">
        <f t="shared" si="11"/>
        <v>University/College</v>
      </c>
      <c r="N80" s="457" t="str">
        <f t="shared" si="16"/>
        <v>Linear Fluorescent</v>
      </c>
      <c r="O80" s="461">
        <f t="shared" si="12"/>
        <v>0</v>
      </c>
      <c r="P80" s="461">
        <f t="shared" si="13"/>
        <v>0</v>
      </c>
    </row>
    <row r="81" spans="3:16" ht="16.5" hidden="1" outlineLevel="1" thickTop="1" thickBot="1">
      <c r="C81"/>
      <c r="D81"/>
      <c r="E81"/>
      <c r="F81" s="384" t="s">
        <v>27</v>
      </c>
      <c r="G81" s="353">
        <v>151.97627093884191</v>
      </c>
      <c r="H81" s="353">
        <v>187.27435031373497</v>
      </c>
      <c r="I81" s="353"/>
      <c r="K81" s="457" t="str">
        <f t="shared" si="14"/>
        <v>LED Panel Lighting</v>
      </c>
      <c r="L81" s="457" t="str">
        <f t="shared" si="15"/>
        <v>Area Lighting (Low/Medium Bay)</v>
      </c>
      <c r="M81" s="457" t="str">
        <f t="shared" si="11"/>
        <v>University/College</v>
      </c>
      <c r="N81" s="457" t="str">
        <f t="shared" si="16"/>
        <v>Linear Fluorescent</v>
      </c>
      <c r="O81" s="461">
        <f t="shared" si="12"/>
        <v>151.97627093884191</v>
      </c>
      <c r="P81" s="461">
        <f t="shared" si="13"/>
        <v>187.27435031373497</v>
      </c>
    </row>
    <row r="82" spans="3:16" ht="16.5" hidden="1" outlineLevel="1" thickTop="1" thickBot="1">
      <c r="C82"/>
      <c r="D82"/>
      <c r="E82" s="384" t="s">
        <v>938</v>
      </c>
      <c r="F82"/>
      <c r="G82" s="353"/>
      <c r="H82" s="353"/>
      <c r="I82" s="353"/>
      <c r="K82" s="457" t="str">
        <f t="shared" si="14"/>
        <v>LED Panel Lighting</v>
      </c>
      <c r="L82" s="457" t="str">
        <f t="shared" si="15"/>
        <v>Area Lighting (Low/Medium Bay)</v>
      </c>
      <c r="M82" s="457" t="str">
        <f t="shared" si="11"/>
        <v>Hotel/Motel, Dorms, Assisted Living</v>
      </c>
      <c r="N82" s="457" t="str">
        <f t="shared" si="16"/>
        <v>Linear Fluorescent</v>
      </c>
      <c r="O82" s="461">
        <f t="shared" si="12"/>
        <v>0</v>
      </c>
      <c r="P82" s="461">
        <f t="shared" si="13"/>
        <v>0</v>
      </c>
    </row>
    <row r="83" spans="3:16" ht="16.5" hidden="1" outlineLevel="1" thickTop="1" thickBot="1">
      <c r="C83"/>
      <c r="D83"/>
      <c r="E83"/>
      <c r="F83" s="384" t="s">
        <v>27</v>
      </c>
      <c r="G83" s="353">
        <v>8.5647854355060904</v>
      </c>
      <c r="H83" s="353">
        <v>14.305183487861566</v>
      </c>
      <c r="I83" s="353"/>
      <c r="K83" s="457" t="str">
        <f t="shared" si="14"/>
        <v>LED Panel Lighting</v>
      </c>
      <c r="L83" s="457" t="str">
        <f t="shared" si="15"/>
        <v>Area Lighting (Low/Medium Bay)</v>
      </c>
      <c r="M83" s="457" t="str">
        <f t="shared" si="11"/>
        <v>Hotel/Motel, Dorms, Assisted Living</v>
      </c>
      <c r="N83" s="457" t="str">
        <f t="shared" si="16"/>
        <v>Linear Fluorescent</v>
      </c>
      <c r="O83" s="461">
        <f t="shared" si="12"/>
        <v>8.5647854355060904</v>
      </c>
      <c r="P83" s="461">
        <f t="shared" si="13"/>
        <v>14.305183487861566</v>
      </c>
    </row>
    <row r="84" spans="3:16" ht="16.5" hidden="1" outlineLevel="1" thickTop="1" thickBot="1">
      <c r="C84"/>
      <c r="D84"/>
      <c r="E84" s="384" t="s">
        <v>181</v>
      </c>
      <c r="F84"/>
      <c r="G84" s="353"/>
      <c r="H84" s="353"/>
      <c r="I84" s="353"/>
      <c r="K84" s="457" t="str">
        <f t="shared" si="14"/>
        <v>LED Panel Lighting</v>
      </c>
      <c r="L84" s="457" t="str">
        <f t="shared" si="15"/>
        <v>Area Lighting (Low/Medium Bay)</v>
      </c>
      <c r="M84" s="457" t="str">
        <f t="shared" si="11"/>
        <v>Office</v>
      </c>
      <c r="N84" s="457" t="str">
        <f t="shared" si="16"/>
        <v>Linear Fluorescent</v>
      </c>
      <c r="O84" s="461">
        <f t="shared" si="12"/>
        <v>0</v>
      </c>
      <c r="P84" s="461">
        <f t="shared" si="13"/>
        <v>0</v>
      </c>
    </row>
    <row r="85" spans="3:16" ht="16.5" hidden="1" outlineLevel="1" thickTop="1" thickBot="1">
      <c r="C85"/>
      <c r="D85"/>
      <c r="E85"/>
      <c r="F85" s="384" t="s">
        <v>27</v>
      </c>
      <c r="G85" s="353">
        <v>857.82021865883769</v>
      </c>
      <c r="H85" s="353">
        <v>1056.5797737253315</v>
      </c>
      <c r="I85" s="353"/>
      <c r="K85" s="457" t="str">
        <f t="shared" si="14"/>
        <v>LED Panel Lighting</v>
      </c>
      <c r="L85" s="457" t="str">
        <f t="shared" si="15"/>
        <v>Area Lighting (Low/Medium Bay)</v>
      </c>
      <c r="M85" s="457" t="str">
        <f t="shared" ref="M85:M116" si="17">IF(E85=0,M84,E85)</f>
        <v>Office</v>
      </c>
      <c r="N85" s="457" t="str">
        <f t="shared" si="16"/>
        <v>Linear Fluorescent</v>
      </c>
      <c r="O85" s="461">
        <f t="shared" si="12"/>
        <v>857.82021865883769</v>
      </c>
      <c r="P85" s="461">
        <f t="shared" si="13"/>
        <v>1056.5797737253315</v>
      </c>
    </row>
    <row r="86" spans="3:16" ht="16.5" hidden="1" outlineLevel="1" thickTop="1" thickBot="1">
      <c r="C86"/>
      <c r="D86"/>
      <c r="E86" s="384" t="s">
        <v>499</v>
      </c>
      <c r="F86"/>
      <c r="G86" s="353"/>
      <c r="H86" s="353"/>
      <c r="I86" s="353"/>
      <c r="K86" s="457" t="str">
        <f t="shared" si="14"/>
        <v>LED Panel Lighting</v>
      </c>
      <c r="L86" s="457" t="str">
        <f t="shared" si="15"/>
        <v>Area Lighting (Low/Medium Bay)</v>
      </c>
      <c r="M86" s="457" t="str">
        <f t="shared" si="17"/>
        <v>Retail</v>
      </c>
      <c r="N86" s="457" t="str">
        <f t="shared" si="16"/>
        <v>Linear Fluorescent</v>
      </c>
      <c r="O86" s="461">
        <f t="shared" si="12"/>
        <v>0</v>
      </c>
      <c r="P86" s="461">
        <f t="shared" si="13"/>
        <v>0</v>
      </c>
    </row>
    <row r="87" spans="3:16" ht="16.5" hidden="1" outlineLevel="1" thickTop="1" thickBot="1">
      <c r="C87"/>
      <c r="D87"/>
      <c r="E87"/>
      <c r="F87" s="384" t="s">
        <v>27</v>
      </c>
      <c r="G87" s="353">
        <v>131.70411125398581</v>
      </c>
      <c r="H87" s="353">
        <v>147.70097463229004</v>
      </c>
      <c r="I87" s="353"/>
      <c r="K87" s="457" t="str">
        <f t="shared" si="14"/>
        <v>LED Panel Lighting</v>
      </c>
      <c r="L87" s="457" t="str">
        <f t="shared" si="15"/>
        <v>Area Lighting (Low/Medium Bay)</v>
      </c>
      <c r="M87" s="457" t="str">
        <f t="shared" si="17"/>
        <v>Retail</v>
      </c>
      <c r="N87" s="457" t="str">
        <f t="shared" si="16"/>
        <v>Linear Fluorescent</v>
      </c>
      <c r="O87" s="461">
        <f t="shared" si="12"/>
        <v>131.70411125398581</v>
      </c>
      <c r="P87" s="461">
        <f t="shared" si="13"/>
        <v>147.70097463229004</v>
      </c>
    </row>
    <row r="88" spans="3:16" ht="16.5" hidden="1" outlineLevel="1" thickTop="1" thickBot="1">
      <c r="C88"/>
      <c r="D88"/>
      <c r="E88" s="384" t="s">
        <v>1149</v>
      </c>
      <c r="F88"/>
      <c r="G88" s="353"/>
      <c r="H88" s="353"/>
      <c r="I88" s="353"/>
      <c r="K88" s="457" t="str">
        <f t="shared" si="14"/>
        <v>LED Panel Lighting</v>
      </c>
      <c r="L88" s="457" t="str">
        <f t="shared" si="15"/>
        <v>Area Lighting (Low/Medium Bay)</v>
      </c>
      <c r="M88" s="457" t="str">
        <f t="shared" si="17"/>
        <v xml:space="preserve">Warehouse </v>
      </c>
      <c r="N88" s="457" t="str">
        <f t="shared" si="16"/>
        <v>Linear Fluorescent</v>
      </c>
      <c r="O88" s="461">
        <f t="shared" si="12"/>
        <v>0</v>
      </c>
      <c r="P88" s="461">
        <f t="shared" si="13"/>
        <v>0</v>
      </c>
    </row>
    <row r="89" spans="3:16" ht="16.5" hidden="1" outlineLevel="1" thickTop="1" thickBot="1">
      <c r="C89"/>
      <c r="D89"/>
      <c r="E89"/>
      <c r="F89" s="384" t="s">
        <v>27</v>
      </c>
      <c r="G89" s="353">
        <v>64.584978109068985</v>
      </c>
      <c r="H89" s="353">
        <v>84.097904173266699</v>
      </c>
      <c r="I89" s="353"/>
      <c r="K89" s="457" t="str">
        <f t="shared" si="14"/>
        <v>LED Panel Lighting</v>
      </c>
      <c r="L89" s="457" t="str">
        <f t="shared" si="15"/>
        <v>Area Lighting (Low/Medium Bay)</v>
      </c>
      <c r="M89" s="457" t="str">
        <f t="shared" si="17"/>
        <v xml:space="preserve">Warehouse </v>
      </c>
      <c r="N89" s="457" t="str">
        <f t="shared" si="16"/>
        <v>Linear Fluorescent</v>
      </c>
      <c r="O89" s="461">
        <f t="shared" si="12"/>
        <v>64.584978109068985</v>
      </c>
      <c r="P89" s="461">
        <f t="shared" si="13"/>
        <v>84.097904173266699</v>
      </c>
    </row>
    <row r="90" spans="3:16" ht="16.5" hidden="1" outlineLevel="1" thickTop="1" thickBot="1">
      <c r="C90"/>
      <c r="D90"/>
      <c r="E90" s="384" t="s">
        <v>1142</v>
      </c>
      <c r="F90"/>
      <c r="G90" s="353"/>
      <c r="H90" s="353"/>
      <c r="I90" s="353"/>
      <c r="K90" s="457" t="str">
        <f t="shared" si="14"/>
        <v>LED Panel Lighting</v>
      </c>
      <c r="L90" s="457" t="str">
        <f t="shared" si="15"/>
        <v>Area Lighting (Low/Medium Bay)</v>
      </c>
      <c r="M90" s="457" t="str">
        <f t="shared" si="17"/>
        <v>Food and Liquor Stores</v>
      </c>
      <c r="N90" s="457" t="str">
        <f t="shared" si="16"/>
        <v>Linear Fluorescent</v>
      </c>
      <c r="O90" s="461">
        <f t="shared" si="12"/>
        <v>0</v>
      </c>
      <c r="P90" s="461">
        <f t="shared" si="13"/>
        <v>0</v>
      </c>
    </row>
    <row r="91" spans="3:16" ht="16.5" hidden="1" outlineLevel="1" thickTop="1" thickBot="1">
      <c r="C91"/>
      <c r="D91"/>
      <c r="E91"/>
      <c r="F91" s="384" t="s">
        <v>27</v>
      </c>
      <c r="G91" s="353">
        <v>64.97578185046406</v>
      </c>
      <c r="H91" s="353">
        <v>69.789601902445355</v>
      </c>
      <c r="I91" s="353"/>
      <c r="K91" s="457" t="str">
        <f t="shared" si="14"/>
        <v>LED Panel Lighting</v>
      </c>
      <c r="L91" s="457" t="str">
        <f t="shared" si="15"/>
        <v>Area Lighting (Low/Medium Bay)</v>
      </c>
      <c r="M91" s="457" t="str">
        <f t="shared" si="17"/>
        <v>Food and Liquor Stores</v>
      </c>
      <c r="N91" s="457" t="str">
        <f t="shared" si="16"/>
        <v>Linear Fluorescent</v>
      </c>
      <c r="O91" s="461">
        <f t="shared" si="12"/>
        <v>64.97578185046406</v>
      </c>
      <c r="P91" s="461">
        <f t="shared" si="13"/>
        <v>69.789601902445355</v>
      </c>
    </row>
    <row r="92" spans="3:16" ht="16.5" hidden="1" outlineLevel="1" thickTop="1" thickBot="1">
      <c r="C92"/>
      <c r="D92"/>
      <c r="E92" s="384" t="s">
        <v>1143</v>
      </c>
      <c r="F92"/>
      <c r="G92" s="353"/>
      <c r="H92" s="353"/>
      <c r="I92" s="353"/>
      <c r="K92" s="457" t="str">
        <f t="shared" si="14"/>
        <v>LED Panel Lighting</v>
      </c>
      <c r="L92" s="457" t="str">
        <f t="shared" si="15"/>
        <v>Area Lighting (Low/Medium Bay)</v>
      </c>
      <c r="M92" s="457" t="str">
        <f t="shared" si="17"/>
        <v>Health and Medical Clinics</v>
      </c>
      <c r="N92" s="457" t="str">
        <f t="shared" si="16"/>
        <v>Linear Fluorescent</v>
      </c>
      <c r="O92" s="461">
        <f t="shared" si="12"/>
        <v>0</v>
      </c>
      <c r="P92" s="461">
        <f t="shared" si="13"/>
        <v>0</v>
      </c>
    </row>
    <row r="93" spans="3:16" ht="16.5" hidden="1" outlineLevel="1" thickTop="1" thickBot="1">
      <c r="C93"/>
      <c r="D93"/>
      <c r="E93"/>
      <c r="F93" s="384" t="s">
        <v>27</v>
      </c>
      <c r="G93" s="353">
        <v>82.481720021364652</v>
      </c>
      <c r="H93" s="353">
        <v>94.517932178903052</v>
      </c>
      <c r="I93" s="353"/>
      <c r="K93" s="457" t="str">
        <f t="shared" si="14"/>
        <v>LED Panel Lighting</v>
      </c>
      <c r="L93" s="457" t="str">
        <f t="shared" si="15"/>
        <v>Area Lighting (Low/Medium Bay)</v>
      </c>
      <c r="M93" s="457" t="str">
        <f t="shared" si="17"/>
        <v>Health and Medical Clinics</v>
      </c>
      <c r="N93" s="457" t="str">
        <f t="shared" si="16"/>
        <v>Linear Fluorescent</v>
      </c>
      <c r="O93" s="461">
        <f t="shared" si="12"/>
        <v>82.481720021364652</v>
      </c>
      <c r="P93" s="461">
        <f t="shared" si="13"/>
        <v>94.517932178903052</v>
      </c>
    </row>
    <row r="94" spans="3:16" ht="16.5" hidden="1" outlineLevel="1" thickTop="1" thickBot="1">
      <c r="C94"/>
      <c r="D94"/>
      <c r="E94" s="384" t="s">
        <v>502</v>
      </c>
      <c r="F94"/>
      <c r="G94" s="353"/>
      <c r="H94" s="353"/>
      <c r="I94" s="353"/>
      <c r="K94" s="457" t="str">
        <f t="shared" si="14"/>
        <v>LED Panel Lighting</v>
      </c>
      <c r="L94" s="457" t="str">
        <f t="shared" si="15"/>
        <v>Area Lighting (Low/Medium Bay)</v>
      </c>
      <c r="M94" s="457" t="str">
        <f t="shared" si="17"/>
        <v>Restaurant</v>
      </c>
      <c r="N94" s="457" t="str">
        <f t="shared" si="16"/>
        <v>Linear Fluorescent</v>
      </c>
      <c r="O94" s="461">
        <f t="shared" si="12"/>
        <v>0</v>
      </c>
      <c r="P94" s="461">
        <f t="shared" si="13"/>
        <v>0</v>
      </c>
    </row>
    <row r="95" spans="3:16" ht="16.5" hidden="1" outlineLevel="1" thickTop="1" thickBot="1">
      <c r="C95"/>
      <c r="D95"/>
      <c r="E95"/>
      <c r="F95" s="384" t="s">
        <v>27</v>
      </c>
      <c r="G95" s="353">
        <v>53.805561831709454</v>
      </c>
      <c r="H95" s="353">
        <v>78.562751204429247</v>
      </c>
      <c r="I95" s="353"/>
      <c r="K95" s="457" t="str">
        <f t="shared" si="14"/>
        <v>LED Panel Lighting</v>
      </c>
      <c r="L95" s="457" t="str">
        <f t="shared" si="15"/>
        <v>Area Lighting (Low/Medium Bay)</v>
      </c>
      <c r="M95" s="457" t="str">
        <f t="shared" si="17"/>
        <v>Restaurant</v>
      </c>
      <c r="N95" s="457" t="str">
        <f t="shared" si="16"/>
        <v>Linear Fluorescent</v>
      </c>
      <c r="O95" s="461">
        <f t="shared" si="12"/>
        <v>53.805561831709454</v>
      </c>
      <c r="P95" s="461">
        <f t="shared" si="13"/>
        <v>78.562751204429247</v>
      </c>
    </row>
    <row r="96" spans="3:16" ht="16.5" hidden="1" outlineLevel="1" thickTop="1" thickBot="1">
      <c r="C96"/>
      <c r="D96"/>
      <c r="E96" s="384" t="s">
        <v>1154</v>
      </c>
      <c r="F96"/>
      <c r="G96" s="353"/>
      <c r="H96" s="353"/>
      <c r="I96" s="353"/>
      <c r="K96" s="457" t="str">
        <f t="shared" si="14"/>
        <v>LED Panel Lighting</v>
      </c>
      <c r="L96" s="457" t="str">
        <f t="shared" si="15"/>
        <v>Area Lighting (Low/Medium Bay)</v>
      </c>
      <c r="M96" s="457" t="str">
        <f t="shared" si="17"/>
        <v>Schools</v>
      </c>
      <c r="N96" s="457" t="str">
        <f t="shared" si="16"/>
        <v>Linear Fluorescent</v>
      </c>
      <c r="O96" s="461">
        <f t="shared" si="12"/>
        <v>0</v>
      </c>
      <c r="P96" s="461">
        <f t="shared" si="13"/>
        <v>0</v>
      </c>
    </row>
    <row r="97" spans="3:58" ht="16.5" hidden="1" outlineLevel="1" thickTop="1" thickBot="1">
      <c r="C97"/>
      <c r="D97"/>
      <c r="E97"/>
      <c r="F97" s="384" t="s">
        <v>27</v>
      </c>
      <c r="G97" s="353">
        <v>220.61719417334498</v>
      </c>
      <c r="H97" s="353">
        <v>271.06706524697006</v>
      </c>
      <c r="I97" s="353"/>
      <c r="K97" s="457" t="str">
        <f t="shared" si="14"/>
        <v>LED Panel Lighting</v>
      </c>
      <c r="L97" s="457" t="str">
        <f t="shared" si="15"/>
        <v>Area Lighting (Low/Medium Bay)</v>
      </c>
      <c r="M97" s="457" t="str">
        <f t="shared" si="17"/>
        <v>Schools</v>
      </c>
      <c r="N97" s="457" t="str">
        <f t="shared" si="16"/>
        <v>Linear Fluorescent</v>
      </c>
      <c r="O97" s="461">
        <f t="shared" si="12"/>
        <v>220.61719417334498</v>
      </c>
      <c r="P97" s="461">
        <f t="shared" si="13"/>
        <v>271.06706524697006</v>
      </c>
    </row>
    <row r="98" spans="3:58" ht="16.5" hidden="1" outlineLevel="1" thickTop="1" thickBot="1">
      <c r="C98"/>
      <c r="D98"/>
      <c r="E98" s="384" t="s">
        <v>541</v>
      </c>
      <c r="F98"/>
      <c r="G98" s="353"/>
      <c r="H98" s="353"/>
      <c r="I98" s="353"/>
      <c r="K98" s="457" t="str">
        <f t="shared" si="14"/>
        <v>LED Panel Lighting</v>
      </c>
      <c r="L98" s="457" t="str">
        <f t="shared" si="15"/>
        <v>Area Lighting (Low/Medium Bay)</v>
      </c>
      <c r="M98" s="457" t="str">
        <f t="shared" si="17"/>
        <v>Miscellaneous</v>
      </c>
      <c r="N98" s="457" t="str">
        <f t="shared" si="16"/>
        <v>Linear Fluorescent</v>
      </c>
      <c r="O98" s="461">
        <f t="shared" si="12"/>
        <v>0</v>
      </c>
      <c r="P98" s="461">
        <f t="shared" si="13"/>
        <v>0</v>
      </c>
    </row>
    <row r="99" spans="3:58" ht="16.5" hidden="1" outlineLevel="1" thickTop="1" thickBot="1">
      <c r="C99"/>
      <c r="D99"/>
      <c r="E99"/>
      <c r="F99" s="384" t="s">
        <v>27</v>
      </c>
      <c r="G99" s="353">
        <v>598.75566090095401</v>
      </c>
      <c r="H99" s="353">
        <v>729.02889055123103</v>
      </c>
      <c r="I99" s="353"/>
      <c r="K99" s="457" t="str">
        <f t="shared" si="14"/>
        <v>LED Panel Lighting</v>
      </c>
      <c r="L99" s="457" t="str">
        <f t="shared" si="15"/>
        <v>Area Lighting (Low/Medium Bay)</v>
      </c>
      <c r="M99" s="457" t="str">
        <f t="shared" si="17"/>
        <v>Miscellaneous</v>
      </c>
      <c r="N99" s="457" t="str">
        <f t="shared" si="16"/>
        <v>Linear Fluorescent</v>
      </c>
      <c r="O99" s="461">
        <f t="shared" si="12"/>
        <v>598.75566090095401</v>
      </c>
      <c r="P99" s="461">
        <f t="shared" si="13"/>
        <v>729.02889055123103</v>
      </c>
    </row>
    <row r="100" spans="3:58" ht="16.5" hidden="1" outlineLevel="1" thickTop="1" thickBot="1">
      <c r="C100"/>
      <c r="D100"/>
      <c r="E100" s="384" t="s">
        <v>1223</v>
      </c>
      <c r="F100"/>
      <c r="G100" s="353"/>
      <c r="H100" s="353"/>
      <c r="I100" s="353"/>
      <c r="K100" s="457" t="str">
        <f t="shared" si="14"/>
        <v>LED Panel Lighting</v>
      </c>
      <c r="L100" s="457" t="str">
        <f t="shared" si="15"/>
        <v>Area Lighting (Low/Medium Bay)</v>
      </c>
      <c r="M100" s="457" t="str">
        <f t="shared" si="17"/>
        <v>Health and Medical Hospital</v>
      </c>
      <c r="N100" s="457" t="str">
        <f t="shared" si="16"/>
        <v>Linear Fluorescent</v>
      </c>
      <c r="O100" s="461">
        <f t="shared" si="12"/>
        <v>0</v>
      </c>
      <c r="P100" s="461">
        <f t="shared" si="13"/>
        <v>0</v>
      </c>
    </row>
    <row r="101" spans="3:58" ht="16.5" hidden="1" outlineLevel="1" thickTop="1" thickBot="1">
      <c r="C101"/>
      <c r="D101"/>
      <c r="E101"/>
      <c r="F101" s="384" t="s">
        <v>27</v>
      </c>
      <c r="G101" s="353">
        <v>156.71055923889523</v>
      </c>
      <c r="H101" s="353">
        <v>197.76143689626537</v>
      </c>
      <c r="I101" s="353"/>
      <c r="K101" s="457" t="str">
        <f t="shared" si="14"/>
        <v>LED Panel Lighting</v>
      </c>
      <c r="L101" s="457" t="str">
        <f t="shared" si="15"/>
        <v>Area Lighting (Low/Medium Bay)</v>
      </c>
      <c r="M101" s="457" t="str">
        <f t="shared" si="17"/>
        <v>Health and Medical Hospital</v>
      </c>
      <c r="N101" s="457" t="str">
        <f t="shared" si="16"/>
        <v>Linear Fluorescent</v>
      </c>
      <c r="O101" s="461">
        <f t="shared" si="12"/>
        <v>156.71055923889523</v>
      </c>
      <c r="P101" s="461">
        <f t="shared" si="13"/>
        <v>197.76143689626537</v>
      </c>
      <c r="BF101" s="1"/>
    </row>
    <row r="102" spans="3:58" ht="16.5" hidden="1" outlineLevel="1" thickTop="1" thickBot="1">
      <c r="C102" s="384" t="s">
        <v>99</v>
      </c>
      <c r="D102"/>
      <c r="E102"/>
      <c r="F102"/>
      <c r="G102" s="353"/>
      <c r="H102" s="353"/>
      <c r="I102" s="353"/>
      <c r="K102" s="457" t="str">
        <f t="shared" si="14"/>
        <v>LED Task Lights</v>
      </c>
      <c r="L102" s="457" t="str">
        <f t="shared" si="15"/>
        <v>Area Lighting (Low/Medium Bay)</v>
      </c>
      <c r="M102" s="457" t="str">
        <f t="shared" si="17"/>
        <v>Health and Medical Hospital</v>
      </c>
      <c r="N102" s="457" t="str">
        <f t="shared" si="16"/>
        <v>Linear Fluorescent</v>
      </c>
      <c r="O102" s="461">
        <f t="shared" si="12"/>
        <v>0</v>
      </c>
      <c r="P102" s="461">
        <f t="shared" si="13"/>
        <v>0</v>
      </c>
    </row>
    <row r="103" spans="3:58" ht="16.5" hidden="1" outlineLevel="1" thickTop="1" thickBot="1">
      <c r="C103"/>
      <c r="D103" s="384" t="s">
        <v>97</v>
      </c>
      <c r="E103"/>
      <c r="F103"/>
      <c r="G103" s="353"/>
      <c r="H103" s="353"/>
      <c r="I103" s="353"/>
      <c r="K103" s="457" t="str">
        <f t="shared" si="14"/>
        <v>LED Task Lights</v>
      </c>
      <c r="L103" s="457" t="str">
        <f t="shared" si="15"/>
        <v>Task Lighting</v>
      </c>
      <c r="M103" s="457" t="str">
        <f t="shared" si="17"/>
        <v>Health and Medical Hospital</v>
      </c>
      <c r="N103" s="457" t="str">
        <f t="shared" si="16"/>
        <v>Linear Fluorescent</v>
      </c>
      <c r="O103" s="461">
        <f t="shared" ref="O103:O134" si="18">G103</f>
        <v>0</v>
      </c>
      <c r="P103" s="461">
        <f t="shared" ref="P103:P134" si="19">H103</f>
        <v>0</v>
      </c>
    </row>
    <row r="104" spans="3:58" ht="16.5" hidden="1" outlineLevel="1" thickTop="1" thickBot="1">
      <c r="C104"/>
      <c r="D104"/>
      <c r="E104" s="384" t="s">
        <v>938</v>
      </c>
      <c r="F104"/>
      <c r="G104" s="353"/>
      <c r="H104" s="353"/>
      <c r="I104" s="353"/>
      <c r="K104" s="457" t="str">
        <f t="shared" ref="K104:K135" si="20">IF(C104=0,K103,C104)</f>
        <v>LED Task Lights</v>
      </c>
      <c r="L104" s="457" t="str">
        <f t="shared" ref="L104:L135" si="21">IF(D104=0,L103,D104)</f>
        <v>Task Lighting</v>
      </c>
      <c r="M104" s="457" t="str">
        <f t="shared" si="17"/>
        <v>Hotel/Motel, Dorms, Assisted Living</v>
      </c>
      <c r="N104" s="457" t="str">
        <f t="shared" si="16"/>
        <v>Linear Fluorescent</v>
      </c>
      <c r="O104" s="461">
        <f t="shared" si="18"/>
        <v>0</v>
      </c>
      <c r="P104" s="461">
        <f t="shared" si="19"/>
        <v>0</v>
      </c>
    </row>
    <row r="105" spans="3:58" ht="16.5" hidden="1" outlineLevel="1" thickTop="1" thickBot="1">
      <c r="C105"/>
      <c r="D105"/>
      <c r="E105"/>
      <c r="F105" s="384" t="s">
        <v>24</v>
      </c>
      <c r="G105" s="353">
        <v>60.883763540057572</v>
      </c>
      <c r="H105" s="353">
        <v>112.78717195795663</v>
      </c>
      <c r="I105" s="353"/>
      <c r="K105" s="457" t="str">
        <f t="shared" si="20"/>
        <v>LED Task Lights</v>
      </c>
      <c r="L105" s="457" t="str">
        <f t="shared" si="21"/>
        <v>Task Lighting</v>
      </c>
      <c r="M105" s="457" t="str">
        <f t="shared" si="17"/>
        <v>Hotel/Motel, Dorms, Assisted Living</v>
      </c>
      <c r="N105" s="457" t="str">
        <f t="shared" si="16"/>
        <v>CFL</v>
      </c>
      <c r="O105" s="461">
        <f t="shared" si="18"/>
        <v>60.883763540057572</v>
      </c>
      <c r="P105" s="461">
        <f t="shared" si="19"/>
        <v>112.78717195795663</v>
      </c>
    </row>
    <row r="106" spans="3:58" ht="16.5" hidden="1" outlineLevel="1" thickTop="1" thickBot="1">
      <c r="C106"/>
      <c r="D106"/>
      <c r="E106"/>
      <c r="F106" s="384" t="s">
        <v>26</v>
      </c>
      <c r="G106" s="353">
        <v>219.85803500576341</v>
      </c>
      <c r="H106" s="353">
        <v>112.78717195795663</v>
      </c>
      <c r="I106" s="353"/>
      <c r="K106" s="457" t="str">
        <f t="shared" si="20"/>
        <v>LED Task Lights</v>
      </c>
      <c r="L106" s="457" t="str">
        <f t="shared" si="21"/>
        <v>Task Lighting</v>
      </c>
      <c r="M106" s="457" t="str">
        <f t="shared" si="17"/>
        <v>Hotel/Motel, Dorms, Assisted Living</v>
      </c>
      <c r="N106" s="457" t="str">
        <f t="shared" si="16"/>
        <v>Incandescent</v>
      </c>
      <c r="O106" s="461">
        <f t="shared" si="18"/>
        <v>219.85803500576341</v>
      </c>
      <c r="P106" s="461">
        <f t="shared" si="19"/>
        <v>112.78717195795663</v>
      </c>
    </row>
    <row r="107" spans="3:58" ht="16.5" hidden="1" outlineLevel="1" thickTop="1" thickBot="1">
      <c r="C107"/>
      <c r="D107"/>
      <c r="E107" s="384" t="s">
        <v>181</v>
      </c>
      <c r="F107"/>
      <c r="G107" s="353"/>
      <c r="H107" s="353"/>
      <c r="I107" s="353"/>
      <c r="K107" s="457" t="str">
        <f t="shared" si="20"/>
        <v>LED Task Lights</v>
      </c>
      <c r="L107" s="457" t="str">
        <f t="shared" si="21"/>
        <v>Task Lighting</v>
      </c>
      <c r="M107" s="457" t="str">
        <f t="shared" si="17"/>
        <v>Office</v>
      </c>
      <c r="N107" s="457" t="str">
        <f t="shared" si="16"/>
        <v>Incandescent</v>
      </c>
      <c r="O107" s="461">
        <f t="shared" si="18"/>
        <v>0</v>
      </c>
      <c r="P107" s="461">
        <f t="shared" si="19"/>
        <v>0</v>
      </c>
    </row>
    <row r="108" spans="3:58" ht="16.5" hidden="1" outlineLevel="1" thickTop="1" thickBot="1">
      <c r="C108"/>
      <c r="D108"/>
      <c r="E108"/>
      <c r="F108" s="384" t="s">
        <v>24</v>
      </c>
      <c r="G108" s="353">
        <v>15.759194586979897</v>
      </c>
      <c r="H108" s="353">
        <v>26.796252642818629</v>
      </c>
      <c r="I108" s="353"/>
      <c r="K108" s="457" t="str">
        <f t="shared" si="20"/>
        <v>LED Task Lights</v>
      </c>
      <c r="L108" s="457" t="str">
        <f t="shared" si="21"/>
        <v>Task Lighting</v>
      </c>
      <c r="M108" s="457" t="str">
        <f t="shared" si="17"/>
        <v>Office</v>
      </c>
      <c r="N108" s="457" t="str">
        <f t="shared" si="16"/>
        <v>CFL</v>
      </c>
      <c r="O108" s="461">
        <f t="shared" si="18"/>
        <v>15.759194586979897</v>
      </c>
      <c r="P108" s="461">
        <f t="shared" si="19"/>
        <v>26.796252642818629</v>
      </c>
    </row>
    <row r="109" spans="3:58" ht="16.5" hidden="1" outlineLevel="1" thickTop="1" thickBot="1">
      <c r="C109"/>
      <c r="D109"/>
      <c r="E109"/>
      <c r="F109" s="384" t="s">
        <v>26</v>
      </c>
      <c r="G109" s="353">
        <v>250.04424862701541</v>
      </c>
      <c r="H109" s="353">
        <v>120.0212393409674</v>
      </c>
      <c r="I109" s="353"/>
      <c r="K109" s="457" t="str">
        <f t="shared" si="20"/>
        <v>LED Task Lights</v>
      </c>
      <c r="L109" s="457" t="str">
        <f t="shared" si="21"/>
        <v>Task Lighting</v>
      </c>
      <c r="M109" s="457" t="str">
        <f t="shared" si="17"/>
        <v>Office</v>
      </c>
      <c r="N109" s="457" t="str">
        <f t="shared" si="16"/>
        <v>Incandescent</v>
      </c>
      <c r="O109" s="461">
        <f t="shared" si="18"/>
        <v>250.04424862701541</v>
      </c>
      <c r="P109" s="461">
        <f t="shared" si="19"/>
        <v>120.0212393409674</v>
      </c>
    </row>
    <row r="110" spans="3:58" ht="16.5" hidden="1" outlineLevel="1" thickTop="1" thickBot="1">
      <c r="C110" s="384" t="s">
        <v>94</v>
      </c>
      <c r="D110"/>
      <c r="E110"/>
      <c r="F110"/>
      <c r="G110" s="353"/>
      <c r="H110" s="353"/>
      <c r="I110" s="353"/>
      <c r="K110" s="457" t="str">
        <f t="shared" si="20"/>
        <v>LED Track Lighting</v>
      </c>
      <c r="L110" s="457" t="str">
        <f t="shared" si="21"/>
        <v>Task Lighting</v>
      </c>
      <c r="M110" s="457" t="str">
        <f t="shared" si="17"/>
        <v>Office</v>
      </c>
      <c r="N110" s="457" t="str">
        <f t="shared" si="16"/>
        <v>Incandescent</v>
      </c>
      <c r="O110" s="461">
        <f t="shared" si="18"/>
        <v>0</v>
      </c>
      <c r="P110" s="461">
        <f t="shared" si="19"/>
        <v>0</v>
      </c>
    </row>
    <row r="111" spans="3:58" ht="16.5" hidden="1" outlineLevel="1" thickTop="1" thickBot="1">
      <c r="C111"/>
      <c r="D111" s="384" t="s">
        <v>1147</v>
      </c>
      <c r="E111"/>
      <c r="F111"/>
      <c r="G111" s="353"/>
      <c r="H111" s="353"/>
      <c r="I111" s="353"/>
      <c r="K111" s="457" t="str">
        <f t="shared" si="20"/>
        <v>LED Track Lighting</v>
      </c>
      <c r="L111" s="457" t="str">
        <f t="shared" si="21"/>
        <v>Track Lighting</v>
      </c>
      <c r="M111" s="457" t="str">
        <f t="shared" si="17"/>
        <v>Office</v>
      </c>
      <c r="N111" s="457" t="str">
        <f t="shared" si="16"/>
        <v>Incandescent</v>
      </c>
      <c r="O111" s="461">
        <f t="shared" si="18"/>
        <v>0</v>
      </c>
      <c r="P111" s="461">
        <f t="shared" si="19"/>
        <v>0</v>
      </c>
    </row>
    <row r="112" spans="3:58" ht="16.5" hidden="1" outlineLevel="1" thickTop="1" thickBot="1">
      <c r="C112"/>
      <c r="D112"/>
      <c r="E112" s="384" t="s">
        <v>181</v>
      </c>
      <c r="F112"/>
      <c r="G112" s="353"/>
      <c r="H112" s="353"/>
      <c r="I112" s="353"/>
      <c r="K112" s="457" t="str">
        <f t="shared" si="20"/>
        <v>LED Track Lighting</v>
      </c>
      <c r="L112" s="457" t="str">
        <f t="shared" si="21"/>
        <v>Track Lighting</v>
      </c>
      <c r="M112" s="457" t="str">
        <f t="shared" si="17"/>
        <v>Office</v>
      </c>
      <c r="N112" s="457" t="str">
        <f t="shared" si="16"/>
        <v>Incandescent</v>
      </c>
      <c r="O112" s="461">
        <f t="shared" si="18"/>
        <v>0</v>
      </c>
      <c r="P112" s="461">
        <f t="shared" si="19"/>
        <v>0</v>
      </c>
    </row>
    <row r="113" spans="3:16" ht="16.5" hidden="1" outlineLevel="1" thickTop="1" thickBot="1">
      <c r="C113"/>
      <c r="D113"/>
      <c r="E113"/>
      <c r="F113" s="384" t="s">
        <v>24</v>
      </c>
      <c r="G113" s="353">
        <v>6.0241000859948306</v>
      </c>
      <c r="H113" s="353">
        <v>10.43773639518577</v>
      </c>
      <c r="I113" s="353"/>
      <c r="K113" s="457" t="str">
        <f t="shared" si="20"/>
        <v>LED Track Lighting</v>
      </c>
      <c r="L113" s="457" t="str">
        <f t="shared" si="21"/>
        <v>Track Lighting</v>
      </c>
      <c r="M113" s="457" t="str">
        <f t="shared" si="17"/>
        <v>Office</v>
      </c>
      <c r="N113" s="457" t="str">
        <f t="shared" si="16"/>
        <v>CFL</v>
      </c>
      <c r="O113" s="461">
        <f t="shared" si="18"/>
        <v>6.0241000859948306</v>
      </c>
      <c r="P113" s="461">
        <f t="shared" si="19"/>
        <v>10.43773639518577</v>
      </c>
    </row>
    <row r="114" spans="3:16" ht="16.5" hidden="1" outlineLevel="1" thickTop="1" thickBot="1">
      <c r="C114"/>
      <c r="D114"/>
      <c r="E114"/>
      <c r="F114" s="384" t="s">
        <v>26</v>
      </c>
      <c r="G114" s="353">
        <v>59.297273385869531</v>
      </c>
      <c r="H114" s="353">
        <v>28.098126235226509</v>
      </c>
      <c r="I114" s="353"/>
      <c r="K114" s="457" t="str">
        <f t="shared" si="20"/>
        <v>LED Track Lighting</v>
      </c>
      <c r="L114" s="457" t="str">
        <f t="shared" si="21"/>
        <v>Track Lighting</v>
      </c>
      <c r="M114" s="457" t="str">
        <f t="shared" si="17"/>
        <v>Office</v>
      </c>
      <c r="N114" s="457" t="str">
        <f t="shared" si="16"/>
        <v>Incandescent</v>
      </c>
      <c r="O114" s="461">
        <f t="shared" si="18"/>
        <v>59.297273385869531</v>
      </c>
      <c r="P114" s="461">
        <f t="shared" si="19"/>
        <v>28.098126235226509</v>
      </c>
    </row>
    <row r="115" spans="3:16" ht="16.5" hidden="1" outlineLevel="1" thickTop="1" thickBot="1">
      <c r="C115"/>
      <c r="D115"/>
      <c r="E115"/>
      <c r="F115" s="384" t="s">
        <v>846</v>
      </c>
      <c r="G115" s="353">
        <v>45.542833454230305</v>
      </c>
      <c r="H115" s="353">
        <v>22.988848173296457</v>
      </c>
      <c r="I115" s="353"/>
      <c r="K115" s="457" t="str">
        <f t="shared" si="20"/>
        <v>LED Track Lighting</v>
      </c>
      <c r="L115" s="457" t="str">
        <f t="shared" si="21"/>
        <v>Track Lighting</v>
      </c>
      <c r="M115" s="457" t="str">
        <f t="shared" si="17"/>
        <v>Office</v>
      </c>
      <c r="N115" s="457" t="str">
        <f t="shared" si="16"/>
        <v xml:space="preserve">Halogen </v>
      </c>
      <c r="O115" s="461">
        <f t="shared" si="18"/>
        <v>45.542833454230305</v>
      </c>
      <c r="P115" s="461">
        <f t="shared" si="19"/>
        <v>22.988848173296457</v>
      </c>
    </row>
    <row r="116" spans="3:16" ht="16.5" hidden="1" outlineLevel="1" thickTop="1" thickBot="1">
      <c r="C116"/>
      <c r="D116"/>
      <c r="E116" s="384" t="s">
        <v>502</v>
      </c>
      <c r="F116"/>
      <c r="G116" s="353"/>
      <c r="H116" s="353"/>
      <c r="I116" s="353"/>
      <c r="K116" s="457" t="str">
        <f t="shared" si="20"/>
        <v>LED Track Lighting</v>
      </c>
      <c r="L116" s="457" t="str">
        <f t="shared" si="21"/>
        <v>Track Lighting</v>
      </c>
      <c r="M116" s="457" t="str">
        <f t="shared" si="17"/>
        <v>Restaurant</v>
      </c>
      <c r="N116" s="457" t="str">
        <f t="shared" si="16"/>
        <v xml:space="preserve">Halogen </v>
      </c>
      <c r="O116" s="461">
        <f t="shared" si="18"/>
        <v>0</v>
      </c>
      <c r="P116" s="461">
        <f t="shared" si="19"/>
        <v>0</v>
      </c>
    </row>
    <row r="117" spans="3:16" ht="16.5" hidden="1" outlineLevel="1" thickTop="1" thickBot="1">
      <c r="C117"/>
      <c r="D117"/>
      <c r="E117"/>
      <c r="F117" s="384" t="s">
        <v>26</v>
      </c>
      <c r="G117" s="353">
        <v>180.25146289138166</v>
      </c>
      <c r="H117" s="353">
        <v>76.820164101982115</v>
      </c>
      <c r="I117" s="353"/>
      <c r="K117" s="457" t="str">
        <f t="shared" si="20"/>
        <v>LED Track Lighting</v>
      </c>
      <c r="L117" s="457" t="str">
        <f t="shared" si="21"/>
        <v>Track Lighting</v>
      </c>
      <c r="M117" s="457" t="str">
        <f t="shared" ref="M117:M148" si="22">IF(E117=0,M116,E117)</f>
        <v>Restaurant</v>
      </c>
      <c r="N117" s="457" t="str">
        <f t="shared" si="16"/>
        <v>Incandescent</v>
      </c>
      <c r="O117" s="461">
        <f t="shared" si="18"/>
        <v>180.25146289138166</v>
      </c>
      <c r="P117" s="461">
        <f t="shared" si="19"/>
        <v>76.820164101982115</v>
      </c>
    </row>
    <row r="118" spans="3:16" ht="16.5" hidden="1" outlineLevel="1" thickTop="1" thickBot="1">
      <c r="C118"/>
      <c r="D118"/>
      <c r="E118"/>
      <c r="F118" s="384" t="s">
        <v>846</v>
      </c>
      <c r="G118" s="353">
        <v>197.3004390155545</v>
      </c>
      <c r="H118" s="353">
        <v>88.511740089988152</v>
      </c>
      <c r="I118" s="353"/>
      <c r="K118" s="457" t="str">
        <f t="shared" si="20"/>
        <v>LED Track Lighting</v>
      </c>
      <c r="L118" s="457" t="str">
        <f t="shared" si="21"/>
        <v>Track Lighting</v>
      </c>
      <c r="M118" s="457" t="str">
        <f t="shared" si="22"/>
        <v>Restaurant</v>
      </c>
      <c r="N118" s="457" t="str">
        <f t="shared" si="16"/>
        <v xml:space="preserve">Halogen </v>
      </c>
      <c r="O118" s="461">
        <f t="shared" si="18"/>
        <v>197.3004390155545</v>
      </c>
      <c r="P118" s="461">
        <f t="shared" si="19"/>
        <v>88.511740089988152</v>
      </c>
    </row>
    <row r="119" spans="3:16" ht="16.5" hidden="1" outlineLevel="1" thickTop="1" thickBot="1">
      <c r="C119" s="384" t="s">
        <v>960</v>
      </c>
      <c r="D119"/>
      <c r="E119"/>
      <c r="F119"/>
      <c r="G119" s="353"/>
      <c r="H119" s="353"/>
      <c r="I119" s="353"/>
      <c r="K119" s="457" t="str">
        <f t="shared" si="20"/>
        <v>High Efficiency Linear Fluorescent T-8/T-5</v>
      </c>
      <c r="L119" s="457" t="str">
        <f t="shared" si="21"/>
        <v>Track Lighting</v>
      </c>
      <c r="M119" s="457" t="str">
        <f t="shared" si="22"/>
        <v>Restaurant</v>
      </c>
      <c r="N119" s="457" t="str">
        <f t="shared" si="16"/>
        <v xml:space="preserve">Halogen </v>
      </c>
      <c r="O119" s="461">
        <f t="shared" si="18"/>
        <v>0</v>
      </c>
      <c r="P119" s="461">
        <f t="shared" si="19"/>
        <v>0</v>
      </c>
    </row>
    <row r="120" spans="3:16" ht="16.5" hidden="1" outlineLevel="1" thickTop="1" thickBot="1">
      <c r="C120"/>
      <c r="D120" s="384" t="s">
        <v>97</v>
      </c>
      <c r="E120"/>
      <c r="F120"/>
      <c r="G120" s="353"/>
      <c r="H120" s="353"/>
      <c r="I120" s="353"/>
      <c r="K120" s="457" t="str">
        <f t="shared" si="20"/>
        <v>High Efficiency Linear Fluorescent T-8/T-5</v>
      </c>
      <c r="L120" s="457" t="str">
        <f t="shared" si="21"/>
        <v>Task Lighting</v>
      </c>
      <c r="M120" s="457" t="str">
        <f t="shared" si="22"/>
        <v>Restaurant</v>
      </c>
      <c r="N120" s="457" t="str">
        <f t="shared" si="16"/>
        <v xml:space="preserve">Halogen </v>
      </c>
      <c r="O120" s="461">
        <f t="shared" si="18"/>
        <v>0</v>
      </c>
      <c r="P120" s="461">
        <f t="shared" si="19"/>
        <v>0</v>
      </c>
    </row>
    <row r="121" spans="3:16" ht="16.5" hidden="1" outlineLevel="1" thickTop="1" thickBot="1">
      <c r="C121"/>
      <c r="D121"/>
      <c r="E121" s="384" t="s">
        <v>181</v>
      </c>
      <c r="F121"/>
      <c r="G121" s="353"/>
      <c r="H121" s="353"/>
      <c r="I121" s="353"/>
      <c r="K121" s="457" t="str">
        <f t="shared" si="20"/>
        <v>High Efficiency Linear Fluorescent T-8/T-5</v>
      </c>
      <c r="L121" s="457" t="str">
        <f t="shared" si="21"/>
        <v>Task Lighting</v>
      </c>
      <c r="M121" s="457" t="str">
        <f t="shared" si="22"/>
        <v>Office</v>
      </c>
      <c r="N121" s="457" t="str">
        <f t="shared" si="16"/>
        <v xml:space="preserve">Halogen </v>
      </c>
      <c r="O121" s="461">
        <f t="shared" si="18"/>
        <v>0</v>
      </c>
      <c r="P121" s="461">
        <f t="shared" si="19"/>
        <v>0</v>
      </c>
    </row>
    <row r="122" spans="3:16" ht="16.5" hidden="1" outlineLevel="1" thickTop="1" thickBot="1">
      <c r="C122"/>
      <c r="D122"/>
      <c r="E122"/>
      <c r="F122" s="384" t="s">
        <v>27</v>
      </c>
      <c r="G122" s="353">
        <v>17.049284770598771</v>
      </c>
      <c r="H122" s="353">
        <v>36.940117002963994</v>
      </c>
      <c r="I122" s="353"/>
      <c r="K122" s="457" t="str">
        <f t="shared" si="20"/>
        <v>High Efficiency Linear Fluorescent T-8/T-5</v>
      </c>
      <c r="L122" s="457" t="str">
        <f t="shared" si="21"/>
        <v>Task Lighting</v>
      </c>
      <c r="M122" s="457" t="str">
        <f t="shared" si="22"/>
        <v>Office</v>
      </c>
      <c r="N122" s="457" t="str">
        <f t="shared" si="16"/>
        <v>Linear Fluorescent</v>
      </c>
      <c r="O122" s="461">
        <f t="shared" si="18"/>
        <v>17.049284770598771</v>
      </c>
      <c r="P122" s="461">
        <f t="shared" si="19"/>
        <v>36.940117002963994</v>
      </c>
    </row>
    <row r="123" spans="3:16" ht="16.5" hidden="1" outlineLevel="1" thickTop="1" thickBot="1">
      <c r="C123"/>
      <c r="D123" s="384" t="s">
        <v>1224</v>
      </c>
      <c r="E123"/>
      <c r="F123"/>
      <c r="G123" s="353"/>
      <c r="H123" s="353"/>
      <c r="I123" s="353"/>
      <c r="K123" s="457" t="str">
        <f t="shared" si="20"/>
        <v>High Efficiency Linear Fluorescent T-8/T-5</v>
      </c>
      <c r="L123" s="457" t="str">
        <f t="shared" si="21"/>
        <v>Display and Advertising</v>
      </c>
      <c r="M123" s="457" t="str">
        <f t="shared" si="22"/>
        <v>Office</v>
      </c>
      <c r="N123" s="457" t="str">
        <f t="shared" si="16"/>
        <v>Linear Fluorescent</v>
      </c>
      <c r="O123" s="461">
        <f t="shared" si="18"/>
        <v>0</v>
      </c>
      <c r="P123" s="461">
        <f t="shared" si="19"/>
        <v>0</v>
      </c>
    </row>
    <row r="124" spans="3:16" ht="16.5" hidden="1" outlineLevel="1" thickTop="1" thickBot="1">
      <c r="C124"/>
      <c r="D124"/>
      <c r="E124" s="384" t="s">
        <v>499</v>
      </c>
      <c r="F124"/>
      <c r="G124" s="353"/>
      <c r="H124" s="353"/>
      <c r="I124" s="353"/>
      <c r="K124" s="457" t="str">
        <f t="shared" si="20"/>
        <v>High Efficiency Linear Fluorescent T-8/T-5</v>
      </c>
      <c r="L124" s="457" t="str">
        <f t="shared" si="21"/>
        <v>Display and Advertising</v>
      </c>
      <c r="M124" s="457" t="str">
        <f t="shared" si="22"/>
        <v>Retail</v>
      </c>
      <c r="N124" s="457" t="str">
        <f t="shared" si="16"/>
        <v>Linear Fluorescent</v>
      </c>
      <c r="O124" s="461">
        <f t="shared" si="18"/>
        <v>0</v>
      </c>
      <c r="P124" s="461">
        <f t="shared" si="19"/>
        <v>0</v>
      </c>
    </row>
    <row r="125" spans="3:16" ht="16.5" hidden="1" outlineLevel="1" thickTop="1" thickBot="1">
      <c r="C125"/>
      <c r="D125"/>
      <c r="E125"/>
      <c r="F125" s="384" t="s">
        <v>27</v>
      </c>
      <c r="G125" s="353">
        <v>20.232024559946961</v>
      </c>
      <c r="H125" s="353">
        <v>43.301822340592075</v>
      </c>
      <c r="I125" s="353"/>
      <c r="K125" s="457" t="str">
        <f t="shared" si="20"/>
        <v>High Efficiency Linear Fluorescent T-8/T-5</v>
      </c>
      <c r="L125" s="457" t="str">
        <f t="shared" si="21"/>
        <v>Display and Advertising</v>
      </c>
      <c r="M125" s="457" t="str">
        <f t="shared" si="22"/>
        <v>Retail</v>
      </c>
      <c r="N125" s="457" t="str">
        <f t="shared" si="16"/>
        <v>Linear Fluorescent</v>
      </c>
      <c r="O125" s="461">
        <f t="shared" si="18"/>
        <v>20.232024559946961</v>
      </c>
      <c r="P125" s="461">
        <f t="shared" si="19"/>
        <v>43.301822340592075</v>
      </c>
    </row>
    <row r="126" spans="3:16" ht="16.5" hidden="1" outlineLevel="1" thickTop="1" thickBot="1">
      <c r="C126"/>
      <c r="D126"/>
      <c r="E126" s="384" t="s">
        <v>502</v>
      </c>
      <c r="F126"/>
      <c r="G126" s="353"/>
      <c r="H126" s="353"/>
      <c r="I126" s="353"/>
      <c r="K126" s="457" t="str">
        <f t="shared" si="20"/>
        <v>High Efficiency Linear Fluorescent T-8/T-5</v>
      </c>
      <c r="L126" s="457" t="str">
        <f t="shared" si="21"/>
        <v>Display and Advertising</v>
      </c>
      <c r="M126" s="457" t="str">
        <f t="shared" si="22"/>
        <v>Restaurant</v>
      </c>
      <c r="N126" s="457" t="str">
        <f t="shared" si="16"/>
        <v>Linear Fluorescent</v>
      </c>
      <c r="O126" s="461">
        <f t="shared" si="18"/>
        <v>0</v>
      </c>
      <c r="P126" s="461">
        <f t="shared" si="19"/>
        <v>0</v>
      </c>
    </row>
    <row r="127" spans="3:16" ht="16.5" hidden="1" outlineLevel="1" thickTop="1" thickBot="1">
      <c r="C127"/>
      <c r="D127"/>
      <c r="E127"/>
      <c r="F127" s="384" t="s">
        <v>27</v>
      </c>
      <c r="G127" s="353">
        <v>1.8344671247554971</v>
      </c>
      <c r="H127" s="353">
        <v>3.5772108932732181</v>
      </c>
      <c r="I127" s="353"/>
      <c r="K127" s="457" t="str">
        <f t="shared" si="20"/>
        <v>High Efficiency Linear Fluorescent T-8/T-5</v>
      </c>
      <c r="L127" s="457" t="str">
        <f t="shared" si="21"/>
        <v>Display and Advertising</v>
      </c>
      <c r="M127" s="457" t="str">
        <f t="shared" si="22"/>
        <v>Restaurant</v>
      </c>
      <c r="N127" s="457" t="str">
        <f t="shared" si="16"/>
        <v>Linear Fluorescent</v>
      </c>
      <c r="O127" s="461">
        <f t="shared" si="18"/>
        <v>1.8344671247554971</v>
      </c>
      <c r="P127" s="461">
        <f t="shared" si="19"/>
        <v>3.5772108932732181</v>
      </c>
    </row>
    <row r="128" spans="3:16" ht="16.5" hidden="1" outlineLevel="1" thickTop="1" thickBot="1">
      <c r="C128"/>
      <c r="D128" s="384" t="s">
        <v>1267</v>
      </c>
      <c r="E128"/>
      <c r="F128"/>
      <c r="G128" s="353"/>
      <c r="H128" s="353"/>
      <c r="I128" s="353"/>
      <c r="K128" s="457" t="str">
        <f t="shared" si="20"/>
        <v>High Efficiency Linear Fluorescent T-8/T-5</v>
      </c>
      <c r="L128" s="457" t="str">
        <f t="shared" si="21"/>
        <v>Area Lighting for Lobbies, Corridors</v>
      </c>
      <c r="M128" s="457" t="str">
        <f t="shared" si="22"/>
        <v>Restaurant</v>
      </c>
      <c r="N128" s="457" t="str">
        <f t="shared" si="16"/>
        <v>Linear Fluorescent</v>
      </c>
      <c r="O128" s="461">
        <f t="shared" si="18"/>
        <v>0</v>
      </c>
      <c r="P128" s="461">
        <f t="shared" si="19"/>
        <v>0</v>
      </c>
    </row>
    <row r="129" spans="3:16" ht="16.5" hidden="1" outlineLevel="1" thickTop="1" thickBot="1">
      <c r="C129"/>
      <c r="D129"/>
      <c r="E129" s="384" t="s">
        <v>1266</v>
      </c>
      <c r="F129"/>
      <c r="G129" s="353"/>
      <c r="H129" s="353"/>
      <c r="I129" s="353"/>
      <c r="K129" s="457" t="str">
        <f t="shared" si="20"/>
        <v>High Efficiency Linear Fluorescent T-8/T-5</v>
      </c>
      <c r="L129" s="457" t="str">
        <f t="shared" si="21"/>
        <v>Area Lighting for Lobbies, Corridors</v>
      </c>
      <c r="M129" s="457" t="str">
        <f t="shared" si="22"/>
        <v>All Commercial</v>
      </c>
      <c r="N129" s="457" t="str">
        <f t="shared" si="16"/>
        <v>Linear Fluorescent</v>
      </c>
      <c r="O129" s="461">
        <f t="shared" si="18"/>
        <v>0</v>
      </c>
      <c r="P129" s="461">
        <f t="shared" si="19"/>
        <v>0</v>
      </c>
    </row>
    <row r="130" spans="3:16" ht="16.5" hidden="1" outlineLevel="1" thickTop="1" thickBot="1">
      <c r="C130"/>
      <c r="D130"/>
      <c r="E130"/>
      <c r="F130" s="384" t="s">
        <v>27</v>
      </c>
      <c r="G130" s="353">
        <v>382.11926135664839</v>
      </c>
      <c r="H130" s="353">
        <v>653.38729122230916</v>
      </c>
      <c r="I130" s="353"/>
      <c r="K130" s="457" t="str">
        <f t="shared" si="20"/>
        <v>High Efficiency Linear Fluorescent T-8/T-5</v>
      </c>
      <c r="L130" s="457" t="str">
        <f t="shared" si="21"/>
        <v>Area Lighting for Lobbies, Corridors</v>
      </c>
      <c r="M130" s="457" t="str">
        <f t="shared" si="22"/>
        <v>All Commercial</v>
      </c>
      <c r="N130" s="457" t="str">
        <f t="shared" si="16"/>
        <v>Linear Fluorescent</v>
      </c>
      <c r="O130" s="461">
        <f t="shared" si="18"/>
        <v>382.11926135664839</v>
      </c>
      <c r="P130" s="461">
        <f t="shared" si="19"/>
        <v>653.38729122230916</v>
      </c>
    </row>
    <row r="131" spans="3:16" ht="16.5" hidden="1" outlineLevel="1" thickTop="1" thickBot="1">
      <c r="C131"/>
      <c r="D131" s="384" t="s">
        <v>1268</v>
      </c>
      <c r="E131"/>
      <c r="F131"/>
      <c r="G131" s="353"/>
      <c r="H131" s="353"/>
      <c r="I131" s="353"/>
      <c r="K131" s="457" t="str">
        <f t="shared" si="20"/>
        <v>High Efficiency Linear Fluorescent T-8/T-5</v>
      </c>
      <c r="L131" s="457" t="str">
        <f t="shared" si="21"/>
        <v>Area Lighting for Stairwells</v>
      </c>
      <c r="M131" s="457" t="str">
        <f t="shared" si="22"/>
        <v>All Commercial</v>
      </c>
      <c r="N131" s="457" t="str">
        <f t="shared" si="16"/>
        <v>Linear Fluorescent</v>
      </c>
      <c r="O131" s="461">
        <f t="shared" si="18"/>
        <v>0</v>
      </c>
      <c r="P131" s="461">
        <f t="shared" si="19"/>
        <v>0</v>
      </c>
    </row>
    <row r="132" spans="3:16" ht="16.5" hidden="1" outlineLevel="1" thickTop="1" thickBot="1">
      <c r="C132"/>
      <c r="D132"/>
      <c r="E132" s="384" t="s">
        <v>1266</v>
      </c>
      <c r="F132"/>
      <c r="G132" s="353"/>
      <c r="H132" s="353"/>
      <c r="I132" s="353"/>
      <c r="K132" s="457" t="str">
        <f t="shared" si="20"/>
        <v>High Efficiency Linear Fluorescent T-8/T-5</v>
      </c>
      <c r="L132" s="457" t="str">
        <f t="shared" si="21"/>
        <v>Area Lighting for Stairwells</v>
      </c>
      <c r="M132" s="457" t="str">
        <f t="shared" si="22"/>
        <v>All Commercial</v>
      </c>
      <c r="N132" s="457" t="str">
        <f t="shared" si="16"/>
        <v>Linear Fluorescent</v>
      </c>
      <c r="O132" s="461">
        <f t="shared" si="18"/>
        <v>0</v>
      </c>
      <c r="P132" s="461">
        <f t="shared" si="19"/>
        <v>0</v>
      </c>
    </row>
    <row r="133" spans="3:16" ht="16.5" hidden="1" outlineLevel="1" thickTop="1" thickBot="1">
      <c r="C133"/>
      <c r="D133"/>
      <c r="E133"/>
      <c r="F133" s="384" t="s">
        <v>27</v>
      </c>
      <c r="G133" s="353">
        <v>42.241530280556454</v>
      </c>
      <c r="H133" s="353">
        <v>72.228965766103016</v>
      </c>
      <c r="I133" s="353"/>
      <c r="K133" s="457" t="str">
        <f t="shared" si="20"/>
        <v>High Efficiency Linear Fluorescent T-8/T-5</v>
      </c>
      <c r="L133" s="457" t="str">
        <f t="shared" si="21"/>
        <v>Area Lighting for Stairwells</v>
      </c>
      <c r="M133" s="457" t="str">
        <f t="shared" si="22"/>
        <v>All Commercial</v>
      </c>
      <c r="N133" s="457" t="str">
        <f t="shared" si="16"/>
        <v>Linear Fluorescent</v>
      </c>
      <c r="O133" s="461">
        <f t="shared" si="18"/>
        <v>42.241530280556454</v>
      </c>
      <c r="P133" s="461">
        <f t="shared" si="19"/>
        <v>72.228965766103016</v>
      </c>
    </row>
    <row r="134" spans="3:16" ht="16.5" hidden="1" outlineLevel="1" thickTop="1" thickBot="1">
      <c r="C134"/>
      <c r="D134" s="384" t="s">
        <v>1220</v>
      </c>
      <c r="E134"/>
      <c r="F134"/>
      <c r="G134" s="353"/>
      <c r="H134" s="353"/>
      <c r="I134" s="353"/>
      <c r="K134" s="457" t="str">
        <f t="shared" si="20"/>
        <v>High Efficiency Linear Fluorescent T-8/T-5</v>
      </c>
      <c r="L134" s="457" t="str">
        <f t="shared" si="21"/>
        <v>Area Lighting (Low/Medium Bay)</v>
      </c>
      <c r="M134" s="457" t="str">
        <f t="shared" si="22"/>
        <v>All Commercial</v>
      </c>
      <c r="N134" s="457" t="str">
        <f t="shared" si="16"/>
        <v>Linear Fluorescent</v>
      </c>
      <c r="O134" s="461">
        <f t="shared" si="18"/>
        <v>0</v>
      </c>
      <c r="P134" s="461">
        <f t="shared" si="19"/>
        <v>0</v>
      </c>
    </row>
    <row r="135" spans="3:16" ht="16.5" hidden="1" outlineLevel="1" thickTop="1" thickBot="1">
      <c r="C135"/>
      <c r="D135"/>
      <c r="E135" s="384" t="s">
        <v>105</v>
      </c>
      <c r="F135"/>
      <c r="G135" s="353"/>
      <c r="H135" s="353"/>
      <c r="I135" s="353"/>
      <c r="K135" s="457" t="str">
        <f t="shared" si="20"/>
        <v>High Efficiency Linear Fluorescent T-8/T-5</v>
      </c>
      <c r="L135" s="457" t="str">
        <f t="shared" si="21"/>
        <v>Area Lighting (Low/Medium Bay)</v>
      </c>
      <c r="M135" s="457" t="str">
        <f t="shared" si="22"/>
        <v>University/College</v>
      </c>
      <c r="N135" s="457" t="str">
        <f t="shared" si="16"/>
        <v>Linear Fluorescent</v>
      </c>
      <c r="O135" s="461">
        <f t="shared" ref="O135:O166" si="23">G135</f>
        <v>0</v>
      </c>
      <c r="P135" s="461">
        <f t="shared" ref="P135:P166" si="24">H135</f>
        <v>0</v>
      </c>
    </row>
    <row r="136" spans="3:16" ht="16.5" hidden="1" outlineLevel="1" thickTop="1" thickBot="1">
      <c r="C136"/>
      <c r="D136"/>
      <c r="E136"/>
      <c r="F136" s="384" t="s">
        <v>27</v>
      </c>
      <c r="G136" s="353">
        <v>109.61866268790889</v>
      </c>
      <c r="H136" s="353">
        <v>187.27435031373497</v>
      </c>
      <c r="I136" s="353"/>
      <c r="K136" s="457" t="str">
        <f t="shared" ref="K136:K155" si="25">IF(C136=0,K135,C136)</f>
        <v>High Efficiency Linear Fluorescent T-8/T-5</v>
      </c>
      <c r="L136" s="457" t="str">
        <f t="shared" ref="L136:L155" si="26">IF(D136=0,L135,D136)</f>
        <v>Area Lighting (Low/Medium Bay)</v>
      </c>
      <c r="M136" s="457" t="str">
        <f t="shared" si="22"/>
        <v>University/College</v>
      </c>
      <c r="N136" s="457" t="str">
        <f t="shared" ref="N136:N180" si="27">IF(F136=0,N135,F136)</f>
        <v>Linear Fluorescent</v>
      </c>
      <c r="O136" s="461">
        <f t="shared" si="23"/>
        <v>109.61866268790889</v>
      </c>
      <c r="P136" s="461">
        <f t="shared" si="24"/>
        <v>187.27435031373497</v>
      </c>
    </row>
    <row r="137" spans="3:16" ht="16.5" hidden="1" outlineLevel="1" thickTop="1" thickBot="1">
      <c r="C137"/>
      <c r="D137"/>
      <c r="E137" s="384" t="s">
        <v>938</v>
      </c>
      <c r="F137"/>
      <c r="G137" s="353"/>
      <c r="H137" s="353"/>
      <c r="I137" s="353"/>
      <c r="K137" s="457" t="str">
        <f t="shared" si="25"/>
        <v>High Efficiency Linear Fluorescent T-8/T-5</v>
      </c>
      <c r="L137" s="457" t="str">
        <f t="shared" si="26"/>
        <v>Area Lighting (Low/Medium Bay)</v>
      </c>
      <c r="M137" s="457" t="str">
        <f t="shared" si="22"/>
        <v>Hotel/Motel, Dorms, Assisted Living</v>
      </c>
      <c r="N137" s="457" t="str">
        <f t="shared" si="27"/>
        <v>Linear Fluorescent</v>
      </c>
      <c r="O137" s="461">
        <f t="shared" si="23"/>
        <v>0</v>
      </c>
      <c r="P137" s="461">
        <f t="shared" si="24"/>
        <v>0</v>
      </c>
    </row>
    <row r="138" spans="3:16" ht="16.5" hidden="1" outlineLevel="1" thickTop="1" thickBot="1">
      <c r="C138"/>
      <c r="D138"/>
      <c r="E138"/>
      <c r="F138" s="384" t="s">
        <v>27</v>
      </c>
      <c r="G138" s="353">
        <v>10.464192418925684</v>
      </c>
      <c r="H138" s="353">
        <v>14.305183487861566</v>
      </c>
      <c r="K138" s="457" t="str">
        <f t="shared" si="25"/>
        <v>High Efficiency Linear Fluorescent T-8/T-5</v>
      </c>
      <c r="L138" s="457" t="str">
        <f t="shared" si="26"/>
        <v>Area Lighting (Low/Medium Bay)</v>
      </c>
      <c r="M138" s="457" t="str">
        <f t="shared" si="22"/>
        <v>Hotel/Motel, Dorms, Assisted Living</v>
      </c>
      <c r="N138" s="457" t="str">
        <f t="shared" si="27"/>
        <v>Linear Fluorescent</v>
      </c>
      <c r="O138" s="461">
        <f t="shared" si="23"/>
        <v>10.464192418925684</v>
      </c>
      <c r="P138" s="461">
        <f t="shared" si="24"/>
        <v>14.305183487861566</v>
      </c>
    </row>
    <row r="139" spans="3:16" ht="16.5" hidden="1" outlineLevel="1" thickTop="1" thickBot="1">
      <c r="C139"/>
      <c r="D139"/>
      <c r="E139" s="384" t="s">
        <v>181</v>
      </c>
      <c r="F139"/>
      <c r="G139" s="353"/>
      <c r="H139" s="353"/>
      <c r="K139" s="457" t="str">
        <f t="shared" si="25"/>
        <v>High Efficiency Linear Fluorescent T-8/T-5</v>
      </c>
      <c r="L139" s="457" t="str">
        <f t="shared" si="26"/>
        <v>Area Lighting (Low/Medium Bay)</v>
      </c>
      <c r="M139" s="457" t="str">
        <f t="shared" si="22"/>
        <v>Office</v>
      </c>
      <c r="N139" s="457" t="str">
        <f t="shared" si="27"/>
        <v>Linear Fluorescent</v>
      </c>
      <c r="O139" s="461">
        <f t="shared" si="23"/>
        <v>0</v>
      </c>
      <c r="P139" s="461">
        <f t="shared" si="24"/>
        <v>0</v>
      </c>
    </row>
    <row r="140" spans="3:16" ht="16.5" hidden="1" outlineLevel="1" thickTop="1" thickBot="1">
      <c r="C140"/>
      <c r="D140"/>
      <c r="E140"/>
      <c r="F140" s="384" t="s">
        <v>27</v>
      </c>
      <c r="G140" s="353">
        <v>618.73544215249262</v>
      </c>
      <c r="H140" s="353">
        <v>1056.5797737253315</v>
      </c>
      <c r="K140" s="457" t="str">
        <f t="shared" si="25"/>
        <v>High Efficiency Linear Fluorescent T-8/T-5</v>
      </c>
      <c r="L140" s="457" t="str">
        <f t="shared" si="26"/>
        <v>Area Lighting (Low/Medium Bay)</v>
      </c>
      <c r="M140" s="457" t="str">
        <f t="shared" si="22"/>
        <v>Office</v>
      </c>
      <c r="N140" s="457" t="str">
        <f t="shared" si="27"/>
        <v>Linear Fluorescent</v>
      </c>
      <c r="O140" s="461">
        <f t="shared" si="23"/>
        <v>618.73544215249262</v>
      </c>
      <c r="P140" s="461">
        <f t="shared" si="24"/>
        <v>1056.5797737253315</v>
      </c>
    </row>
    <row r="141" spans="3:16" ht="16.5" hidden="1" outlineLevel="1" thickTop="1" thickBot="1">
      <c r="C141"/>
      <c r="D141"/>
      <c r="E141" s="384" t="s">
        <v>499</v>
      </c>
      <c r="F141"/>
      <c r="G141" s="353"/>
      <c r="H141" s="353"/>
      <c r="K141" s="457" t="str">
        <f t="shared" si="25"/>
        <v>High Efficiency Linear Fluorescent T-8/T-5</v>
      </c>
      <c r="L141" s="457" t="str">
        <f t="shared" si="26"/>
        <v>Area Lighting (Low/Medium Bay)</v>
      </c>
      <c r="M141" s="457" t="str">
        <f t="shared" si="22"/>
        <v>Retail</v>
      </c>
      <c r="N141" s="457" t="str">
        <f t="shared" si="27"/>
        <v>Linear Fluorescent</v>
      </c>
      <c r="O141" s="461">
        <f t="shared" si="23"/>
        <v>0</v>
      </c>
      <c r="P141" s="461">
        <f t="shared" si="24"/>
        <v>0</v>
      </c>
    </row>
    <row r="142" spans="3:16" ht="16.5" hidden="1" outlineLevel="1" thickTop="1" thickBot="1">
      <c r="C142"/>
      <c r="D142"/>
      <c r="E142"/>
      <c r="F142" s="384" t="s">
        <v>27</v>
      </c>
      <c r="G142" s="353">
        <v>94.996596883018057</v>
      </c>
      <c r="H142" s="353">
        <v>147.70097463229004</v>
      </c>
      <c r="K142" s="457" t="str">
        <f t="shared" si="25"/>
        <v>High Efficiency Linear Fluorescent T-8/T-5</v>
      </c>
      <c r="L142" s="457" t="str">
        <f t="shared" si="26"/>
        <v>Area Lighting (Low/Medium Bay)</v>
      </c>
      <c r="M142" s="457" t="str">
        <f t="shared" si="22"/>
        <v>Retail</v>
      </c>
      <c r="N142" s="457" t="str">
        <f t="shared" si="27"/>
        <v>Linear Fluorescent</v>
      </c>
      <c r="O142" s="461">
        <f t="shared" si="23"/>
        <v>94.996596883018057</v>
      </c>
      <c r="P142" s="461">
        <f t="shared" si="24"/>
        <v>147.70097463229004</v>
      </c>
    </row>
    <row r="143" spans="3:16" ht="16.5" hidden="1" outlineLevel="1" thickTop="1" thickBot="1">
      <c r="C143"/>
      <c r="D143"/>
      <c r="E143" s="384" t="s">
        <v>1149</v>
      </c>
      <c r="F143"/>
      <c r="G143" s="353"/>
      <c r="H143" s="353"/>
      <c r="K143" s="457" t="str">
        <f t="shared" si="25"/>
        <v>High Efficiency Linear Fluorescent T-8/T-5</v>
      </c>
      <c r="L143" s="457" t="str">
        <f t="shared" si="26"/>
        <v>Area Lighting (Low/Medium Bay)</v>
      </c>
      <c r="M143" s="457" t="str">
        <f t="shared" si="22"/>
        <v xml:space="preserve">Warehouse </v>
      </c>
      <c r="N143" s="457" t="str">
        <f t="shared" si="27"/>
        <v>Linear Fluorescent</v>
      </c>
      <c r="O143" s="461">
        <f t="shared" si="23"/>
        <v>0</v>
      </c>
      <c r="P143" s="461">
        <f t="shared" si="24"/>
        <v>0</v>
      </c>
    </row>
    <row r="144" spans="3:16" ht="16.5" hidden="1" outlineLevel="1" thickTop="1" thickBot="1">
      <c r="C144"/>
      <c r="D144"/>
      <c r="E144"/>
      <c r="F144" s="384" t="s">
        <v>27</v>
      </c>
      <c r="G144" s="353">
        <v>37.135653933358483</v>
      </c>
      <c r="H144" s="353">
        <v>84.097904173266699</v>
      </c>
      <c r="K144" s="457" t="str">
        <f t="shared" si="25"/>
        <v>High Efficiency Linear Fluorescent T-8/T-5</v>
      </c>
      <c r="L144" s="457" t="str">
        <f t="shared" si="26"/>
        <v>Area Lighting (Low/Medium Bay)</v>
      </c>
      <c r="M144" s="457" t="str">
        <f t="shared" si="22"/>
        <v xml:space="preserve">Warehouse </v>
      </c>
      <c r="N144" s="457" t="str">
        <f t="shared" si="27"/>
        <v>Linear Fluorescent</v>
      </c>
      <c r="O144" s="461">
        <f t="shared" si="23"/>
        <v>37.135653933358483</v>
      </c>
      <c r="P144" s="461">
        <f t="shared" si="24"/>
        <v>84.097904173266699</v>
      </c>
    </row>
    <row r="145" spans="3:16" ht="16.5" hidden="1" outlineLevel="1" thickTop="1" thickBot="1">
      <c r="C145"/>
      <c r="D145"/>
      <c r="E145" s="384" t="s">
        <v>1142</v>
      </c>
      <c r="F145"/>
      <c r="G145" s="353"/>
      <c r="H145" s="353"/>
      <c r="K145" s="457" t="str">
        <f t="shared" si="25"/>
        <v>High Efficiency Linear Fluorescent T-8/T-5</v>
      </c>
      <c r="L145" s="457" t="str">
        <f t="shared" si="26"/>
        <v>Area Lighting (Low/Medium Bay)</v>
      </c>
      <c r="M145" s="457" t="str">
        <f t="shared" si="22"/>
        <v>Food and Liquor Stores</v>
      </c>
      <c r="N145" s="457" t="str">
        <f t="shared" si="27"/>
        <v>Linear Fluorescent</v>
      </c>
      <c r="O145" s="461">
        <f t="shared" si="23"/>
        <v>0</v>
      </c>
      <c r="P145" s="461">
        <f t="shared" si="24"/>
        <v>0</v>
      </c>
    </row>
    <row r="146" spans="3:16" ht="16.5" hidden="1" outlineLevel="1" thickTop="1" thickBot="1">
      <c r="C146"/>
      <c r="D146"/>
      <c r="E146"/>
      <c r="F146" s="384" t="s">
        <v>27</v>
      </c>
      <c r="G146" s="353">
        <v>46.866252669243487</v>
      </c>
      <c r="H146" s="353">
        <v>69.789601902445355</v>
      </c>
      <c r="K146" s="457" t="str">
        <f t="shared" si="25"/>
        <v>High Efficiency Linear Fluorescent T-8/T-5</v>
      </c>
      <c r="L146" s="457" t="str">
        <f t="shared" si="26"/>
        <v>Area Lighting (Low/Medium Bay)</v>
      </c>
      <c r="M146" s="457" t="str">
        <f t="shared" si="22"/>
        <v>Food and Liquor Stores</v>
      </c>
      <c r="N146" s="457" t="str">
        <f t="shared" si="27"/>
        <v>Linear Fluorescent</v>
      </c>
      <c r="O146" s="461">
        <f t="shared" si="23"/>
        <v>46.866252669243487</v>
      </c>
      <c r="P146" s="461">
        <f t="shared" si="24"/>
        <v>69.789601902445355</v>
      </c>
    </row>
    <row r="147" spans="3:16" ht="16.5" hidden="1" outlineLevel="1" thickTop="1" thickBot="1">
      <c r="C147"/>
      <c r="D147"/>
      <c r="E147" s="384" t="s">
        <v>1143</v>
      </c>
      <c r="F147"/>
      <c r="G147" s="353"/>
      <c r="H147" s="353"/>
      <c r="K147" s="457" t="str">
        <f t="shared" si="25"/>
        <v>High Efficiency Linear Fluorescent T-8/T-5</v>
      </c>
      <c r="L147" s="457" t="str">
        <f t="shared" si="26"/>
        <v>Area Lighting (Low/Medium Bay)</v>
      </c>
      <c r="M147" s="457" t="str">
        <f t="shared" si="22"/>
        <v>Health and Medical Clinics</v>
      </c>
      <c r="N147" s="457" t="str">
        <f t="shared" si="27"/>
        <v>Linear Fluorescent</v>
      </c>
      <c r="O147" s="461">
        <f t="shared" si="23"/>
        <v>0</v>
      </c>
      <c r="P147" s="461">
        <f t="shared" si="24"/>
        <v>0</v>
      </c>
    </row>
    <row r="148" spans="3:16" ht="16.5" hidden="1" outlineLevel="1" thickTop="1" thickBot="1">
      <c r="C148"/>
      <c r="D148"/>
      <c r="E148"/>
      <c r="F148" s="384" t="s">
        <v>27</v>
      </c>
      <c r="G148" s="353">
        <v>59.493076051188247</v>
      </c>
      <c r="H148" s="353">
        <v>94.517932178903052</v>
      </c>
      <c r="K148" s="457" t="str">
        <f t="shared" si="25"/>
        <v>High Efficiency Linear Fluorescent T-8/T-5</v>
      </c>
      <c r="L148" s="457" t="str">
        <f t="shared" si="26"/>
        <v>Area Lighting (Low/Medium Bay)</v>
      </c>
      <c r="M148" s="457" t="str">
        <f t="shared" si="22"/>
        <v>Health and Medical Clinics</v>
      </c>
      <c r="N148" s="457" t="str">
        <f t="shared" si="27"/>
        <v>Linear Fluorescent</v>
      </c>
      <c r="O148" s="461">
        <f t="shared" si="23"/>
        <v>59.493076051188247</v>
      </c>
      <c r="P148" s="461">
        <f t="shared" si="24"/>
        <v>94.517932178903052</v>
      </c>
    </row>
    <row r="149" spans="3:16" ht="16.5" hidden="1" outlineLevel="1" thickTop="1" thickBot="1">
      <c r="C149"/>
      <c r="D149"/>
      <c r="E149" s="384" t="s">
        <v>502</v>
      </c>
      <c r="F149"/>
      <c r="G149" s="353"/>
      <c r="H149" s="353"/>
      <c r="K149" s="457" t="str">
        <f t="shared" si="25"/>
        <v>High Efficiency Linear Fluorescent T-8/T-5</v>
      </c>
      <c r="L149" s="457" t="str">
        <f t="shared" si="26"/>
        <v>Area Lighting (Low/Medium Bay)</v>
      </c>
      <c r="M149" s="457" t="str">
        <f t="shared" ref="M149:M180" si="28">IF(E149=0,M148,E149)</f>
        <v>Restaurant</v>
      </c>
      <c r="N149" s="457" t="str">
        <f t="shared" si="27"/>
        <v>Linear Fluorescent</v>
      </c>
      <c r="O149" s="461">
        <f t="shared" si="23"/>
        <v>0</v>
      </c>
      <c r="P149" s="461">
        <f t="shared" si="24"/>
        <v>0</v>
      </c>
    </row>
    <row r="150" spans="3:16" ht="16.5" hidden="1" outlineLevel="1" thickTop="1" thickBot="1">
      <c r="C150"/>
      <c r="D150"/>
      <c r="E150"/>
      <c r="F150" s="384" t="s">
        <v>27</v>
      </c>
      <c r="G150" s="353">
        <v>38.809306852495979</v>
      </c>
      <c r="H150" s="353">
        <v>78.562751204429247</v>
      </c>
      <c r="K150" s="457" t="str">
        <f t="shared" si="25"/>
        <v>High Efficiency Linear Fluorescent T-8/T-5</v>
      </c>
      <c r="L150" s="457" t="str">
        <f t="shared" si="26"/>
        <v>Area Lighting (Low/Medium Bay)</v>
      </c>
      <c r="M150" s="457" t="str">
        <f t="shared" si="28"/>
        <v>Restaurant</v>
      </c>
      <c r="N150" s="457" t="str">
        <f t="shared" si="27"/>
        <v>Linear Fluorescent</v>
      </c>
      <c r="O150" s="461">
        <f t="shared" si="23"/>
        <v>38.809306852495979</v>
      </c>
      <c r="P150" s="461">
        <f t="shared" si="24"/>
        <v>78.562751204429247</v>
      </c>
    </row>
    <row r="151" spans="3:16" ht="16.5" hidden="1" outlineLevel="1" thickTop="1" thickBot="1">
      <c r="C151"/>
      <c r="D151"/>
      <c r="E151" s="384" t="s">
        <v>1154</v>
      </c>
      <c r="F151"/>
      <c r="G151" s="353"/>
      <c r="H151" s="353"/>
      <c r="K151" s="457" t="str">
        <f t="shared" si="25"/>
        <v>High Efficiency Linear Fluorescent T-8/T-5</v>
      </c>
      <c r="L151" s="457" t="str">
        <f t="shared" si="26"/>
        <v>Area Lighting (Low/Medium Bay)</v>
      </c>
      <c r="M151" s="457" t="str">
        <f t="shared" si="28"/>
        <v>Schools</v>
      </c>
      <c r="N151" s="457" t="str">
        <f t="shared" si="27"/>
        <v>Linear Fluorescent</v>
      </c>
      <c r="O151" s="461">
        <f t="shared" si="23"/>
        <v>0</v>
      </c>
      <c r="P151" s="461">
        <f t="shared" si="24"/>
        <v>0</v>
      </c>
    </row>
    <row r="152" spans="3:16" ht="16.5" hidden="1" outlineLevel="1" thickTop="1" thickBot="1">
      <c r="C152"/>
      <c r="D152"/>
      <c r="E152"/>
      <c r="F152" s="384" t="s">
        <v>27</v>
      </c>
      <c r="G152" s="353">
        <v>159.12853790821592</v>
      </c>
      <c r="H152" s="353">
        <v>271.06706524697006</v>
      </c>
      <c r="K152" s="457" t="str">
        <f t="shared" si="25"/>
        <v>High Efficiency Linear Fluorescent T-8/T-5</v>
      </c>
      <c r="L152" s="457" t="str">
        <f t="shared" si="26"/>
        <v>Area Lighting (Low/Medium Bay)</v>
      </c>
      <c r="M152" s="457" t="str">
        <f t="shared" si="28"/>
        <v>Schools</v>
      </c>
      <c r="N152" s="457" t="str">
        <f t="shared" si="27"/>
        <v>Linear Fluorescent</v>
      </c>
      <c r="O152" s="461">
        <f t="shared" si="23"/>
        <v>159.12853790821592</v>
      </c>
      <c r="P152" s="461">
        <f t="shared" si="24"/>
        <v>271.06706524697006</v>
      </c>
    </row>
    <row r="153" spans="3:16" ht="16.5" hidden="1" outlineLevel="1" thickTop="1" thickBot="1">
      <c r="C153"/>
      <c r="D153"/>
      <c r="E153" s="384" t="s">
        <v>541</v>
      </c>
      <c r="F153"/>
      <c r="G153" s="353"/>
      <c r="H153" s="353"/>
      <c r="K153" s="457" t="str">
        <f t="shared" si="25"/>
        <v>High Efficiency Linear Fluorescent T-8/T-5</v>
      </c>
      <c r="L153" s="457" t="str">
        <f t="shared" si="26"/>
        <v>Area Lighting (Low/Medium Bay)</v>
      </c>
      <c r="M153" s="457" t="str">
        <f t="shared" si="28"/>
        <v>Miscellaneous</v>
      </c>
      <c r="N153" s="457" t="str">
        <f t="shared" si="27"/>
        <v>Linear Fluorescent</v>
      </c>
      <c r="O153" s="461">
        <f t="shared" si="23"/>
        <v>0</v>
      </c>
      <c r="P153" s="461">
        <f t="shared" si="24"/>
        <v>0</v>
      </c>
    </row>
    <row r="154" spans="3:16" ht="16.5" hidden="1" outlineLevel="1" thickTop="1" thickBot="1">
      <c r="C154"/>
      <c r="D154"/>
      <c r="E154"/>
      <c r="F154" s="384" t="s">
        <v>27</v>
      </c>
      <c r="G154" s="353">
        <v>431.8752817088814</v>
      </c>
      <c r="H154" s="353">
        <v>729.02889055123103</v>
      </c>
      <c r="K154" s="457" t="str">
        <f t="shared" si="25"/>
        <v>High Efficiency Linear Fluorescent T-8/T-5</v>
      </c>
      <c r="L154" s="457" t="str">
        <f t="shared" si="26"/>
        <v>Area Lighting (Low/Medium Bay)</v>
      </c>
      <c r="M154" s="457" t="str">
        <f t="shared" si="28"/>
        <v>Miscellaneous</v>
      </c>
      <c r="N154" s="457" t="str">
        <f t="shared" si="27"/>
        <v>Linear Fluorescent</v>
      </c>
      <c r="O154" s="461">
        <f t="shared" si="23"/>
        <v>431.8752817088814</v>
      </c>
      <c r="P154" s="461">
        <f t="shared" si="24"/>
        <v>729.02889055123103</v>
      </c>
    </row>
    <row r="155" spans="3:16" ht="16.5" hidden="1" outlineLevel="1" thickTop="1" thickBot="1">
      <c r="C155"/>
      <c r="D155"/>
      <c r="E155" s="384" t="s">
        <v>1223</v>
      </c>
      <c r="F155"/>
      <c r="G155" s="353"/>
      <c r="H155" s="353"/>
      <c r="K155" s="457" t="str">
        <f t="shared" si="25"/>
        <v>High Efficiency Linear Fluorescent T-8/T-5</v>
      </c>
      <c r="L155" s="457" t="str">
        <f t="shared" si="26"/>
        <v>Area Lighting (Low/Medium Bay)</v>
      </c>
      <c r="M155" s="457" t="str">
        <f t="shared" si="28"/>
        <v>Health and Medical Hospital</v>
      </c>
      <c r="N155" s="457" t="str">
        <f t="shared" si="27"/>
        <v>Linear Fluorescent</v>
      </c>
      <c r="O155" s="461">
        <f t="shared" si="23"/>
        <v>0</v>
      </c>
      <c r="P155" s="461">
        <f t="shared" si="24"/>
        <v>0</v>
      </c>
    </row>
    <row r="156" spans="3:16" ht="16.5" hidden="1" outlineLevel="1" thickTop="1" thickBot="1">
      <c r="C156"/>
      <c r="D156"/>
      <c r="E156"/>
      <c r="F156" s="384" t="s">
        <v>27</v>
      </c>
      <c r="G156" s="353">
        <v>113.03344809503142</v>
      </c>
      <c r="H156" s="353">
        <v>197.76143689626537</v>
      </c>
      <c r="K156" s="457" t="str">
        <f t="shared" ref="K156:K180" si="29">IF(C156=0,K155,C156)</f>
        <v>High Efficiency Linear Fluorescent T-8/T-5</v>
      </c>
      <c r="L156" s="457" t="str">
        <f t="shared" ref="L156:L180" si="30">IF(D156=0,L155,D156)</f>
        <v>Area Lighting (Low/Medium Bay)</v>
      </c>
      <c r="M156" s="457" t="str">
        <f t="shared" si="28"/>
        <v>Health and Medical Hospital</v>
      </c>
      <c r="N156" s="457" t="str">
        <f t="shared" si="27"/>
        <v>Linear Fluorescent</v>
      </c>
      <c r="O156" s="461">
        <f t="shared" si="23"/>
        <v>113.03344809503142</v>
      </c>
      <c r="P156" s="461">
        <f t="shared" si="24"/>
        <v>197.76143689626537</v>
      </c>
    </row>
    <row r="157" spans="3:16" ht="16.5" hidden="1" outlineLevel="1" thickTop="1" thickBot="1">
      <c r="C157" s="384" t="s">
        <v>995</v>
      </c>
      <c r="D157"/>
      <c r="E157"/>
      <c r="F157"/>
      <c r="G157" s="353"/>
      <c r="H157" s="353"/>
      <c r="K157" s="457" t="str">
        <f t="shared" si="29"/>
        <v>CMH</v>
      </c>
      <c r="L157" s="457" t="str">
        <f t="shared" si="30"/>
        <v>Area Lighting (Low/Medium Bay)</v>
      </c>
      <c r="M157" s="457" t="str">
        <f t="shared" si="28"/>
        <v>Health and Medical Hospital</v>
      </c>
      <c r="N157" s="457" t="str">
        <f t="shared" si="27"/>
        <v>Linear Fluorescent</v>
      </c>
      <c r="O157" s="461">
        <f t="shared" si="23"/>
        <v>0</v>
      </c>
      <c r="P157" s="461">
        <f t="shared" si="24"/>
        <v>0</v>
      </c>
    </row>
    <row r="158" spans="3:16" ht="16.5" hidden="1" outlineLevel="1" thickTop="1" thickBot="1">
      <c r="C158"/>
      <c r="D158" s="384" t="s">
        <v>1226</v>
      </c>
      <c r="E158"/>
      <c r="F158"/>
      <c r="G158" s="353"/>
      <c r="H158" s="353"/>
      <c r="K158" s="457" t="str">
        <f t="shared" si="29"/>
        <v>CMH</v>
      </c>
      <c r="L158" s="457" t="str">
        <f t="shared" si="30"/>
        <v>Area Lighting (High Bay)</v>
      </c>
      <c r="M158" s="457" t="str">
        <f t="shared" si="28"/>
        <v>Health and Medical Hospital</v>
      </c>
      <c r="N158" s="457" t="str">
        <f t="shared" si="27"/>
        <v>Linear Fluorescent</v>
      </c>
      <c r="O158" s="461">
        <f t="shared" si="23"/>
        <v>0</v>
      </c>
      <c r="P158" s="461">
        <f t="shared" si="24"/>
        <v>0</v>
      </c>
    </row>
    <row r="159" spans="3:16" ht="16.5" hidden="1" outlineLevel="1" thickTop="1" thickBot="1">
      <c r="C159"/>
      <c r="D159"/>
      <c r="E159" s="384" t="s">
        <v>105</v>
      </c>
      <c r="F159"/>
      <c r="G159" s="353"/>
      <c r="H159" s="353"/>
      <c r="K159" s="457" t="str">
        <f t="shared" si="29"/>
        <v>CMH</v>
      </c>
      <c r="L159" s="457" t="str">
        <f t="shared" si="30"/>
        <v>Area Lighting (High Bay)</v>
      </c>
      <c r="M159" s="457" t="str">
        <f t="shared" si="28"/>
        <v>University/College</v>
      </c>
      <c r="N159" s="457" t="str">
        <f t="shared" si="27"/>
        <v>Linear Fluorescent</v>
      </c>
      <c r="O159" s="461">
        <f t="shared" si="23"/>
        <v>0</v>
      </c>
      <c r="P159" s="461">
        <f t="shared" si="24"/>
        <v>0</v>
      </c>
    </row>
    <row r="160" spans="3:16" ht="16.5" hidden="1" outlineLevel="1" thickTop="1" thickBot="1">
      <c r="C160"/>
      <c r="D160"/>
      <c r="E160"/>
      <c r="F160" s="384" t="s">
        <v>1245</v>
      </c>
      <c r="G160" s="353">
        <v>3.8010336556704338</v>
      </c>
      <c r="H160" s="353">
        <v>4.9588630620390619</v>
      </c>
      <c r="K160" s="457" t="str">
        <f t="shared" si="29"/>
        <v>CMH</v>
      </c>
      <c r="L160" s="457" t="str">
        <f t="shared" si="30"/>
        <v>Area Lighting (High Bay)</v>
      </c>
      <c r="M160" s="457" t="str">
        <f t="shared" si="28"/>
        <v>University/College</v>
      </c>
      <c r="N160" s="457" t="str">
        <f t="shared" si="27"/>
        <v>MH (Std, PS, CMH)</v>
      </c>
      <c r="O160" s="461">
        <f t="shared" si="23"/>
        <v>3.8010336556704338</v>
      </c>
      <c r="P160" s="461">
        <f t="shared" si="24"/>
        <v>4.9588630620390619</v>
      </c>
    </row>
    <row r="161" spans="3:16" ht="16.5" hidden="1" outlineLevel="1" thickTop="1" thickBot="1">
      <c r="C161"/>
      <c r="D161"/>
      <c r="E161" s="384" t="s">
        <v>499</v>
      </c>
      <c r="F161"/>
      <c r="G161" s="353"/>
      <c r="H161" s="353"/>
      <c r="K161" s="457" t="str">
        <f t="shared" si="29"/>
        <v>CMH</v>
      </c>
      <c r="L161" s="457" t="str">
        <f t="shared" si="30"/>
        <v>Area Lighting (High Bay)</v>
      </c>
      <c r="M161" s="457" t="str">
        <f t="shared" si="28"/>
        <v>Retail</v>
      </c>
      <c r="N161" s="457" t="str">
        <f t="shared" si="27"/>
        <v>MH (Std, PS, CMH)</v>
      </c>
      <c r="O161" s="461">
        <f t="shared" si="23"/>
        <v>0</v>
      </c>
      <c r="P161" s="461">
        <f t="shared" si="24"/>
        <v>0</v>
      </c>
    </row>
    <row r="162" spans="3:16" ht="16.5" hidden="1" outlineLevel="1" thickTop="1" thickBot="1">
      <c r="C162"/>
      <c r="D162"/>
      <c r="E162"/>
      <c r="F162" s="384" t="s">
        <v>1245</v>
      </c>
      <c r="G162" s="353">
        <v>181.95356683560576</v>
      </c>
      <c r="H162" s="353">
        <v>243.31557227168014</v>
      </c>
      <c r="K162" s="457" t="str">
        <f t="shared" si="29"/>
        <v>CMH</v>
      </c>
      <c r="L162" s="457" t="str">
        <f t="shared" si="30"/>
        <v>Area Lighting (High Bay)</v>
      </c>
      <c r="M162" s="457" t="str">
        <f t="shared" si="28"/>
        <v>Retail</v>
      </c>
      <c r="N162" s="457" t="str">
        <f t="shared" si="27"/>
        <v>MH (Std, PS, CMH)</v>
      </c>
      <c r="O162" s="461">
        <f t="shared" si="23"/>
        <v>181.95356683560576</v>
      </c>
      <c r="P162" s="461">
        <f t="shared" si="24"/>
        <v>243.31557227168014</v>
      </c>
    </row>
    <row r="163" spans="3:16" ht="16.5" hidden="1" outlineLevel="1" thickTop="1" thickBot="1">
      <c r="C163"/>
      <c r="D163"/>
      <c r="E163" s="384" t="s">
        <v>1149</v>
      </c>
      <c r="F163"/>
      <c r="G163" s="353"/>
      <c r="H163" s="353"/>
      <c r="K163" s="457" t="str">
        <f t="shared" si="29"/>
        <v>CMH</v>
      </c>
      <c r="L163" s="457" t="str">
        <f t="shared" si="30"/>
        <v>Area Lighting (High Bay)</v>
      </c>
      <c r="M163" s="457" t="str">
        <f t="shared" si="28"/>
        <v xml:space="preserve">Warehouse </v>
      </c>
      <c r="N163" s="457" t="str">
        <f t="shared" si="27"/>
        <v>MH (Std, PS, CMH)</v>
      </c>
      <c r="O163" s="461">
        <f t="shared" si="23"/>
        <v>0</v>
      </c>
      <c r="P163" s="461">
        <f t="shared" si="24"/>
        <v>0</v>
      </c>
    </row>
    <row r="164" spans="3:16" ht="16.5" hidden="1" outlineLevel="1" thickTop="1" thickBot="1">
      <c r="C164"/>
      <c r="D164"/>
      <c r="E164"/>
      <c r="F164" s="384" t="s">
        <v>1245</v>
      </c>
      <c r="G164" s="353">
        <v>53.443735384197936</v>
      </c>
      <c r="H164" s="353">
        <v>71.420784133301666</v>
      </c>
      <c r="K164" s="457" t="str">
        <f t="shared" si="29"/>
        <v>CMH</v>
      </c>
      <c r="L164" s="457" t="str">
        <f t="shared" si="30"/>
        <v>Area Lighting (High Bay)</v>
      </c>
      <c r="M164" s="457" t="str">
        <f t="shared" si="28"/>
        <v xml:space="preserve">Warehouse </v>
      </c>
      <c r="N164" s="457" t="str">
        <f t="shared" si="27"/>
        <v>MH (Std, PS, CMH)</v>
      </c>
      <c r="O164" s="461">
        <f t="shared" si="23"/>
        <v>53.443735384197936</v>
      </c>
      <c r="P164" s="461">
        <f t="shared" si="24"/>
        <v>71.420784133301666</v>
      </c>
    </row>
    <row r="165" spans="3:16" ht="16.5" hidden="1" outlineLevel="1" thickTop="1" thickBot="1">
      <c r="C165"/>
      <c r="D165"/>
      <c r="E165" s="384" t="s">
        <v>1154</v>
      </c>
      <c r="F165"/>
      <c r="G165" s="353"/>
      <c r="H165" s="353"/>
      <c r="K165" s="457" t="str">
        <f t="shared" si="29"/>
        <v>CMH</v>
      </c>
      <c r="L165" s="457" t="str">
        <f t="shared" si="30"/>
        <v>Area Lighting (High Bay)</v>
      </c>
      <c r="M165" s="457" t="str">
        <f t="shared" si="28"/>
        <v>Schools</v>
      </c>
      <c r="N165" s="457" t="str">
        <f t="shared" si="27"/>
        <v>MH (Std, PS, CMH)</v>
      </c>
      <c r="O165" s="461">
        <f t="shared" si="23"/>
        <v>0</v>
      </c>
      <c r="P165" s="461">
        <f t="shared" si="24"/>
        <v>0</v>
      </c>
    </row>
    <row r="166" spans="3:16" ht="16.5" hidden="1" outlineLevel="1" thickTop="1" thickBot="1">
      <c r="C166"/>
      <c r="D166"/>
      <c r="E166"/>
      <c r="F166" s="384" t="s">
        <v>1245</v>
      </c>
      <c r="G166" s="353">
        <v>13.229088191889645</v>
      </c>
      <c r="H166" s="353">
        <v>20.652035640831038</v>
      </c>
      <c r="K166" s="457" t="str">
        <f t="shared" si="29"/>
        <v>CMH</v>
      </c>
      <c r="L166" s="457" t="str">
        <f t="shared" si="30"/>
        <v>Area Lighting (High Bay)</v>
      </c>
      <c r="M166" s="457" t="str">
        <f t="shared" si="28"/>
        <v>Schools</v>
      </c>
      <c r="N166" s="457" t="str">
        <f t="shared" si="27"/>
        <v>MH (Std, PS, CMH)</v>
      </c>
      <c r="O166" s="461">
        <f t="shared" si="23"/>
        <v>13.229088191889645</v>
      </c>
      <c r="P166" s="461">
        <f t="shared" si="24"/>
        <v>20.652035640831038</v>
      </c>
    </row>
    <row r="167" spans="3:16" ht="16.5" hidden="1" outlineLevel="1" thickTop="1" thickBot="1">
      <c r="C167"/>
      <c r="D167"/>
      <c r="E167" s="384" t="s">
        <v>828</v>
      </c>
      <c r="F167"/>
      <c r="G167" s="353"/>
      <c r="H167" s="353"/>
      <c r="K167" s="457" t="str">
        <f t="shared" si="29"/>
        <v>CMH</v>
      </c>
      <c r="L167" s="457" t="str">
        <f t="shared" si="30"/>
        <v>Area Lighting (High Bay)</v>
      </c>
      <c r="M167" s="457" t="str">
        <f t="shared" si="28"/>
        <v>Industrial</v>
      </c>
      <c r="N167" s="457" t="str">
        <f t="shared" si="27"/>
        <v>MH (Std, PS, CMH)</v>
      </c>
      <c r="O167" s="461">
        <f t="shared" ref="O167:O180" si="31">G167</f>
        <v>0</v>
      </c>
      <c r="P167" s="461">
        <f t="shared" ref="P167:P180" si="32">H167</f>
        <v>0</v>
      </c>
    </row>
    <row r="168" spans="3:16" ht="16.5" hidden="1" outlineLevel="1" thickTop="1" thickBot="1">
      <c r="C168"/>
      <c r="D168"/>
      <c r="E168"/>
      <c r="F168" s="384" t="s">
        <v>1245</v>
      </c>
      <c r="G168" s="353">
        <v>28.119318083516493</v>
      </c>
      <c r="H168" s="353">
        <v>44.198455424000009</v>
      </c>
      <c r="K168" s="457" t="str">
        <f t="shared" si="29"/>
        <v>CMH</v>
      </c>
      <c r="L168" s="457" t="str">
        <f t="shared" si="30"/>
        <v>Area Lighting (High Bay)</v>
      </c>
      <c r="M168" s="457" t="str">
        <f t="shared" si="28"/>
        <v>Industrial</v>
      </c>
      <c r="N168" s="457" t="str">
        <f t="shared" si="27"/>
        <v>MH (Std, PS, CMH)</v>
      </c>
      <c r="O168" s="461">
        <f t="shared" si="31"/>
        <v>28.119318083516493</v>
      </c>
      <c r="P168" s="461">
        <f t="shared" si="32"/>
        <v>44.198455424000009</v>
      </c>
    </row>
    <row r="169" spans="3:16" ht="16.5" hidden="1" outlineLevel="1" thickTop="1" thickBot="1">
      <c r="C169" s="384" t="s">
        <v>1053</v>
      </c>
      <c r="D169"/>
      <c r="E169"/>
      <c r="F169"/>
      <c r="G169" s="353"/>
      <c r="H169" s="353"/>
      <c r="K169" s="457" t="str">
        <f t="shared" si="29"/>
        <v>LEC Exit Sign</v>
      </c>
      <c r="L169" s="457" t="str">
        <f t="shared" si="30"/>
        <v>Area Lighting (High Bay)</v>
      </c>
      <c r="M169" s="457" t="str">
        <f t="shared" si="28"/>
        <v>Industrial</v>
      </c>
      <c r="N169" s="457" t="str">
        <f t="shared" si="27"/>
        <v>MH (Std, PS, CMH)</v>
      </c>
      <c r="O169" s="461">
        <f t="shared" si="31"/>
        <v>0</v>
      </c>
      <c r="P169" s="461">
        <f t="shared" si="32"/>
        <v>0</v>
      </c>
    </row>
    <row r="170" spans="3:16" ht="16.5" hidden="1" outlineLevel="1" thickTop="1" thickBot="1">
      <c r="C170"/>
      <c r="D170" s="384" t="s">
        <v>1148</v>
      </c>
      <c r="E170"/>
      <c r="F170"/>
      <c r="G170" s="353"/>
      <c r="H170" s="353"/>
      <c r="K170" s="457" t="str">
        <f t="shared" si="29"/>
        <v>LEC Exit Sign</v>
      </c>
      <c r="L170" s="457" t="str">
        <f t="shared" si="30"/>
        <v>Exit Lighting</v>
      </c>
      <c r="M170" s="457" t="str">
        <f t="shared" si="28"/>
        <v>Industrial</v>
      </c>
      <c r="N170" s="457" t="str">
        <f t="shared" si="27"/>
        <v>MH (Std, PS, CMH)</v>
      </c>
      <c r="O170" s="461">
        <f t="shared" si="31"/>
        <v>0</v>
      </c>
      <c r="P170" s="461">
        <f t="shared" si="32"/>
        <v>0</v>
      </c>
    </row>
    <row r="171" spans="3:16" ht="16.5" hidden="1" outlineLevel="1" thickTop="1" thickBot="1">
      <c r="C171"/>
      <c r="D171"/>
      <c r="E171" s="384" t="s">
        <v>1266</v>
      </c>
      <c r="F171"/>
      <c r="G171" s="353"/>
      <c r="H171" s="353"/>
      <c r="K171" s="457" t="str">
        <f t="shared" si="29"/>
        <v>LEC Exit Sign</v>
      </c>
      <c r="L171" s="457" t="str">
        <f t="shared" si="30"/>
        <v>Exit Lighting</v>
      </c>
      <c r="M171" s="457" t="str">
        <f t="shared" si="28"/>
        <v>All Commercial</v>
      </c>
      <c r="N171" s="457" t="str">
        <f t="shared" si="27"/>
        <v>MH (Std, PS, CMH)</v>
      </c>
      <c r="O171" s="461">
        <f t="shared" si="31"/>
        <v>0</v>
      </c>
      <c r="P171" s="461">
        <f t="shared" si="32"/>
        <v>0</v>
      </c>
    </row>
    <row r="172" spans="3:16" ht="16.5" hidden="1" outlineLevel="1" thickTop="1" thickBot="1">
      <c r="C172"/>
      <c r="D172"/>
      <c r="E172"/>
      <c r="F172" s="384" t="s">
        <v>26</v>
      </c>
      <c r="G172" s="353">
        <v>42.345112588633263</v>
      </c>
      <c r="H172" s="353">
        <v>0</v>
      </c>
      <c r="K172" s="457" t="str">
        <f t="shared" si="29"/>
        <v>LEC Exit Sign</v>
      </c>
      <c r="L172" s="457" t="str">
        <f t="shared" si="30"/>
        <v>Exit Lighting</v>
      </c>
      <c r="M172" s="457" t="str">
        <f t="shared" si="28"/>
        <v>All Commercial</v>
      </c>
      <c r="N172" s="457" t="str">
        <f t="shared" si="27"/>
        <v>Incandescent</v>
      </c>
      <c r="O172" s="461">
        <f t="shared" si="31"/>
        <v>42.345112588633263</v>
      </c>
      <c r="P172" s="461">
        <f t="shared" si="32"/>
        <v>0</v>
      </c>
    </row>
    <row r="173" spans="3:16" ht="16.5" hidden="1" outlineLevel="1" thickTop="1" thickBot="1">
      <c r="C173"/>
      <c r="D173"/>
      <c r="E173"/>
      <c r="F173" s="384" t="s">
        <v>95</v>
      </c>
      <c r="G173" s="353">
        <v>61.327587497157452</v>
      </c>
      <c r="H173" s="353">
        <v>0</v>
      </c>
      <c r="K173" s="457" t="str">
        <f t="shared" si="29"/>
        <v>LEC Exit Sign</v>
      </c>
      <c r="L173" s="457" t="str">
        <f t="shared" si="30"/>
        <v>Exit Lighting</v>
      </c>
      <c r="M173" s="457" t="str">
        <f t="shared" si="28"/>
        <v>All Commercial</v>
      </c>
      <c r="N173" s="457" t="str">
        <f t="shared" si="27"/>
        <v>LED</v>
      </c>
      <c r="O173" s="461">
        <f t="shared" si="31"/>
        <v>61.327587497157452</v>
      </c>
      <c r="P173" s="461">
        <f t="shared" si="32"/>
        <v>0</v>
      </c>
    </row>
    <row r="174" spans="3:16" ht="16.5" hidden="1" outlineLevel="1" thickTop="1" thickBot="1">
      <c r="C174" s="384" t="s">
        <v>1228</v>
      </c>
      <c r="D174"/>
      <c r="E174"/>
      <c r="F174"/>
      <c r="G174" s="353"/>
      <c r="H174" s="353"/>
      <c r="K174" s="457" t="str">
        <f t="shared" si="29"/>
        <v>High Bay Linear Fluorescent 
T-8/T-5 HO</v>
      </c>
      <c r="L174" s="457" t="str">
        <f t="shared" si="30"/>
        <v>Exit Lighting</v>
      </c>
      <c r="M174" s="457" t="str">
        <f t="shared" si="28"/>
        <v>All Commercial</v>
      </c>
      <c r="N174" s="457" t="str">
        <f t="shared" si="27"/>
        <v>LED</v>
      </c>
      <c r="O174" s="461">
        <f t="shared" si="31"/>
        <v>0</v>
      </c>
      <c r="P174" s="461">
        <f t="shared" si="32"/>
        <v>0</v>
      </c>
    </row>
    <row r="175" spans="3:16" ht="16.5" hidden="1" outlineLevel="1" thickTop="1" thickBot="1">
      <c r="C175"/>
      <c r="D175" s="384" t="s">
        <v>1226</v>
      </c>
      <c r="E175"/>
      <c r="F175"/>
      <c r="G175" s="353"/>
      <c r="H175" s="353"/>
      <c r="K175" s="457" t="str">
        <f t="shared" si="29"/>
        <v>High Bay Linear Fluorescent 
T-8/T-5 HO</v>
      </c>
      <c r="L175" s="457" t="str">
        <f t="shared" si="30"/>
        <v>Area Lighting (High Bay)</v>
      </c>
      <c r="M175" s="457" t="str">
        <f t="shared" si="28"/>
        <v>All Commercial</v>
      </c>
      <c r="N175" s="457" t="str">
        <f t="shared" si="27"/>
        <v>LED</v>
      </c>
      <c r="O175" s="461">
        <f t="shared" si="31"/>
        <v>0</v>
      </c>
      <c r="P175" s="461">
        <f t="shared" si="32"/>
        <v>0</v>
      </c>
    </row>
    <row r="176" spans="3:16" ht="16.5" hidden="1" outlineLevel="1" thickTop="1" thickBot="1">
      <c r="C176"/>
      <c r="D176"/>
      <c r="E176" s="384" t="s">
        <v>105</v>
      </c>
      <c r="F176"/>
      <c r="G176" s="353"/>
      <c r="H176" s="353"/>
      <c r="K176" s="457" t="str">
        <f t="shared" si="29"/>
        <v>High Bay Linear Fluorescent 
T-8/T-5 HO</v>
      </c>
      <c r="L176" s="457" t="str">
        <f t="shared" si="30"/>
        <v>Area Lighting (High Bay)</v>
      </c>
      <c r="M176" s="457" t="str">
        <f t="shared" si="28"/>
        <v>University/College</v>
      </c>
      <c r="N176" s="457" t="str">
        <f t="shared" si="27"/>
        <v>LED</v>
      </c>
      <c r="O176" s="461">
        <f t="shared" si="31"/>
        <v>0</v>
      </c>
      <c r="P176" s="461">
        <f t="shared" si="32"/>
        <v>0</v>
      </c>
    </row>
    <row r="177" spans="3:16" ht="16.5" hidden="1" outlineLevel="1" thickTop="1" thickBot="1">
      <c r="C177"/>
      <c r="D177"/>
      <c r="E177"/>
      <c r="F177" s="384" t="s">
        <v>27</v>
      </c>
      <c r="G177" s="353">
        <v>13.725304715921281</v>
      </c>
      <c r="H177" s="353">
        <v>23.448539331758511</v>
      </c>
      <c r="K177" s="457" t="str">
        <f t="shared" si="29"/>
        <v>High Bay Linear Fluorescent 
T-8/T-5 HO</v>
      </c>
      <c r="L177" s="457" t="str">
        <f t="shared" si="30"/>
        <v>Area Lighting (High Bay)</v>
      </c>
      <c r="M177" s="457" t="str">
        <f t="shared" si="28"/>
        <v>University/College</v>
      </c>
      <c r="N177" s="457" t="str">
        <f t="shared" si="27"/>
        <v>Linear Fluorescent</v>
      </c>
      <c r="O177" s="461">
        <f t="shared" si="31"/>
        <v>13.725304715921281</v>
      </c>
      <c r="P177" s="461">
        <f t="shared" si="32"/>
        <v>23.448539331758511</v>
      </c>
    </row>
    <row r="178" spans="3:16" ht="16.5" hidden="1" outlineLevel="1" thickTop="1" thickBot="1">
      <c r="C178"/>
      <c r="D178"/>
      <c r="E178"/>
      <c r="F178" s="384" t="s">
        <v>1245</v>
      </c>
      <c r="G178" s="353">
        <v>3.0077744579652994</v>
      </c>
      <c r="H178" s="353">
        <v>4.9588630620390619</v>
      </c>
      <c r="K178" s="457" t="str">
        <f t="shared" si="29"/>
        <v>High Bay Linear Fluorescent 
T-8/T-5 HO</v>
      </c>
      <c r="L178" s="457" t="str">
        <f t="shared" si="30"/>
        <v>Area Lighting (High Bay)</v>
      </c>
      <c r="M178" s="457" t="str">
        <f t="shared" si="28"/>
        <v>University/College</v>
      </c>
      <c r="N178" s="457" t="str">
        <f t="shared" si="27"/>
        <v>MH (Std, PS, CMH)</v>
      </c>
      <c r="O178" s="461">
        <f t="shared" si="31"/>
        <v>3.0077744579652994</v>
      </c>
      <c r="P178" s="461">
        <f t="shared" si="32"/>
        <v>4.9588630620390619</v>
      </c>
    </row>
    <row r="179" spans="3:16" ht="16.5" hidden="1" outlineLevel="1" thickTop="1" thickBot="1">
      <c r="C179"/>
      <c r="D179"/>
      <c r="E179" s="384" t="s">
        <v>499</v>
      </c>
      <c r="F179"/>
      <c r="G179" s="353"/>
      <c r="H179" s="353"/>
      <c r="K179" s="457" t="str">
        <f t="shared" si="29"/>
        <v>High Bay Linear Fluorescent 
T-8/T-5 HO</v>
      </c>
      <c r="L179" s="457" t="str">
        <f t="shared" si="30"/>
        <v>Area Lighting (High Bay)</v>
      </c>
      <c r="M179" s="457" t="str">
        <f t="shared" si="28"/>
        <v>Retail</v>
      </c>
      <c r="N179" s="457" t="str">
        <f t="shared" si="27"/>
        <v>MH (Std, PS, CMH)</v>
      </c>
      <c r="O179" s="461">
        <f t="shared" si="31"/>
        <v>0</v>
      </c>
      <c r="P179" s="461">
        <f t="shared" si="32"/>
        <v>0</v>
      </c>
    </row>
    <row r="180" spans="3:16" ht="16.5" hidden="1" outlineLevel="1" thickTop="1" thickBot="1">
      <c r="C180"/>
      <c r="D180"/>
      <c r="E180"/>
      <c r="F180" s="384" t="s">
        <v>27</v>
      </c>
      <c r="G180" s="353">
        <v>290.57174729024797</v>
      </c>
      <c r="H180" s="353">
        <v>440.15358239428133</v>
      </c>
      <c r="K180" s="457" t="str">
        <f t="shared" si="29"/>
        <v>High Bay Linear Fluorescent 
T-8/T-5 HO</v>
      </c>
      <c r="L180" s="457" t="str">
        <f t="shared" si="30"/>
        <v>Area Lighting (High Bay)</v>
      </c>
      <c r="M180" s="457" t="str">
        <f t="shared" si="28"/>
        <v>Retail</v>
      </c>
      <c r="N180" s="457" t="str">
        <f t="shared" si="27"/>
        <v>Linear Fluorescent</v>
      </c>
      <c r="O180" s="461">
        <f t="shared" si="31"/>
        <v>290.57174729024797</v>
      </c>
      <c r="P180" s="461">
        <f t="shared" si="32"/>
        <v>440.15358239428133</v>
      </c>
    </row>
    <row r="181" spans="3:16" ht="16.5" hidden="1" outlineLevel="1" thickTop="1" thickBot="1">
      <c r="C181"/>
      <c r="D181"/>
      <c r="E181"/>
      <c r="F181" s="384" t="s">
        <v>1245</v>
      </c>
      <c r="G181" s="353">
        <v>143.98064853947932</v>
      </c>
      <c r="H181" s="353">
        <v>243.31557227168014</v>
      </c>
      <c r="K181" s="457" t="str">
        <f t="shared" ref="K181:M196" si="33">IF(C181=0,K180,C181)</f>
        <v>High Bay Linear Fluorescent 
T-8/T-5 HO</v>
      </c>
      <c r="L181" s="457" t="str">
        <f t="shared" si="33"/>
        <v>Area Lighting (High Bay)</v>
      </c>
      <c r="M181" s="457" t="str">
        <f t="shared" si="33"/>
        <v>Retail</v>
      </c>
      <c r="N181" s="457" t="str">
        <f t="shared" ref="N181:N209" si="34">IF(F181=0,N180,F181)</f>
        <v>MH (Std, PS, CMH)</v>
      </c>
      <c r="O181" s="461">
        <f t="shared" ref="O181:O209" si="35">G181</f>
        <v>143.98064853947932</v>
      </c>
      <c r="P181" s="461">
        <f t="shared" ref="P181:P209" si="36">H181</f>
        <v>243.31557227168014</v>
      </c>
    </row>
    <row r="182" spans="3:16" ht="16.5" hidden="1" outlineLevel="1" thickTop="1" thickBot="1">
      <c r="C182"/>
      <c r="D182"/>
      <c r="E182" s="384" t="s">
        <v>1149</v>
      </c>
      <c r="F182"/>
      <c r="G182" s="353"/>
      <c r="H182" s="353"/>
      <c r="K182" s="457" t="str">
        <f t="shared" si="33"/>
        <v>High Bay Linear Fluorescent 
T-8/T-5 HO</v>
      </c>
      <c r="L182" s="457" t="str">
        <f t="shared" ref="L182:L209" si="37">IF(D182=0,L181,D182)</f>
        <v>Area Lighting (High Bay)</v>
      </c>
      <c r="M182" s="457" t="str">
        <f t="shared" ref="M182:M209" si="38">IF(E182=0,M181,E182)</f>
        <v xml:space="preserve">Warehouse </v>
      </c>
      <c r="N182" s="457" t="str">
        <f t="shared" si="34"/>
        <v>MH (Std, PS, CMH)</v>
      </c>
      <c r="O182" s="461">
        <f t="shared" si="35"/>
        <v>0</v>
      </c>
      <c r="P182" s="461">
        <f t="shared" si="36"/>
        <v>0</v>
      </c>
    </row>
    <row r="183" spans="3:16" ht="16.5" hidden="1" outlineLevel="1" thickTop="1" thickBot="1">
      <c r="C183"/>
      <c r="D183"/>
      <c r="E183"/>
      <c r="F183" s="384" t="s">
        <v>27</v>
      </c>
      <c r="G183" s="353">
        <v>123.66455532884841</v>
      </c>
      <c r="H183" s="353">
        <v>214.50745601796345</v>
      </c>
      <c r="K183" s="457" t="str">
        <f t="shared" si="33"/>
        <v>High Bay Linear Fluorescent 
T-8/T-5 HO</v>
      </c>
      <c r="L183" s="457" t="str">
        <f t="shared" si="37"/>
        <v>Area Lighting (High Bay)</v>
      </c>
      <c r="M183" s="457" t="str">
        <f t="shared" si="38"/>
        <v xml:space="preserve">Warehouse </v>
      </c>
      <c r="N183" s="457" t="str">
        <f t="shared" si="34"/>
        <v>Linear Fluorescent</v>
      </c>
      <c r="O183" s="461">
        <f t="shared" si="35"/>
        <v>123.66455532884841</v>
      </c>
      <c r="P183" s="461">
        <f t="shared" si="36"/>
        <v>214.50745601796345</v>
      </c>
    </row>
    <row r="184" spans="3:16" ht="16.5" hidden="1" outlineLevel="1" thickTop="1" thickBot="1">
      <c r="C184"/>
      <c r="D184"/>
      <c r="E184"/>
      <c r="F184" s="384" t="s">
        <v>1245</v>
      </c>
      <c r="G184" s="353">
        <v>42.290260173582709</v>
      </c>
      <c r="H184" s="353">
        <v>71.420784133301666</v>
      </c>
      <c r="K184" s="457" t="str">
        <f t="shared" si="33"/>
        <v>High Bay Linear Fluorescent 
T-8/T-5 HO</v>
      </c>
      <c r="L184" s="457" t="str">
        <f t="shared" si="37"/>
        <v>Area Lighting (High Bay)</v>
      </c>
      <c r="M184" s="457" t="str">
        <f t="shared" si="38"/>
        <v xml:space="preserve">Warehouse </v>
      </c>
      <c r="N184" s="457" t="str">
        <f t="shared" si="34"/>
        <v>MH (Std, PS, CMH)</v>
      </c>
      <c r="O184" s="461">
        <f t="shared" si="35"/>
        <v>42.290260173582709</v>
      </c>
      <c r="P184" s="461">
        <f t="shared" si="36"/>
        <v>71.420784133301666</v>
      </c>
    </row>
    <row r="185" spans="3:16" ht="16.5" hidden="1" outlineLevel="1" thickTop="1" thickBot="1">
      <c r="C185"/>
      <c r="D185"/>
      <c r="E185" s="384" t="s">
        <v>1142</v>
      </c>
      <c r="F185"/>
      <c r="G185" s="353"/>
      <c r="H185" s="353"/>
      <c r="K185" s="457" t="str">
        <f t="shared" si="33"/>
        <v>High Bay Linear Fluorescent 
T-8/T-5 HO</v>
      </c>
      <c r="L185" s="457" t="str">
        <f t="shared" si="37"/>
        <v>Area Lighting (High Bay)</v>
      </c>
      <c r="M185" s="457" t="str">
        <f t="shared" si="38"/>
        <v>Food and Liquor Stores</v>
      </c>
      <c r="N185" s="457" t="str">
        <f t="shared" si="34"/>
        <v>MH (Std, PS, CMH)</v>
      </c>
      <c r="O185" s="461">
        <f t="shared" si="35"/>
        <v>0</v>
      </c>
      <c r="P185" s="461">
        <f t="shared" si="36"/>
        <v>0</v>
      </c>
    </row>
    <row r="186" spans="3:16" ht="16.5" hidden="1" outlineLevel="1" thickTop="1" thickBot="1">
      <c r="C186"/>
      <c r="D186"/>
      <c r="E186"/>
      <c r="F186" s="384" t="s">
        <v>27</v>
      </c>
      <c r="G186" s="353">
        <v>149.93919479486527</v>
      </c>
      <c r="H186" s="353">
        <v>148.31824167979778</v>
      </c>
      <c r="K186" s="457" t="str">
        <f t="shared" si="33"/>
        <v>High Bay Linear Fluorescent 
T-8/T-5 HO</v>
      </c>
      <c r="L186" s="457" t="str">
        <f t="shared" si="37"/>
        <v>Area Lighting (High Bay)</v>
      </c>
      <c r="M186" s="457" t="str">
        <f t="shared" si="38"/>
        <v>Food and Liquor Stores</v>
      </c>
      <c r="N186" s="457" t="str">
        <f t="shared" si="34"/>
        <v>Linear Fluorescent</v>
      </c>
      <c r="O186" s="461">
        <f t="shared" si="35"/>
        <v>149.93919479486527</v>
      </c>
      <c r="P186" s="461">
        <f t="shared" si="36"/>
        <v>148.31824167979778</v>
      </c>
    </row>
    <row r="187" spans="3:16" ht="16.5" hidden="1" outlineLevel="1" thickTop="1" thickBot="1">
      <c r="C187"/>
      <c r="D187"/>
      <c r="E187" s="384" t="s">
        <v>1154</v>
      </c>
      <c r="F187"/>
      <c r="G187" s="353"/>
      <c r="H187" s="353"/>
      <c r="K187" s="457" t="str">
        <f t="shared" si="33"/>
        <v>High Bay Linear Fluorescent 
T-8/T-5 HO</v>
      </c>
      <c r="L187" s="457" t="str">
        <f t="shared" si="37"/>
        <v>Area Lighting (High Bay)</v>
      </c>
      <c r="M187" s="457" t="str">
        <f t="shared" si="38"/>
        <v>Schools</v>
      </c>
      <c r="N187" s="457" t="str">
        <f t="shared" si="34"/>
        <v>Linear Fluorescent</v>
      </c>
      <c r="O187" s="461">
        <f t="shared" si="35"/>
        <v>0</v>
      </c>
      <c r="P187" s="461">
        <f t="shared" si="36"/>
        <v>0</v>
      </c>
    </row>
    <row r="188" spans="3:16" ht="16.5" hidden="1" outlineLevel="1" thickTop="1" thickBot="1">
      <c r="C188"/>
      <c r="D188"/>
      <c r="E188"/>
      <c r="F188" s="384" t="s">
        <v>27</v>
      </c>
      <c r="G188" s="353">
        <v>47.769444576374127</v>
      </c>
      <c r="H188" s="353">
        <v>96.767289730112978</v>
      </c>
      <c r="K188" s="457" t="str">
        <f t="shared" si="33"/>
        <v>High Bay Linear Fluorescent 
T-8/T-5 HO</v>
      </c>
      <c r="L188" s="457" t="str">
        <f t="shared" si="37"/>
        <v>Area Lighting (High Bay)</v>
      </c>
      <c r="M188" s="457" t="str">
        <f t="shared" si="38"/>
        <v>Schools</v>
      </c>
      <c r="N188" s="457" t="str">
        <f t="shared" si="34"/>
        <v>Linear Fluorescent</v>
      </c>
      <c r="O188" s="461">
        <f t="shared" si="35"/>
        <v>47.769444576374127</v>
      </c>
      <c r="P188" s="461">
        <f t="shared" si="36"/>
        <v>96.767289730112978</v>
      </c>
    </row>
    <row r="189" spans="3:16" ht="16.5" hidden="1" outlineLevel="1" thickTop="1" thickBot="1">
      <c r="C189"/>
      <c r="D189"/>
      <c r="E189"/>
      <c r="F189" s="384" t="s">
        <v>1245</v>
      </c>
      <c r="G189" s="353">
        <v>10.468235004017023</v>
      </c>
      <c r="H189" s="353">
        <v>20.652035640831038</v>
      </c>
      <c r="K189" s="457" t="str">
        <f t="shared" si="33"/>
        <v>High Bay Linear Fluorescent 
T-8/T-5 HO</v>
      </c>
      <c r="L189" s="457" t="str">
        <f t="shared" si="37"/>
        <v>Area Lighting (High Bay)</v>
      </c>
      <c r="M189" s="457" t="str">
        <f t="shared" si="38"/>
        <v>Schools</v>
      </c>
      <c r="N189" s="457" t="str">
        <f t="shared" si="34"/>
        <v>MH (Std, PS, CMH)</v>
      </c>
      <c r="O189" s="461">
        <f t="shared" si="35"/>
        <v>10.468235004017023</v>
      </c>
      <c r="P189" s="461">
        <f t="shared" si="36"/>
        <v>20.652035640831038</v>
      </c>
    </row>
    <row r="190" spans="3:16" ht="16.5" hidden="1" outlineLevel="1" thickTop="1" thickBot="1">
      <c r="C190"/>
      <c r="D190"/>
      <c r="E190" s="384" t="s">
        <v>828</v>
      </c>
      <c r="F190"/>
      <c r="G190" s="353"/>
      <c r="H190" s="353"/>
      <c r="K190" s="457" t="str">
        <f t="shared" si="33"/>
        <v>High Bay Linear Fluorescent 
T-8/T-5 HO</v>
      </c>
      <c r="L190" s="457" t="str">
        <f t="shared" si="37"/>
        <v>Area Lighting (High Bay)</v>
      </c>
      <c r="M190" s="457" t="str">
        <f t="shared" si="38"/>
        <v>Industrial</v>
      </c>
      <c r="N190" s="457" t="str">
        <f t="shared" si="34"/>
        <v>MH (Std, PS, CMH)</v>
      </c>
      <c r="O190" s="461">
        <f t="shared" si="35"/>
        <v>0</v>
      </c>
      <c r="P190" s="461">
        <f t="shared" si="36"/>
        <v>0</v>
      </c>
    </row>
    <row r="191" spans="3:16" ht="16.5" hidden="1" outlineLevel="1" thickTop="1" thickBot="1">
      <c r="C191"/>
      <c r="D191"/>
      <c r="E191"/>
      <c r="F191" s="384" t="s">
        <v>27</v>
      </c>
      <c r="G191" s="353">
        <v>456.299843446154</v>
      </c>
      <c r="H191" s="353">
        <v>939.21717776000014</v>
      </c>
      <c r="K191" s="457" t="str">
        <f t="shared" si="33"/>
        <v>High Bay Linear Fluorescent 
T-8/T-5 HO</v>
      </c>
      <c r="L191" s="457" t="str">
        <f t="shared" si="37"/>
        <v>Area Lighting (High Bay)</v>
      </c>
      <c r="M191" s="457" t="str">
        <f t="shared" si="38"/>
        <v>Industrial</v>
      </c>
      <c r="N191" s="457" t="str">
        <f t="shared" si="34"/>
        <v>Linear Fluorescent</v>
      </c>
      <c r="O191" s="461">
        <f t="shared" si="35"/>
        <v>456.299843446154</v>
      </c>
      <c r="P191" s="461">
        <f t="shared" si="36"/>
        <v>939.21717776000014</v>
      </c>
    </row>
    <row r="192" spans="3:16" ht="16.5" hidden="1" outlineLevel="1" thickTop="1" thickBot="1">
      <c r="C192"/>
      <c r="D192"/>
      <c r="E192"/>
      <c r="F192" s="384" t="s">
        <v>1245</v>
      </c>
      <c r="G192" s="353">
        <v>22.250938657391313</v>
      </c>
      <c r="H192" s="353">
        <v>44.198455424000009</v>
      </c>
      <c r="K192" s="457" t="str">
        <f t="shared" si="33"/>
        <v>High Bay Linear Fluorescent 
T-8/T-5 HO</v>
      </c>
      <c r="L192" s="457" t="str">
        <f t="shared" si="37"/>
        <v>Area Lighting (High Bay)</v>
      </c>
      <c r="M192" s="457" t="str">
        <f t="shared" si="38"/>
        <v>Industrial</v>
      </c>
      <c r="N192" s="457" t="str">
        <f t="shared" si="34"/>
        <v>MH (Std, PS, CMH)</v>
      </c>
      <c r="O192" s="461">
        <f t="shared" si="35"/>
        <v>22.250938657391313</v>
      </c>
      <c r="P192" s="461">
        <f t="shared" si="36"/>
        <v>44.198455424000009</v>
      </c>
    </row>
    <row r="193" spans="3:16" ht="16.5" hidden="1" outlineLevel="1" thickTop="1" thickBot="1">
      <c r="C193" s="384" t="s">
        <v>1227</v>
      </c>
      <c r="D193"/>
      <c r="E193"/>
      <c r="F193"/>
      <c r="G193" s="353"/>
      <c r="H193" s="353"/>
      <c r="K193" s="457" t="str">
        <f t="shared" si="33"/>
        <v>High Bay LED</v>
      </c>
      <c r="L193" s="457" t="str">
        <f t="shared" si="37"/>
        <v>Area Lighting (High Bay)</v>
      </c>
      <c r="M193" s="457" t="str">
        <f t="shared" si="38"/>
        <v>Industrial</v>
      </c>
      <c r="N193" s="457" t="str">
        <f t="shared" si="34"/>
        <v>MH (Std, PS, CMH)</v>
      </c>
      <c r="O193" s="461">
        <f t="shared" si="35"/>
        <v>0</v>
      </c>
      <c r="P193" s="461">
        <f t="shared" si="36"/>
        <v>0</v>
      </c>
    </row>
    <row r="194" spans="3:16" ht="16.5" hidden="1" outlineLevel="1" thickTop="1" thickBot="1">
      <c r="C194"/>
      <c r="D194" s="384" t="s">
        <v>1226</v>
      </c>
      <c r="E194"/>
      <c r="F194"/>
      <c r="G194" s="353"/>
      <c r="H194" s="353"/>
      <c r="K194" s="457" t="str">
        <f t="shared" si="33"/>
        <v>High Bay LED</v>
      </c>
      <c r="L194" s="457" t="str">
        <f t="shared" si="37"/>
        <v>Area Lighting (High Bay)</v>
      </c>
      <c r="M194" s="457" t="str">
        <f t="shared" si="38"/>
        <v>Industrial</v>
      </c>
      <c r="N194" s="457" t="str">
        <f t="shared" si="34"/>
        <v>MH (Std, PS, CMH)</v>
      </c>
      <c r="O194" s="461">
        <f t="shared" si="35"/>
        <v>0</v>
      </c>
      <c r="P194" s="461">
        <f t="shared" si="36"/>
        <v>0</v>
      </c>
    </row>
    <row r="195" spans="3:16" ht="16.5" hidden="1" outlineLevel="1" thickTop="1" thickBot="1">
      <c r="C195"/>
      <c r="D195"/>
      <c r="E195" s="384" t="s">
        <v>105</v>
      </c>
      <c r="F195"/>
      <c r="G195" s="353"/>
      <c r="H195" s="353"/>
      <c r="K195" s="457" t="str">
        <f t="shared" si="33"/>
        <v>High Bay LED</v>
      </c>
      <c r="L195" s="457" t="str">
        <f t="shared" si="37"/>
        <v>Area Lighting (High Bay)</v>
      </c>
      <c r="M195" s="457" t="str">
        <f t="shared" si="38"/>
        <v>University/College</v>
      </c>
      <c r="N195" s="457" t="str">
        <f t="shared" si="34"/>
        <v>MH (Std, PS, CMH)</v>
      </c>
      <c r="O195" s="461">
        <f t="shared" si="35"/>
        <v>0</v>
      </c>
      <c r="P195" s="461">
        <f t="shared" si="36"/>
        <v>0</v>
      </c>
    </row>
    <row r="196" spans="3:16" ht="16.5" hidden="1" outlineLevel="1" thickTop="1" thickBot="1">
      <c r="C196"/>
      <c r="D196"/>
      <c r="E196"/>
      <c r="F196" s="384" t="s">
        <v>27</v>
      </c>
      <c r="G196" s="353">
        <v>19.028882282242051</v>
      </c>
      <c r="H196" s="353">
        <v>23.448539331758511</v>
      </c>
      <c r="K196" s="457" t="str">
        <f t="shared" si="33"/>
        <v>High Bay LED</v>
      </c>
      <c r="L196" s="457" t="str">
        <f t="shared" si="37"/>
        <v>Area Lighting (High Bay)</v>
      </c>
      <c r="M196" s="457" t="str">
        <f t="shared" si="38"/>
        <v>University/College</v>
      </c>
      <c r="N196" s="457" t="str">
        <f t="shared" si="34"/>
        <v>Linear Fluorescent</v>
      </c>
      <c r="O196" s="461">
        <f t="shared" si="35"/>
        <v>19.028882282242051</v>
      </c>
      <c r="P196" s="461">
        <f t="shared" si="36"/>
        <v>23.448539331758511</v>
      </c>
    </row>
    <row r="197" spans="3:16" ht="16.5" hidden="1" outlineLevel="1" thickTop="1" thickBot="1">
      <c r="C197"/>
      <c r="D197"/>
      <c r="E197"/>
      <c r="F197" s="384" t="s">
        <v>1245</v>
      </c>
      <c r="G197" s="353">
        <v>8.4757556705868851</v>
      </c>
      <c r="H197" s="353">
        <v>4.9588630620390619</v>
      </c>
      <c r="K197" s="457" t="str">
        <f t="shared" ref="K197:K209" si="39">IF(C197=0,K196,C197)</f>
        <v>High Bay LED</v>
      </c>
      <c r="L197" s="457" t="str">
        <f t="shared" si="37"/>
        <v>Area Lighting (High Bay)</v>
      </c>
      <c r="M197" s="457" t="str">
        <f t="shared" si="38"/>
        <v>University/College</v>
      </c>
      <c r="N197" s="457" t="str">
        <f t="shared" si="34"/>
        <v>MH (Std, PS, CMH)</v>
      </c>
      <c r="O197" s="461">
        <f t="shared" si="35"/>
        <v>8.4757556705868851</v>
      </c>
      <c r="P197" s="461">
        <f t="shared" si="36"/>
        <v>4.9588630620390619</v>
      </c>
    </row>
    <row r="198" spans="3:16" ht="16.5" hidden="1" outlineLevel="1" thickTop="1" thickBot="1">
      <c r="C198"/>
      <c r="D198"/>
      <c r="E198" s="384" t="s">
        <v>499</v>
      </c>
      <c r="F198"/>
      <c r="G198" s="353"/>
      <c r="H198" s="353"/>
      <c r="K198" s="457" t="str">
        <f t="shared" si="39"/>
        <v>High Bay LED</v>
      </c>
      <c r="L198" s="457" t="str">
        <f t="shared" si="37"/>
        <v>Area Lighting (High Bay)</v>
      </c>
      <c r="M198" s="457" t="str">
        <f t="shared" si="38"/>
        <v>Retail</v>
      </c>
      <c r="N198" s="457" t="str">
        <f t="shared" si="34"/>
        <v>MH (Std, PS, CMH)</v>
      </c>
      <c r="O198" s="461">
        <f t="shared" si="35"/>
        <v>0</v>
      </c>
      <c r="P198" s="461">
        <f t="shared" si="36"/>
        <v>0</v>
      </c>
    </row>
    <row r="199" spans="3:16" ht="16.5" hidden="1" outlineLevel="1" thickTop="1" thickBot="1">
      <c r="C199"/>
      <c r="D199"/>
      <c r="E199"/>
      <c r="F199" s="384" t="s">
        <v>24</v>
      </c>
      <c r="G199" s="353">
        <v>38.376546837019859</v>
      </c>
      <c r="H199" s="353">
        <v>60.597037258112501</v>
      </c>
      <c r="K199" s="457" t="str">
        <f t="shared" si="39"/>
        <v>High Bay LED</v>
      </c>
      <c r="L199" s="457" t="str">
        <f t="shared" si="37"/>
        <v>Area Lighting (High Bay)</v>
      </c>
      <c r="M199" s="457" t="str">
        <f t="shared" si="38"/>
        <v>Retail</v>
      </c>
      <c r="N199" s="457" t="str">
        <f t="shared" si="34"/>
        <v>CFL</v>
      </c>
      <c r="O199" s="461">
        <f t="shared" si="35"/>
        <v>38.376546837019859</v>
      </c>
      <c r="P199" s="461">
        <f t="shared" si="36"/>
        <v>60.597037258112501</v>
      </c>
    </row>
    <row r="200" spans="3:16" ht="16.5" hidden="1" outlineLevel="1" thickTop="1" thickBot="1">
      <c r="C200"/>
      <c r="D200"/>
      <c r="E200"/>
      <c r="F200" s="384" t="s">
        <v>27</v>
      </c>
      <c r="G200" s="353">
        <v>505.35181019114407</v>
      </c>
      <c r="H200" s="353">
        <v>440.15358239428133</v>
      </c>
      <c r="K200" s="457" t="str">
        <f t="shared" si="39"/>
        <v>High Bay LED</v>
      </c>
      <c r="L200" s="457" t="str">
        <f t="shared" si="37"/>
        <v>Area Lighting (High Bay)</v>
      </c>
      <c r="M200" s="457" t="str">
        <f t="shared" si="38"/>
        <v>Retail</v>
      </c>
      <c r="N200" s="457" t="str">
        <f t="shared" si="34"/>
        <v>Linear Fluorescent</v>
      </c>
      <c r="O200" s="461">
        <f t="shared" si="35"/>
        <v>505.35181019114407</v>
      </c>
      <c r="P200" s="461">
        <f t="shared" si="36"/>
        <v>440.15358239428133</v>
      </c>
    </row>
    <row r="201" spans="3:16" ht="16.5" hidden="1" outlineLevel="1" thickTop="1" thickBot="1">
      <c r="C201"/>
      <c r="D201"/>
      <c r="E201"/>
      <c r="F201" s="384" t="s">
        <v>1245</v>
      </c>
      <c r="G201" s="353">
        <v>405.73015542488798</v>
      </c>
      <c r="H201" s="353">
        <v>243.31557227168014</v>
      </c>
      <c r="K201" s="457" t="str">
        <f t="shared" si="39"/>
        <v>High Bay LED</v>
      </c>
      <c r="L201" s="457" t="str">
        <f t="shared" si="37"/>
        <v>Area Lighting (High Bay)</v>
      </c>
      <c r="M201" s="457" t="str">
        <f t="shared" si="38"/>
        <v>Retail</v>
      </c>
      <c r="N201" s="457" t="str">
        <f t="shared" si="34"/>
        <v>MH (Std, PS, CMH)</v>
      </c>
      <c r="O201" s="461">
        <f t="shared" si="35"/>
        <v>405.73015542488798</v>
      </c>
      <c r="P201" s="461">
        <f t="shared" si="36"/>
        <v>243.31557227168014</v>
      </c>
    </row>
    <row r="202" spans="3:16" ht="16.5" hidden="1" outlineLevel="1" thickTop="1" thickBot="1">
      <c r="C202"/>
      <c r="D202"/>
      <c r="E202" s="384" t="s">
        <v>1149</v>
      </c>
      <c r="F202"/>
      <c r="G202" s="353"/>
      <c r="H202" s="353"/>
      <c r="K202" s="457" t="str">
        <f t="shared" si="39"/>
        <v>High Bay LED</v>
      </c>
      <c r="L202" s="457" t="str">
        <f t="shared" si="37"/>
        <v>Area Lighting (High Bay)</v>
      </c>
      <c r="M202" s="457" t="str">
        <f t="shared" si="38"/>
        <v xml:space="preserve">Warehouse </v>
      </c>
      <c r="N202" s="457" t="str">
        <f t="shared" si="34"/>
        <v>MH (Std, PS, CMH)</v>
      </c>
      <c r="O202" s="461">
        <f t="shared" si="35"/>
        <v>0</v>
      </c>
      <c r="P202" s="461">
        <f t="shared" si="36"/>
        <v>0</v>
      </c>
    </row>
    <row r="203" spans="3:16" ht="16.5" hidden="1" outlineLevel="1" thickTop="1" thickBot="1">
      <c r="C203"/>
      <c r="D203"/>
      <c r="E203"/>
      <c r="F203" s="384" t="s">
        <v>27</v>
      </c>
      <c r="G203" s="353">
        <v>215.07289498965625</v>
      </c>
      <c r="H203" s="353">
        <v>214.50745601796345</v>
      </c>
      <c r="K203" s="457" t="str">
        <f t="shared" si="39"/>
        <v>High Bay LED</v>
      </c>
      <c r="L203" s="457" t="str">
        <f t="shared" si="37"/>
        <v>Area Lighting (High Bay)</v>
      </c>
      <c r="M203" s="457" t="str">
        <f t="shared" si="38"/>
        <v xml:space="preserve">Warehouse </v>
      </c>
      <c r="N203" s="457" t="str">
        <f t="shared" si="34"/>
        <v>Linear Fluorescent</v>
      </c>
      <c r="O203" s="461">
        <f t="shared" si="35"/>
        <v>215.07289498965625</v>
      </c>
      <c r="P203" s="461">
        <f t="shared" si="36"/>
        <v>214.50745601796345</v>
      </c>
    </row>
    <row r="204" spans="3:16" ht="16.5" hidden="1" outlineLevel="1" thickTop="1" thickBot="1">
      <c r="C204"/>
      <c r="D204"/>
      <c r="E204"/>
      <c r="F204" s="384" t="s">
        <v>1245</v>
      </c>
      <c r="G204" s="353">
        <v>119.17180542829573</v>
      </c>
      <c r="H204" s="353">
        <v>71.420784133301666</v>
      </c>
      <c r="K204" s="457" t="str">
        <f t="shared" si="39"/>
        <v>High Bay LED</v>
      </c>
      <c r="L204" s="457" t="str">
        <f t="shared" si="37"/>
        <v>Area Lighting (High Bay)</v>
      </c>
      <c r="M204" s="457" t="str">
        <f t="shared" si="38"/>
        <v xml:space="preserve">Warehouse </v>
      </c>
      <c r="N204" s="457" t="str">
        <f t="shared" si="34"/>
        <v>MH (Std, PS, CMH)</v>
      </c>
      <c r="O204" s="461">
        <f t="shared" si="35"/>
        <v>119.17180542829573</v>
      </c>
      <c r="P204" s="461">
        <f t="shared" si="36"/>
        <v>71.420784133301666</v>
      </c>
    </row>
    <row r="205" spans="3:16" ht="16.5" hidden="1" outlineLevel="1" thickTop="1" thickBot="1">
      <c r="C205"/>
      <c r="D205"/>
      <c r="E205" s="384" t="s">
        <v>1142</v>
      </c>
      <c r="F205"/>
      <c r="G205" s="353"/>
      <c r="H205" s="353"/>
      <c r="K205" s="457" t="str">
        <f t="shared" si="39"/>
        <v>High Bay LED</v>
      </c>
      <c r="L205" s="457" t="str">
        <f t="shared" si="37"/>
        <v>Area Lighting (High Bay)</v>
      </c>
      <c r="M205" s="457" t="str">
        <f t="shared" si="38"/>
        <v>Food and Liquor Stores</v>
      </c>
      <c r="N205" s="457" t="str">
        <f t="shared" si="34"/>
        <v>MH (Std, PS, CMH)</v>
      </c>
      <c r="O205" s="461">
        <f t="shared" si="35"/>
        <v>0</v>
      </c>
      <c r="P205" s="461">
        <f t="shared" si="36"/>
        <v>0</v>
      </c>
    </row>
    <row r="206" spans="3:16" ht="16.5" hidden="1" outlineLevel="1" thickTop="1" thickBot="1">
      <c r="C206"/>
      <c r="D206"/>
      <c r="E206"/>
      <c r="F206" s="384" t="s">
        <v>27</v>
      </c>
      <c r="G206" s="353">
        <v>207.87700865657163</v>
      </c>
      <c r="H206" s="353">
        <v>148.31824167979778</v>
      </c>
      <c r="K206" s="457" t="str">
        <f t="shared" si="39"/>
        <v>High Bay LED</v>
      </c>
      <c r="L206" s="457" t="str">
        <f t="shared" si="37"/>
        <v>Area Lighting (High Bay)</v>
      </c>
      <c r="M206" s="457" t="str">
        <f t="shared" si="38"/>
        <v>Food and Liquor Stores</v>
      </c>
      <c r="N206" s="457" t="str">
        <f t="shared" si="34"/>
        <v>Linear Fluorescent</v>
      </c>
      <c r="O206" s="461">
        <f t="shared" si="35"/>
        <v>207.87700865657163</v>
      </c>
      <c r="P206" s="461">
        <f t="shared" si="36"/>
        <v>148.31824167979778</v>
      </c>
    </row>
    <row r="207" spans="3:16" ht="16.5" hidden="1" outlineLevel="1" thickTop="1" thickBot="1">
      <c r="C207"/>
      <c r="D207"/>
      <c r="E207" s="384" t="s">
        <v>1154</v>
      </c>
      <c r="F207"/>
      <c r="G207" s="353"/>
      <c r="H207" s="353"/>
      <c r="K207" s="457" t="str">
        <f t="shared" si="39"/>
        <v>High Bay LED</v>
      </c>
      <c r="L207" s="457" t="str">
        <f t="shared" si="37"/>
        <v>Area Lighting (High Bay)</v>
      </c>
      <c r="M207" s="457" t="str">
        <f t="shared" si="38"/>
        <v>Schools</v>
      </c>
      <c r="N207" s="457" t="str">
        <f t="shared" si="34"/>
        <v>Linear Fluorescent</v>
      </c>
      <c r="O207" s="461">
        <f t="shared" si="35"/>
        <v>0</v>
      </c>
      <c r="P207" s="461">
        <f t="shared" si="36"/>
        <v>0</v>
      </c>
    </row>
    <row r="208" spans="3:16" ht="16.5" hidden="1" outlineLevel="1" thickTop="1" thickBot="1">
      <c r="C208"/>
      <c r="D208"/>
      <c r="E208"/>
      <c r="F208" s="384" t="s">
        <v>27</v>
      </c>
      <c r="G208" s="353">
        <v>66.227974995518693</v>
      </c>
      <c r="H208" s="353">
        <v>96.767289730112978</v>
      </c>
      <c r="K208" s="457" t="str">
        <f t="shared" si="39"/>
        <v>High Bay LED</v>
      </c>
      <c r="L208" s="457" t="str">
        <f t="shared" si="37"/>
        <v>Area Lighting (High Bay)</v>
      </c>
      <c r="M208" s="457" t="str">
        <f t="shared" si="38"/>
        <v>Schools</v>
      </c>
      <c r="N208" s="457" t="str">
        <f t="shared" si="34"/>
        <v>Linear Fluorescent</v>
      </c>
      <c r="O208" s="461">
        <f t="shared" si="35"/>
        <v>66.227974995518693</v>
      </c>
      <c r="P208" s="461">
        <f t="shared" si="36"/>
        <v>96.767289730112978</v>
      </c>
    </row>
    <row r="209" spans="3:16" ht="16.5" hidden="1" outlineLevel="1" thickTop="1" thickBot="1">
      <c r="C209"/>
      <c r="D209"/>
      <c r="E209"/>
      <c r="F209" s="384" t="s">
        <v>1245</v>
      </c>
      <c r="G209" s="353">
        <v>29.498954604579939</v>
      </c>
      <c r="H209" s="353">
        <v>20.652035640831038</v>
      </c>
      <c r="K209" s="457" t="str">
        <f t="shared" si="39"/>
        <v>High Bay LED</v>
      </c>
      <c r="L209" s="457" t="str">
        <f t="shared" si="37"/>
        <v>Area Lighting (High Bay)</v>
      </c>
      <c r="M209" s="457" t="str">
        <f t="shared" si="38"/>
        <v>Schools</v>
      </c>
      <c r="N209" s="457" t="str">
        <f t="shared" si="34"/>
        <v>MH (Std, PS, CMH)</v>
      </c>
      <c r="O209" s="461">
        <f t="shared" si="35"/>
        <v>29.498954604579939</v>
      </c>
      <c r="P209" s="461">
        <f t="shared" si="36"/>
        <v>20.652035640831038</v>
      </c>
    </row>
    <row r="210" spans="3:16" ht="16.5" hidden="1" outlineLevel="1" thickTop="1" thickBot="1">
      <c r="C210"/>
      <c r="D210"/>
      <c r="E210" s="384" t="s">
        <v>828</v>
      </c>
      <c r="F210"/>
      <c r="G210" s="353"/>
      <c r="H210" s="353"/>
      <c r="K210" s="457" t="str">
        <f t="shared" ref="K210:K273" si="40">IF(C210=0,K209,C210)</f>
        <v>High Bay LED</v>
      </c>
      <c r="L210" s="457" t="str">
        <f t="shared" ref="L210:L273" si="41">IF(D210=0,L209,D210)</f>
        <v>Area Lighting (High Bay)</v>
      </c>
      <c r="M210" s="457" t="str">
        <f t="shared" ref="M210:M273" si="42">IF(E210=0,M209,E210)</f>
        <v>Industrial</v>
      </c>
      <c r="N210" s="457" t="str">
        <f t="shared" ref="N210:N273" si="43">IF(F210=0,N209,F210)</f>
        <v>MH (Std, PS, CMH)</v>
      </c>
      <c r="O210" s="461">
        <f t="shared" ref="O210:O273" si="44">G210</f>
        <v>0</v>
      </c>
      <c r="P210" s="461">
        <f t="shared" ref="P210:P273" si="45">H210</f>
        <v>0</v>
      </c>
    </row>
    <row r="211" spans="3:16" ht="16.5" hidden="1" outlineLevel="1" thickTop="1" thickBot="1">
      <c r="C211"/>
      <c r="D211"/>
      <c r="E211"/>
      <c r="F211" s="384" t="s">
        <v>27</v>
      </c>
      <c r="G211" s="353">
        <v>632.61808652380978</v>
      </c>
      <c r="H211" s="353">
        <v>939.21717776000014</v>
      </c>
      <c r="K211" s="457" t="str">
        <f t="shared" si="40"/>
        <v>High Bay LED</v>
      </c>
      <c r="L211" s="457" t="str">
        <f t="shared" si="41"/>
        <v>Area Lighting (High Bay)</v>
      </c>
      <c r="M211" s="457" t="str">
        <f t="shared" si="42"/>
        <v>Industrial</v>
      </c>
      <c r="N211" s="457" t="str">
        <f t="shared" si="43"/>
        <v>Linear Fluorescent</v>
      </c>
      <c r="O211" s="461">
        <f t="shared" si="44"/>
        <v>632.61808652380978</v>
      </c>
      <c r="P211" s="461">
        <f t="shared" si="45"/>
        <v>939.21717776000014</v>
      </c>
    </row>
    <row r="212" spans="3:16" ht="16.5" hidden="1" outlineLevel="1" thickTop="1" thickBot="1">
      <c r="C212"/>
      <c r="D212"/>
      <c r="E212"/>
      <c r="F212" s="384" t="s">
        <v>1245</v>
      </c>
      <c r="G212" s="353">
        <v>62.702015106825911</v>
      </c>
      <c r="H212" s="353">
        <v>44.198455424000009</v>
      </c>
      <c r="K212" s="457" t="str">
        <f t="shared" si="40"/>
        <v>High Bay LED</v>
      </c>
      <c r="L212" s="457" t="str">
        <f t="shared" si="41"/>
        <v>Area Lighting (High Bay)</v>
      </c>
      <c r="M212" s="457" t="str">
        <f t="shared" si="42"/>
        <v>Industrial</v>
      </c>
      <c r="N212" s="457" t="str">
        <f t="shared" si="43"/>
        <v>MH (Std, PS, CMH)</v>
      </c>
      <c r="O212" s="461">
        <f t="shared" si="44"/>
        <v>62.702015106825911</v>
      </c>
      <c r="P212" s="461">
        <f t="shared" si="45"/>
        <v>44.198455424000009</v>
      </c>
    </row>
    <row r="213" spans="3:16" ht="16.5" hidden="1" outlineLevel="1" thickTop="1" thickBot="1">
      <c r="C213" s="384" t="s">
        <v>1384</v>
      </c>
      <c r="D213"/>
      <c r="E213"/>
      <c r="F213"/>
      <c r="G213" s="353"/>
      <c r="H213" s="353"/>
      <c r="K213" s="457" t="str">
        <f t="shared" si="40"/>
        <v>CFL Track Lighting</v>
      </c>
      <c r="L213" s="457" t="str">
        <f t="shared" si="41"/>
        <v>Area Lighting (High Bay)</v>
      </c>
      <c r="M213" s="457" t="str">
        <f t="shared" si="42"/>
        <v>Industrial</v>
      </c>
      <c r="N213" s="457" t="str">
        <f t="shared" si="43"/>
        <v>MH (Std, PS, CMH)</v>
      </c>
      <c r="O213" s="461">
        <f t="shared" si="44"/>
        <v>0</v>
      </c>
      <c r="P213" s="461">
        <f t="shared" si="45"/>
        <v>0</v>
      </c>
    </row>
    <row r="214" spans="3:16" ht="16.5" hidden="1" outlineLevel="1" thickTop="1" thickBot="1">
      <c r="C214"/>
      <c r="D214" s="384" t="s">
        <v>1147</v>
      </c>
      <c r="E214"/>
      <c r="F214"/>
      <c r="G214" s="353"/>
      <c r="H214" s="353"/>
      <c r="K214" s="457" t="str">
        <f t="shared" si="40"/>
        <v>CFL Track Lighting</v>
      </c>
      <c r="L214" s="457" t="str">
        <f t="shared" si="41"/>
        <v>Track Lighting</v>
      </c>
      <c r="M214" s="457" t="str">
        <f t="shared" si="42"/>
        <v>Industrial</v>
      </c>
      <c r="N214" s="457" t="str">
        <f t="shared" si="43"/>
        <v>MH (Std, PS, CMH)</v>
      </c>
      <c r="O214" s="461">
        <f t="shared" si="44"/>
        <v>0</v>
      </c>
      <c r="P214" s="461">
        <f t="shared" si="45"/>
        <v>0</v>
      </c>
    </row>
    <row r="215" spans="3:16" ht="16.5" hidden="1" outlineLevel="1" thickTop="1" thickBot="1">
      <c r="C215"/>
      <c r="D215"/>
      <c r="E215" s="384" t="s">
        <v>502</v>
      </c>
      <c r="F215"/>
      <c r="G215" s="353"/>
      <c r="H215" s="353"/>
      <c r="K215" s="457" t="str">
        <f t="shared" si="40"/>
        <v>CFL Track Lighting</v>
      </c>
      <c r="L215" s="457" t="str">
        <f t="shared" si="41"/>
        <v>Track Lighting</v>
      </c>
      <c r="M215" s="457" t="str">
        <f t="shared" si="42"/>
        <v>Restaurant</v>
      </c>
      <c r="N215" s="457" t="str">
        <f t="shared" si="43"/>
        <v>MH (Std, PS, CMH)</v>
      </c>
      <c r="O215" s="461">
        <f t="shared" si="44"/>
        <v>0</v>
      </c>
      <c r="P215" s="461">
        <f t="shared" si="45"/>
        <v>0</v>
      </c>
    </row>
    <row r="216" spans="3:16" ht="16.5" hidden="1" outlineLevel="1" thickTop="1" thickBot="1">
      <c r="C216"/>
      <c r="D216"/>
      <c r="E216"/>
      <c r="F216" s="384" t="s">
        <v>846</v>
      </c>
      <c r="G216" s="353">
        <v>181.72408856695813</v>
      </c>
      <c r="H216" s="353">
        <v>88.511740089988152</v>
      </c>
      <c r="K216" s="457" t="str">
        <f t="shared" si="40"/>
        <v>CFL Track Lighting</v>
      </c>
      <c r="L216" s="457" t="str">
        <f t="shared" si="41"/>
        <v>Track Lighting</v>
      </c>
      <c r="M216" s="457" t="str">
        <f t="shared" si="42"/>
        <v>Restaurant</v>
      </c>
      <c r="N216" s="457" t="str">
        <f t="shared" si="43"/>
        <v xml:space="preserve">Halogen </v>
      </c>
      <c r="O216" s="461">
        <f t="shared" si="44"/>
        <v>181.72408856695813</v>
      </c>
      <c r="P216" s="461">
        <f t="shared" si="45"/>
        <v>88.511740089988152</v>
      </c>
    </row>
    <row r="217" spans="3:16" ht="16.5" hidden="1" outlineLevel="1" thickTop="1" thickBot="1">
      <c r="C217"/>
      <c r="D217"/>
      <c r="E217"/>
      <c r="F217"/>
      <c r="G217"/>
      <c r="H217"/>
      <c r="K217" s="457" t="str">
        <f t="shared" si="40"/>
        <v>CFL Track Lighting</v>
      </c>
      <c r="L217" s="457" t="str">
        <f t="shared" si="41"/>
        <v>Track Lighting</v>
      </c>
      <c r="M217" s="457" t="str">
        <f t="shared" si="42"/>
        <v>Restaurant</v>
      </c>
      <c r="N217" s="457" t="str">
        <f t="shared" si="43"/>
        <v xml:space="preserve">Halogen </v>
      </c>
      <c r="O217" s="461">
        <f t="shared" si="44"/>
        <v>0</v>
      </c>
      <c r="P217" s="461">
        <f t="shared" si="45"/>
        <v>0</v>
      </c>
    </row>
    <row r="218" spans="3:16" ht="16.5" hidden="1" outlineLevel="1" thickTop="1" thickBot="1">
      <c r="C218"/>
      <c r="D218"/>
      <c r="E218"/>
      <c r="F218"/>
      <c r="G218"/>
      <c r="H218"/>
      <c r="K218" s="457" t="str">
        <f t="shared" si="40"/>
        <v>CFL Track Lighting</v>
      </c>
      <c r="L218" s="457" t="str">
        <f t="shared" si="41"/>
        <v>Track Lighting</v>
      </c>
      <c r="M218" s="457" t="str">
        <f t="shared" si="42"/>
        <v>Restaurant</v>
      </c>
      <c r="N218" s="457" t="str">
        <f t="shared" si="43"/>
        <v xml:space="preserve">Halogen </v>
      </c>
      <c r="O218" s="461">
        <f t="shared" si="44"/>
        <v>0</v>
      </c>
      <c r="P218" s="461">
        <f t="shared" si="45"/>
        <v>0</v>
      </c>
    </row>
    <row r="219" spans="3:16" ht="16.5" hidden="1" outlineLevel="1" thickTop="1" thickBot="1">
      <c r="C219"/>
      <c r="D219"/>
      <c r="E219"/>
      <c r="F219"/>
      <c r="G219"/>
      <c r="H219"/>
      <c r="K219" s="457" t="str">
        <f t="shared" si="40"/>
        <v>CFL Track Lighting</v>
      </c>
      <c r="L219" s="457" t="str">
        <f t="shared" si="41"/>
        <v>Track Lighting</v>
      </c>
      <c r="M219" s="457" t="str">
        <f t="shared" si="42"/>
        <v>Restaurant</v>
      </c>
      <c r="N219" s="457" t="str">
        <f t="shared" si="43"/>
        <v xml:space="preserve">Halogen </v>
      </c>
      <c r="O219" s="461">
        <f t="shared" si="44"/>
        <v>0</v>
      </c>
      <c r="P219" s="461">
        <f t="shared" si="45"/>
        <v>0</v>
      </c>
    </row>
    <row r="220" spans="3:16" ht="16.5" hidden="1" outlineLevel="1" thickTop="1" thickBot="1">
      <c r="C220"/>
      <c r="D220"/>
      <c r="E220"/>
      <c r="F220"/>
      <c r="G220"/>
      <c r="H220"/>
      <c r="K220" s="457" t="str">
        <f t="shared" si="40"/>
        <v>CFL Track Lighting</v>
      </c>
      <c r="L220" s="457" t="str">
        <f t="shared" si="41"/>
        <v>Track Lighting</v>
      </c>
      <c r="M220" s="457" t="str">
        <f t="shared" si="42"/>
        <v>Restaurant</v>
      </c>
      <c r="N220" s="457" t="str">
        <f t="shared" si="43"/>
        <v xml:space="preserve">Halogen </v>
      </c>
      <c r="O220" s="461">
        <f t="shared" si="44"/>
        <v>0</v>
      </c>
      <c r="P220" s="461">
        <f t="shared" si="45"/>
        <v>0</v>
      </c>
    </row>
    <row r="221" spans="3:16" ht="16.5" hidden="1" outlineLevel="1" thickTop="1" thickBot="1">
      <c r="C221"/>
      <c r="D221"/>
      <c r="E221"/>
      <c r="F221"/>
      <c r="G221"/>
      <c r="H221"/>
      <c r="K221" s="457" t="str">
        <f t="shared" si="40"/>
        <v>CFL Track Lighting</v>
      </c>
      <c r="L221" s="457" t="str">
        <f t="shared" si="41"/>
        <v>Track Lighting</v>
      </c>
      <c r="M221" s="457" t="str">
        <f t="shared" si="42"/>
        <v>Restaurant</v>
      </c>
      <c r="N221" s="457" t="str">
        <f t="shared" si="43"/>
        <v xml:space="preserve">Halogen </v>
      </c>
      <c r="O221" s="461">
        <f t="shared" si="44"/>
        <v>0</v>
      </c>
      <c r="P221" s="461">
        <f t="shared" si="45"/>
        <v>0</v>
      </c>
    </row>
    <row r="222" spans="3:16" ht="16.5" hidden="1" outlineLevel="1" thickTop="1" thickBot="1">
      <c r="C222"/>
      <c r="D222"/>
      <c r="E222"/>
      <c r="F222"/>
      <c r="G222"/>
      <c r="H222"/>
      <c r="K222" s="457" t="str">
        <f t="shared" si="40"/>
        <v>CFL Track Lighting</v>
      </c>
      <c r="L222" s="457" t="str">
        <f t="shared" si="41"/>
        <v>Track Lighting</v>
      </c>
      <c r="M222" s="457" t="str">
        <f t="shared" si="42"/>
        <v>Restaurant</v>
      </c>
      <c r="N222" s="457" t="str">
        <f t="shared" si="43"/>
        <v xml:space="preserve">Halogen </v>
      </c>
      <c r="O222" s="461">
        <f t="shared" si="44"/>
        <v>0</v>
      </c>
      <c r="P222" s="461">
        <f t="shared" si="45"/>
        <v>0</v>
      </c>
    </row>
    <row r="223" spans="3:16" ht="16.5" hidden="1" outlineLevel="1" thickTop="1" thickBot="1">
      <c r="C223"/>
      <c r="D223"/>
      <c r="E223"/>
      <c r="F223"/>
      <c r="G223"/>
      <c r="H223"/>
      <c r="K223" s="457" t="str">
        <f t="shared" si="40"/>
        <v>CFL Track Lighting</v>
      </c>
      <c r="L223" s="457" t="str">
        <f t="shared" si="41"/>
        <v>Track Lighting</v>
      </c>
      <c r="M223" s="457" t="str">
        <f t="shared" si="42"/>
        <v>Restaurant</v>
      </c>
      <c r="N223" s="457" t="str">
        <f t="shared" si="43"/>
        <v xml:space="preserve">Halogen </v>
      </c>
      <c r="O223" s="461">
        <f t="shared" si="44"/>
        <v>0</v>
      </c>
      <c r="P223" s="461">
        <f t="shared" si="45"/>
        <v>0</v>
      </c>
    </row>
    <row r="224" spans="3:16" ht="16.5" hidden="1" outlineLevel="1" thickTop="1" thickBot="1">
      <c r="C224"/>
      <c r="D224"/>
      <c r="E224"/>
      <c r="F224"/>
      <c r="G224"/>
      <c r="H224"/>
      <c r="K224" s="457" t="str">
        <f t="shared" si="40"/>
        <v>CFL Track Lighting</v>
      </c>
      <c r="L224" s="457" t="str">
        <f t="shared" si="41"/>
        <v>Track Lighting</v>
      </c>
      <c r="M224" s="457" t="str">
        <f t="shared" si="42"/>
        <v>Restaurant</v>
      </c>
      <c r="N224" s="457" t="str">
        <f t="shared" si="43"/>
        <v xml:space="preserve">Halogen </v>
      </c>
      <c r="O224" s="461">
        <f t="shared" si="44"/>
        <v>0</v>
      </c>
      <c r="P224" s="461">
        <f t="shared" si="45"/>
        <v>0</v>
      </c>
    </row>
    <row r="225" spans="3:16" ht="16.5" hidden="1" outlineLevel="1" thickTop="1" thickBot="1">
      <c r="C225"/>
      <c r="D225"/>
      <c r="E225"/>
      <c r="F225"/>
      <c r="G225"/>
      <c r="H225"/>
      <c r="K225" s="457" t="str">
        <f t="shared" si="40"/>
        <v>CFL Track Lighting</v>
      </c>
      <c r="L225" s="457" t="str">
        <f t="shared" si="41"/>
        <v>Track Lighting</v>
      </c>
      <c r="M225" s="457" t="str">
        <f t="shared" si="42"/>
        <v>Restaurant</v>
      </c>
      <c r="N225" s="457" t="str">
        <f t="shared" si="43"/>
        <v xml:space="preserve">Halogen </v>
      </c>
      <c r="O225" s="461">
        <f t="shared" si="44"/>
        <v>0</v>
      </c>
      <c r="P225" s="461">
        <f t="shared" si="45"/>
        <v>0</v>
      </c>
    </row>
    <row r="226" spans="3:16" ht="16.5" hidden="1" outlineLevel="1" thickTop="1" thickBot="1">
      <c r="C226"/>
      <c r="D226"/>
      <c r="E226"/>
      <c r="F226"/>
      <c r="G226"/>
      <c r="H226"/>
      <c r="K226" s="457" t="str">
        <f t="shared" si="40"/>
        <v>CFL Track Lighting</v>
      </c>
      <c r="L226" s="457" t="str">
        <f t="shared" si="41"/>
        <v>Track Lighting</v>
      </c>
      <c r="M226" s="457" t="str">
        <f t="shared" si="42"/>
        <v>Restaurant</v>
      </c>
      <c r="N226" s="457" t="str">
        <f t="shared" si="43"/>
        <v xml:space="preserve">Halogen </v>
      </c>
      <c r="O226" s="461">
        <f t="shared" si="44"/>
        <v>0</v>
      </c>
      <c r="P226" s="461">
        <f t="shared" si="45"/>
        <v>0</v>
      </c>
    </row>
    <row r="227" spans="3:16" ht="16.5" hidden="1" outlineLevel="1" thickTop="1" thickBot="1">
      <c r="C227"/>
      <c r="D227"/>
      <c r="E227"/>
      <c r="F227"/>
      <c r="G227"/>
      <c r="H227"/>
      <c r="K227" s="457" t="str">
        <f t="shared" si="40"/>
        <v>CFL Track Lighting</v>
      </c>
      <c r="L227" s="457" t="str">
        <f t="shared" si="41"/>
        <v>Track Lighting</v>
      </c>
      <c r="M227" s="457" t="str">
        <f t="shared" si="42"/>
        <v>Restaurant</v>
      </c>
      <c r="N227" s="457" t="str">
        <f t="shared" si="43"/>
        <v xml:space="preserve">Halogen </v>
      </c>
      <c r="O227" s="461">
        <f t="shared" si="44"/>
        <v>0</v>
      </c>
      <c r="P227" s="461">
        <f t="shared" si="45"/>
        <v>0</v>
      </c>
    </row>
    <row r="228" spans="3:16" ht="16.5" hidden="1" outlineLevel="1" thickTop="1" thickBot="1">
      <c r="C228"/>
      <c r="D228"/>
      <c r="E228"/>
      <c r="F228"/>
      <c r="G228"/>
      <c r="H228"/>
      <c r="K228" s="457" t="str">
        <f t="shared" si="40"/>
        <v>CFL Track Lighting</v>
      </c>
      <c r="L228" s="457" t="str">
        <f t="shared" si="41"/>
        <v>Track Lighting</v>
      </c>
      <c r="M228" s="457" t="str">
        <f t="shared" si="42"/>
        <v>Restaurant</v>
      </c>
      <c r="N228" s="457" t="str">
        <f t="shared" si="43"/>
        <v xml:space="preserve">Halogen </v>
      </c>
      <c r="O228" s="461">
        <f t="shared" si="44"/>
        <v>0</v>
      </c>
      <c r="P228" s="461">
        <f t="shared" si="45"/>
        <v>0</v>
      </c>
    </row>
    <row r="229" spans="3:16" ht="16.5" hidden="1" outlineLevel="1" thickTop="1" thickBot="1">
      <c r="C229"/>
      <c r="D229"/>
      <c r="E229"/>
      <c r="F229"/>
      <c r="G229"/>
      <c r="H229"/>
      <c r="K229" s="457" t="str">
        <f t="shared" si="40"/>
        <v>CFL Track Lighting</v>
      </c>
      <c r="L229" s="457" t="str">
        <f t="shared" si="41"/>
        <v>Track Lighting</v>
      </c>
      <c r="M229" s="457" t="str">
        <f t="shared" si="42"/>
        <v>Restaurant</v>
      </c>
      <c r="N229" s="457" t="str">
        <f t="shared" si="43"/>
        <v xml:space="preserve">Halogen </v>
      </c>
      <c r="O229" s="461">
        <f t="shared" si="44"/>
        <v>0</v>
      </c>
      <c r="P229" s="461">
        <f t="shared" si="45"/>
        <v>0</v>
      </c>
    </row>
    <row r="230" spans="3:16" ht="16.5" hidden="1" outlineLevel="1" thickTop="1" thickBot="1">
      <c r="C230"/>
      <c r="D230"/>
      <c r="E230"/>
      <c r="F230"/>
      <c r="G230"/>
      <c r="H230"/>
      <c r="K230" s="457" t="str">
        <f t="shared" si="40"/>
        <v>CFL Track Lighting</v>
      </c>
      <c r="L230" s="457" t="str">
        <f t="shared" si="41"/>
        <v>Track Lighting</v>
      </c>
      <c r="M230" s="457" t="str">
        <f t="shared" si="42"/>
        <v>Restaurant</v>
      </c>
      <c r="N230" s="457" t="str">
        <f t="shared" si="43"/>
        <v xml:space="preserve">Halogen </v>
      </c>
      <c r="O230" s="461">
        <f t="shared" si="44"/>
        <v>0</v>
      </c>
      <c r="P230" s="461">
        <f t="shared" si="45"/>
        <v>0</v>
      </c>
    </row>
    <row r="231" spans="3:16" ht="16.5" hidden="1" outlineLevel="1" thickTop="1" thickBot="1">
      <c r="C231"/>
      <c r="D231"/>
      <c r="E231"/>
      <c r="F231"/>
      <c r="G231"/>
      <c r="H231"/>
      <c r="K231" s="457" t="str">
        <f t="shared" si="40"/>
        <v>CFL Track Lighting</v>
      </c>
      <c r="L231" s="457" t="str">
        <f t="shared" si="41"/>
        <v>Track Lighting</v>
      </c>
      <c r="M231" s="457" t="str">
        <f t="shared" si="42"/>
        <v>Restaurant</v>
      </c>
      <c r="N231" s="457" t="str">
        <f t="shared" si="43"/>
        <v xml:space="preserve">Halogen </v>
      </c>
      <c r="O231" s="461">
        <f t="shared" si="44"/>
        <v>0</v>
      </c>
      <c r="P231" s="461">
        <f t="shared" si="45"/>
        <v>0</v>
      </c>
    </row>
    <row r="232" spans="3:16" ht="16.5" hidden="1" outlineLevel="1" thickTop="1" thickBot="1">
      <c r="C232"/>
      <c r="D232"/>
      <c r="E232"/>
      <c r="F232"/>
      <c r="G232"/>
      <c r="H232"/>
      <c r="K232" s="457" t="str">
        <f t="shared" si="40"/>
        <v>CFL Track Lighting</v>
      </c>
      <c r="L232" s="457" t="str">
        <f t="shared" si="41"/>
        <v>Track Lighting</v>
      </c>
      <c r="M232" s="457" t="str">
        <f t="shared" si="42"/>
        <v>Restaurant</v>
      </c>
      <c r="N232" s="457" t="str">
        <f t="shared" si="43"/>
        <v xml:space="preserve">Halogen </v>
      </c>
      <c r="O232" s="461">
        <f t="shared" si="44"/>
        <v>0</v>
      </c>
      <c r="P232" s="461">
        <f t="shared" si="45"/>
        <v>0</v>
      </c>
    </row>
    <row r="233" spans="3:16" ht="16.5" hidden="1" outlineLevel="1" thickTop="1" thickBot="1">
      <c r="C233"/>
      <c r="D233"/>
      <c r="E233"/>
      <c r="F233"/>
      <c r="G233"/>
      <c r="H233"/>
      <c r="K233" s="457" t="str">
        <f t="shared" si="40"/>
        <v>CFL Track Lighting</v>
      </c>
      <c r="L233" s="457" t="str">
        <f t="shared" si="41"/>
        <v>Track Lighting</v>
      </c>
      <c r="M233" s="457" t="str">
        <f t="shared" si="42"/>
        <v>Restaurant</v>
      </c>
      <c r="N233" s="457" t="str">
        <f t="shared" si="43"/>
        <v xml:space="preserve">Halogen </v>
      </c>
      <c r="O233" s="461">
        <f t="shared" si="44"/>
        <v>0</v>
      </c>
      <c r="P233" s="461">
        <f t="shared" si="45"/>
        <v>0</v>
      </c>
    </row>
    <row r="234" spans="3:16" ht="16.5" hidden="1" outlineLevel="1" thickTop="1" thickBot="1">
      <c r="C234"/>
      <c r="D234"/>
      <c r="E234"/>
      <c r="F234"/>
      <c r="G234"/>
      <c r="H234"/>
      <c r="K234" s="457" t="str">
        <f t="shared" si="40"/>
        <v>CFL Track Lighting</v>
      </c>
      <c r="L234" s="457" t="str">
        <f t="shared" si="41"/>
        <v>Track Lighting</v>
      </c>
      <c r="M234" s="457" t="str">
        <f t="shared" si="42"/>
        <v>Restaurant</v>
      </c>
      <c r="N234" s="457" t="str">
        <f t="shared" si="43"/>
        <v xml:space="preserve">Halogen </v>
      </c>
      <c r="O234" s="461">
        <f t="shared" si="44"/>
        <v>0</v>
      </c>
      <c r="P234" s="461">
        <f t="shared" si="45"/>
        <v>0</v>
      </c>
    </row>
    <row r="235" spans="3:16" ht="16.5" hidden="1" outlineLevel="1" thickTop="1" thickBot="1">
      <c r="C235"/>
      <c r="D235"/>
      <c r="E235"/>
      <c r="F235"/>
      <c r="G235"/>
      <c r="H235"/>
      <c r="K235" s="457" t="str">
        <f t="shared" si="40"/>
        <v>CFL Track Lighting</v>
      </c>
      <c r="L235" s="457" t="str">
        <f t="shared" si="41"/>
        <v>Track Lighting</v>
      </c>
      <c r="M235" s="457" t="str">
        <f t="shared" si="42"/>
        <v>Restaurant</v>
      </c>
      <c r="N235" s="457" t="str">
        <f t="shared" si="43"/>
        <v xml:space="preserve">Halogen </v>
      </c>
      <c r="O235" s="461">
        <f t="shared" si="44"/>
        <v>0</v>
      </c>
      <c r="P235" s="461">
        <f t="shared" si="45"/>
        <v>0</v>
      </c>
    </row>
    <row r="236" spans="3:16" ht="16.5" hidden="1" outlineLevel="1" thickTop="1" thickBot="1">
      <c r="C236"/>
      <c r="D236"/>
      <c r="E236"/>
      <c r="F236"/>
      <c r="G236"/>
      <c r="H236"/>
      <c r="K236" s="457" t="str">
        <f t="shared" si="40"/>
        <v>CFL Track Lighting</v>
      </c>
      <c r="L236" s="457" t="str">
        <f t="shared" si="41"/>
        <v>Track Lighting</v>
      </c>
      <c r="M236" s="457" t="str">
        <f t="shared" si="42"/>
        <v>Restaurant</v>
      </c>
      <c r="N236" s="457" t="str">
        <f t="shared" si="43"/>
        <v xml:space="preserve">Halogen </v>
      </c>
      <c r="O236" s="461">
        <f t="shared" si="44"/>
        <v>0</v>
      </c>
      <c r="P236" s="461">
        <f t="shared" si="45"/>
        <v>0</v>
      </c>
    </row>
    <row r="237" spans="3:16" ht="16.5" hidden="1" outlineLevel="1" thickTop="1" thickBot="1">
      <c r="C237"/>
      <c r="D237"/>
      <c r="E237"/>
      <c r="F237"/>
      <c r="G237"/>
      <c r="H237"/>
      <c r="K237" s="457" t="str">
        <f t="shared" si="40"/>
        <v>CFL Track Lighting</v>
      </c>
      <c r="L237" s="457" t="str">
        <f t="shared" si="41"/>
        <v>Track Lighting</v>
      </c>
      <c r="M237" s="457" t="str">
        <f t="shared" si="42"/>
        <v>Restaurant</v>
      </c>
      <c r="N237" s="457" t="str">
        <f t="shared" si="43"/>
        <v xml:space="preserve">Halogen </v>
      </c>
      <c r="O237" s="461">
        <f t="shared" si="44"/>
        <v>0</v>
      </c>
      <c r="P237" s="461">
        <f t="shared" si="45"/>
        <v>0</v>
      </c>
    </row>
    <row r="238" spans="3:16" ht="16.5" hidden="1" outlineLevel="1" thickTop="1" thickBot="1">
      <c r="C238"/>
      <c r="D238"/>
      <c r="E238"/>
      <c r="F238"/>
      <c r="G238"/>
      <c r="H238"/>
      <c r="K238" s="457" t="str">
        <f t="shared" si="40"/>
        <v>CFL Track Lighting</v>
      </c>
      <c r="L238" s="457" t="str">
        <f t="shared" si="41"/>
        <v>Track Lighting</v>
      </c>
      <c r="M238" s="457" t="str">
        <f t="shared" si="42"/>
        <v>Restaurant</v>
      </c>
      <c r="N238" s="457" t="str">
        <f t="shared" si="43"/>
        <v xml:space="preserve">Halogen </v>
      </c>
      <c r="O238" s="461">
        <f t="shared" si="44"/>
        <v>0</v>
      </c>
      <c r="P238" s="461">
        <f t="shared" si="45"/>
        <v>0</v>
      </c>
    </row>
    <row r="239" spans="3:16" ht="16.5" hidden="1" outlineLevel="1" thickTop="1" thickBot="1">
      <c r="C239"/>
      <c r="D239"/>
      <c r="E239"/>
      <c r="F239"/>
      <c r="G239"/>
      <c r="H239"/>
      <c r="K239" s="457" t="str">
        <f t="shared" si="40"/>
        <v>CFL Track Lighting</v>
      </c>
      <c r="L239" s="457" t="str">
        <f t="shared" si="41"/>
        <v>Track Lighting</v>
      </c>
      <c r="M239" s="457" t="str">
        <f t="shared" si="42"/>
        <v>Restaurant</v>
      </c>
      <c r="N239" s="457" t="str">
        <f t="shared" si="43"/>
        <v xml:space="preserve">Halogen </v>
      </c>
      <c r="O239" s="461">
        <f t="shared" si="44"/>
        <v>0</v>
      </c>
      <c r="P239" s="461">
        <f t="shared" si="45"/>
        <v>0</v>
      </c>
    </row>
    <row r="240" spans="3:16" ht="16.5" hidden="1" outlineLevel="1" thickTop="1" thickBot="1">
      <c r="C240"/>
      <c r="D240"/>
      <c r="E240"/>
      <c r="F240"/>
      <c r="G240"/>
      <c r="H240"/>
      <c r="K240" s="457" t="str">
        <f t="shared" si="40"/>
        <v>CFL Track Lighting</v>
      </c>
      <c r="L240" s="457" t="str">
        <f t="shared" si="41"/>
        <v>Track Lighting</v>
      </c>
      <c r="M240" s="457" t="str">
        <f t="shared" si="42"/>
        <v>Restaurant</v>
      </c>
      <c r="N240" s="457" t="str">
        <f t="shared" si="43"/>
        <v xml:space="preserve">Halogen </v>
      </c>
      <c r="O240" s="461">
        <f t="shared" si="44"/>
        <v>0</v>
      </c>
      <c r="P240" s="461">
        <f t="shared" si="45"/>
        <v>0</v>
      </c>
    </row>
    <row r="241" spans="3:16" ht="16.5" hidden="1" outlineLevel="1" thickTop="1" thickBot="1">
      <c r="C241"/>
      <c r="D241"/>
      <c r="E241"/>
      <c r="F241"/>
      <c r="G241"/>
      <c r="H241"/>
      <c r="K241" s="457" t="str">
        <f t="shared" si="40"/>
        <v>CFL Track Lighting</v>
      </c>
      <c r="L241" s="457" t="str">
        <f t="shared" si="41"/>
        <v>Track Lighting</v>
      </c>
      <c r="M241" s="457" t="str">
        <f t="shared" si="42"/>
        <v>Restaurant</v>
      </c>
      <c r="N241" s="457" t="str">
        <f t="shared" si="43"/>
        <v xml:space="preserve">Halogen </v>
      </c>
      <c r="O241" s="461">
        <f t="shared" si="44"/>
        <v>0</v>
      </c>
      <c r="P241" s="461">
        <f t="shared" si="45"/>
        <v>0</v>
      </c>
    </row>
    <row r="242" spans="3:16" ht="16.5" hidden="1" outlineLevel="1" thickTop="1" thickBot="1">
      <c r="C242"/>
      <c r="D242"/>
      <c r="E242"/>
      <c r="F242"/>
      <c r="G242"/>
      <c r="H242"/>
      <c r="K242" s="457" t="str">
        <f t="shared" si="40"/>
        <v>CFL Track Lighting</v>
      </c>
      <c r="L242" s="457" t="str">
        <f t="shared" si="41"/>
        <v>Track Lighting</v>
      </c>
      <c r="M242" s="457" t="str">
        <f t="shared" si="42"/>
        <v>Restaurant</v>
      </c>
      <c r="N242" s="457" t="str">
        <f t="shared" si="43"/>
        <v xml:space="preserve">Halogen </v>
      </c>
      <c r="O242" s="461">
        <f t="shared" si="44"/>
        <v>0</v>
      </c>
      <c r="P242" s="461">
        <f t="shared" si="45"/>
        <v>0</v>
      </c>
    </row>
    <row r="243" spans="3:16" ht="16.5" hidden="1" outlineLevel="1" thickTop="1" thickBot="1">
      <c r="C243"/>
      <c r="D243"/>
      <c r="E243"/>
      <c r="F243"/>
      <c r="G243"/>
      <c r="H243"/>
      <c r="K243" s="457" t="str">
        <f t="shared" si="40"/>
        <v>CFL Track Lighting</v>
      </c>
      <c r="L243" s="457" t="str">
        <f t="shared" si="41"/>
        <v>Track Lighting</v>
      </c>
      <c r="M243" s="457" t="str">
        <f t="shared" si="42"/>
        <v>Restaurant</v>
      </c>
      <c r="N243" s="457" t="str">
        <f t="shared" si="43"/>
        <v xml:space="preserve">Halogen </v>
      </c>
      <c r="O243" s="461">
        <f t="shared" si="44"/>
        <v>0</v>
      </c>
      <c r="P243" s="461">
        <f t="shared" si="45"/>
        <v>0</v>
      </c>
    </row>
    <row r="244" spans="3:16" ht="16.5" hidden="1" outlineLevel="1" thickTop="1" thickBot="1">
      <c r="C244"/>
      <c r="D244"/>
      <c r="E244"/>
      <c r="F244"/>
      <c r="G244"/>
      <c r="H244"/>
      <c r="K244" s="457" t="str">
        <f t="shared" si="40"/>
        <v>CFL Track Lighting</v>
      </c>
      <c r="L244" s="457" t="str">
        <f t="shared" si="41"/>
        <v>Track Lighting</v>
      </c>
      <c r="M244" s="457" t="str">
        <f t="shared" si="42"/>
        <v>Restaurant</v>
      </c>
      <c r="N244" s="457" t="str">
        <f t="shared" si="43"/>
        <v xml:space="preserve">Halogen </v>
      </c>
      <c r="O244" s="461">
        <f t="shared" si="44"/>
        <v>0</v>
      </c>
      <c r="P244" s="461">
        <f t="shared" si="45"/>
        <v>0</v>
      </c>
    </row>
    <row r="245" spans="3:16" ht="16.5" hidden="1" outlineLevel="1" thickTop="1" thickBot="1">
      <c r="C245"/>
      <c r="D245"/>
      <c r="E245"/>
      <c r="F245"/>
      <c r="G245"/>
      <c r="H245"/>
      <c r="K245" s="457" t="str">
        <f t="shared" si="40"/>
        <v>CFL Track Lighting</v>
      </c>
      <c r="L245" s="457" t="str">
        <f t="shared" si="41"/>
        <v>Track Lighting</v>
      </c>
      <c r="M245" s="457" t="str">
        <f t="shared" si="42"/>
        <v>Restaurant</v>
      </c>
      <c r="N245" s="457" t="str">
        <f t="shared" si="43"/>
        <v xml:space="preserve">Halogen </v>
      </c>
      <c r="O245" s="461">
        <f t="shared" si="44"/>
        <v>0</v>
      </c>
      <c r="P245" s="461">
        <f t="shared" si="45"/>
        <v>0</v>
      </c>
    </row>
    <row r="246" spans="3:16" ht="16.5" hidden="1" outlineLevel="1" thickTop="1" thickBot="1">
      <c r="C246"/>
      <c r="D246"/>
      <c r="E246"/>
      <c r="F246"/>
      <c r="G246"/>
      <c r="H246"/>
      <c r="K246" s="457" t="str">
        <f t="shared" si="40"/>
        <v>CFL Track Lighting</v>
      </c>
      <c r="L246" s="457" t="str">
        <f t="shared" si="41"/>
        <v>Track Lighting</v>
      </c>
      <c r="M246" s="457" t="str">
        <f t="shared" si="42"/>
        <v>Restaurant</v>
      </c>
      <c r="N246" s="457" t="str">
        <f t="shared" si="43"/>
        <v xml:space="preserve">Halogen </v>
      </c>
      <c r="O246" s="461">
        <f t="shared" si="44"/>
        <v>0</v>
      </c>
      <c r="P246" s="461">
        <f t="shared" si="45"/>
        <v>0</v>
      </c>
    </row>
    <row r="247" spans="3:16" ht="16.5" hidden="1" outlineLevel="1" thickTop="1" thickBot="1">
      <c r="C247"/>
      <c r="D247"/>
      <c r="E247"/>
      <c r="F247"/>
      <c r="G247"/>
      <c r="H247"/>
      <c r="K247" s="457" t="str">
        <f t="shared" si="40"/>
        <v>CFL Track Lighting</v>
      </c>
      <c r="L247" s="457" t="str">
        <f t="shared" si="41"/>
        <v>Track Lighting</v>
      </c>
      <c r="M247" s="457" t="str">
        <f t="shared" si="42"/>
        <v>Restaurant</v>
      </c>
      <c r="N247" s="457" t="str">
        <f t="shared" si="43"/>
        <v xml:space="preserve">Halogen </v>
      </c>
      <c r="O247" s="461">
        <f t="shared" si="44"/>
        <v>0</v>
      </c>
      <c r="P247" s="461">
        <f t="shared" si="45"/>
        <v>0</v>
      </c>
    </row>
    <row r="248" spans="3:16" ht="16.5" hidden="1" outlineLevel="1" thickTop="1" thickBot="1">
      <c r="C248"/>
      <c r="D248"/>
      <c r="E248"/>
      <c r="F248"/>
      <c r="G248"/>
      <c r="H248"/>
      <c r="K248" s="457" t="str">
        <f t="shared" si="40"/>
        <v>CFL Track Lighting</v>
      </c>
      <c r="L248" s="457" t="str">
        <f t="shared" si="41"/>
        <v>Track Lighting</v>
      </c>
      <c r="M248" s="457" t="str">
        <f t="shared" si="42"/>
        <v>Restaurant</v>
      </c>
      <c r="N248" s="457" t="str">
        <f t="shared" si="43"/>
        <v xml:space="preserve">Halogen </v>
      </c>
      <c r="O248" s="461">
        <f t="shared" si="44"/>
        <v>0</v>
      </c>
      <c r="P248" s="461">
        <f t="shared" si="45"/>
        <v>0</v>
      </c>
    </row>
    <row r="249" spans="3:16" ht="16.5" hidden="1" outlineLevel="1" thickTop="1" thickBot="1">
      <c r="C249"/>
      <c r="D249"/>
      <c r="E249"/>
      <c r="F249"/>
      <c r="G249"/>
      <c r="H249"/>
      <c r="K249" s="457" t="str">
        <f t="shared" si="40"/>
        <v>CFL Track Lighting</v>
      </c>
      <c r="L249" s="457" t="str">
        <f t="shared" si="41"/>
        <v>Track Lighting</v>
      </c>
      <c r="M249" s="457" t="str">
        <f t="shared" si="42"/>
        <v>Restaurant</v>
      </c>
      <c r="N249" s="457" t="str">
        <f t="shared" si="43"/>
        <v xml:space="preserve">Halogen </v>
      </c>
      <c r="O249" s="461">
        <f t="shared" si="44"/>
        <v>0</v>
      </c>
      <c r="P249" s="461">
        <f t="shared" si="45"/>
        <v>0</v>
      </c>
    </row>
    <row r="250" spans="3:16" ht="16.5" hidden="1" outlineLevel="1" thickTop="1" thickBot="1">
      <c r="C250"/>
      <c r="D250"/>
      <c r="E250"/>
      <c r="F250"/>
      <c r="G250"/>
      <c r="H250"/>
      <c r="K250" s="457" t="str">
        <f t="shared" si="40"/>
        <v>CFL Track Lighting</v>
      </c>
      <c r="L250" s="457" t="str">
        <f t="shared" si="41"/>
        <v>Track Lighting</v>
      </c>
      <c r="M250" s="457" t="str">
        <f t="shared" si="42"/>
        <v>Restaurant</v>
      </c>
      <c r="N250" s="457" t="str">
        <f t="shared" si="43"/>
        <v xml:space="preserve">Halogen </v>
      </c>
      <c r="O250" s="461">
        <f t="shared" si="44"/>
        <v>0</v>
      </c>
      <c r="P250" s="461">
        <f t="shared" si="45"/>
        <v>0</v>
      </c>
    </row>
    <row r="251" spans="3:16" ht="16.5" hidden="1" outlineLevel="1" thickTop="1" thickBot="1">
      <c r="C251"/>
      <c r="D251"/>
      <c r="E251"/>
      <c r="F251"/>
      <c r="G251"/>
      <c r="H251"/>
      <c r="K251" s="457" t="str">
        <f t="shared" si="40"/>
        <v>CFL Track Lighting</v>
      </c>
      <c r="L251" s="457" t="str">
        <f t="shared" si="41"/>
        <v>Track Lighting</v>
      </c>
      <c r="M251" s="457" t="str">
        <f t="shared" si="42"/>
        <v>Restaurant</v>
      </c>
      <c r="N251" s="457" t="str">
        <f t="shared" si="43"/>
        <v xml:space="preserve">Halogen </v>
      </c>
      <c r="O251" s="461">
        <f t="shared" si="44"/>
        <v>0</v>
      </c>
      <c r="P251" s="461">
        <f t="shared" si="45"/>
        <v>0</v>
      </c>
    </row>
    <row r="252" spans="3:16" ht="16.5" hidden="1" outlineLevel="1" thickTop="1" thickBot="1">
      <c r="C252"/>
      <c r="D252"/>
      <c r="E252"/>
      <c r="F252"/>
      <c r="G252"/>
      <c r="H252"/>
      <c r="K252" s="457" t="str">
        <f t="shared" si="40"/>
        <v>CFL Track Lighting</v>
      </c>
      <c r="L252" s="457" t="str">
        <f t="shared" si="41"/>
        <v>Track Lighting</v>
      </c>
      <c r="M252" s="457" t="str">
        <f t="shared" si="42"/>
        <v>Restaurant</v>
      </c>
      <c r="N252" s="457" t="str">
        <f t="shared" si="43"/>
        <v xml:space="preserve">Halogen </v>
      </c>
      <c r="O252" s="461">
        <f t="shared" si="44"/>
        <v>0</v>
      </c>
      <c r="P252" s="461">
        <f t="shared" si="45"/>
        <v>0</v>
      </c>
    </row>
    <row r="253" spans="3:16" ht="16.5" hidden="1" outlineLevel="1" thickTop="1" thickBot="1">
      <c r="C253"/>
      <c r="D253"/>
      <c r="E253"/>
      <c r="F253"/>
      <c r="G253"/>
      <c r="H253"/>
      <c r="K253" s="457" t="str">
        <f t="shared" si="40"/>
        <v>CFL Track Lighting</v>
      </c>
      <c r="L253" s="457" t="str">
        <f t="shared" si="41"/>
        <v>Track Lighting</v>
      </c>
      <c r="M253" s="457" t="str">
        <f t="shared" si="42"/>
        <v>Restaurant</v>
      </c>
      <c r="N253" s="457" t="str">
        <f t="shared" si="43"/>
        <v xml:space="preserve">Halogen </v>
      </c>
      <c r="O253" s="461">
        <f t="shared" si="44"/>
        <v>0</v>
      </c>
      <c r="P253" s="461">
        <f t="shared" si="45"/>
        <v>0</v>
      </c>
    </row>
    <row r="254" spans="3:16" ht="16.5" hidden="1" outlineLevel="1" thickTop="1" thickBot="1">
      <c r="C254"/>
      <c r="D254"/>
      <c r="E254"/>
      <c r="F254"/>
      <c r="G254"/>
      <c r="H254"/>
      <c r="K254" s="457" t="str">
        <f t="shared" si="40"/>
        <v>CFL Track Lighting</v>
      </c>
      <c r="L254" s="457" t="str">
        <f t="shared" si="41"/>
        <v>Track Lighting</v>
      </c>
      <c r="M254" s="457" t="str">
        <f t="shared" si="42"/>
        <v>Restaurant</v>
      </c>
      <c r="N254" s="457" t="str">
        <f t="shared" si="43"/>
        <v xml:space="preserve">Halogen </v>
      </c>
      <c r="O254" s="461">
        <f t="shared" si="44"/>
        <v>0</v>
      </c>
      <c r="P254" s="461">
        <f t="shared" si="45"/>
        <v>0</v>
      </c>
    </row>
    <row r="255" spans="3:16" ht="16.5" hidden="1" outlineLevel="1" thickTop="1" thickBot="1">
      <c r="C255"/>
      <c r="D255"/>
      <c r="E255"/>
      <c r="F255"/>
      <c r="G255"/>
      <c r="H255"/>
      <c r="K255" s="457" t="str">
        <f t="shared" si="40"/>
        <v>CFL Track Lighting</v>
      </c>
      <c r="L255" s="457" t="str">
        <f t="shared" si="41"/>
        <v>Track Lighting</v>
      </c>
      <c r="M255" s="457" t="str">
        <f t="shared" si="42"/>
        <v>Restaurant</v>
      </c>
      <c r="N255" s="457" t="str">
        <f t="shared" si="43"/>
        <v xml:space="preserve">Halogen </v>
      </c>
      <c r="O255" s="461">
        <f t="shared" si="44"/>
        <v>0</v>
      </c>
      <c r="P255" s="461">
        <f t="shared" si="45"/>
        <v>0</v>
      </c>
    </row>
    <row r="256" spans="3:16" ht="16.5" hidden="1" outlineLevel="1" thickTop="1" thickBot="1">
      <c r="C256"/>
      <c r="D256"/>
      <c r="E256"/>
      <c r="F256"/>
      <c r="G256"/>
      <c r="H256"/>
      <c r="K256" s="457" t="str">
        <f t="shared" si="40"/>
        <v>CFL Track Lighting</v>
      </c>
      <c r="L256" s="457" t="str">
        <f t="shared" si="41"/>
        <v>Track Lighting</v>
      </c>
      <c r="M256" s="457" t="str">
        <f t="shared" si="42"/>
        <v>Restaurant</v>
      </c>
      <c r="N256" s="457" t="str">
        <f t="shared" si="43"/>
        <v xml:space="preserve">Halogen </v>
      </c>
      <c r="O256" s="461">
        <f t="shared" si="44"/>
        <v>0</v>
      </c>
      <c r="P256" s="461">
        <f t="shared" si="45"/>
        <v>0</v>
      </c>
    </row>
    <row r="257" spans="3:16" ht="16.5" hidden="1" outlineLevel="1" thickTop="1" thickBot="1">
      <c r="C257"/>
      <c r="D257"/>
      <c r="E257"/>
      <c r="F257"/>
      <c r="G257"/>
      <c r="H257"/>
      <c r="K257" s="457" t="str">
        <f t="shared" si="40"/>
        <v>CFL Track Lighting</v>
      </c>
      <c r="L257" s="457" t="str">
        <f t="shared" si="41"/>
        <v>Track Lighting</v>
      </c>
      <c r="M257" s="457" t="str">
        <f t="shared" si="42"/>
        <v>Restaurant</v>
      </c>
      <c r="N257" s="457" t="str">
        <f t="shared" si="43"/>
        <v xml:space="preserve">Halogen </v>
      </c>
      <c r="O257" s="461">
        <f t="shared" si="44"/>
        <v>0</v>
      </c>
      <c r="P257" s="461">
        <f t="shared" si="45"/>
        <v>0</v>
      </c>
    </row>
    <row r="258" spans="3:16" ht="16.5" hidden="1" outlineLevel="1" thickTop="1" thickBot="1">
      <c r="C258"/>
      <c r="D258"/>
      <c r="E258"/>
      <c r="F258"/>
      <c r="G258"/>
      <c r="H258"/>
      <c r="K258" s="457" t="str">
        <f t="shared" si="40"/>
        <v>CFL Track Lighting</v>
      </c>
      <c r="L258" s="457" t="str">
        <f t="shared" si="41"/>
        <v>Track Lighting</v>
      </c>
      <c r="M258" s="457" t="str">
        <f t="shared" si="42"/>
        <v>Restaurant</v>
      </c>
      <c r="N258" s="457" t="str">
        <f t="shared" si="43"/>
        <v xml:space="preserve">Halogen </v>
      </c>
      <c r="O258" s="461">
        <f t="shared" si="44"/>
        <v>0</v>
      </c>
      <c r="P258" s="461">
        <f t="shared" si="45"/>
        <v>0</v>
      </c>
    </row>
    <row r="259" spans="3:16" ht="16.5" hidden="1" outlineLevel="1" thickTop="1" thickBot="1">
      <c r="C259"/>
      <c r="D259"/>
      <c r="E259"/>
      <c r="F259"/>
      <c r="G259"/>
      <c r="H259"/>
      <c r="K259" s="457" t="str">
        <f t="shared" si="40"/>
        <v>CFL Track Lighting</v>
      </c>
      <c r="L259" s="457" t="str">
        <f t="shared" si="41"/>
        <v>Track Lighting</v>
      </c>
      <c r="M259" s="457" t="str">
        <f t="shared" si="42"/>
        <v>Restaurant</v>
      </c>
      <c r="N259" s="457" t="str">
        <f t="shared" si="43"/>
        <v xml:space="preserve">Halogen </v>
      </c>
      <c r="O259" s="461">
        <f t="shared" si="44"/>
        <v>0</v>
      </c>
      <c r="P259" s="461">
        <f t="shared" si="45"/>
        <v>0</v>
      </c>
    </row>
    <row r="260" spans="3:16" ht="16.5" hidden="1" outlineLevel="1" thickTop="1" thickBot="1">
      <c r="C260"/>
      <c r="D260"/>
      <c r="E260"/>
      <c r="F260"/>
      <c r="G260"/>
      <c r="H260"/>
      <c r="K260" s="457" t="str">
        <f t="shared" si="40"/>
        <v>CFL Track Lighting</v>
      </c>
      <c r="L260" s="457" t="str">
        <f t="shared" si="41"/>
        <v>Track Lighting</v>
      </c>
      <c r="M260" s="457" t="str">
        <f t="shared" si="42"/>
        <v>Restaurant</v>
      </c>
      <c r="N260" s="457" t="str">
        <f t="shared" si="43"/>
        <v xml:space="preserve">Halogen </v>
      </c>
      <c r="O260" s="461">
        <f t="shared" si="44"/>
        <v>0</v>
      </c>
      <c r="P260" s="461">
        <f t="shared" si="45"/>
        <v>0</v>
      </c>
    </row>
    <row r="261" spans="3:16" ht="16.5" hidden="1" outlineLevel="1" thickTop="1" thickBot="1">
      <c r="C261"/>
      <c r="D261"/>
      <c r="E261"/>
      <c r="F261"/>
      <c r="G261"/>
      <c r="H261"/>
      <c r="K261" s="457" t="str">
        <f t="shared" si="40"/>
        <v>CFL Track Lighting</v>
      </c>
      <c r="L261" s="457" t="str">
        <f t="shared" si="41"/>
        <v>Track Lighting</v>
      </c>
      <c r="M261" s="457" t="str">
        <f t="shared" si="42"/>
        <v>Restaurant</v>
      </c>
      <c r="N261" s="457" t="str">
        <f t="shared" si="43"/>
        <v xml:space="preserve">Halogen </v>
      </c>
      <c r="O261" s="461">
        <f t="shared" si="44"/>
        <v>0</v>
      </c>
      <c r="P261" s="461">
        <f t="shared" si="45"/>
        <v>0</v>
      </c>
    </row>
    <row r="262" spans="3:16" ht="16.5" hidden="1" outlineLevel="1" thickTop="1" thickBot="1">
      <c r="C262"/>
      <c r="D262"/>
      <c r="E262"/>
      <c r="F262"/>
      <c r="G262"/>
      <c r="H262"/>
      <c r="K262" s="457" t="str">
        <f t="shared" si="40"/>
        <v>CFL Track Lighting</v>
      </c>
      <c r="L262" s="457" t="str">
        <f t="shared" si="41"/>
        <v>Track Lighting</v>
      </c>
      <c r="M262" s="457" t="str">
        <f t="shared" si="42"/>
        <v>Restaurant</v>
      </c>
      <c r="N262" s="457" t="str">
        <f t="shared" si="43"/>
        <v xml:space="preserve">Halogen </v>
      </c>
      <c r="O262" s="461">
        <f t="shared" si="44"/>
        <v>0</v>
      </c>
      <c r="P262" s="461">
        <f t="shared" si="45"/>
        <v>0</v>
      </c>
    </row>
    <row r="263" spans="3:16" ht="16.5" hidden="1" outlineLevel="1" thickTop="1" thickBot="1">
      <c r="C263"/>
      <c r="D263"/>
      <c r="E263"/>
      <c r="F263"/>
      <c r="G263"/>
      <c r="H263"/>
      <c r="K263" s="457" t="str">
        <f t="shared" si="40"/>
        <v>CFL Track Lighting</v>
      </c>
      <c r="L263" s="457" t="str">
        <f t="shared" si="41"/>
        <v>Track Lighting</v>
      </c>
      <c r="M263" s="457" t="str">
        <f t="shared" si="42"/>
        <v>Restaurant</v>
      </c>
      <c r="N263" s="457" t="str">
        <f t="shared" si="43"/>
        <v xml:space="preserve">Halogen </v>
      </c>
      <c r="O263" s="461">
        <f t="shared" si="44"/>
        <v>0</v>
      </c>
      <c r="P263" s="461">
        <f t="shared" si="45"/>
        <v>0</v>
      </c>
    </row>
    <row r="264" spans="3:16" ht="16.5" hidden="1" outlineLevel="1" thickTop="1" thickBot="1">
      <c r="C264"/>
      <c r="D264"/>
      <c r="E264"/>
      <c r="F264"/>
      <c r="G264"/>
      <c r="H264"/>
      <c r="K264" s="457" t="str">
        <f t="shared" si="40"/>
        <v>CFL Track Lighting</v>
      </c>
      <c r="L264" s="457" t="str">
        <f t="shared" si="41"/>
        <v>Track Lighting</v>
      </c>
      <c r="M264" s="457" t="str">
        <f t="shared" si="42"/>
        <v>Restaurant</v>
      </c>
      <c r="N264" s="457" t="str">
        <f t="shared" si="43"/>
        <v xml:space="preserve">Halogen </v>
      </c>
      <c r="O264" s="461">
        <f t="shared" si="44"/>
        <v>0</v>
      </c>
      <c r="P264" s="461">
        <f t="shared" si="45"/>
        <v>0</v>
      </c>
    </row>
    <row r="265" spans="3:16" ht="16.5" hidden="1" outlineLevel="1" thickTop="1" thickBot="1">
      <c r="C265"/>
      <c r="D265"/>
      <c r="E265"/>
      <c r="F265"/>
      <c r="G265"/>
      <c r="H265"/>
      <c r="K265" s="457" t="str">
        <f t="shared" si="40"/>
        <v>CFL Track Lighting</v>
      </c>
      <c r="L265" s="457" t="str">
        <f t="shared" si="41"/>
        <v>Track Lighting</v>
      </c>
      <c r="M265" s="457" t="str">
        <f t="shared" si="42"/>
        <v>Restaurant</v>
      </c>
      <c r="N265" s="457" t="str">
        <f t="shared" si="43"/>
        <v xml:space="preserve">Halogen </v>
      </c>
      <c r="O265" s="461">
        <f t="shared" si="44"/>
        <v>0</v>
      </c>
      <c r="P265" s="461">
        <f t="shared" si="45"/>
        <v>0</v>
      </c>
    </row>
    <row r="266" spans="3:16" ht="16.5" hidden="1" outlineLevel="1" thickTop="1" thickBot="1">
      <c r="C266"/>
      <c r="D266"/>
      <c r="E266"/>
      <c r="F266"/>
      <c r="G266"/>
      <c r="H266"/>
      <c r="K266" s="457" t="str">
        <f t="shared" si="40"/>
        <v>CFL Track Lighting</v>
      </c>
      <c r="L266" s="457" t="str">
        <f t="shared" si="41"/>
        <v>Track Lighting</v>
      </c>
      <c r="M266" s="457" t="str">
        <f t="shared" si="42"/>
        <v>Restaurant</v>
      </c>
      <c r="N266" s="457" t="str">
        <f t="shared" si="43"/>
        <v xml:space="preserve">Halogen </v>
      </c>
      <c r="O266" s="461">
        <f t="shared" si="44"/>
        <v>0</v>
      </c>
      <c r="P266" s="461">
        <f t="shared" si="45"/>
        <v>0</v>
      </c>
    </row>
    <row r="267" spans="3:16" ht="16.5" hidden="1" outlineLevel="1" thickTop="1" thickBot="1">
      <c r="C267"/>
      <c r="D267"/>
      <c r="E267"/>
      <c r="F267"/>
      <c r="G267"/>
      <c r="H267"/>
      <c r="K267" s="457" t="str">
        <f t="shared" si="40"/>
        <v>CFL Track Lighting</v>
      </c>
      <c r="L267" s="457" t="str">
        <f t="shared" si="41"/>
        <v>Track Lighting</v>
      </c>
      <c r="M267" s="457" t="str">
        <f t="shared" si="42"/>
        <v>Restaurant</v>
      </c>
      <c r="N267" s="457" t="str">
        <f t="shared" si="43"/>
        <v xml:space="preserve">Halogen </v>
      </c>
      <c r="O267" s="461">
        <f t="shared" si="44"/>
        <v>0</v>
      </c>
      <c r="P267" s="461">
        <f t="shared" si="45"/>
        <v>0</v>
      </c>
    </row>
    <row r="268" spans="3:16" ht="16.5" hidden="1" outlineLevel="1" thickTop="1" thickBot="1">
      <c r="C268"/>
      <c r="D268"/>
      <c r="E268"/>
      <c r="F268"/>
      <c r="G268"/>
      <c r="H268"/>
      <c r="K268" s="457" t="str">
        <f t="shared" si="40"/>
        <v>CFL Track Lighting</v>
      </c>
      <c r="L268" s="457" t="str">
        <f t="shared" si="41"/>
        <v>Track Lighting</v>
      </c>
      <c r="M268" s="457" t="str">
        <f t="shared" si="42"/>
        <v>Restaurant</v>
      </c>
      <c r="N268" s="457" t="str">
        <f t="shared" si="43"/>
        <v xml:space="preserve">Halogen </v>
      </c>
      <c r="O268" s="461">
        <f t="shared" si="44"/>
        <v>0</v>
      </c>
      <c r="P268" s="461">
        <f t="shared" si="45"/>
        <v>0</v>
      </c>
    </row>
    <row r="269" spans="3:16" ht="16.5" hidden="1" outlineLevel="1" thickTop="1" thickBot="1">
      <c r="C269"/>
      <c r="D269"/>
      <c r="E269"/>
      <c r="F269"/>
      <c r="G269"/>
      <c r="H269"/>
      <c r="K269" s="457" t="str">
        <f t="shared" si="40"/>
        <v>CFL Track Lighting</v>
      </c>
      <c r="L269" s="457" t="str">
        <f t="shared" si="41"/>
        <v>Track Lighting</v>
      </c>
      <c r="M269" s="457" t="str">
        <f t="shared" si="42"/>
        <v>Restaurant</v>
      </c>
      <c r="N269" s="457" t="str">
        <f t="shared" si="43"/>
        <v xml:space="preserve">Halogen </v>
      </c>
      <c r="O269" s="461">
        <f t="shared" si="44"/>
        <v>0</v>
      </c>
      <c r="P269" s="461">
        <f t="shared" si="45"/>
        <v>0</v>
      </c>
    </row>
    <row r="270" spans="3:16" ht="16.5" hidden="1" outlineLevel="1" thickTop="1" thickBot="1">
      <c r="C270"/>
      <c r="D270"/>
      <c r="E270"/>
      <c r="F270"/>
      <c r="G270"/>
      <c r="H270"/>
      <c r="K270" s="457" t="str">
        <f t="shared" si="40"/>
        <v>CFL Track Lighting</v>
      </c>
      <c r="L270" s="457" t="str">
        <f t="shared" si="41"/>
        <v>Track Lighting</v>
      </c>
      <c r="M270" s="457" t="str">
        <f t="shared" si="42"/>
        <v>Restaurant</v>
      </c>
      <c r="N270" s="457" t="str">
        <f t="shared" si="43"/>
        <v xml:space="preserve">Halogen </v>
      </c>
      <c r="O270" s="461">
        <f t="shared" si="44"/>
        <v>0</v>
      </c>
      <c r="P270" s="461">
        <f t="shared" si="45"/>
        <v>0</v>
      </c>
    </row>
    <row r="271" spans="3:16" ht="16.5" hidden="1" outlineLevel="1" thickTop="1" thickBot="1">
      <c r="C271"/>
      <c r="D271"/>
      <c r="E271"/>
      <c r="F271"/>
      <c r="G271"/>
      <c r="H271"/>
      <c r="K271" s="457" t="str">
        <f t="shared" si="40"/>
        <v>CFL Track Lighting</v>
      </c>
      <c r="L271" s="457" t="str">
        <f t="shared" si="41"/>
        <v>Track Lighting</v>
      </c>
      <c r="M271" s="457" t="str">
        <f t="shared" si="42"/>
        <v>Restaurant</v>
      </c>
      <c r="N271" s="457" t="str">
        <f t="shared" si="43"/>
        <v xml:space="preserve">Halogen </v>
      </c>
      <c r="O271" s="461">
        <f t="shared" si="44"/>
        <v>0</v>
      </c>
      <c r="P271" s="461">
        <f t="shared" si="45"/>
        <v>0</v>
      </c>
    </row>
    <row r="272" spans="3:16" ht="16.5" hidden="1" outlineLevel="1" thickTop="1" thickBot="1">
      <c r="C272"/>
      <c r="D272"/>
      <c r="E272"/>
      <c r="F272"/>
      <c r="G272"/>
      <c r="H272"/>
      <c r="K272" s="457" t="str">
        <f t="shared" si="40"/>
        <v>CFL Track Lighting</v>
      </c>
      <c r="L272" s="457" t="str">
        <f t="shared" si="41"/>
        <v>Track Lighting</v>
      </c>
      <c r="M272" s="457" t="str">
        <f t="shared" si="42"/>
        <v>Restaurant</v>
      </c>
      <c r="N272" s="457" t="str">
        <f t="shared" si="43"/>
        <v xml:space="preserve">Halogen </v>
      </c>
      <c r="O272" s="461">
        <f t="shared" si="44"/>
        <v>0</v>
      </c>
      <c r="P272" s="461">
        <f t="shared" si="45"/>
        <v>0</v>
      </c>
    </row>
    <row r="273" spans="3:16" ht="16.5" hidden="1" outlineLevel="1" thickTop="1" thickBot="1">
      <c r="C273"/>
      <c r="D273"/>
      <c r="E273"/>
      <c r="F273"/>
      <c r="G273"/>
      <c r="H273"/>
      <c r="K273" s="457" t="str">
        <f t="shared" si="40"/>
        <v>CFL Track Lighting</v>
      </c>
      <c r="L273" s="457" t="str">
        <f t="shared" si="41"/>
        <v>Track Lighting</v>
      </c>
      <c r="M273" s="457" t="str">
        <f t="shared" si="42"/>
        <v>Restaurant</v>
      </c>
      <c r="N273" s="457" t="str">
        <f t="shared" si="43"/>
        <v xml:space="preserve">Halogen </v>
      </c>
      <c r="O273" s="461">
        <f t="shared" si="44"/>
        <v>0</v>
      </c>
      <c r="P273" s="461">
        <f t="shared" si="45"/>
        <v>0</v>
      </c>
    </row>
    <row r="274" spans="3:16" ht="16.5" hidden="1" outlineLevel="1" thickTop="1" thickBot="1">
      <c r="C274"/>
      <c r="D274"/>
      <c r="E274"/>
      <c r="F274"/>
      <c r="G274"/>
      <c r="H274"/>
      <c r="K274" s="457" t="str">
        <f t="shared" ref="K274:K276" si="46">IF(C274=0,K273,C274)</f>
        <v>CFL Track Lighting</v>
      </c>
      <c r="L274" s="457" t="str">
        <f t="shared" ref="L274:L276" si="47">IF(D274=0,L273,D274)</f>
        <v>Track Lighting</v>
      </c>
      <c r="M274" s="457" t="str">
        <f t="shared" ref="M274:M276" si="48">IF(E274=0,M273,E274)</f>
        <v>Restaurant</v>
      </c>
      <c r="N274" s="457" t="str">
        <f t="shared" ref="N274:N276" si="49">IF(F274=0,N273,F274)</f>
        <v xml:space="preserve">Halogen </v>
      </c>
      <c r="O274" s="461">
        <f t="shared" ref="O274:O276" si="50">G274</f>
        <v>0</v>
      </c>
      <c r="P274" s="461">
        <f t="shared" ref="P274:P276" si="51">H274</f>
        <v>0</v>
      </c>
    </row>
    <row r="275" spans="3:16" ht="16.5" hidden="1" outlineLevel="1" thickTop="1" thickBot="1">
      <c r="C275"/>
      <c r="D275"/>
      <c r="E275"/>
      <c r="F275"/>
      <c r="G275"/>
      <c r="H275"/>
      <c r="K275" s="457" t="str">
        <f t="shared" si="46"/>
        <v>CFL Track Lighting</v>
      </c>
      <c r="L275" s="457" t="str">
        <f t="shared" si="47"/>
        <v>Track Lighting</v>
      </c>
      <c r="M275" s="457" t="str">
        <f t="shared" si="48"/>
        <v>Restaurant</v>
      </c>
      <c r="N275" s="457" t="str">
        <f t="shared" si="49"/>
        <v xml:space="preserve">Halogen </v>
      </c>
      <c r="O275" s="461">
        <f t="shared" si="50"/>
        <v>0</v>
      </c>
      <c r="P275" s="461">
        <f t="shared" si="51"/>
        <v>0</v>
      </c>
    </row>
    <row r="276" spans="3:16" ht="16.5" hidden="1" outlineLevel="1" thickTop="1" thickBot="1">
      <c r="C276"/>
      <c r="D276"/>
      <c r="E276"/>
      <c r="F276"/>
      <c r="G276"/>
      <c r="H276"/>
      <c r="K276" s="457" t="str">
        <f t="shared" si="46"/>
        <v>CFL Track Lighting</v>
      </c>
      <c r="L276" s="457" t="str">
        <f t="shared" si="47"/>
        <v>Track Lighting</v>
      </c>
      <c r="M276" s="457" t="str">
        <f t="shared" si="48"/>
        <v>Restaurant</v>
      </c>
      <c r="N276" s="457" t="str">
        <f t="shared" si="49"/>
        <v xml:space="preserve">Halogen </v>
      </c>
      <c r="O276" s="461">
        <f t="shared" si="50"/>
        <v>0</v>
      </c>
      <c r="P276" s="461">
        <f t="shared" si="51"/>
        <v>0</v>
      </c>
    </row>
    <row r="277" spans="3:16" ht="15.75" hidden="1" outlineLevel="1" thickTop="1">
      <c r="C277"/>
      <c r="D277"/>
      <c r="E277"/>
      <c r="F277"/>
      <c r="G277"/>
      <c r="H277"/>
    </row>
    <row r="278" spans="3:16" hidden="1" outlineLevel="1">
      <c r="C278"/>
      <c r="D278"/>
      <c r="E278"/>
      <c r="F278"/>
      <c r="G278"/>
      <c r="H278"/>
    </row>
    <row r="279" spans="3:16" hidden="1" outlineLevel="1">
      <c r="C279"/>
      <c r="D279"/>
      <c r="E279"/>
      <c r="F279"/>
      <c r="G279"/>
      <c r="H279"/>
    </row>
    <row r="280" spans="3:16" hidden="1" outlineLevel="1">
      <c r="C280"/>
      <c r="D280"/>
      <c r="E280"/>
      <c r="F280"/>
      <c r="G280"/>
      <c r="H280"/>
    </row>
    <row r="281" spans="3:16" hidden="1" outlineLevel="1">
      <c r="C281"/>
      <c r="D281"/>
      <c r="E281"/>
      <c r="F281"/>
      <c r="G281"/>
      <c r="H281"/>
    </row>
    <row r="282" spans="3:16" hidden="1" outlineLevel="1">
      <c r="C282"/>
      <c r="D282"/>
      <c r="E282"/>
      <c r="F282"/>
      <c r="G282"/>
      <c r="H282"/>
    </row>
    <row r="283" spans="3:16" hidden="1" outlineLevel="1">
      <c r="C283"/>
      <c r="D283"/>
      <c r="E283"/>
      <c r="F283"/>
      <c r="G283"/>
      <c r="H283"/>
    </row>
    <row r="284" spans="3:16" hidden="1" outlineLevel="1">
      <c r="C284"/>
      <c r="D284"/>
      <c r="E284"/>
      <c r="F284"/>
      <c r="G284"/>
      <c r="H284"/>
    </row>
    <row r="285" spans="3:16" ht="15.75" hidden="1" collapsed="1" thickTop="1">
      <c r="C285"/>
      <c r="D285"/>
      <c r="E285"/>
      <c r="F285"/>
      <c r="G285"/>
      <c r="H285"/>
    </row>
    <row r="286" spans="3:16" hidden="1">
      <c r="C286"/>
      <c r="D286"/>
      <c r="E286"/>
      <c r="F286"/>
      <c r="G286"/>
      <c r="H286"/>
    </row>
    <row r="287" spans="3:16" hidden="1">
      <c r="C287"/>
      <c r="D287"/>
      <c r="E287"/>
      <c r="F287"/>
      <c r="G287"/>
      <c r="H287"/>
    </row>
    <row r="288" spans="3:16" hidden="1">
      <c r="C288"/>
      <c r="D288"/>
      <c r="E288"/>
      <c r="F288"/>
      <c r="G288"/>
      <c r="H288"/>
    </row>
    <row r="289" spans="3:8" hidden="1">
      <c r="C289"/>
      <c r="D289"/>
      <c r="E289"/>
      <c r="F289"/>
      <c r="G289"/>
      <c r="H289"/>
    </row>
    <row r="290" spans="3:8" hidden="1">
      <c r="C290"/>
      <c r="D290"/>
      <c r="E290"/>
      <c r="F290"/>
      <c r="G290"/>
      <c r="H290"/>
    </row>
    <row r="291" spans="3:8" hidden="1">
      <c r="C291"/>
      <c r="D291"/>
      <c r="E291"/>
      <c r="F291"/>
      <c r="G291"/>
      <c r="H291"/>
    </row>
    <row r="292" spans="3:8" hidden="1">
      <c r="C292"/>
      <c r="D292"/>
      <c r="E292"/>
      <c r="F292"/>
      <c r="G292"/>
      <c r="H292"/>
    </row>
    <row r="293" spans="3:8" hidden="1">
      <c r="C293"/>
      <c r="D293"/>
      <c r="E293"/>
      <c r="F293"/>
      <c r="G293"/>
      <c r="H293"/>
    </row>
    <row r="294" spans="3:8" hidden="1">
      <c r="C294"/>
      <c r="D294"/>
      <c r="E294"/>
      <c r="F294"/>
      <c r="G294"/>
      <c r="H294"/>
    </row>
    <row r="295" spans="3:8" hidden="1">
      <c r="C295"/>
      <c r="D295"/>
      <c r="E295"/>
      <c r="F295"/>
      <c r="G295"/>
      <c r="H295"/>
    </row>
    <row r="296" spans="3:8" hidden="1">
      <c r="C296"/>
      <c r="D296"/>
      <c r="E296"/>
      <c r="F296"/>
      <c r="G296"/>
      <c r="H296"/>
    </row>
    <row r="297" spans="3:8" hidden="1">
      <c r="C297"/>
      <c r="D297"/>
      <c r="E297"/>
      <c r="F297"/>
      <c r="G297"/>
      <c r="H297"/>
    </row>
    <row r="298" spans="3:8" hidden="1">
      <c r="C298"/>
      <c r="D298"/>
      <c r="E298"/>
      <c r="F298"/>
      <c r="G298"/>
      <c r="H298"/>
    </row>
    <row r="299" spans="3:8" hidden="1">
      <c r="C299"/>
      <c r="D299"/>
      <c r="E299"/>
      <c r="F299"/>
      <c r="G299"/>
      <c r="H299"/>
    </row>
    <row r="300" spans="3:8" hidden="1">
      <c r="C300"/>
      <c r="D300"/>
      <c r="E300"/>
      <c r="F300"/>
      <c r="G300"/>
      <c r="H300"/>
    </row>
    <row r="301" spans="3:8" hidden="1">
      <c r="C301"/>
      <c r="D301"/>
      <c r="E301"/>
      <c r="F301"/>
      <c r="G301"/>
      <c r="H301"/>
    </row>
    <row r="302" spans="3:8" hidden="1">
      <c r="C302"/>
      <c r="D302"/>
      <c r="E302"/>
      <c r="F302"/>
      <c r="G302"/>
      <c r="H302"/>
    </row>
    <row r="303" spans="3:8" hidden="1">
      <c r="C303"/>
      <c r="D303"/>
      <c r="E303"/>
      <c r="F303"/>
      <c r="G303"/>
      <c r="H303"/>
    </row>
    <row r="304" spans="3:8" hidden="1">
      <c r="C304"/>
      <c r="D304"/>
      <c r="E304"/>
      <c r="F304"/>
      <c r="G304"/>
      <c r="H304"/>
    </row>
    <row r="305" spans="3:8" hidden="1">
      <c r="C305"/>
      <c r="D305"/>
      <c r="E305"/>
      <c r="F305"/>
      <c r="G305"/>
      <c r="H305"/>
    </row>
    <row r="306" spans="3:8" hidden="1">
      <c r="C306"/>
      <c r="D306"/>
      <c r="E306"/>
      <c r="F306"/>
      <c r="G306"/>
      <c r="H306"/>
    </row>
    <row r="307" spans="3:8" hidden="1">
      <c r="C307"/>
      <c r="D307"/>
      <c r="E307"/>
      <c r="F307"/>
      <c r="G307"/>
      <c r="H307"/>
    </row>
    <row r="308" spans="3:8" hidden="1">
      <c r="C308"/>
      <c r="D308"/>
      <c r="E308"/>
      <c r="F308"/>
      <c r="G308"/>
      <c r="H308"/>
    </row>
    <row r="309" spans="3:8" hidden="1">
      <c r="C309"/>
      <c r="D309"/>
      <c r="E309"/>
      <c r="F309"/>
      <c r="G309"/>
      <c r="H309"/>
    </row>
    <row r="310" spans="3:8" hidden="1">
      <c r="C310"/>
      <c r="D310"/>
      <c r="E310"/>
      <c r="F310"/>
      <c r="G310"/>
      <c r="H310"/>
    </row>
    <row r="311" spans="3:8" hidden="1">
      <c r="C311"/>
      <c r="D311"/>
      <c r="E311"/>
      <c r="F311"/>
      <c r="G311"/>
      <c r="H311"/>
    </row>
    <row r="312" spans="3:8" hidden="1">
      <c r="C312"/>
      <c r="D312"/>
      <c r="E312"/>
      <c r="F312"/>
      <c r="G312"/>
      <c r="H312"/>
    </row>
    <row r="313" spans="3:8" hidden="1">
      <c r="C313"/>
      <c r="D313"/>
      <c r="E313"/>
      <c r="F313"/>
      <c r="G313"/>
      <c r="H313"/>
    </row>
    <row r="314" spans="3:8" hidden="1">
      <c r="C314"/>
      <c r="D314"/>
      <c r="E314"/>
      <c r="F314"/>
      <c r="G314"/>
      <c r="H314"/>
    </row>
    <row r="315" spans="3:8" hidden="1">
      <c r="C315"/>
      <c r="D315"/>
      <c r="E315"/>
      <c r="F315"/>
      <c r="G315"/>
      <c r="H315"/>
    </row>
    <row r="316" spans="3:8" hidden="1">
      <c r="C316"/>
      <c r="D316"/>
      <c r="E316"/>
      <c r="F316"/>
      <c r="G316"/>
      <c r="H316"/>
    </row>
    <row r="317" spans="3:8" hidden="1">
      <c r="C317"/>
      <c r="D317"/>
      <c r="E317"/>
      <c r="F317"/>
      <c r="G317"/>
      <c r="H317"/>
    </row>
    <row r="318" spans="3:8" hidden="1">
      <c r="C318"/>
      <c r="D318"/>
      <c r="E318"/>
      <c r="F318"/>
      <c r="G318"/>
      <c r="H318"/>
    </row>
    <row r="319" spans="3:8" hidden="1">
      <c r="C319"/>
      <c r="D319"/>
      <c r="E319"/>
      <c r="F319"/>
      <c r="G319"/>
      <c r="H319"/>
    </row>
    <row r="320" spans="3:8" hidden="1">
      <c r="C320"/>
      <c r="D320"/>
      <c r="E320"/>
      <c r="F320"/>
      <c r="G320"/>
      <c r="H320"/>
    </row>
    <row r="321" spans="3:8" hidden="1">
      <c r="C321"/>
      <c r="D321"/>
      <c r="E321"/>
      <c r="F321"/>
      <c r="G321"/>
      <c r="H321"/>
    </row>
    <row r="322" spans="3:8" hidden="1">
      <c r="C322"/>
      <c r="D322"/>
      <c r="E322"/>
      <c r="F322"/>
      <c r="G322"/>
      <c r="H322"/>
    </row>
    <row r="323" spans="3:8" hidden="1">
      <c r="C323"/>
      <c r="D323"/>
      <c r="E323"/>
      <c r="F323"/>
      <c r="G323"/>
      <c r="H323"/>
    </row>
    <row r="324" spans="3:8" hidden="1">
      <c r="C324"/>
      <c r="D324"/>
      <c r="E324"/>
      <c r="F324"/>
      <c r="G324"/>
      <c r="H324"/>
    </row>
    <row r="325" spans="3:8" hidden="1">
      <c r="C325"/>
      <c r="D325"/>
      <c r="E325"/>
      <c r="F325"/>
      <c r="G325"/>
      <c r="H325"/>
    </row>
    <row r="326" spans="3:8" hidden="1">
      <c r="C326"/>
      <c r="D326"/>
      <c r="E326"/>
      <c r="F326"/>
      <c r="G326"/>
      <c r="H326"/>
    </row>
    <row r="327" spans="3:8" hidden="1">
      <c r="C327"/>
      <c r="D327"/>
      <c r="E327"/>
      <c r="F327"/>
      <c r="G327"/>
      <c r="H327"/>
    </row>
    <row r="328" spans="3:8" hidden="1">
      <c r="C328"/>
      <c r="D328"/>
      <c r="E328"/>
      <c r="F328"/>
      <c r="G328"/>
      <c r="H328"/>
    </row>
    <row r="329" spans="3:8" hidden="1">
      <c r="C329"/>
      <c r="D329"/>
      <c r="E329"/>
      <c r="F329"/>
      <c r="G329"/>
      <c r="H329"/>
    </row>
    <row r="330" spans="3:8" hidden="1">
      <c r="C330"/>
      <c r="D330"/>
      <c r="E330"/>
      <c r="F330"/>
      <c r="G330"/>
      <c r="H330"/>
    </row>
    <row r="331" spans="3:8" hidden="1">
      <c r="C331"/>
      <c r="D331"/>
      <c r="E331"/>
      <c r="F331"/>
      <c r="G331"/>
      <c r="H331"/>
    </row>
    <row r="332" spans="3:8" hidden="1">
      <c r="C332"/>
      <c r="D332"/>
      <c r="E332"/>
      <c r="F332"/>
      <c r="G332"/>
      <c r="H332"/>
    </row>
    <row r="333" spans="3:8" hidden="1">
      <c r="C333"/>
      <c r="D333"/>
      <c r="E333"/>
      <c r="F333"/>
      <c r="G333"/>
      <c r="H333"/>
    </row>
    <row r="334" spans="3:8" hidden="1">
      <c r="C334"/>
      <c r="D334"/>
      <c r="E334"/>
      <c r="F334"/>
      <c r="G334"/>
      <c r="H334"/>
    </row>
    <row r="335" spans="3:8" hidden="1">
      <c r="C335"/>
      <c r="D335"/>
      <c r="E335"/>
      <c r="F335"/>
      <c r="G335"/>
      <c r="H335"/>
    </row>
    <row r="336" spans="3:8" hidden="1">
      <c r="C336"/>
      <c r="D336"/>
      <c r="E336"/>
      <c r="F336"/>
      <c r="G336"/>
      <c r="H336"/>
    </row>
    <row r="337" spans="3:8" hidden="1">
      <c r="C337"/>
      <c r="D337"/>
      <c r="E337"/>
      <c r="F337"/>
      <c r="G337"/>
      <c r="H337"/>
    </row>
    <row r="338" spans="3:8" hidden="1">
      <c r="C338"/>
      <c r="D338"/>
      <c r="E338"/>
      <c r="F338"/>
      <c r="G338"/>
      <c r="H338"/>
    </row>
    <row r="339" spans="3:8" hidden="1">
      <c r="C339"/>
      <c r="D339"/>
      <c r="E339"/>
      <c r="F339"/>
      <c r="G339"/>
      <c r="H339"/>
    </row>
    <row r="340" spans="3:8" hidden="1">
      <c r="C340"/>
      <c r="D340"/>
      <c r="E340"/>
      <c r="F340"/>
      <c r="G340"/>
      <c r="H340"/>
    </row>
    <row r="341" spans="3:8" hidden="1">
      <c r="C341"/>
      <c r="D341"/>
      <c r="E341"/>
      <c r="F341"/>
      <c r="G341"/>
      <c r="H341"/>
    </row>
    <row r="342" spans="3:8" hidden="1">
      <c r="C342"/>
      <c r="D342"/>
      <c r="E342"/>
      <c r="F342"/>
      <c r="G342"/>
      <c r="H342"/>
    </row>
    <row r="343" spans="3:8" hidden="1">
      <c r="C343"/>
      <c r="D343"/>
      <c r="E343"/>
      <c r="F343"/>
      <c r="G343"/>
      <c r="H343"/>
    </row>
    <row r="344" spans="3:8" hidden="1">
      <c r="C344"/>
      <c r="D344"/>
      <c r="E344"/>
      <c r="F344"/>
      <c r="G344"/>
      <c r="H344"/>
    </row>
    <row r="345" spans="3:8" hidden="1">
      <c r="C345"/>
      <c r="D345"/>
      <c r="E345"/>
      <c r="F345"/>
      <c r="G345"/>
      <c r="H345"/>
    </row>
    <row r="346" spans="3:8" hidden="1">
      <c r="C346"/>
      <c r="D346"/>
      <c r="E346"/>
      <c r="F346"/>
      <c r="G346"/>
      <c r="H346"/>
    </row>
    <row r="347" spans="3:8" hidden="1">
      <c r="C347"/>
      <c r="D347"/>
      <c r="E347"/>
      <c r="F347"/>
      <c r="G347"/>
      <c r="H347"/>
    </row>
    <row r="348" spans="3:8" hidden="1">
      <c r="C348"/>
      <c r="D348"/>
      <c r="E348"/>
      <c r="F348"/>
      <c r="G348"/>
      <c r="H348"/>
    </row>
    <row r="349" spans="3:8" hidden="1">
      <c r="C349"/>
      <c r="D349"/>
      <c r="E349"/>
      <c r="F349"/>
      <c r="G349"/>
      <c r="H349"/>
    </row>
    <row r="350" spans="3:8" hidden="1">
      <c r="C350"/>
      <c r="D350"/>
      <c r="E350"/>
      <c r="F350"/>
      <c r="G350"/>
      <c r="H350"/>
    </row>
    <row r="351" spans="3:8" hidden="1">
      <c r="C351"/>
      <c r="D351"/>
      <c r="E351"/>
      <c r="F351"/>
      <c r="G351"/>
      <c r="H351"/>
    </row>
    <row r="352" spans="3:8" hidden="1">
      <c r="C352"/>
      <c r="D352"/>
      <c r="E352"/>
      <c r="F352"/>
      <c r="G352"/>
      <c r="H352"/>
    </row>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spans="1:4" hidden="1"/>
    <row r="370" spans="1:4" hidden="1"/>
    <row r="371" spans="1:4" hidden="1"/>
    <row r="372" spans="1:4" hidden="1"/>
    <row r="373" spans="1:4" hidden="1"/>
    <row r="374" spans="1:4" hidden="1"/>
    <row r="375" spans="1:4" hidden="1"/>
    <row r="376" spans="1:4" hidden="1"/>
    <row r="377" spans="1:4" hidden="1"/>
    <row r="378" spans="1:4" hidden="1"/>
    <row r="379" spans="1:4" hidden="1"/>
    <row r="380" spans="1:4" hidden="1"/>
    <row r="381" spans="1:4" hidden="1"/>
    <row r="382" spans="1:4" hidden="1">
      <c r="A382" s="1" t="s">
        <v>19</v>
      </c>
    </row>
    <row r="383" spans="1:4" hidden="1"/>
    <row r="384" spans="1:4" hidden="1">
      <c r="C384"/>
      <c r="D384"/>
    </row>
    <row r="385" spans="3:21" hidden="1">
      <c r="C385" s="238" t="s">
        <v>9</v>
      </c>
      <c r="D385" s="384" t="s">
        <v>23</v>
      </c>
    </row>
    <row r="386" spans="3:21" ht="15.75" thickTop="1"/>
    <row r="387" spans="3:21" ht="15.75" thickBot="1">
      <c r="C387" s="238" t="s">
        <v>36</v>
      </c>
      <c r="D387" s="238" t="s">
        <v>49</v>
      </c>
      <c r="E387" s="238" t="s">
        <v>11</v>
      </c>
      <c r="F387" s="384" t="s">
        <v>944</v>
      </c>
      <c r="G387" s="384" t="s">
        <v>945</v>
      </c>
      <c r="K387" s="458" t="s">
        <v>36</v>
      </c>
      <c r="L387" s="458" t="s">
        <v>49</v>
      </c>
      <c r="M387" s="458" t="s">
        <v>11</v>
      </c>
      <c r="N387" s="458" t="s">
        <v>944</v>
      </c>
      <c r="O387" s="458" t="s">
        <v>945</v>
      </c>
      <c r="S387" s="463" t="s">
        <v>12</v>
      </c>
      <c r="T387" s="796" t="s">
        <v>1288</v>
      </c>
      <c r="U387" s="796" t="s">
        <v>1289</v>
      </c>
    </row>
    <row r="388" spans="3:21" ht="16.5" thickTop="1" thickBot="1">
      <c r="C388" s="384" t="s">
        <v>97</v>
      </c>
      <c r="D388"/>
      <c r="E388"/>
      <c r="F388" s="353"/>
      <c r="G388" s="353"/>
      <c r="H388" s="353"/>
      <c r="I388" s="353"/>
      <c r="K388" s="457" t="str">
        <f t="shared" ref="K388:K419" si="52">IF(C388=0,K387,C388)</f>
        <v>Task Lighting</v>
      </c>
      <c r="L388" s="457" t="str">
        <f t="shared" ref="L388:L419" si="53">IF(D388=0,L387,D388)</f>
        <v>Baseline Lighting</v>
      </c>
      <c r="M388" s="457" t="str">
        <f t="shared" ref="M388:M419" si="54">IF(E388=0,M387,E388)</f>
        <v>Building Sub-Sector</v>
      </c>
      <c r="N388" s="458">
        <f t="shared" ref="N388:N419" si="55">F388</f>
        <v>0</v>
      </c>
      <c r="O388" s="458">
        <f t="shared" ref="O388:O419" si="56">G388</f>
        <v>0</v>
      </c>
      <c r="S388" s="239" t="s">
        <v>97</v>
      </c>
      <c r="T388" s="353">
        <v>570.18251900873668</v>
      </c>
      <c r="U388" s="353">
        <v>409.33195290266326</v>
      </c>
    </row>
    <row r="389" spans="3:21" ht="16.5" thickTop="1" thickBot="1">
      <c r="C389"/>
      <c r="D389" s="384" t="s">
        <v>24</v>
      </c>
      <c r="E389"/>
      <c r="F389" s="353"/>
      <c r="G389" s="353"/>
      <c r="H389" s="353"/>
      <c r="I389" s="353"/>
      <c r="K389" s="457" t="str">
        <f t="shared" si="52"/>
        <v>Task Lighting</v>
      </c>
      <c r="L389" s="457" t="str">
        <f t="shared" si="53"/>
        <v>CFL</v>
      </c>
      <c r="M389" s="457" t="str">
        <f t="shared" si="54"/>
        <v>Building Sub-Sector</v>
      </c>
      <c r="N389" s="458">
        <f t="shared" si="55"/>
        <v>0</v>
      </c>
      <c r="O389" s="458">
        <f t="shared" si="56"/>
        <v>0</v>
      </c>
      <c r="S389" s="239" t="s">
        <v>1148</v>
      </c>
      <c r="T389" s="353">
        <v>103.67270008579072</v>
      </c>
      <c r="U389" s="353">
        <v>0</v>
      </c>
    </row>
    <row r="390" spans="3:21" ht="16.5" thickTop="1" thickBot="1">
      <c r="C390"/>
      <c r="D390"/>
      <c r="E390" s="384" t="s">
        <v>938</v>
      </c>
      <c r="F390" s="353">
        <v>60.883763540057572</v>
      </c>
      <c r="G390" s="353">
        <v>112.78717195795663</v>
      </c>
      <c r="H390" s="353"/>
      <c r="I390" s="353"/>
      <c r="K390" s="457" t="str">
        <f t="shared" si="52"/>
        <v>Task Lighting</v>
      </c>
      <c r="L390" s="457" t="str">
        <f t="shared" si="53"/>
        <v>CFL</v>
      </c>
      <c r="M390" s="457" t="str">
        <f t="shared" si="54"/>
        <v>Hotel/Motel, Dorms, Assisted Living</v>
      </c>
      <c r="N390" s="458">
        <f t="shared" si="55"/>
        <v>60.883763540057572</v>
      </c>
      <c r="O390" s="458">
        <f t="shared" si="56"/>
        <v>112.78717195795663</v>
      </c>
      <c r="S390" s="239" t="s">
        <v>1147</v>
      </c>
      <c r="T390" s="353">
        <v>488.41610883303088</v>
      </c>
      <c r="U390" s="353">
        <v>226.85661499567902</v>
      </c>
    </row>
    <row r="391" spans="3:21" ht="16.5" thickTop="1" thickBot="1">
      <c r="C391"/>
      <c r="D391"/>
      <c r="E391" s="384" t="s">
        <v>181</v>
      </c>
      <c r="F391" s="353">
        <v>15.759194586979897</v>
      </c>
      <c r="G391" s="353">
        <v>26.796252642818629</v>
      </c>
      <c r="H391" s="353"/>
      <c r="I391" s="353"/>
      <c r="K391" s="457" t="str">
        <f t="shared" si="52"/>
        <v>Task Lighting</v>
      </c>
      <c r="L391" s="457" t="str">
        <f t="shared" si="53"/>
        <v>CFL</v>
      </c>
      <c r="M391" s="457" t="str">
        <f t="shared" si="54"/>
        <v>Office</v>
      </c>
      <c r="N391" s="458">
        <f t="shared" si="55"/>
        <v>15.759194586979897</v>
      </c>
      <c r="O391" s="458">
        <f t="shared" si="56"/>
        <v>26.796252642818629</v>
      </c>
      <c r="S391" s="239" t="s">
        <v>1224</v>
      </c>
      <c r="T391" s="353">
        <v>257.03800744730177</v>
      </c>
      <c r="U391" s="353">
        <v>157.66497825511533</v>
      </c>
    </row>
    <row r="392" spans="3:21" ht="16.5" thickTop="1" thickBot="1">
      <c r="C392"/>
      <c r="D392" s="384" t="s">
        <v>26</v>
      </c>
      <c r="E392"/>
      <c r="F392" s="353"/>
      <c r="G392" s="353"/>
      <c r="H392" s="353"/>
      <c r="I392" s="353"/>
      <c r="K392" s="457" t="str">
        <f t="shared" si="52"/>
        <v>Task Lighting</v>
      </c>
      <c r="L392" s="457" t="str">
        <f t="shared" si="53"/>
        <v>Incandescent</v>
      </c>
      <c r="M392" s="457" t="str">
        <f t="shared" si="54"/>
        <v>Office</v>
      </c>
      <c r="N392" s="458">
        <f t="shared" si="55"/>
        <v>0</v>
      </c>
      <c r="O392" s="458">
        <f t="shared" si="56"/>
        <v>0</v>
      </c>
      <c r="S392" s="239" t="s">
        <v>1267</v>
      </c>
      <c r="T392" s="353">
        <v>675.7712373087727</v>
      </c>
      <c r="U392" s="353">
        <v>861.21685449453798</v>
      </c>
    </row>
    <row r="393" spans="3:21" ht="16.5" thickTop="1" thickBot="1">
      <c r="C393"/>
      <c r="D393"/>
      <c r="E393" s="384" t="s">
        <v>938</v>
      </c>
      <c r="F393" s="353">
        <v>219.85803500576341</v>
      </c>
      <c r="G393" s="353">
        <v>112.78717195795663</v>
      </c>
      <c r="H393" s="353"/>
      <c r="I393" s="353"/>
      <c r="K393" s="457" t="str">
        <f t="shared" si="52"/>
        <v>Task Lighting</v>
      </c>
      <c r="L393" s="457" t="str">
        <f t="shared" si="53"/>
        <v>Incandescent</v>
      </c>
      <c r="M393" s="457" t="str">
        <f t="shared" si="54"/>
        <v>Hotel/Motel, Dorms, Assisted Living</v>
      </c>
      <c r="N393" s="458">
        <f t="shared" si="55"/>
        <v>219.85803500576341</v>
      </c>
      <c r="O393" s="458">
        <f t="shared" si="56"/>
        <v>112.78717195795663</v>
      </c>
      <c r="S393" s="239" t="s">
        <v>1268</v>
      </c>
      <c r="T393" s="353">
        <v>74.703408255740285</v>
      </c>
      <c r="U393" s="353">
        <v>95.203569974721603</v>
      </c>
    </row>
    <row r="394" spans="3:21" ht="16.5" thickTop="1" thickBot="1">
      <c r="C394"/>
      <c r="D394"/>
      <c r="E394" s="384" t="s">
        <v>181</v>
      </c>
      <c r="F394" s="353">
        <v>250.04424862701541</v>
      </c>
      <c r="G394" s="353">
        <v>120.0212393409674</v>
      </c>
      <c r="H394" s="353"/>
      <c r="I394" s="353"/>
      <c r="K394" s="457" t="str">
        <f t="shared" si="52"/>
        <v>Task Lighting</v>
      </c>
      <c r="L394" s="457" t="str">
        <f t="shared" si="53"/>
        <v>Incandescent</v>
      </c>
      <c r="M394" s="457" t="str">
        <f t="shared" si="54"/>
        <v>Office</v>
      </c>
      <c r="N394" s="458">
        <f t="shared" si="55"/>
        <v>250.04424862701541</v>
      </c>
      <c r="O394" s="458">
        <f t="shared" si="56"/>
        <v>120.0212393409674</v>
      </c>
      <c r="S394" s="239" t="s">
        <v>1220</v>
      </c>
      <c r="T394" s="353">
        <v>2676.6792004038525</v>
      </c>
      <c r="U394" s="353">
        <v>3163.877578360496</v>
      </c>
    </row>
    <row r="395" spans="3:21" ht="16.5" thickTop="1" thickBot="1">
      <c r="C395"/>
      <c r="D395" s="384" t="s">
        <v>27</v>
      </c>
      <c r="E395"/>
      <c r="F395" s="353"/>
      <c r="G395" s="353"/>
      <c r="H395" s="353"/>
      <c r="I395" s="353"/>
      <c r="K395" s="457" t="str">
        <f t="shared" si="52"/>
        <v>Task Lighting</v>
      </c>
      <c r="L395" s="457" t="str">
        <f t="shared" si="53"/>
        <v>Linear Fluorescent</v>
      </c>
      <c r="M395" s="457" t="str">
        <f t="shared" si="54"/>
        <v>Office</v>
      </c>
      <c r="N395" s="458">
        <f t="shared" si="55"/>
        <v>0</v>
      </c>
      <c r="O395" s="458">
        <f t="shared" si="56"/>
        <v>0</v>
      </c>
      <c r="S395" s="239" t="s">
        <v>1226</v>
      </c>
      <c r="T395" s="353">
        <v>2310.1318907111386</v>
      </c>
      <c r="U395" s="353">
        <v>2307.5550347038784</v>
      </c>
    </row>
    <row r="396" spans="3:21" ht="16.5" thickTop="1" thickBot="1">
      <c r="C396"/>
      <c r="D396"/>
      <c r="E396" s="384" t="s">
        <v>181</v>
      </c>
      <c r="F396" s="353">
        <v>23.637277248920416</v>
      </c>
      <c r="G396" s="353">
        <v>36.940117002963994</v>
      </c>
      <c r="H396" s="353"/>
      <c r="I396" s="353"/>
      <c r="K396" s="457" t="str">
        <f t="shared" si="52"/>
        <v>Task Lighting</v>
      </c>
      <c r="L396" s="457" t="str">
        <f t="shared" si="53"/>
        <v>Linear Fluorescent</v>
      </c>
      <c r="M396" s="457" t="str">
        <f t="shared" si="54"/>
        <v>Office</v>
      </c>
      <c r="N396" s="458">
        <f t="shared" si="55"/>
        <v>23.637277248920416</v>
      </c>
      <c r="O396" s="458">
        <f t="shared" si="56"/>
        <v>36.940117002963994</v>
      </c>
      <c r="S396" s="239" t="s">
        <v>18</v>
      </c>
      <c r="T396" s="353">
        <v>7156.5950720543642</v>
      </c>
      <c r="U396" s="353">
        <v>7221.7065836870916</v>
      </c>
    </row>
    <row r="397" spans="3:21" ht="16.5" thickTop="1" thickBot="1">
      <c r="C397" s="384" t="s">
        <v>1148</v>
      </c>
      <c r="D397"/>
      <c r="E397"/>
      <c r="F397" s="353"/>
      <c r="G397" s="353"/>
      <c r="H397" s="353"/>
      <c r="I397" s="353"/>
      <c r="K397" s="457" t="str">
        <f t="shared" si="52"/>
        <v>Exit Lighting</v>
      </c>
      <c r="L397" s="457" t="str">
        <f t="shared" si="53"/>
        <v>Linear Fluorescent</v>
      </c>
      <c r="M397" s="457" t="str">
        <f t="shared" si="54"/>
        <v>Office</v>
      </c>
      <c r="N397" s="458">
        <f t="shared" si="55"/>
        <v>0</v>
      </c>
      <c r="O397" s="458">
        <f t="shared" si="56"/>
        <v>0</v>
      </c>
      <c r="S397"/>
      <c r="T397"/>
      <c r="U397"/>
    </row>
    <row r="398" spans="3:21" ht="16.5" thickTop="1" thickBot="1">
      <c r="C398"/>
      <c r="D398" s="384" t="s">
        <v>26</v>
      </c>
      <c r="E398"/>
      <c r="F398" s="353"/>
      <c r="G398" s="353"/>
      <c r="H398" s="353"/>
      <c r="I398" s="353"/>
      <c r="K398" s="457" t="str">
        <f t="shared" si="52"/>
        <v>Exit Lighting</v>
      </c>
      <c r="L398" s="457" t="str">
        <f t="shared" si="53"/>
        <v>Incandescent</v>
      </c>
      <c r="M398" s="457" t="str">
        <f t="shared" si="54"/>
        <v>Office</v>
      </c>
      <c r="N398" s="458">
        <f t="shared" si="55"/>
        <v>0</v>
      </c>
      <c r="O398" s="458">
        <f t="shared" si="56"/>
        <v>0</v>
      </c>
      <c r="S398"/>
      <c r="T398"/>
      <c r="U398"/>
    </row>
    <row r="399" spans="3:21" ht="16.5" thickTop="1" thickBot="1">
      <c r="C399"/>
      <c r="D399"/>
      <c r="E399" s="384" t="s">
        <v>1266</v>
      </c>
      <c r="F399" s="353">
        <v>42.345112588633263</v>
      </c>
      <c r="G399" s="353">
        <v>0</v>
      </c>
      <c r="H399" s="353"/>
      <c r="I399" s="353"/>
      <c r="K399" s="457" t="str">
        <f t="shared" si="52"/>
        <v>Exit Lighting</v>
      </c>
      <c r="L399" s="457" t="str">
        <f t="shared" si="53"/>
        <v>Incandescent</v>
      </c>
      <c r="M399" s="457" t="str">
        <f t="shared" si="54"/>
        <v>All Commercial</v>
      </c>
      <c r="N399" s="458">
        <f t="shared" si="55"/>
        <v>42.345112588633263</v>
      </c>
      <c r="O399" s="458">
        <f t="shared" si="56"/>
        <v>0</v>
      </c>
      <c r="S399"/>
      <c r="T399"/>
      <c r="U399"/>
    </row>
    <row r="400" spans="3:21" ht="16.5" thickTop="1" thickBot="1">
      <c r="C400"/>
      <c r="D400" s="384" t="s">
        <v>95</v>
      </c>
      <c r="E400"/>
      <c r="F400" s="353"/>
      <c r="G400" s="353"/>
      <c r="H400" s="353"/>
      <c r="I400" s="353"/>
      <c r="K400" s="457" t="str">
        <f t="shared" si="52"/>
        <v>Exit Lighting</v>
      </c>
      <c r="L400" s="457" t="str">
        <f t="shared" si="53"/>
        <v>LED</v>
      </c>
      <c r="M400" s="457" t="str">
        <f t="shared" si="54"/>
        <v>All Commercial</v>
      </c>
      <c r="N400" s="458">
        <f t="shared" si="55"/>
        <v>0</v>
      </c>
      <c r="O400" s="458">
        <f t="shared" si="56"/>
        <v>0</v>
      </c>
      <c r="S400"/>
      <c r="T400"/>
      <c r="U400"/>
    </row>
    <row r="401" spans="3:21" ht="16.5" thickTop="1" thickBot="1">
      <c r="C401"/>
      <c r="D401"/>
      <c r="E401" s="384" t="s">
        <v>1266</v>
      </c>
      <c r="F401" s="353">
        <v>61.327587497157452</v>
      </c>
      <c r="G401" s="353">
        <v>0</v>
      </c>
      <c r="H401" s="353"/>
      <c r="I401" s="353"/>
      <c r="K401" s="457" t="str">
        <f t="shared" si="52"/>
        <v>Exit Lighting</v>
      </c>
      <c r="L401" s="457" t="str">
        <f t="shared" si="53"/>
        <v>LED</v>
      </c>
      <c r="M401" s="457" t="str">
        <f t="shared" si="54"/>
        <v>All Commercial</v>
      </c>
      <c r="N401" s="458">
        <f t="shared" si="55"/>
        <v>61.327587497157452</v>
      </c>
      <c r="O401" s="458">
        <f t="shared" si="56"/>
        <v>0</v>
      </c>
      <c r="S401"/>
      <c r="T401"/>
      <c r="U401"/>
    </row>
    <row r="402" spans="3:21" ht="16.5" thickTop="1" thickBot="1">
      <c r="C402" s="384" t="s">
        <v>1147</v>
      </c>
      <c r="D402"/>
      <c r="E402"/>
      <c r="F402" s="353"/>
      <c r="G402" s="353"/>
      <c r="H402" s="353"/>
      <c r="I402" s="353"/>
      <c r="K402" s="457" t="str">
        <f t="shared" si="52"/>
        <v>Track Lighting</v>
      </c>
      <c r="L402" s="457" t="str">
        <f t="shared" si="53"/>
        <v>LED</v>
      </c>
      <c r="M402" s="457" t="str">
        <f t="shared" si="54"/>
        <v>All Commercial</v>
      </c>
      <c r="N402" s="458">
        <f t="shared" si="55"/>
        <v>0</v>
      </c>
      <c r="O402" s="458">
        <f t="shared" si="56"/>
        <v>0</v>
      </c>
      <c r="S402"/>
      <c r="T402"/>
      <c r="U402"/>
    </row>
    <row r="403" spans="3:21" ht="16.5" thickTop="1" thickBot="1">
      <c r="C403"/>
      <c r="D403" s="384" t="s">
        <v>24</v>
      </c>
      <c r="E403"/>
      <c r="F403" s="353"/>
      <c r="G403" s="353"/>
      <c r="H403" s="353"/>
      <c r="I403" s="353"/>
      <c r="K403" s="457" t="str">
        <f t="shared" si="52"/>
        <v>Track Lighting</v>
      </c>
      <c r="L403" s="457" t="str">
        <f t="shared" si="53"/>
        <v>CFL</v>
      </c>
      <c r="M403" s="457" t="str">
        <f t="shared" si="54"/>
        <v>All Commercial</v>
      </c>
      <c r="N403" s="458">
        <f t="shared" si="55"/>
        <v>0</v>
      </c>
      <c r="O403" s="458">
        <f t="shared" si="56"/>
        <v>0</v>
      </c>
      <c r="S403"/>
      <c r="T403"/>
      <c r="U403"/>
    </row>
    <row r="404" spans="3:21" ht="16.5" thickTop="1" thickBot="1">
      <c r="C404"/>
      <c r="D404"/>
      <c r="E404" s="384" t="s">
        <v>181</v>
      </c>
      <c r="F404" s="353">
        <v>6.0241000859948306</v>
      </c>
      <c r="G404" s="353">
        <v>10.43773639518577</v>
      </c>
      <c r="H404" s="353"/>
      <c r="I404" s="353"/>
      <c r="K404" s="457" t="str">
        <f t="shared" si="52"/>
        <v>Track Lighting</v>
      </c>
      <c r="L404" s="457" t="str">
        <f t="shared" si="53"/>
        <v>CFL</v>
      </c>
      <c r="M404" s="457" t="str">
        <f t="shared" si="54"/>
        <v>Office</v>
      </c>
      <c r="N404" s="458">
        <f t="shared" si="55"/>
        <v>6.0241000859948306</v>
      </c>
      <c r="O404" s="458">
        <f t="shared" si="56"/>
        <v>10.43773639518577</v>
      </c>
      <c r="S404"/>
      <c r="T404"/>
      <c r="U404"/>
    </row>
    <row r="405" spans="3:21" ht="16.5" thickTop="1" thickBot="1">
      <c r="C405"/>
      <c r="D405" s="384" t="s">
        <v>26</v>
      </c>
      <c r="E405"/>
      <c r="F405" s="353"/>
      <c r="G405" s="353"/>
      <c r="H405" s="353"/>
      <c r="I405" s="353"/>
      <c r="K405" s="457" t="str">
        <f t="shared" si="52"/>
        <v>Track Lighting</v>
      </c>
      <c r="L405" s="457" t="str">
        <f t="shared" si="53"/>
        <v>Incandescent</v>
      </c>
      <c r="M405" s="457" t="str">
        <f t="shared" si="54"/>
        <v>Office</v>
      </c>
      <c r="N405" s="458">
        <f t="shared" si="55"/>
        <v>0</v>
      </c>
      <c r="O405" s="458">
        <f t="shared" si="56"/>
        <v>0</v>
      </c>
      <c r="Q405"/>
      <c r="S405"/>
      <c r="T405"/>
      <c r="U405"/>
    </row>
    <row r="406" spans="3:21" ht="16.5" thickTop="1" thickBot="1">
      <c r="C406"/>
      <c r="D406"/>
      <c r="E406" s="384" t="s">
        <v>181</v>
      </c>
      <c r="F406" s="353">
        <v>59.297273385869531</v>
      </c>
      <c r="G406" s="353">
        <v>28.098126235226509</v>
      </c>
      <c r="H406" s="353"/>
      <c r="I406" s="353"/>
      <c r="K406" s="457" t="str">
        <f t="shared" si="52"/>
        <v>Track Lighting</v>
      </c>
      <c r="L406" s="457" t="str">
        <f t="shared" si="53"/>
        <v>Incandescent</v>
      </c>
      <c r="M406" s="457" t="str">
        <f t="shared" si="54"/>
        <v>Office</v>
      </c>
      <c r="N406" s="458">
        <f t="shared" si="55"/>
        <v>59.297273385869531</v>
      </c>
      <c r="O406" s="458">
        <f t="shared" si="56"/>
        <v>28.098126235226509</v>
      </c>
      <c r="Q406"/>
      <c r="S406"/>
      <c r="T406"/>
      <c r="U406"/>
    </row>
    <row r="407" spans="3:21" ht="16.5" thickTop="1" thickBot="1">
      <c r="C407"/>
      <c r="D407"/>
      <c r="E407" s="384" t="s">
        <v>502</v>
      </c>
      <c r="F407" s="353">
        <v>180.25146289138166</v>
      </c>
      <c r="G407" s="353">
        <v>76.820164101982115</v>
      </c>
      <c r="H407" s="353"/>
      <c r="I407" s="353"/>
      <c r="K407" s="457" t="str">
        <f t="shared" si="52"/>
        <v>Track Lighting</v>
      </c>
      <c r="L407" s="457" t="str">
        <f t="shared" si="53"/>
        <v>Incandescent</v>
      </c>
      <c r="M407" s="457" t="str">
        <f t="shared" si="54"/>
        <v>Restaurant</v>
      </c>
      <c r="N407" s="458">
        <f t="shared" si="55"/>
        <v>180.25146289138166</v>
      </c>
      <c r="O407" s="458">
        <f t="shared" si="56"/>
        <v>76.820164101982115</v>
      </c>
      <c r="Q407"/>
      <c r="S407"/>
      <c r="T407"/>
      <c r="U407"/>
    </row>
    <row r="408" spans="3:21" ht="16.5" thickTop="1" thickBot="1">
      <c r="C408"/>
      <c r="D408" s="384" t="s">
        <v>846</v>
      </c>
      <c r="E408"/>
      <c r="F408" s="353"/>
      <c r="G408" s="353"/>
      <c r="H408" s="353"/>
      <c r="I408" s="353"/>
      <c r="K408" s="457" t="str">
        <f t="shared" si="52"/>
        <v>Track Lighting</v>
      </c>
      <c r="L408" s="457" t="str">
        <f t="shared" si="53"/>
        <v xml:space="preserve">Halogen </v>
      </c>
      <c r="M408" s="457" t="str">
        <f t="shared" si="54"/>
        <v>Restaurant</v>
      </c>
      <c r="N408" s="458">
        <f t="shared" si="55"/>
        <v>0</v>
      </c>
      <c r="O408" s="458">
        <f t="shared" si="56"/>
        <v>0</v>
      </c>
      <c r="Q408"/>
      <c r="S408"/>
      <c r="T408"/>
      <c r="U408"/>
    </row>
    <row r="409" spans="3:21" ht="16.5" thickTop="1" thickBot="1">
      <c r="C409"/>
      <c r="D409"/>
      <c r="E409" s="384" t="s">
        <v>181</v>
      </c>
      <c r="F409" s="353">
        <v>45.542833454230305</v>
      </c>
      <c r="G409" s="353">
        <v>22.988848173296457</v>
      </c>
      <c r="H409" s="353"/>
      <c r="I409" s="353"/>
      <c r="K409" s="457" t="str">
        <f t="shared" si="52"/>
        <v>Track Lighting</v>
      </c>
      <c r="L409" s="457" t="str">
        <f t="shared" si="53"/>
        <v xml:space="preserve">Halogen </v>
      </c>
      <c r="M409" s="457" t="str">
        <f t="shared" si="54"/>
        <v>Office</v>
      </c>
      <c r="N409" s="458">
        <f t="shared" si="55"/>
        <v>45.542833454230305</v>
      </c>
      <c r="O409" s="458">
        <f t="shared" si="56"/>
        <v>22.988848173296457</v>
      </c>
      <c r="Q409"/>
      <c r="S409"/>
      <c r="T409"/>
      <c r="U409"/>
    </row>
    <row r="410" spans="3:21" ht="16.5" thickTop="1" thickBot="1">
      <c r="C410"/>
      <c r="D410"/>
      <c r="E410" s="384" t="s">
        <v>502</v>
      </c>
      <c r="F410" s="353">
        <v>197.3004390155545</v>
      </c>
      <c r="G410" s="353">
        <v>88.511740089988152</v>
      </c>
      <c r="H410" s="353"/>
      <c r="I410" s="353"/>
      <c r="K410" s="457" t="str">
        <f t="shared" si="52"/>
        <v>Track Lighting</v>
      </c>
      <c r="L410" s="457" t="str">
        <f t="shared" si="53"/>
        <v xml:space="preserve">Halogen </v>
      </c>
      <c r="M410" s="457" t="str">
        <f t="shared" si="54"/>
        <v>Restaurant</v>
      </c>
      <c r="N410" s="458">
        <f t="shared" si="55"/>
        <v>197.3004390155545</v>
      </c>
      <c r="O410" s="458">
        <f t="shared" si="56"/>
        <v>88.511740089988152</v>
      </c>
      <c r="Q410"/>
      <c r="S410"/>
      <c r="T410"/>
      <c r="U410"/>
    </row>
    <row r="411" spans="3:21" ht="16.5" thickTop="1" thickBot="1">
      <c r="C411" s="384" t="s">
        <v>1224</v>
      </c>
      <c r="D411"/>
      <c r="E411"/>
      <c r="F411" s="353"/>
      <c r="G411" s="353"/>
      <c r="H411" s="353"/>
      <c r="I411" s="353"/>
      <c r="K411" s="457" t="str">
        <f t="shared" si="52"/>
        <v>Display and Advertising</v>
      </c>
      <c r="L411" s="457" t="str">
        <f t="shared" si="53"/>
        <v xml:space="preserve">Halogen </v>
      </c>
      <c r="M411" s="457" t="str">
        <f t="shared" si="54"/>
        <v>Restaurant</v>
      </c>
      <c r="N411" s="458">
        <f t="shared" si="55"/>
        <v>0</v>
      </c>
      <c r="O411" s="458">
        <f t="shared" si="56"/>
        <v>0</v>
      </c>
      <c r="Q411"/>
      <c r="S411"/>
      <c r="T411"/>
      <c r="U411"/>
    </row>
    <row r="412" spans="3:21" ht="16.5" thickTop="1" thickBot="1">
      <c r="C412"/>
      <c r="D412" s="384" t="s">
        <v>24</v>
      </c>
      <c r="E412"/>
      <c r="F412" s="353"/>
      <c r="G412" s="353"/>
      <c r="H412" s="353"/>
      <c r="I412" s="353"/>
      <c r="K412" s="457" t="str">
        <f t="shared" si="52"/>
        <v>Display and Advertising</v>
      </c>
      <c r="L412" s="457" t="str">
        <f t="shared" si="53"/>
        <v>CFL</v>
      </c>
      <c r="M412" s="457" t="str">
        <f t="shared" si="54"/>
        <v>Restaurant</v>
      </c>
      <c r="N412" s="458">
        <f t="shared" si="55"/>
        <v>0</v>
      </c>
      <c r="O412" s="458">
        <f t="shared" si="56"/>
        <v>0</v>
      </c>
      <c r="Q412"/>
      <c r="S412"/>
      <c r="T412"/>
      <c r="U412"/>
    </row>
    <row r="413" spans="3:21" ht="16.5" thickTop="1" thickBot="1">
      <c r="C413"/>
      <c r="D413"/>
      <c r="E413" s="384" t="s">
        <v>499</v>
      </c>
      <c r="F413" s="353">
        <v>5.4034262912268671</v>
      </c>
      <c r="G413" s="353">
        <v>8.3723582249597559</v>
      </c>
      <c r="H413" s="353"/>
      <c r="I413" s="353"/>
      <c r="K413" s="457" t="str">
        <f t="shared" si="52"/>
        <v>Display and Advertising</v>
      </c>
      <c r="L413" s="457" t="str">
        <f t="shared" si="53"/>
        <v>CFL</v>
      </c>
      <c r="M413" s="457" t="str">
        <f t="shared" si="54"/>
        <v>Retail</v>
      </c>
      <c r="N413" s="458">
        <f t="shared" si="55"/>
        <v>5.4034262912268671</v>
      </c>
      <c r="O413" s="458">
        <f t="shared" si="56"/>
        <v>8.3723582249597559</v>
      </c>
      <c r="Q413"/>
      <c r="S413"/>
      <c r="T413"/>
      <c r="U413"/>
    </row>
    <row r="414" spans="3:21" ht="16.5" thickTop="1" thickBot="1">
      <c r="C414"/>
      <c r="D414"/>
      <c r="E414" s="384" t="s">
        <v>502</v>
      </c>
      <c r="F414" s="353">
        <v>2.6412956770904246</v>
      </c>
      <c r="G414" s="353">
        <v>2.4979079398164457</v>
      </c>
      <c r="H414" s="353"/>
      <c r="I414" s="353"/>
      <c r="K414" s="457" t="str">
        <f t="shared" si="52"/>
        <v>Display and Advertising</v>
      </c>
      <c r="L414" s="457" t="str">
        <f t="shared" si="53"/>
        <v>CFL</v>
      </c>
      <c r="M414" s="457" t="str">
        <f t="shared" si="54"/>
        <v>Restaurant</v>
      </c>
      <c r="N414" s="458">
        <f t="shared" si="55"/>
        <v>2.6412956770904246</v>
      </c>
      <c r="O414" s="458">
        <f t="shared" si="56"/>
        <v>2.4979079398164457</v>
      </c>
      <c r="Q414"/>
      <c r="S414"/>
      <c r="T414"/>
      <c r="U414"/>
    </row>
    <row r="415" spans="3:21" ht="16.5" thickTop="1" thickBot="1">
      <c r="C415"/>
      <c r="D415" s="384" t="s">
        <v>26</v>
      </c>
      <c r="E415"/>
      <c r="F415" s="353"/>
      <c r="G415" s="353"/>
      <c r="H415" s="353"/>
      <c r="I415" s="353"/>
      <c r="K415" s="457" t="str">
        <f t="shared" si="52"/>
        <v>Display and Advertising</v>
      </c>
      <c r="L415" s="457" t="str">
        <f t="shared" si="53"/>
        <v>Incandescent</v>
      </c>
      <c r="M415" s="457" t="str">
        <f t="shared" si="54"/>
        <v>Restaurant</v>
      </c>
      <c r="N415" s="458">
        <f t="shared" si="55"/>
        <v>0</v>
      </c>
      <c r="O415" s="458">
        <f t="shared" si="56"/>
        <v>0</v>
      </c>
      <c r="Q415"/>
      <c r="S415"/>
      <c r="T415"/>
      <c r="U415"/>
    </row>
    <row r="416" spans="3:21" ht="16.5" thickTop="1" thickBot="1">
      <c r="C416"/>
      <c r="D416"/>
      <c r="E416" s="384" t="s">
        <v>499</v>
      </c>
      <c r="F416" s="353">
        <v>63.76470327519516</v>
      </c>
      <c r="G416" s="353">
        <v>27.067941186289993</v>
      </c>
      <c r="H416" s="353"/>
      <c r="I416" s="353"/>
      <c r="K416" s="457" t="str">
        <f t="shared" si="52"/>
        <v>Display and Advertising</v>
      </c>
      <c r="L416" s="457" t="str">
        <f t="shared" si="53"/>
        <v>Incandescent</v>
      </c>
      <c r="M416" s="457" t="str">
        <f t="shared" si="54"/>
        <v>Retail</v>
      </c>
      <c r="N416" s="458">
        <f t="shared" si="55"/>
        <v>63.76470327519516</v>
      </c>
      <c r="O416" s="458">
        <f t="shared" si="56"/>
        <v>27.067941186289993</v>
      </c>
      <c r="Q416"/>
      <c r="S416"/>
      <c r="T416"/>
      <c r="U416"/>
    </row>
    <row r="417" spans="3:21" ht="16.5" thickTop="1" thickBot="1">
      <c r="C417"/>
      <c r="D417" s="384" t="s">
        <v>27</v>
      </c>
      <c r="E417"/>
      <c r="F417" s="353"/>
      <c r="G417" s="353"/>
      <c r="H417" s="353"/>
      <c r="I417" s="353"/>
      <c r="K417" s="457" t="str">
        <f t="shared" si="52"/>
        <v>Display and Advertising</v>
      </c>
      <c r="L417" s="457" t="str">
        <f t="shared" si="53"/>
        <v>Linear Fluorescent</v>
      </c>
      <c r="M417" s="457" t="str">
        <f t="shared" si="54"/>
        <v>Retail</v>
      </c>
      <c r="N417" s="458">
        <f t="shared" si="55"/>
        <v>0</v>
      </c>
      <c r="O417" s="458">
        <f t="shared" si="56"/>
        <v>0</v>
      </c>
      <c r="Q417"/>
      <c r="S417"/>
      <c r="T417"/>
      <c r="U417"/>
    </row>
    <row r="418" spans="3:21" ht="16.5" thickTop="1" thickBot="1">
      <c r="C418"/>
      <c r="D418"/>
      <c r="E418" s="384" t="s">
        <v>499</v>
      </c>
      <c r="F418" s="353">
        <v>35.186800955524369</v>
      </c>
      <c r="G418" s="353">
        <v>43.301822340592075</v>
      </c>
      <c r="H418" s="353"/>
      <c r="I418" s="353"/>
      <c r="K418" s="457" t="str">
        <f t="shared" si="52"/>
        <v>Display and Advertising</v>
      </c>
      <c r="L418" s="457" t="str">
        <f t="shared" si="53"/>
        <v>Linear Fluorescent</v>
      </c>
      <c r="M418" s="457" t="str">
        <f t="shared" si="54"/>
        <v>Retail</v>
      </c>
      <c r="N418" s="458">
        <f t="shared" si="55"/>
        <v>35.186800955524369</v>
      </c>
      <c r="O418" s="458">
        <f t="shared" si="56"/>
        <v>43.301822340592075</v>
      </c>
      <c r="Q418"/>
      <c r="S418"/>
      <c r="T418"/>
      <c r="U418"/>
    </row>
    <row r="419" spans="3:21" ht="16.5" thickTop="1" thickBot="1">
      <c r="C419"/>
      <c r="D419"/>
      <c r="E419" s="384" t="s">
        <v>502</v>
      </c>
      <c r="F419" s="353">
        <v>2.5433212369502054</v>
      </c>
      <c r="G419" s="353">
        <v>3.5772108932732181</v>
      </c>
      <c r="H419" s="353"/>
      <c r="I419" s="353"/>
      <c r="K419" s="457" t="str">
        <f t="shared" si="52"/>
        <v>Display and Advertising</v>
      </c>
      <c r="L419" s="457" t="str">
        <f t="shared" si="53"/>
        <v>Linear Fluorescent</v>
      </c>
      <c r="M419" s="457" t="str">
        <f t="shared" si="54"/>
        <v>Restaurant</v>
      </c>
      <c r="N419" s="458">
        <f t="shared" si="55"/>
        <v>2.5433212369502054</v>
      </c>
      <c r="O419" s="458">
        <f t="shared" si="56"/>
        <v>3.5772108932732181</v>
      </c>
      <c r="Q419"/>
      <c r="S419"/>
      <c r="T419"/>
      <c r="U419"/>
    </row>
    <row r="420" spans="3:21" ht="16.5" thickTop="1" thickBot="1">
      <c r="C420"/>
      <c r="D420" s="384" t="s">
        <v>28</v>
      </c>
      <c r="E420"/>
      <c r="F420" s="353"/>
      <c r="G420" s="353"/>
      <c r="H420" s="353"/>
      <c r="I420" s="353"/>
      <c r="K420" s="457" t="str">
        <f t="shared" ref="K420:K451" si="57">IF(C420=0,K419,C420)</f>
        <v>Display and Advertising</v>
      </c>
      <c r="L420" s="457" t="str">
        <f t="shared" ref="L420:L451" si="58">IF(D420=0,L419,D420)</f>
        <v>Linear Fluorescent Case Lights</v>
      </c>
      <c r="M420" s="457" t="str">
        <f t="shared" ref="M420:M451" si="59">IF(E420=0,M419,E420)</f>
        <v>Restaurant</v>
      </c>
      <c r="N420" s="458">
        <f t="shared" ref="N420:N451" si="60">F420</f>
        <v>0</v>
      </c>
      <c r="O420" s="458">
        <f t="shared" ref="O420:O451" si="61">G420</f>
        <v>0</v>
      </c>
      <c r="Q420"/>
      <c r="S420"/>
      <c r="T420"/>
      <c r="U420"/>
    </row>
    <row r="421" spans="3:21" ht="16.5" thickTop="1" thickBot="1">
      <c r="C421"/>
      <c r="D421"/>
      <c r="E421" s="384" t="s">
        <v>1142</v>
      </c>
      <c r="F421" s="353">
        <v>10.401415268762834</v>
      </c>
      <c r="G421" s="353">
        <v>5.4896358362914954</v>
      </c>
      <c r="H421" s="353"/>
      <c r="I421" s="353"/>
      <c r="K421" s="457" t="str">
        <f t="shared" si="57"/>
        <v>Display and Advertising</v>
      </c>
      <c r="L421" s="457" t="str">
        <f t="shared" si="58"/>
        <v>Linear Fluorescent Case Lights</v>
      </c>
      <c r="M421" s="457" t="str">
        <f t="shared" si="59"/>
        <v>Food and Liquor Stores</v>
      </c>
      <c r="N421" s="458">
        <f t="shared" si="60"/>
        <v>10.401415268762834</v>
      </c>
      <c r="O421" s="458">
        <f t="shared" si="61"/>
        <v>5.4896358362914954</v>
      </c>
      <c r="Q421"/>
      <c r="S421"/>
      <c r="T421"/>
      <c r="U421"/>
    </row>
    <row r="422" spans="3:21" ht="16.5" thickTop="1" thickBot="1">
      <c r="C422"/>
      <c r="D422" s="384" t="s">
        <v>95</v>
      </c>
      <c r="E422"/>
      <c r="F422" s="353"/>
      <c r="G422" s="353"/>
      <c r="H422" s="353"/>
      <c r="I422" s="353"/>
      <c r="K422" s="457" t="str">
        <f t="shared" si="57"/>
        <v>Display and Advertising</v>
      </c>
      <c r="L422" s="457" t="str">
        <f t="shared" si="58"/>
        <v>LED</v>
      </c>
      <c r="M422" s="457" t="str">
        <f t="shared" si="59"/>
        <v>Food and Liquor Stores</v>
      </c>
      <c r="N422" s="458">
        <f t="shared" si="60"/>
        <v>0</v>
      </c>
      <c r="O422" s="458">
        <f t="shared" si="61"/>
        <v>0</v>
      </c>
      <c r="Q422"/>
      <c r="S422"/>
      <c r="T422"/>
      <c r="U422"/>
    </row>
    <row r="423" spans="3:21" ht="16.5" thickTop="1" thickBot="1">
      <c r="C423"/>
      <c r="D423"/>
      <c r="E423" s="384" t="s">
        <v>499</v>
      </c>
      <c r="F423" s="353">
        <v>0</v>
      </c>
      <c r="G423" s="353">
        <v>9.5771018193796138</v>
      </c>
      <c r="H423" s="353"/>
      <c r="I423" s="353"/>
      <c r="K423" s="457" t="str">
        <f t="shared" si="57"/>
        <v>Display and Advertising</v>
      </c>
      <c r="L423" s="457" t="str">
        <f t="shared" si="58"/>
        <v>LED</v>
      </c>
      <c r="M423" s="457" t="str">
        <f t="shared" si="59"/>
        <v>Retail</v>
      </c>
      <c r="N423" s="458">
        <f t="shared" si="60"/>
        <v>0</v>
      </c>
      <c r="O423" s="458">
        <f t="shared" si="61"/>
        <v>9.5771018193796138</v>
      </c>
      <c r="Q423"/>
      <c r="S423"/>
      <c r="T423"/>
      <c r="U423"/>
    </row>
    <row r="424" spans="3:21" ht="16.5" thickTop="1" thickBot="1">
      <c r="C424"/>
      <c r="D424"/>
      <c r="E424" s="384" t="s">
        <v>502</v>
      </c>
      <c r="F424" s="353">
        <v>0</v>
      </c>
      <c r="G424" s="353">
        <v>1.3762424594011338</v>
      </c>
      <c r="H424" s="353"/>
      <c r="I424" s="353"/>
      <c r="K424" s="457" t="str">
        <f t="shared" si="57"/>
        <v>Display and Advertising</v>
      </c>
      <c r="L424" s="457" t="str">
        <f t="shared" si="58"/>
        <v>LED</v>
      </c>
      <c r="M424" s="457" t="str">
        <f t="shared" si="59"/>
        <v>Restaurant</v>
      </c>
      <c r="N424" s="458">
        <f t="shared" si="60"/>
        <v>0</v>
      </c>
      <c r="O424" s="458">
        <f t="shared" si="61"/>
        <v>1.3762424594011338</v>
      </c>
      <c r="Q424"/>
      <c r="S424"/>
      <c r="T424"/>
      <c r="U424"/>
    </row>
    <row r="425" spans="3:21" ht="16.5" thickTop="1" thickBot="1">
      <c r="C425"/>
      <c r="D425" s="384" t="s">
        <v>846</v>
      </c>
      <c r="E425"/>
      <c r="F425" s="353"/>
      <c r="G425" s="353"/>
      <c r="H425" s="353"/>
      <c r="I425" s="353"/>
      <c r="K425" s="457" t="str">
        <f t="shared" si="57"/>
        <v>Display and Advertising</v>
      </c>
      <c r="L425" s="457" t="str">
        <f t="shared" si="58"/>
        <v xml:space="preserve">Halogen </v>
      </c>
      <c r="M425" s="457" t="str">
        <f t="shared" si="59"/>
        <v>Restaurant</v>
      </c>
      <c r="N425" s="458">
        <f t="shared" si="60"/>
        <v>0</v>
      </c>
      <c r="O425" s="458">
        <f t="shared" si="61"/>
        <v>0</v>
      </c>
      <c r="Q425"/>
      <c r="S425"/>
      <c r="T425"/>
      <c r="U425"/>
    </row>
    <row r="426" spans="3:21" ht="16.5" thickTop="1" thickBot="1">
      <c r="C426"/>
      <c r="D426"/>
      <c r="E426" s="384" t="s">
        <v>499</v>
      </c>
      <c r="F426" s="353">
        <v>134.04020243247757</v>
      </c>
      <c r="G426" s="353">
        <v>55.014698736214626</v>
      </c>
      <c r="H426" s="353"/>
      <c r="I426" s="353"/>
      <c r="K426" s="457" t="str">
        <f t="shared" si="57"/>
        <v>Display and Advertising</v>
      </c>
      <c r="L426" s="457" t="str">
        <f t="shared" si="58"/>
        <v xml:space="preserve">Halogen </v>
      </c>
      <c r="M426" s="457" t="str">
        <f t="shared" si="59"/>
        <v>Retail</v>
      </c>
      <c r="N426" s="458">
        <f t="shared" si="60"/>
        <v>134.04020243247757</v>
      </c>
      <c r="O426" s="458">
        <f t="shared" si="61"/>
        <v>55.014698736214626</v>
      </c>
      <c r="Q426"/>
      <c r="S426"/>
      <c r="T426"/>
      <c r="U426"/>
    </row>
    <row r="427" spans="3:21" ht="16.5" thickTop="1" thickBot="1">
      <c r="C427"/>
      <c r="D427"/>
      <c r="E427" s="384" t="s">
        <v>502</v>
      </c>
      <c r="F427" s="353">
        <v>3.0568423100743396</v>
      </c>
      <c r="G427" s="353">
        <v>1.3900588188969629</v>
      </c>
      <c r="H427" s="353"/>
      <c r="I427" s="353"/>
      <c r="K427" s="457" t="str">
        <f t="shared" si="57"/>
        <v>Display and Advertising</v>
      </c>
      <c r="L427" s="457" t="str">
        <f t="shared" si="58"/>
        <v xml:space="preserve">Halogen </v>
      </c>
      <c r="M427" s="457" t="str">
        <f t="shared" si="59"/>
        <v>Restaurant</v>
      </c>
      <c r="N427" s="458">
        <f t="shared" si="60"/>
        <v>3.0568423100743396</v>
      </c>
      <c r="O427" s="458">
        <f t="shared" si="61"/>
        <v>1.3900588188969629</v>
      </c>
      <c r="Q427"/>
      <c r="S427"/>
      <c r="T427"/>
      <c r="U427"/>
    </row>
    <row r="428" spans="3:21" ht="16.5" thickTop="1" thickBot="1">
      <c r="C428" s="384" t="s">
        <v>1267</v>
      </c>
      <c r="D428"/>
      <c r="E428"/>
      <c r="F428" s="353"/>
      <c r="G428" s="353"/>
      <c r="H428" s="353"/>
      <c r="I428" s="353"/>
      <c r="K428" s="457" t="str">
        <f t="shared" si="57"/>
        <v>Area Lighting for Lobbies, Corridors</v>
      </c>
      <c r="L428" s="457" t="str">
        <f t="shared" si="58"/>
        <v xml:space="preserve">Halogen </v>
      </c>
      <c r="M428" s="457" t="str">
        <f t="shared" si="59"/>
        <v>Restaurant</v>
      </c>
      <c r="N428" s="458">
        <f t="shared" si="60"/>
        <v>0</v>
      </c>
      <c r="O428" s="458">
        <f t="shared" si="61"/>
        <v>0</v>
      </c>
      <c r="Q428"/>
      <c r="S428"/>
      <c r="T428"/>
      <c r="U428"/>
    </row>
    <row r="429" spans="3:21" ht="16.5" thickTop="1" thickBot="1">
      <c r="C429"/>
      <c r="D429" s="384" t="s">
        <v>24</v>
      </c>
      <c r="E429"/>
      <c r="F429" s="353"/>
      <c r="G429" s="353"/>
      <c r="H429" s="353"/>
      <c r="I429" s="353"/>
      <c r="K429" s="457" t="str">
        <f t="shared" si="57"/>
        <v>Area Lighting for Lobbies, Corridors</v>
      </c>
      <c r="L429" s="457" t="str">
        <f t="shared" si="58"/>
        <v>CFL</v>
      </c>
      <c r="M429" s="457" t="str">
        <f t="shared" si="59"/>
        <v>Restaurant</v>
      </c>
      <c r="N429" s="458">
        <f t="shared" si="60"/>
        <v>0</v>
      </c>
      <c r="O429" s="458">
        <f t="shared" si="61"/>
        <v>0</v>
      </c>
      <c r="Q429"/>
      <c r="S429"/>
      <c r="T429"/>
    </row>
    <row r="430" spans="3:21" ht="16.5" thickTop="1" thickBot="1">
      <c r="C430"/>
      <c r="D430"/>
      <c r="E430" s="384" t="s">
        <v>1266</v>
      </c>
      <c r="F430" s="353">
        <v>145.99775740210993</v>
      </c>
      <c r="G430" s="353">
        <v>207.82956327222885</v>
      </c>
      <c r="H430" s="353"/>
      <c r="I430" s="353"/>
      <c r="K430" s="457" t="str">
        <f t="shared" si="57"/>
        <v>Area Lighting for Lobbies, Corridors</v>
      </c>
      <c r="L430" s="457" t="str">
        <f t="shared" si="58"/>
        <v>CFL</v>
      </c>
      <c r="M430" s="457" t="str">
        <f t="shared" si="59"/>
        <v>All Commercial</v>
      </c>
      <c r="N430" s="458">
        <f t="shared" si="60"/>
        <v>145.99775740210993</v>
      </c>
      <c r="O430" s="458">
        <f t="shared" si="61"/>
        <v>207.82956327222885</v>
      </c>
      <c r="Q430"/>
      <c r="S430"/>
      <c r="T430"/>
    </row>
    <row r="431" spans="3:21" ht="16.5" thickTop="1" thickBot="1">
      <c r="C431"/>
      <c r="D431" s="384" t="s">
        <v>27</v>
      </c>
      <c r="E431"/>
      <c r="F431" s="353"/>
      <c r="G431" s="353"/>
      <c r="H431" s="353"/>
      <c r="I431" s="353"/>
      <c r="K431" s="457" t="str">
        <f t="shared" si="57"/>
        <v>Area Lighting for Lobbies, Corridors</v>
      </c>
      <c r="L431" s="457" t="str">
        <f t="shared" si="58"/>
        <v>Linear Fluorescent</v>
      </c>
      <c r="M431" s="457" t="str">
        <f t="shared" si="59"/>
        <v>All Commercial</v>
      </c>
      <c r="N431" s="458">
        <f t="shared" si="60"/>
        <v>0</v>
      </c>
      <c r="O431" s="458">
        <f t="shared" si="61"/>
        <v>0</v>
      </c>
      <c r="Q431"/>
      <c r="S431"/>
      <c r="T431"/>
    </row>
    <row r="432" spans="3:21" ht="16.5" thickTop="1" thickBot="1">
      <c r="C432"/>
      <c r="D432"/>
      <c r="E432" s="384" t="s">
        <v>1266</v>
      </c>
      <c r="F432" s="353">
        <v>529.77347990666283</v>
      </c>
      <c r="G432" s="353">
        <v>653.38729122230916</v>
      </c>
      <c r="H432" s="353"/>
      <c r="I432" s="353"/>
      <c r="K432" s="457" t="str">
        <f t="shared" si="57"/>
        <v>Area Lighting for Lobbies, Corridors</v>
      </c>
      <c r="L432" s="457" t="str">
        <f t="shared" si="58"/>
        <v>Linear Fluorescent</v>
      </c>
      <c r="M432" s="457" t="str">
        <f t="shared" si="59"/>
        <v>All Commercial</v>
      </c>
      <c r="N432" s="458">
        <f t="shared" si="60"/>
        <v>529.77347990666283</v>
      </c>
      <c r="O432" s="458">
        <f t="shared" si="61"/>
        <v>653.38729122230916</v>
      </c>
      <c r="Q432"/>
      <c r="S432"/>
      <c r="T432"/>
    </row>
    <row r="433" spans="3:20" ht="16.5" thickTop="1" thickBot="1">
      <c r="C433" s="384" t="s">
        <v>1268</v>
      </c>
      <c r="D433"/>
      <c r="E433"/>
      <c r="F433" s="353"/>
      <c r="G433" s="353"/>
      <c r="H433" s="353"/>
      <c r="I433" s="353"/>
      <c r="K433" s="457" t="str">
        <f t="shared" si="57"/>
        <v>Area Lighting for Stairwells</v>
      </c>
      <c r="L433" s="457" t="str">
        <f t="shared" si="58"/>
        <v>Linear Fluorescent</v>
      </c>
      <c r="M433" s="457" t="str">
        <f t="shared" si="59"/>
        <v>All Commercial</v>
      </c>
      <c r="N433" s="458">
        <f t="shared" si="60"/>
        <v>0</v>
      </c>
      <c r="O433" s="458">
        <f t="shared" si="61"/>
        <v>0</v>
      </c>
      <c r="Q433"/>
      <c r="S433"/>
      <c r="T433"/>
    </row>
    <row r="434" spans="3:20" ht="16.5" thickTop="1" thickBot="1">
      <c r="C434"/>
      <c r="D434" s="384" t="s">
        <v>24</v>
      </c>
      <c r="E434"/>
      <c r="F434" s="353"/>
      <c r="G434" s="353"/>
      <c r="H434" s="353"/>
      <c r="I434" s="353"/>
      <c r="K434" s="457" t="str">
        <f t="shared" si="57"/>
        <v>Area Lighting for Stairwells</v>
      </c>
      <c r="L434" s="457" t="str">
        <f t="shared" si="58"/>
        <v>CFL</v>
      </c>
      <c r="M434" s="457" t="str">
        <f t="shared" si="59"/>
        <v>All Commercial</v>
      </c>
      <c r="N434" s="458">
        <f t="shared" si="60"/>
        <v>0</v>
      </c>
      <c r="O434" s="458">
        <f t="shared" si="61"/>
        <v>0</v>
      </c>
      <c r="Q434"/>
      <c r="S434"/>
      <c r="T434"/>
    </row>
    <row r="435" spans="3:20" ht="16.5" thickTop="1" thickBot="1">
      <c r="C435"/>
      <c r="D435"/>
      <c r="E435" s="384" t="s">
        <v>1266</v>
      </c>
      <c r="F435" s="353">
        <v>16.139381899512461</v>
      </c>
      <c r="G435" s="353">
        <v>22.974604208618583</v>
      </c>
      <c r="H435" s="353"/>
      <c r="I435" s="353"/>
      <c r="K435" s="457" t="str">
        <f t="shared" si="57"/>
        <v>Area Lighting for Stairwells</v>
      </c>
      <c r="L435" s="457" t="str">
        <f t="shared" si="58"/>
        <v>CFL</v>
      </c>
      <c r="M435" s="457" t="str">
        <f t="shared" si="59"/>
        <v>All Commercial</v>
      </c>
      <c r="N435" s="458">
        <f t="shared" si="60"/>
        <v>16.139381899512461</v>
      </c>
      <c r="O435" s="458">
        <f t="shared" si="61"/>
        <v>22.974604208618583</v>
      </c>
      <c r="Q435"/>
      <c r="S435"/>
      <c r="T435"/>
    </row>
    <row r="436" spans="3:20" ht="16.5" thickTop="1" thickBot="1">
      <c r="C436"/>
      <c r="D436" s="384" t="s">
        <v>27</v>
      </c>
      <c r="E436"/>
      <c r="F436" s="353"/>
      <c r="G436" s="353"/>
      <c r="H436" s="353"/>
      <c r="I436" s="353"/>
      <c r="K436" s="457" t="str">
        <f t="shared" si="57"/>
        <v>Area Lighting for Stairwells</v>
      </c>
      <c r="L436" s="457" t="str">
        <f t="shared" si="58"/>
        <v>Linear Fluorescent</v>
      </c>
      <c r="M436" s="457" t="str">
        <f t="shared" si="59"/>
        <v>All Commercial</v>
      </c>
      <c r="N436" s="458">
        <f t="shared" si="60"/>
        <v>0</v>
      </c>
      <c r="O436" s="458">
        <f t="shared" si="61"/>
        <v>0</v>
      </c>
      <c r="Q436"/>
      <c r="S436"/>
      <c r="T436"/>
    </row>
    <row r="437" spans="3:20" ht="16.5" thickTop="1" thickBot="1">
      <c r="C437"/>
      <c r="D437"/>
      <c r="E437" s="384" t="s">
        <v>1266</v>
      </c>
      <c r="F437" s="353">
        <v>58.564026356227821</v>
      </c>
      <c r="G437" s="353">
        <v>72.228965766103016</v>
      </c>
      <c r="H437" s="353"/>
      <c r="I437" s="353"/>
      <c r="K437" s="457" t="str">
        <f t="shared" si="57"/>
        <v>Area Lighting for Stairwells</v>
      </c>
      <c r="L437" s="457" t="str">
        <f t="shared" si="58"/>
        <v>Linear Fluorescent</v>
      </c>
      <c r="M437" s="457" t="str">
        <f t="shared" si="59"/>
        <v>All Commercial</v>
      </c>
      <c r="N437" s="458">
        <f t="shared" si="60"/>
        <v>58.564026356227821</v>
      </c>
      <c r="O437" s="458">
        <f t="shared" si="61"/>
        <v>72.228965766103016</v>
      </c>
      <c r="Q437"/>
      <c r="S437"/>
      <c r="T437"/>
    </row>
    <row r="438" spans="3:20" ht="16.5" thickTop="1" thickBot="1">
      <c r="C438" s="384" t="s">
        <v>1220</v>
      </c>
      <c r="D438"/>
      <c r="E438"/>
      <c r="F438" s="353"/>
      <c r="G438" s="353"/>
      <c r="H438" s="353"/>
      <c r="I438" s="353"/>
      <c r="K438" s="457" t="str">
        <f t="shared" si="57"/>
        <v>Area Lighting (Low/Medium Bay)</v>
      </c>
      <c r="L438" s="457" t="str">
        <f t="shared" si="58"/>
        <v>Linear Fluorescent</v>
      </c>
      <c r="M438" s="457" t="str">
        <f t="shared" si="59"/>
        <v>All Commercial</v>
      </c>
      <c r="N438" s="458">
        <f t="shared" si="60"/>
        <v>0</v>
      </c>
      <c r="O438" s="458">
        <f t="shared" si="61"/>
        <v>0</v>
      </c>
      <c r="Q438"/>
      <c r="S438"/>
      <c r="T438"/>
    </row>
    <row r="439" spans="3:20" ht="16.5" thickTop="1" thickBot="1">
      <c r="C439"/>
      <c r="D439" s="384" t="s">
        <v>24</v>
      </c>
      <c r="E439"/>
      <c r="F439" s="353"/>
      <c r="G439" s="353"/>
      <c r="H439" s="353"/>
      <c r="I439" s="353"/>
      <c r="K439" s="457" t="str">
        <f t="shared" si="57"/>
        <v>Area Lighting (Low/Medium Bay)</v>
      </c>
      <c r="L439" s="457" t="str">
        <f t="shared" si="58"/>
        <v>CFL</v>
      </c>
      <c r="M439" s="457" t="str">
        <f t="shared" si="59"/>
        <v>All Commercial</v>
      </c>
      <c r="N439" s="458">
        <f t="shared" si="60"/>
        <v>0</v>
      </c>
      <c r="O439" s="458">
        <f t="shared" si="61"/>
        <v>0</v>
      </c>
      <c r="Q439"/>
      <c r="S439"/>
      <c r="T439"/>
    </row>
    <row r="440" spans="3:20" ht="16.5" thickTop="1" thickBot="1">
      <c r="C440"/>
      <c r="D440"/>
      <c r="E440" s="384" t="s">
        <v>105</v>
      </c>
      <c r="F440" s="353">
        <v>13.020316269491438</v>
      </c>
      <c r="G440" s="353">
        <v>17.795300256056262</v>
      </c>
      <c r="H440" s="353"/>
      <c r="I440" s="353"/>
      <c r="K440" s="457" t="str">
        <f t="shared" si="57"/>
        <v>Area Lighting (Low/Medium Bay)</v>
      </c>
      <c r="L440" s="457" t="str">
        <f t="shared" si="58"/>
        <v>CFL</v>
      </c>
      <c r="M440" s="457" t="str">
        <f t="shared" si="59"/>
        <v>University/College</v>
      </c>
      <c r="N440" s="458">
        <f t="shared" si="60"/>
        <v>13.020316269491438</v>
      </c>
      <c r="O440" s="458">
        <f t="shared" si="61"/>
        <v>17.795300256056262</v>
      </c>
      <c r="Q440"/>
      <c r="S440"/>
      <c r="T440"/>
    </row>
    <row r="441" spans="3:20" ht="16.5" thickTop="1" thickBot="1">
      <c r="C441"/>
      <c r="D441"/>
      <c r="E441" s="384" t="s">
        <v>1149</v>
      </c>
      <c r="F441" s="353">
        <v>6.9683725514715551</v>
      </c>
      <c r="G441" s="353">
        <v>11.460133514744564</v>
      </c>
      <c r="H441" s="353"/>
      <c r="I441" s="353"/>
      <c r="K441" s="457" t="str">
        <f t="shared" si="57"/>
        <v>Area Lighting (Low/Medium Bay)</v>
      </c>
      <c r="L441" s="457" t="str">
        <f t="shared" si="58"/>
        <v>CFL</v>
      </c>
      <c r="M441" s="457" t="str">
        <f t="shared" si="59"/>
        <v xml:space="preserve">Warehouse </v>
      </c>
      <c r="N441" s="458">
        <f t="shared" si="60"/>
        <v>6.9683725514715551</v>
      </c>
      <c r="O441" s="458">
        <f t="shared" si="61"/>
        <v>11.460133514744564</v>
      </c>
    </row>
    <row r="442" spans="3:20" ht="16.5" thickTop="1" thickBot="1">
      <c r="C442"/>
      <c r="D442"/>
      <c r="E442" s="384" t="s">
        <v>1143</v>
      </c>
      <c r="F442" s="353">
        <v>15.928601381203244</v>
      </c>
      <c r="G442" s="353">
        <v>7.217226909974527</v>
      </c>
      <c r="H442" s="353"/>
      <c r="I442" s="353"/>
      <c r="K442" s="457" t="str">
        <f t="shared" si="57"/>
        <v>Area Lighting (Low/Medium Bay)</v>
      </c>
      <c r="L442" s="457" t="str">
        <f t="shared" si="58"/>
        <v>CFL</v>
      </c>
      <c r="M442" s="457" t="str">
        <f t="shared" si="59"/>
        <v>Health and Medical Clinics</v>
      </c>
      <c r="N442" s="458">
        <f t="shared" si="60"/>
        <v>15.928601381203244</v>
      </c>
      <c r="O442" s="458">
        <f t="shared" si="61"/>
        <v>7.217226909974527</v>
      </c>
    </row>
    <row r="443" spans="3:20" ht="16.5" thickTop="1" thickBot="1">
      <c r="C443"/>
      <c r="D443"/>
      <c r="E443" s="384" t="s">
        <v>502</v>
      </c>
      <c r="F443" s="353">
        <v>11.193439428405396</v>
      </c>
      <c r="G443" s="353">
        <v>18.066960553027982</v>
      </c>
      <c r="H443" s="353"/>
      <c r="I443" s="353"/>
      <c r="K443" s="457" t="str">
        <f t="shared" si="57"/>
        <v>Area Lighting (Low/Medium Bay)</v>
      </c>
      <c r="L443" s="457" t="str">
        <f t="shared" si="58"/>
        <v>CFL</v>
      </c>
      <c r="M443" s="457" t="str">
        <f t="shared" si="59"/>
        <v>Restaurant</v>
      </c>
      <c r="N443" s="458">
        <f t="shared" si="60"/>
        <v>11.193439428405396</v>
      </c>
      <c r="O443" s="458">
        <f t="shared" si="61"/>
        <v>18.066960553027982</v>
      </c>
    </row>
    <row r="444" spans="3:20" ht="16.5" thickTop="1" thickBot="1">
      <c r="C444"/>
      <c r="D444"/>
      <c r="E444" s="384" t="s">
        <v>541</v>
      </c>
      <c r="F444" s="353">
        <v>45.291681603459011</v>
      </c>
      <c r="G444" s="353">
        <v>73.612585246217634</v>
      </c>
      <c r="H444" s="353"/>
      <c r="I444" s="353"/>
      <c r="K444" s="457" t="str">
        <f t="shared" si="57"/>
        <v>Area Lighting (Low/Medium Bay)</v>
      </c>
      <c r="L444" s="457" t="str">
        <f t="shared" si="58"/>
        <v>CFL</v>
      </c>
      <c r="M444" s="457" t="str">
        <f t="shared" si="59"/>
        <v>Miscellaneous</v>
      </c>
      <c r="N444" s="458">
        <f t="shared" si="60"/>
        <v>45.291681603459011</v>
      </c>
      <c r="O444" s="458">
        <f t="shared" si="61"/>
        <v>73.612585246217634</v>
      </c>
    </row>
    <row r="445" spans="3:20" ht="16.5" thickTop="1" thickBot="1">
      <c r="C445"/>
      <c r="D445"/>
      <c r="E445" s="384" t="s">
        <v>1223</v>
      </c>
      <c r="F445" s="353">
        <v>15.213551146811216</v>
      </c>
      <c r="G445" s="353">
        <v>21.293900421820101</v>
      </c>
      <c r="H445" s="353"/>
      <c r="I445" s="353"/>
      <c r="K445" s="457" t="str">
        <f t="shared" si="57"/>
        <v>Area Lighting (Low/Medium Bay)</v>
      </c>
      <c r="L445" s="457" t="str">
        <f t="shared" si="58"/>
        <v>CFL</v>
      </c>
      <c r="M445" s="457" t="str">
        <f t="shared" si="59"/>
        <v>Health and Medical Hospital</v>
      </c>
      <c r="N445" s="458">
        <f t="shared" si="60"/>
        <v>15.213551146811216</v>
      </c>
      <c r="O445" s="458">
        <f t="shared" si="61"/>
        <v>21.293900421820101</v>
      </c>
    </row>
    <row r="446" spans="3:20" ht="16.5" thickTop="1" thickBot="1">
      <c r="C446"/>
      <c r="D446" s="384" t="s">
        <v>25</v>
      </c>
      <c r="E446"/>
      <c r="F446" s="353"/>
      <c r="G446" s="353"/>
      <c r="H446" s="353"/>
      <c r="I446" s="353"/>
      <c r="K446" s="457" t="str">
        <f t="shared" si="57"/>
        <v>Area Lighting (Low/Medium Bay)</v>
      </c>
      <c r="L446" s="457" t="str">
        <f t="shared" si="58"/>
        <v>Halogen</v>
      </c>
      <c r="M446" s="457" t="str">
        <f t="shared" si="59"/>
        <v>Health and Medical Hospital</v>
      </c>
      <c r="N446" s="458">
        <f t="shared" si="60"/>
        <v>0</v>
      </c>
      <c r="O446" s="458">
        <f t="shared" si="61"/>
        <v>0</v>
      </c>
    </row>
    <row r="447" spans="3:20" ht="16.5" thickTop="1" thickBot="1">
      <c r="C447"/>
      <c r="D447"/>
      <c r="E447" s="384" t="s">
        <v>938</v>
      </c>
      <c r="F447" s="353">
        <v>37.098281478231776</v>
      </c>
      <c r="G447" s="353">
        <v>20.033071998245159</v>
      </c>
      <c r="H447" s="353"/>
      <c r="I447" s="353"/>
      <c r="K447" s="457" t="str">
        <f t="shared" si="57"/>
        <v>Area Lighting (Low/Medium Bay)</v>
      </c>
      <c r="L447" s="457" t="str">
        <f t="shared" si="58"/>
        <v>Halogen</v>
      </c>
      <c r="M447" s="457" t="str">
        <f t="shared" si="59"/>
        <v>Hotel/Motel, Dorms, Assisted Living</v>
      </c>
      <c r="N447" s="458">
        <f t="shared" si="60"/>
        <v>37.098281478231776</v>
      </c>
      <c r="O447" s="458">
        <f t="shared" si="61"/>
        <v>20.033071998245159</v>
      </c>
    </row>
    <row r="448" spans="3:20" ht="16.5" thickTop="1" thickBot="1">
      <c r="C448"/>
      <c r="D448" s="384" t="s">
        <v>26</v>
      </c>
      <c r="E448"/>
      <c r="F448" s="353"/>
      <c r="G448" s="353"/>
      <c r="H448" s="353"/>
      <c r="I448" s="353"/>
      <c r="K448" s="457" t="str">
        <f t="shared" si="57"/>
        <v>Area Lighting (Low/Medium Bay)</v>
      </c>
      <c r="L448" s="457" t="str">
        <f t="shared" si="58"/>
        <v>Incandescent</v>
      </c>
      <c r="M448" s="457" t="str">
        <f t="shared" si="59"/>
        <v>Hotel/Motel, Dorms, Assisted Living</v>
      </c>
      <c r="N448" s="458">
        <f t="shared" si="60"/>
        <v>0</v>
      </c>
      <c r="O448" s="458">
        <f t="shared" si="61"/>
        <v>0</v>
      </c>
    </row>
    <row r="449" spans="3:15" ht="16.5" thickTop="1" thickBot="1">
      <c r="C449"/>
      <c r="D449"/>
      <c r="E449" s="384" t="s">
        <v>938</v>
      </c>
      <c r="F449" s="353">
        <v>39.050822608665037</v>
      </c>
      <c r="G449" s="353">
        <v>20.033071998245159</v>
      </c>
      <c r="H449" s="353"/>
      <c r="I449" s="353"/>
      <c r="K449" s="457" t="str">
        <f t="shared" si="57"/>
        <v>Area Lighting (Low/Medium Bay)</v>
      </c>
      <c r="L449" s="457" t="str">
        <f t="shared" si="58"/>
        <v>Incandescent</v>
      </c>
      <c r="M449" s="457" t="str">
        <f t="shared" si="59"/>
        <v>Hotel/Motel, Dorms, Assisted Living</v>
      </c>
      <c r="N449" s="458">
        <f t="shared" si="60"/>
        <v>39.050822608665037</v>
      </c>
      <c r="O449" s="458">
        <f t="shared" si="61"/>
        <v>20.033071998245159</v>
      </c>
    </row>
    <row r="450" spans="3:15" ht="16.5" thickTop="1" thickBot="1">
      <c r="C450"/>
      <c r="D450"/>
      <c r="E450" s="384" t="s">
        <v>502</v>
      </c>
      <c r="F450" s="353">
        <v>80.556402712550138</v>
      </c>
      <c r="G450" s="353">
        <v>34.849089983059841</v>
      </c>
      <c r="H450" s="353"/>
      <c r="I450" s="353"/>
      <c r="K450" s="457" t="str">
        <f t="shared" si="57"/>
        <v>Area Lighting (Low/Medium Bay)</v>
      </c>
      <c r="L450" s="457" t="str">
        <f t="shared" si="58"/>
        <v>Incandescent</v>
      </c>
      <c r="M450" s="457" t="str">
        <f t="shared" si="59"/>
        <v>Restaurant</v>
      </c>
      <c r="N450" s="458">
        <f t="shared" si="60"/>
        <v>80.556402712550138</v>
      </c>
      <c r="O450" s="458">
        <f t="shared" si="61"/>
        <v>34.849089983059841</v>
      </c>
    </row>
    <row r="451" spans="3:15" ht="16.5" thickTop="1" thickBot="1">
      <c r="C451"/>
      <c r="D451" s="384" t="s">
        <v>27</v>
      </c>
      <c r="E451"/>
      <c r="F451" s="353"/>
      <c r="G451" s="353"/>
      <c r="H451" s="353"/>
      <c r="I451" s="353"/>
      <c r="K451" s="457" t="str">
        <f t="shared" si="57"/>
        <v>Area Lighting (Low/Medium Bay)</v>
      </c>
      <c r="L451" s="457" t="str">
        <f t="shared" si="58"/>
        <v>Linear Fluorescent</v>
      </c>
      <c r="M451" s="457" t="str">
        <f t="shared" si="59"/>
        <v>Restaurant</v>
      </c>
      <c r="N451" s="458">
        <f t="shared" si="60"/>
        <v>0</v>
      </c>
      <c r="O451" s="458">
        <f t="shared" si="61"/>
        <v>0</v>
      </c>
    </row>
    <row r="452" spans="3:15" ht="16.5" thickTop="1" thickBot="1">
      <c r="C452"/>
      <c r="D452"/>
      <c r="E452" s="384" t="s">
        <v>938</v>
      </c>
      <c r="F452" s="353">
        <v>10.464192418925684</v>
      </c>
      <c r="G452" s="353">
        <v>14.305183487861566</v>
      </c>
      <c r="H452" s="353"/>
      <c r="I452" s="353"/>
      <c r="K452" s="457" t="str">
        <f t="shared" ref="K452:K483" si="62">IF(C452=0,K451,C452)</f>
        <v>Area Lighting (Low/Medium Bay)</v>
      </c>
      <c r="L452" s="457" t="str">
        <f t="shared" ref="L452:L483" si="63">IF(D452=0,L451,D452)</f>
        <v>Linear Fluorescent</v>
      </c>
      <c r="M452" s="457" t="str">
        <f t="shared" ref="M452:M483" si="64">IF(E452=0,M451,E452)</f>
        <v>Hotel/Motel, Dorms, Assisted Living</v>
      </c>
      <c r="N452" s="458">
        <f t="shared" ref="N452:N483" si="65">F452</f>
        <v>10.464192418925684</v>
      </c>
      <c r="O452" s="458">
        <f t="shared" ref="O452:O483" si="66">G452</f>
        <v>14.305183487861566</v>
      </c>
    </row>
    <row r="453" spans="3:15" ht="16.5" thickTop="1" thickBot="1">
      <c r="C453"/>
      <c r="D453"/>
      <c r="E453" s="384" t="s">
        <v>105</v>
      </c>
      <c r="F453" s="353">
        <v>151.97627093884191</v>
      </c>
      <c r="G453" s="353">
        <v>187.27435031373497</v>
      </c>
      <c r="H453" s="353"/>
      <c r="I453" s="353"/>
      <c r="K453" s="457" t="str">
        <f t="shared" si="62"/>
        <v>Area Lighting (Low/Medium Bay)</v>
      </c>
      <c r="L453" s="457" t="str">
        <f t="shared" si="63"/>
        <v>Linear Fluorescent</v>
      </c>
      <c r="M453" s="457" t="str">
        <f t="shared" si="64"/>
        <v>University/College</v>
      </c>
      <c r="N453" s="458">
        <f t="shared" si="65"/>
        <v>151.97627093884191</v>
      </c>
      <c r="O453" s="458">
        <f t="shared" si="66"/>
        <v>187.27435031373497</v>
      </c>
    </row>
    <row r="454" spans="3:15" ht="16.5" thickTop="1" thickBot="1">
      <c r="C454"/>
      <c r="D454"/>
      <c r="E454" s="384" t="s">
        <v>181</v>
      </c>
      <c r="F454" s="353">
        <v>857.82021865883769</v>
      </c>
      <c r="G454" s="353">
        <v>1056.5797737253315</v>
      </c>
      <c r="H454" s="353"/>
      <c r="I454" s="353"/>
      <c r="K454" s="457" t="str">
        <f t="shared" si="62"/>
        <v>Area Lighting (Low/Medium Bay)</v>
      </c>
      <c r="L454" s="457" t="str">
        <f t="shared" si="63"/>
        <v>Linear Fluorescent</v>
      </c>
      <c r="M454" s="457" t="str">
        <f t="shared" si="64"/>
        <v>Office</v>
      </c>
      <c r="N454" s="458">
        <f t="shared" si="65"/>
        <v>857.82021865883769</v>
      </c>
      <c r="O454" s="458">
        <f t="shared" si="66"/>
        <v>1056.5797737253315</v>
      </c>
    </row>
    <row r="455" spans="3:15" ht="16.5" thickTop="1" thickBot="1">
      <c r="C455"/>
      <c r="D455"/>
      <c r="E455" s="384" t="s">
        <v>499</v>
      </c>
      <c r="F455" s="353">
        <v>131.70411125398581</v>
      </c>
      <c r="G455" s="353">
        <v>147.70097463229004</v>
      </c>
      <c r="H455" s="353"/>
      <c r="I455" s="353"/>
      <c r="K455" s="457" t="str">
        <f t="shared" si="62"/>
        <v>Area Lighting (Low/Medium Bay)</v>
      </c>
      <c r="L455" s="457" t="str">
        <f t="shared" si="63"/>
        <v>Linear Fluorescent</v>
      </c>
      <c r="M455" s="457" t="str">
        <f t="shared" si="64"/>
        <v>Retail</v>
      </c>
      <c r="N455" s="458">
        <f t="shared" si="65"/>
        <v>131.70411125398581</v>
      </c>
      <c r="O455" s="458">
        <f t="shared" si="66"/>
        <v>147.70097463229004</v>
      </c>
    </row>
    <row r="456" spans="3:15" ht="16.5" thickTop="1" thickBot="1">
      <c r="C456"/>
      <c r="D456"/>
      <c r="E456" s="384" t="s">
        <v>1149</v>
      </c>
      <c r="F456" s="353">
        <v>64.584978109068985</v>
      </c>
      <c r="G456" s="353">
        <v>84.097904173266699</v>
      </c>
      <c r="H456" s="353"/>
      <c r="I456" s="353"/>
      <c r="K456" s="457" t="str">
        <f t="shared" si="62"/>
        <v>Area Lighting (Low/Medium Bay)</v>
      </c>
      <c r="L456" s="457" t="str">
        <f t="shared" si="63"/>
        <v>Linear Fluorescent</v>
      </c>
      <c r="M456" s="457" t="str">
        <f t="shared" si="64"/>
        <v xml:space="preserve">Warehouse </v>
      </c>
      <c r="N456" s="458">
        <f t="shared" si="65"/>
        <v>64.584978109068985</v>
      </c>
      <c r="O456" s="458">
        <f t="shared" si="66"/>
        <v>84.097904173266699</v>
      </c>
    </row>
    <row r="457" spans="3:15" ht="16.5" thickTop="1" thickBot="1">
      <c r="C457"/>
      <c r="D457"/>
      <c r="E457" s="384" t="s">
        <v>1142</v>
      </c>
      <c r="F457" s="353">
        <v>64.97578185046406</v>
      </c>
      <c r="G457" s="353">
        <v>69.789601902445355</v>
      </c>
      <c r="H457" s="353"/>
      <c r="I457" s="353"/>
      <c r="K457" s="457" t="str">
        <f t="shared" si="62"/>
        <v>Area Lighting (Low/Medium Bay)</v>
      </c>
      <c r="L457" s="457" t="str">
        <f t="shared" si="63"/>
        <v>Linear Fluorescent</v>
      </c>
      <c r="M457" s="457" t="str">
        <f t="shared" si="64"/>
        <v>Food and Liquor Stores</v>
      </c>
      <c r="N457" s="458">
        <f t="shared" si="65"/>
        <v>64.97578185046406</v>
      </c>
      <c r="O457" s="458">
        <f t="shared" si="66"/>
        <v>69.789601902445355</v>
      </c>
    </row>
    <row r="458" spans="3:15" ht="16.5" thickTop="1" thickBot="1">
      <c r="C458"/>
      <c r="D458"/>
      <c r="E458" s="384" t="s">
        <v>1143</v>
      </c>
      <c r="F458" s="353">
        <v>82.481720021364652</v>
      </c>
      <c r="G458" s="353">
        <v>94.517932178903052</v>
      </c>
      <c r="H458" s="353"/>
      <c r="I458" s="353"/>
      <c r="K458" s="457" t="str">
        <f t="shared" si="62"/>
        <v>Area Lighting (Low/Medium Bay)</v>
      </c>
      <c r="L458" s="457" t="str">
        <f t="shared" si="63"/>
        <v>Linear Fluorescent</v>
      </c>
      <c r="M458" s="457" t="str">
        <f t="shared" si="64"/>
        <v>Health and Medical Clinics</v>
      </c>
      <c r="N458" s="458">
        <f t="shared" si="65"/>
        <v>82.481720021364652</v>
      </c>
      <c r="O458" s="458">
        <f t="shared" si="66"/>
        <v>94.517932178903052</v>
      </c>
    </row>
    <row r="459" spans="3:15" ht="16.5" thickTop="1" thickBot="1">
      <c r="C459"/>
      <c r="D459"/>
      <c r="E459" s="384" t="s">
        <v>502</v>
      </c>
      <c r="F459" s="353">
        <v>53.805561831709454</v>
      </c>
      <c r="G459" s="353">
        <v>78.562751204429247</v>
      </c>
      <c r="H459" s="353"/>
      <c r="I459" s="353"/>
      <c r="K459" s="457" t="str">
        <f t="shared" si="62"/>
        <v>Area Lighting (Low/Medium Bay)</v>
      </c>
      <c r="L459" s="457" t="str">
        <f t="shared" si="63"/>
        <v>Linear Fluorescent</v>
      </c>
      <c r="M459" s="457" t="str">
        <f t="shared" si="64"/>
        <v>Restaurant</v>
      </c>
      <c r="N459" s="458">
        <f t="shared" si="65"/>
        <v>53.805561831709454</v>
      </c>
      <c r="O459" s="458">
        <f t="shared" si="66"/>
        <v>78.562751204429247</v>
      </c>
    </row>
    <row r="460" spans="3:15" ht="16.5" thickTop="1" thickBot="1">
      <c r="C460"/>
      <c r="D460"/>
      <c r="E460" s="384" t="s">
        <v>1154</v>
      </c>
      <c r="F460" s="353">
        <v>220.61719417334498</v>
      </c>
      <c r="G460" s="353">
        <v>271.06706524697006</v>
      </c>
      <c r="H460" s="353"/>
      <c r="I460" s="353"/>
      <c r="K460" s="457" t="str">
        <f t="shared" si="62"/>
        <v>Area Lighting (Low/Medium Bay)</v>
      </c>
      <c r="L460" s="457" t="str">
        <f t="shared" si="63"/>
        <v>Linear Fluorescent</v>
      </c>
      <c r="M460" s="457" t="str">
        <f t="shared" si="64"/>
        <v>Schools</v>
      </c>
      <c r="N460" s="458">
        <f t="shared" si="65"/>
        <v>220.61719417334498</v>
      </c>
      <c r="O460" s="458">
        <f t="shared" si="66"/>
        <v>271.06706524697006</v>
      </c>
    </row>
    <row r="461" spans="3:15" ht="16.5" thickTop="1" thickBot="1">
      <c r="C461"/>
      <c r="D461"/>
      <c r="E461" s="384" t="s">
        <v>541</v>
      </c>
      <c r="F461" s="353">
        <v>598.75566090095401</v>
      </c>
      <c r="G461" s="353">
        <v>729.02889055123103</v>
      </c>
      <c r="H461" s="353"/>
      <c r="I461" s="353"/>
      <c r="K461" s="457" t="str">
        <f t="shared" si="62"/>
        <v>Area Lighting (Low/Medium Bay)</v>
      </c>
      <c r="L461" s="457" t="str">
        <f t="shared" si="63"/>
        <v>Linear Fluorescent</v>
      </c>
      <c r="M461" s="457" t="str">
        <f t="shared" si="64"/>
        <v>Miscellaneous</v>
      </c>
      <c r="N461" s="458">
        <f t="shared" si="65"/>
        <v>598.75566090095401</v>
      </c>
      <c r="O461" s="458">
        <f t="shared" si="66"/>
        <v>729.02889055123103</v>
      </c>
    </row>
    <row r="462" spans="3:15" ht="16.5" thickTop="1" thickBot="1">
      <c r="C462"/>
      <c r="D462"/>
      <c r="E462" s="384" t="s">
        <v>1223</v>
      </c>
      <c r="F462" s="353">
        <v>156.71055923889523</v>
      </c>
      <c r="G462" s="353">
        <v>197.76143689626537</v>
      </c>
      <c r="H462" s="353"/>
      <c r="I462" s="353"/>
      <c r="K462" s="457" t="str">
        <f t="shared" si="62"/>
        <v>Area Lighting (Low/Medium Bay)</v>
      </c>
      <c r="L462" s="457" t="str">
        <f t="shared" si="63"/>
        <v>Linear Fluorescent</v>
      </c>
      <c r="M462" s="457" t="str">
        <f t="shared" si="64"/>
        <v>Health and Medical Hospital</v>
      </c>
      <c r="N462" s="458">
        <f t="shared" si="65"/>
        <v>156.71055923889523</v>
      </c>
      <c r="O462" s="458">
        <f t="shared" si="66"/>
        <v>197.76143689626537</v>
      </c>
    </row>
    <row r="463" spans="3:15" ht="16.5" thickTop="1" thickBot="1">
      <c r="C463"/>
      <c r="D463" s="384" t="s">
        <v>846</v>
      </c>
      <c r="E463"/>
      <c r="F463" s="353"/>
      <c r="G463" s="353"/>
      <c r="H463" s="353"/>
      <c r="I463" s="353"/>
      <c r="K463" s="457" t="str">
        <f t="shared" si="62"/>
        <v>Area Lighting (Low/Medium Bay)</v>
      </c>
      <c r="L463" s="457" t="str">
        <f t="shared" si="63"/>
        <v xml:space="preserve">Halogen </v>
      </c>
      <c r="M463" s="457" t="str">
        <f t="shared" si="64"/>
        <v>Health and Medical Hospital</v>
      </c>
      <c r="N463" s="458">
        <f t="shared" si="65"/>
        <v>0</v>
      </c>
      <c r="O463" s="458">
        <f t="shared" si="66"/>
        <v>0</v>
      </c>
    </row>
    <row r="464" spans="3:15" ht="16.5" thickTop="1" thickBot="1">
      <c r="C464"/>
      <c r="D464"/>
      <c r="E464" s="384" t="s">
        <v>502</v>
      </c>
      <c r="F464" s="353">
        <v>18.46148182717107</v>
      </c>
      <c r="G464" s="353">
        <v>8.8303731663752725</v>
      </c>
      <c r="H464" s="353"/>
      <c r="I464" s="353"/>
      <c r="K464" s="457" t="str">
        <f t="shared" si="62"/>
        <v>Area Lighting (Low/Medium Bay)</v>
      </c>
      <c r="L464" s="457" t="str">
        <f t="shared" si="63"/>
        <v xml:space="preserve">Halogen </v>
      </c>
      <c r="M464" s="457" t="str">
        <f t="shared" si="64"/>
        <v>Restaurant</v>
      </c>
      <c r="N464" s="458">
        <f t="shared" si="65"/>
        <v>18.46148182717107</v>
      </c>
      <c r="O464" s="458">
        <f t="shared" si="66"/>
        <v>8.8303731663752725</v>
      </c>
    </row>
    <row r="465" spans="3:15" ht="16.5" thickTop="1" thickBot="1">
      <c r="C465" s="384" t="s">
        <v>1226</v>
      </c>
      <c r="D465"/>
      <c r="E465"/>
      <c r="F465" s="353"/>
      <c r="G465" s="353"/>
      <c r="H465" s="353"/>
      <c r="I465" s="353"/>
      <c r="K465" s="457" t="str">
        <f t="shared" si="62"/>
        <v>Area Lighting (High Bay)</v>
      </c>
      <c r="L465" s="457" t="str">
        <f t="shared" si="63"/>
        <v xml:space="preserve">Halogen </v>
      </c>
      <c r="M465" s="457" t="str">
        <f t="shared" si="64"/>
        <v>Restaurant</v>
      </c>
      <c r="N465" s="458">
        <f t="shared" si="65"/>
        <v>0</v>
      </c>
      <c r="O465" s="458">
        <f t="shared" si="66"/>
        <v>0</v>
      </c>
    </row>
    <row r="466" spans="3:15" ht="16.5" thickTop="1" thickBot="1">
      <c r="C466"/>
      <c r="D466" s="384" t="s">
        <v>24</v>
      </c>
      <c r="E466"/>
      <c r="F466" s="353"/>
      <c r="G466" s="353"/>
      <c r="H466" s="353"/>
      <c r="I466" s="353"/>
      <c r="K466" s="457" t="str">
        <f t="shared" si="62"/>
        <v>Area Lighting (High Bay)</v>
      </c>
      <c r="L466" s="457" t="str">
        <f t="shared" si="63"/>
        <v>CFL</v>
      </c>
      <c r="M466" s="457" t="str">
        <f t="shared" si="64"/>
        <v>Restaurant</v>
      </c>
      <c r="N466" s="458">
        <f t="shared" si="65"/>
        <v>0</v>
      </c>
      <c r="O466" s="458">
        <f t="shared" si="66"/>
        <v>0</v>
      </c>
    </row>
    <row r="467" spans="3:15" ht="16.5" thickTop="1" thickBot="1">
      <c r="C467"/>
      <c r="D467"/>
      <c r="E467" s="384" t="s">
        <v>499</v>
      </c>
      <c r="F467" s="353">
        <v>38.376546837019859</v>
      </c>
      <c r="G467" s="353">
        <v>60.597037258112501</v>
      </c>
      <c r="H467" s="353"/>
      <c r="I467" s="353"/>
      <c r="K467" s="457" t="str">
        <f t="shared" si="62"/>
        <v>Area Lighting (High Bay)</v>
      </c>
      <c r="L467" s="457" t="str">
        <f t="shared" si="63"/>
        <v>CFL</v>
      </c>
      <c r="M467" s="457" t="str">
        <f t="shared" si="64"/>
        <v>Retail</v>
      </c>
      <c r="N467" s="458">
        <f t="shared" si="65"/>
        <v>38.376546837019859</v>
      </c>
      <c r="O467" s="458">
        <f t="shared" si="66"/>
        <v>60.597037258112501</v>
      </c>
    </row>
    <row r="468" spans="3:15" ht="16.5" thickTop="1" thickBot="1">
      <c r="C468"/>
      <c r="D468" s="384" t="s">
        <v>27</v>
      </c>
      <c r="E468"/>
      <c r="F468" s="353"/>
      <c r="G468" s="353"/>
      <c r="H468" s="353"/>
      <c r="I468" s="353"/>
      <c r="K468" s="457" t="str">
        <f t="shared" si="62"/>
        <v>Area Lighting (High Bay)</v>
      </c>
      <c r="L468" s="457" t="str">
        <f t="shared" si="63"/>
        <v>Linear Fluorescent</v>
      </c>
      <c r="M468" s="457" t="str">
        <f t="shared" si="64"/>
        <v>Retail</v>
      </c>
      <c r="N468" s="458">
        <f t="shared" si="65"/>
        <v>0</v>
      </c>
      <c r="O468" s="458">
        <f t="shared" si="66"/>
        <v>0</v>
      </c>
    </row>
    <row r="469" spans="3:15" ht="16.5" thickTop="1" thickBot="1">
      <c r="C469"/>
      <c r="D469"/>
      <c r="E469" s="384" t="s">
        <v>105</v>
      </c>
      <c r="F469" s="353">
        <v>19.028882282242051</v>
      </c>
      <c r="G469" s="353">
        <v>23.448539331758511</v>
      </c>
      <c r="H469" s="353"/>
      <c r="I469" s="353"/>
      <c r="K469" s="457" t="str">
        <f t="shared" si="62"/>
        <v>Area Lighting (High Bay)</v>
      </c>
      <c r="L469" s="457" t="str">
        <f t="shared" si="63"/>
        <v>Linear Fluorescent</v>
      </c>
      <c r="M469" s="457" t="str">
        <f t="shared" si="64"/>
        <v>University/College</v>
      </c>
      <c r="N469" s="458">
        <f t="shared" si="65"/>
        <v>19.028882282242051</v>
      </c>
      <c r="O469" s="458">
        <f t="shared" si="66"/>
        <v>23.448539331758511</v>
      </c>
    </row>
    <row r="470" spans="3:15" ht="16.5" thickTop="1" thickBot="1">
      <c r="C470"/>
      <c r="D470"/>
      <c r="E470" s="384" t="s">
        <v>499</v>
      </c>
      <c r="F470" s="353">
        <v>505.35181019114407</v>
      </c>
      <c r="G470" s="353">
        <v>440.15358239428133</v>
      </c>
      <c r="K470" s="457" t="str">
        <f t="shared" si="62"/>
        <v>Area Lighting (High Bay)</v>
      </c>
      <c r="L470" s="457" t="str">
        <f t="shared" si="63"/>
        <v>Linear Fluorescent</v>
      </c>
      <c r="M470" s="457" t="str">
        <f t="shared" si="64"/>
        <v>Retail</v>
      </c>
      <c r="N470" s="458">
        <f t="shared" si="65"/>
        <v>505.35181019114407</v>
      </c>
      <c r="O470" s="458">
        <f t="shared" si="66"/>
        <v>440.15358239428133</v>
      </c>
    </row>
    <row r="471" spans="3:15" ht="16.5" thickTop="1" thickBot="1">
      <c r="C471"/>
      <c r="D471"/>
      <c r="E471" s="384" t="s">
        <v>1149</v>
      </c>
      <c r="F471" s="353">
        <v>215.07289498965625</v>
      </c>
      <c r="G471" s="353">
        <v>214.50745601796345</v>
      </c>
      <c r="K471" s="457" t="str">
        <f t="shared" si="62"/>
        <v>Area Lighting (High Bay)</v>
      </c>
      <c r="L471" s="457" t="str">
        <f t="shared" si="63"/>
        <v>Linear Fluorescent</v>
      </c>
      <c r="M471" s="457" t="str">
        <f t="shared" si="64"/>
        <v xml:space="preserve">Warehouse </v>
      </c>
      <c r="N471" s="458">
        <f t="shared" si="65"/>
        <v>215.07289498965625</v>
      </c>
      <c r="O471" s="458">
        <f t="shared" si="66"/>
        <v>214.50745601796345</v>
      </c>
    </row>
    <row r="472" spans="3:15" ht="16.5" thickTop="1" thickBot="1">
      <c r="C472"/>
      <c r="D472"/>
      <c r="E472" s="384" t="s">
        <v>1142</v>
      </c>
      <c r="F472" s="353">
        <v>207.87700865657163</v>
      </c>
      <c r="G472" s="353">
        <v>148.31824167979778</v>
      </c>
      <c r="K472" s="457" t="str">
        <f t="shared" si="62"/>
        <v>Area Lighting (High Bay)</v>
      </c>
      <c r="L472" s="457" t="str">
        <f t="shared" si="63"/>
        <v>Linear Fluorescent</v>
      </c>
      <c r="M472" s="457" t="str">
        <f t="shared" si="64"/>
        <v>Food and Liquor Stores</v>
      </c>
      <c r="N472" s="458">
        <f t="shared" si="65"/>
        <v>207.87700865657163</v>
      </c>
      <c r="O472" s="458">
        <f t="shared" si="66"/>
        <v>148.31824167979778</v>
      </c>
    </row>
    <row r="473" spans="3:15" ht="16.5" thickTop="1" thickBot="1">
      <c r="C473"/>
      <c r="D473"/>
      <c r="E473" s="384" t="s">
        <v>1154</v>
      </c>
      <c r="F473" s="353">
        <v>66.227974995518693</v>
      </c>
      <c r="G473" s="353">
        <v>96.767289730112978</v>
      </c>
      <c r="K473" s="457" t="str">
        <f t="shared" si="62"/>
        <v>Area Lighting (High Bay)</v>
      </c>
      <c r="L473" s="457" t="str">
        <f t="shared" si="63"/>
        <v>Linear Fluorescent</v>
      </c>
      <c r="M473" s="457" t="str">
        <f t="shared" si="64"/>
        <v>Schools</v>
      </c>
      <c r="N473" s="458">
        <f t="shared" si="65"/>
        <v>66.227974995518693</v>
      </c>
      <c r="O473" s="458">
        <f t="shared" si="66"/>
        <v>96.767289730112978</v>
      </c>
    </row>
    <row r="474" spans="3:15" ht="16.5" thickTop="1" thickBot="1">
      <c r="C474"/>
      <c r="D474"/>
      <c r="E474" s="384" t="s">
        <v>828</v>
      </c>
      <c r="F474" s="353">
        <v>632.61808652380978</v>
      </c>
      <c r="G474" s="353">
        <v>939.21717776000014</v>
      </c>
      <c r="K474" s="457" t="str">
        <f t="shared" si="62"/>
        <v>Area Lighting (High Bay)</v>
      </c>
      <c r="L474" s="457" t="str">
        <f t="shared" si="63"/>
        <v>Linear Fluorescent</v>
      </c>
      <c r="M474" s="457" t="str">
        <f t="shared" si="64"/>
        <v>Industrial</v>
      </c>
      <c r="N474" s="458">
        <f t="shared" si="65"/>
        <v>632.61808652380978</v>
      </c>
      <c r="O474" s="458">
        <f t="shared" si="66"/>
        <v>939.21717776000014</v>
      </c>
    </row>
    <row r="475" spans="3:15" ht="16.5" thickTop="1" thickBot="1">
      <c r="C475"/>
      <c r="D475" s="384" t="s">
        <v>1245</v>
      </c>
      <c r="E475"/>
      <c r="F475" s="353"/>
      <c r="G475" s="353"/>
      <c r="K475" s="457" t="str">
        <f t="shared" si="62"/>
        <v>Area Lighting (High Bay)</v>
      </c>
      <c r="L475" s="457" t="str">
        <f t="shared" si="63"/>
        <v>MH (Std, PS, CMH)</v>
      </c>
      <c r="M475" s="457" t="str">
        <f t="shared" si="64"/>
        <v>Industrial</v>
      </c>
      <c r="N475" s="458">
        <f t="shared" si="65"/>
        <v>0</v>
      </c>
      <c r="O475" s="458">
        <f t="shared" si="66"/>
        <v>0</v>
      </c>
    </row>
    <row r="476" spans="3:15" ht="16.5" thickTop="1" thickBot="1">
      <c r="C476"/>
      <c r="D476"/>
      <c r="E476" s="384" t="s">
        <v>105</v>
      </c>
      <c r="F476" s="353">
        <v>8.4757556705868851</v>
      </c>
      <c r="G476" s="353">
        <v>4.9588630620390619</v>
      </c>
      <c r="K476" s="457" t="str">
        <f t="shared" si="62"/>
        <v>Area Lighting (High Bay)</v>
      </c>
      <c r="L476" s="457" t="str">
        <f t="shared" si="63"/>
        <v>MH (Std, PS, CMH)</v>
      </c>
      <c r="M476" s="457" t="str">
        <f t="shared" si="64"/>
        <v>University/College</v>
      </c>
      <c r="N476" s="458">
        <f t="shared" si="65"/>
        <v>8.4757556705868851</v>
      </c>
      <c r="O476" s="458">
        <f t="shared" si="66"/>
        <v>4.9588630620390619</v>
      </c>
    </row>
    <row r="477" spans="3:15" ht="16.5" thickTop="1" thickBot="1">
      <c r="C477"/>
      <c r="D477"/>
      <c r="E477" s="384" t="s">
        <v>499</v>
      </c>
      <c r="F477" s="353">
        <v>405.73015542488798</v>
      </c>
      <c r="G477" s="353">
        <v>243.31557227168014</v>
      </c>
      <c r="K477" s="457" t="str">
        <f t="shared" si="62"/>
        <v>Area Lighting (High Bay)</v>
      </c>
      <c r="L477" s="457" t="str">
        <f t="shared" si="63"/>
        <v>MH (Std, PS, CMH)</v>
      </c>
      <c r="M477" s="457" t="str">
        <f t="shared" si="64"/>
        <v>Retail</v>
      </c>
      <c r="N477" s="458">
        <f t="shared" si="65"/>
        <v>405.73015542488798</v>
      </c>
      <c r="O477" s="458">
        <f t="shared" si="66"/>
        <v>243.31557227168014</v>
      </c>
    </row>
    <row r="478" spans="3:15" ht="16.5" thickTop="1" thickBot="1">
      <c r="C478"/>
      <c r="D478"/>
      <c r="E478" s="384" t="s">
        <v>1149</v>
      </c>
      <c r="F478" s="353">
        <v>119.17180542829573</v>
      </c>
      <c r="G478" s="353">
        <v>71.420784133301666</v>
      </c>
      <c r="K478" s="457" t="str">
        <f t="shared" si="62"/>
        <v>Area Lighting (High Bay)</v>
      </c>
      <c r="L478" s="457" t="str">
        <f t="shared" si="63"/>
        <v>MH (Std, PS, CMH)</v>
      </c>
      <c r="M478" s="457" t="str">
        <f t="shared" si="64"/>
        <v xml:space="preserve">Warehouse </v>
      </c>
      <c r="N478" s="458">
        <f t="shared" si="65"/>
        <v>119.17180542829573</v>
      </c>
      <c r="O478" s="458">
        <f t="shared" si="66"/>
        <v>71.420784133301666</v>
      </c>
    </row>
    <row r="479" spans="3:15" ht="16.5" thickTop="1" thickBot="1">
      <c r="C479"/>
      <c r="D479"/>
      <c r="E479" s="384" t="s">
        <v>1154</v>
      </c>
      <c r="F479" s="353">
        <v>29.498954604579939</v>
      </c>
      <c r="G479" s="353">
        <v>20.652035640831038</v>
      </c>
      <c r="K479" s="457" t="str">
        <f t="shared" si="62"/>
        <v>Area Lighting (High Bay)</v>
      </c>
      <c r="L479" s="457" t="str">
        <f t="shared" si="63"/>
        <v>MH (Std, PS, CMH)</v>
      </c>
      <c r="M479" s="457" t="str">
        <f t="shared" si="64"/>
        <v>Schools</v>
      </c>
      <c r="N479" s="458">
        <f t="shared" si="65"/>
        <v>29.498954604579939</v>
      </c>
      <c r="O479" s="458">
        <f t="shared" si="66"/>
        <v>20.652035640831038</v>
      </c>
    </row>
    <row r="480" spans="3:15" ht="16.5" thickTop="1" thickBot="1">
      <c r="C480"/>
      <c r="D480"/>
      <c r="E480" s="384" t="s">
        <v>828</v>
      </c>
      <c r="F480" s="353">
        <v>62.702015106825911</v>
      </c>
      <c r="G480" s="353">
        <v>44.198455424000009</v>
      </c>
      <c r="K480" s="457" t="str">
        <f t="shared" si="62"/>
        <v>Area Lighting (High Bay)</v>
      </c>
      <c r="L480" s="457" t="str">
        <f t="shared" si="63"/>
        <v>MH (Std, PS, CMH)</v>
      </c>
      <c r="M480" s="457" t="str">
        <f t="shared" si="64"/>
        <v>Industrial</v>
      </c>
      <c r="N480" s="458">
        <f t="shared" si="65"/>
        <v>62.702015106825911</v>
      </c>
      <c r="O480" s="458">
        <f t="shared" si="66"/>
        <v>44.198455424000009</v>
      </c>
    </row>
    <row r="481" spans="3:15" ht="16.5" thickTop="1" thickBot="1">
      <c r="C481"/>
      <c r="D481"/>
      <c r="E481"/>
      <c r="F481"/>
      <c r="G481"/>
      <c r="K481" s="457" t="str">
        <f t="shared" si="62"/>
        <v>Area Lighting (High Bay)</v>
      </c>
      <c r="L481" s="457" t="str">
        <f t="shared" si="63"/>
        <v>MH (Std, PS, CMH)</v>
      </c>
      <c r="M481" s="457" t="str">
        <f t="shared" si="64"/>
        <v>Industrial</v>
      </c>
      <c r="N481" s="458">
        <f t="shared" si="65"/>
        <v>0</v>
      </c>
      <c r="O481" s="458">
        <f t="shared" si="66"/>
        <v>0</v>
      </c>
    </row>
    <row r="482" spans="3:15" ht="16.5" thickTop="1" thickBot="1">
      <c r="C482"/>
      <c r="D482"/>
      <c r="E482"/>
      <c r="F482"/>
      <c r="G482"/>
      <c r="K482" s="457" t="str">
        <f t="shared" si="62"/>
        <v>Area Lighting (High Bay)</v>
      </c>
      <c r="L482" s="457" t="str">
        <f t="shared" si="63"/>
        <v>MH (Std, PS, CMH)</v>
      </c>
      <c r="M482" s="457" t="str">
        <f t="shared" si="64"/>
        <v>Industrial</v>
      </c>
      <c r="N482" s="458">
        <f t="shared" si="65"/>
        <v>0</v>
      </c>
      <c r="O482" s="458">
        <f t="shared" si="66"/>
        <v>0</v>
      </c>
    </row>
    <row r="483" spans="3:15" ht="16.5" thickTop="1" thickBot="1">
      <c r="C483"/>
      <c r="D483"/>
      <c r="E483"/>
      <c r="F483"/>
      <c r="G483"/>
      <c r="K483" s="457" t="str">
        <f t="shared" si="62"/>
        <v>Area Lighting (High Bay)</v>
      </c>
      <c r="L483" s="457" t="str">
        <f t="shared" si="63"/>
        <v>MH (Std, PS, CMH)</v>
      </c>
      <c r="M483" s="457" t="str">
        <f t="shared" si="64"/>
        <v>Industrial</v>
      </c>
      <c r="N483" s="458">
        <f t="shared" si="65"/>
        <v>0</v>
      </c>
      <c r="O483" s="458">
        <f t="shared" si="66"/>
        <v>0</v>
      </c>
    </row>
    <row r="484" spans="3:15" ht="16.5" thickTop="1" thickBot="1">
      <c r="C484"/>
      <c r="D484"/>
      <c r="E484"/>
      <c r="F484"/>
      <c r="G484"/>
      <c r="K484" s="457" t="str">
        <f t="shared" ref="K484:K517" si="67">IF(C484=0,K483,C484)</f>
        <v>Area Lighting (High Bay)</v>
      </c>
      <c r="L484" s="457" t="str">
        <f t="shared" ref="L484:L517" si="68">IF(D484=0,L483,D484)</f>
        <v>MH (Std, PS, CMH)</v>
      </c>
      <c r="M484" s="457" t="str">
        <f t="shared" ref="M484:M517" si="69">IF(E484=0,M483,E484)</f>
        <v>Industrial</v>
      </c>
      <c r="N484" s="458">
        <f t="shared" ref="N484:N497" si="70">F484</f>
        <v>0</v>
      </c>
      <c r="O484" s="458">
        <f t="shared" ref="O484:O497" si="71">G484</f>
        <v>0</v>
      </c>
    </row>
    <row r="485" spans="3:15" ht="16.5" thickTop="1" thickBot="1">
      <c r="C485"/>
      <c r="D485"/>
      <c r="E485"/>
      <c r="F485"/>
      <c r="G485"/>
      <c r="K485" s="457" t="str">
        <f t="shared" si="67"/>
        <v>Area Lighting (High Bay)</v>
      </c>
      <c r="L485" s="457" t="str">
        <f t="shared" si="68"/>
        <v>MH (Std, PS, CMH)</v>
      </c>
      <c r="M485" s="457" t="str">
        <f t="shared" si="69"/>
        <v>Industrial</v>
      </c>
      <c r="N485" s="458">
        <f t="shared" si="70"/>
        <v>0</v>
      </c>
      <c r="O485" s="458">
        <f t="shared" si="71"/>
        <v>0</v>
      </c>
    </row>
    <row r="486" spans="3:15" ht="16.5" thickTop="1" thickBot="1">
      <c r="C486"/>
      <c r="D486"/>
      <c r="E486"/>
      <c r="F486"/>
      <c r="G486"/>
      <c r="K486" s="457" t="str">
        <f t="shared" si="67"/>
        <v>Area Lighting (High Bay)</v>
      </c>
      <c r="L486" s="457" t="str">
        <f t="shared" si="68"/>
        <v>MH (Std, PS, CMH)</v>
      </c>
      <c r="M486" s="457" t="str">
        <f t="shared" si="69"/>
        <v>Industrial</v>
      </c>
      <c r="N486" s="458">
        <f t="shared" si="70"/>
        <v>0</v>
      </c>
      <c r="O486" s="458">
        <f t="shared" si="71"/>
        <v>0</v>
      </c>
    </row>
    <row r="487" spans="3:15" ht="16.5" thickTop="1" thickBot="1">
      <c r="C487"/>
      <c r="D487"/>
      <c r="E487"/>
      <c r="F487"/>
      <c r="G487"/>
      <c r="K487" s="457" t="str">
        <f t="shared" si="67"/>
        <v>Area Lighting (High Bay)</v>
      </c>
      <c r="L487" s="457" t="str">
        <f t="shared" si="68"/>
        <v>MH (Std, PS, CMH)</v>
      </c>
      <c r="M487" s="457" t="str">
        <f t="shared" si="69"/>
        <v>Industrial</v>
      </c>
      <c r="N487" s="458">
        <f t="shared" si="70"/>
        <v>0</v>
      </c>
      <c r="O487" s="458">
        <f t="shared" si="71"/>
        <v>0</v>
      </c>
    </row>
    <row r="488" spans="3:15" ht="16.5" thickTop="1" thickBot="1">
      <c r="C488"/>
      <c r="D488"/>
      <c r="E488"/>
      <c r="F488"/>
      <c r="G488"/>
      <c r="K488" s="457" t="str">
        <f t="shared" si="67"/>
        <v>Area Lighting (High Bay)</v>
      </c>
      <c r="L488" s="457" t="str">
        <f t="shared" si="68"/>
        <v>MH (Std, PS, CMH)</v>
      </c>
      <c r="M488" s="457" t="str">
        <f t="shared" si="69"/>
        <v>Industrial</v>
      </c>
      <c r="N488" s="458">
        <f t="shared" si="70"/>
        <v>0</v>
      </c>
      <c r="O488" s="458">
        <f t="shared" si="71"/>
        <v>0</v>
      </c>
    </row>
    <row r="489" spans="3:15" ht="16.5" thickTop="1" thickBot="1">
      <c r="C489"/>
      <c r="D489"/>
      <c r="E489"/>
      <c r="F489"/>
      <c r="G489"/>
      <c r="K489" s="457" t="str">
        <f t="shared" si="67"/>
        <v>Area Lighting (High Bay)</v>
      </c>
      <c r="L489" s="457" t="str">
        <f t="shared" si="68"/>
        <v>MH (Std, PS, CMH)</v>
      </c>
      <c r="M489" s="457" t="str">
        <f t="shared" si="69"/>
        <v>Industrial</v>
      </c>
      <c r="N489" s="458">
        <f t="shared" si="70"/>
        <v>0</v>
      </c>
      <c r="O489" s="458">
        <f t="shared" si="71"/>
        <v>0</v>
      </c>
    </row>
    <row r="490" spans="3:15" ht="16.5" thickTop="1" thickBot="1">
      <c r="C490"/>
      <c r="D490"/>
      <c r="E490"/>
      <c r="F490"/>
      <c r="G490"/>
      <c r="K490" s="457" t="str">
        <f t="shared" si="67"/>
        <v>Area Lighting (High Bay)</v>
      </c>
      <c r="L490" s="457" t="str">
        <f t="shared" si="68"/>
        <v>MH (Std, PS, CMH)</v>
      </c>
      <c r="M490" s="457" t="str">
        <f t="shared" si="69"/>
        <v>Industrial</v>
      </c>
      <c r="N490" s="458">
        <f t="shared" si="70"/>
        <v>0</v>
      </c>
      <c r="O490" s="458">
        <f t="shared" si="71"/>
        <v>0</v>
      </c>
    </row>
    <row r="491" spans="3:15" ht="16.5" thickTop="1" thickBot="1">
      <c r="C491"/>
      <c r="D491"/>
      <c r="E491"/>
      <c r="F491"/>
      <c r="G491"/>
      <c r="K491" s="457" t="str">
        <f t="shared" si="67"/>
        <v>Area Lighting (High Bay)</v>
      </c>
      <c r="L491" s="457" t="str">
        <f t="shared" si="68"/>
        <v>MH (Std, PS, CMH)</v>
      </c>
      <c r="M491" s="457" t="str">
        <f t="shared" si="69"/>
        <v>Industrial</v>
      </c>
      <c r="N491" s="458">
        <f t="shared" si="70"/>
        <v>0</v>
      </c>
      <c r="O491" s="458">
        <f t="shared" si="71"/>
        <v>0</v>
      </c>
    </row>
    <row r="492" spans="3:15" ht="16.5" thickTop="1" thickBot="1">
      <c r="C492"/>
      <c r="D492"/>
      <c r="E492"/>
      <c r="F492"/>
      <c r="G492"/>
      <c r="K492" s="457" t="str">
        <f t="shared" si="67"/>
        <v>Area Lighting (High Bay)</v>
      </c>
      <c r="L492" s="457" t="str">
        <f t="shared" si="68"/>
        <v>MH (Std, PS, CMH)</v>
      </c>
      <c r="M492" s="457" t="str">
        <f t="shared" si="69"/>
        <v>Industrial</v>
      </c>
      <c r="N492" s="458">
        <f t="shared" si="70"/>
        <v>0</v>
      </c>
      <c r="O492" s="458">
        <f t="shared" si="71"/>
        <v>0</v>
      </c>
    </row>
    <row r="493" spans="3:15" ht="16.5" thickTop="1" thickBot="1">
      <c r="C493"/>
      <c r="D493"/>
      <c r="E493"/>
      <c r="F493"/>
      <c r="G493"/>
      <c r="K493" s="457" t="str">
        <f t="shared" si="67"/>
        <v>Area Lighting (High Bay)</v>
      </c>
      <c r="L493" s="457" t="str">
        <f t="shared" si="68"/>
        <v>MH (Std, PS, CMH)</v>
      </c>
      <c r="M493" s="457" t="str">
        <f t="shared" si="69"/>
        <v>Industrial</v>
      </c>
      <c r="N493" s="458">
        <f t="shared" si="70"/>
        <v>0</v>
      </c>
      <c r="O493" s="458">
        <f t="shared" si="71"/>
        <v>0</v>
      </c>
    </row>
    <row r="494" spans="3:15" ht="16.5" thickTop="1" thickBot="1">
      <c r="C494"/>
      <c r="D494"/>
      <c r="E494"/>
      <c r="F494"/>
      <c r="G494"/>
      <c r="K494" s="457" t="str">
        <f t="shared" si="67"/>
        <v>Area Lighting (High Bay)</v>
      </c>
      <c r="L494" s="457" t="str">
        <f t="shared" si="68"/>
        <v>MH (Std, PS, CMH)</v>
      </c>
      <c r="M494" s="457" t="str">
        <f t="shared" si="69"/>
        <v>Industrial</v>
      </c>
      <c r="N494" s="458">
        <f t="shared" si="70"/>
        <v>0</v>
      </c>
      <c r="O494" s="458">
        <f t="shared" si="71"/>
        <v>0</v>
      </c>
    </row>
    <row r="495" spans="3:15" ht="16.5" thickTop="1" thickBot="1">
      <c r="C495"/>
      <c r="D495"/>
      <c r="E495"/>
      <c r="F495"/>
      <c r="G495"/>
      <c r="K495" s="457" t="str">
        <f t="shared" si="67"/>
        <v>Area Lighting (High Bay)</v>
      </c>
      <c r="L495" s="457" t="str">
        <f t="shared" si="68"/>
        <v>MH (Std, PS, CMH)</v>
      </c>
      <c r="M495" s="457" t="str">
        <f t="shared" si="69"/>
        <v>Industrial</v>
      </c>
      <c r="N495" s="458">
        <f t="shared" si="70"/>
        <v>0</v>
      </c>
      <c r="O495" s="458">
        <f t="shared" si="71"/>
        <v>0</v>
      </c>
    </row>
    <row r="496" spans="3:15" ht="16.5" thickTop="1" thickBot="1">
      <c r="C496"/>
      <c r="D496"/>
      <c r="E496"/>
      <c r="F496"/>
      <c r="G496"/>
      <c r="K496" s="457" t="str">
        <f t="shared" si="67"/>
        <v>Area Lighting (High Bay)</v>
      </c>
      <c r="L496" s="457" t="str">
        <f t="shared" si="68"/>
        <v>MH (Std, PS, CMH)</v>
      </c>
      <c r="M496" s="457" t="str">
        <f t="shared" si="69"/>
        <v>Industrial</v>
      </c>
      <c r="N496" s="458">
        <f t="shared" si="70"/>
        <v>0</v>
      </c>
      <c r="O496" s="458">
        <f t="shared" si="71"/>
        <v>0</v>
      </c>
    </row>
    <row r="497" spans="3:15" ht="16.5" thickTop="1" thickBot="1">
      <c r="C497"/>
      <c r="D497"/>
      <c r="E497"/>
      <c r="F497"/>
      <c r="G497"/>
      <c r="K497" s="457" t="str">
        <f t="shared" si="67"/>
        <v>Area Lighting (High Bay)</v>
      </c>
      <c r="L497" s="457" t="str">
        <f t="shared" si="68"/>
        <v>MH (Std, PS, CMH)</v>
      </c>
      <c r="M497" s="457" t="str">
        <f t="shared" si="69"/>
        <v>Industrial</v>
      </c>
      <c r="N497" s="458">
        <f t="shared" si="70"/>
        <v>0</v>
      </c>
      <c r="O497" s="458">
        <f t="shared" si="71"/>
        <v>0</v>
      </c>
    </row>
    <row r="498" spans="3:15" ht="16.5" thickTop="1" thickBot="1">
      <c r="C498"/>
      <c r="D498"/>
      <c r="E498"/>
      <c r="F498"/>
      <c r="G498"/>
      <c r="K498" s="457" t="str">
        <f t="shared" si="67"/>
        <v>Area Lighting (High Bay)</v>
      </c>
      <c r="L498" s="457" t="str">
        <f t="shared" si="68"/>
        <v>MH (Std, PS, CMH)</v>
      </c>
      <c r="M498" s="457" t="str">
        <f t="shared" si="69"/>
        <v>Industrial</v>
      </c>
      <c r="N498" s="458">
        <f t="shared" ref="N498:O517" si="72">F498</f>
        <v>0</v>
      </c>
      <c r="O498" s="458">
        <f t="shared" si="72"/>
        <v>0</v>
      </c>
    </row>
    <row r="499" spans="3:15" ht="16.5" thickTop="1" thickBot="1">
      <c r="C499"/>
      <c r="D499"/>
      <c r="E499"/>
      <c r="F499"/>
      <c r="G499"/>
      <c r="K499" s="457" t="str">
        <f t="shared" si="67"/>
        <v>Area Lighting (High Bay)</v>
      </c>
      <c r="L499" s="457" t="str">
        <f t="shared" si="68"/>
        <v>MH (Std, PS, CMH)</v>
      </c>
      <c r="M499" s="457" t="str">
        <f t="shared" si="69"/>
        <v>Industrial</v>
      </c>
      <c r="N499" s="458">
        <f t="shared" si="72"/>
        <v>0</v>
      </c>
      <c r="O499" s="458">
        <f t="shared" si="72"/>
        <v>0</v>
      </c>
    </row>
    <row r="500" spans="3:15" ht="16.5" thickTop="1" thickBot="1">
      <c r="C500"/>
      <c r="D500"/>
      <c r="E500"/>
      <c r="F500"/>
      <c r="G500"/>
      <c r="K500" s="457" t="str">
        <f t="shared" si="67"/>
        <v>Area Lighting (High Bay)</v>
      </c>
      <c r="L500" s="457" t="str">
        <f t="shared" si="68"/>
        <v>MH (Std, PS, CMH)</v>
      </c>
      <c r="M500" s="457" t="str">
        <f t="shared" si="69"/>
        <v>Industrial</v>
      </c>
      <c r="N500" s="458">
        <f t="shared" si="72"/>
        <v>0</v>
      </c>
      <c r="O500" s="458">
        <f t="shared" si="72"/>
        <v>0</v>
      </c>
    </row>
    <row r="501" spans="3:15" ht="16.5" thickTop="1" thickBot="1">
      <c r="C501"/>
      <c r="D501"/>
      <c r="E501"/>
      <c r="F501"/>
      <c r="G501"/>
      <c r="K501" s="457" t="str">
        <f t="shared" si="67"/>
        <v>Area Lighting (High Bay)</v>
      </c>
      <c r="L501" s="457" t="str">
        <f t="shared" si="68"/>
        <v>MH (Std, PS, CMH)</v>
      </c>
      <c r="M501" s="457" t="str">
        <f t="shared" si="69"/>
        <v>Industrial</v>
      </c>
      <c r="N501" s="458">
        <f t="shared" si="72"/>
        <v>0</v>
      </c>
      <c r="O501" s="458">
        <f t="shared" si="72"/>
        <v>0</v>
      </c>
    </row>
    <row r="502" spans="3:15" ht="16.5" thickTop="1" thickBot="1">
      <c r="C502"/>
      <c r="D502"/>
      <c r="E502"/>
      <c r="F502"/>
      <c r="G502"/>
      <c r="K502" s="457" t="str">
        <f t="shared" si="67"/>
        <v>Area Lighting (High Bay)</v>
      </c>
      <c r="L502" s="457" t="str">
        <f t="shared" si="68"/>
        <v>MH (Std, PS, CMH)</v>
      </c>
      <c r="M502" s="457" t="str">
        <f t="shared" si="69"/>
        <v>Industrial</v>
      </c>
      <c r="N502" s="458">
        <f t="shared" si="72"/>
        <v>0</v>
      </c>
      <c r="O502" s="458">
        <f t="shared" si="72"/>
        <v>0</v>
      </c>
    </row>
    <row r="503" spans="3:15" ht="16.5" thickTop="1" thickBot="1">
      <c r="C503"/>
      <c r="D503"/>
      <c r="E503"/>
      <c r="F503"/>
      <c r="G503"/>
      <c r="K503" s="457" t="str">
        <f t="shared" si="67"/>
        <v>Area Lighting (High Bay)</v>
      </c>
      <c r="L503" s="457" t="str">
        <f t="shared" si="68"/>
        <v>MH (Std, PS, CMH)</v>
      </c>
      <c r="M503" s="457" t="str">
        <f t="shared" si="69"/>
        <v>Industrial</v>
      </c>
      <c r="N503" s="458">
        <f t="shared" si="72"/>
        <v>0</v>
      </c>
      <c r="O503" s="458">
        <f t="shared" si="72"/>
        <v>0</v>
      </c>
    </row>
    <row r="504" spans="3:15" ht="16.5" thickTop="1" thickBot="1">
      <c r="C504"/>
      <c r="D504"/>
      <c r="E504"/>
      <c r="F504"/>
      <c r="G504"/>
      <c r="K504" s="457" t="str">
        <f t="shared" si="67"/>
        <v>Area Lighting (High Bay)</v>
      </c>
      <c r="L504" s="457" t="str">
        <f t="shared" si="68"/>
        <v>MH (Std, PS, CMH)</v>
      </c>
      <c r="M504" s="457" t="str">
        <f t="shared" si="69"/>
        <v>Industrial</v>
      </c>
      <c r="N504" s="458">
        <f t="shared" si="72"/>
        <v>0</v>
      </c>
      <c r="O504" s="458">
        <f t="shared" si="72"/>
        <v>0</v>
      </c>
    </row>
    <row r="505" spans="3:15" ht="16.5" thickTop="1" thickBot="1">
      <c r="C505"/>
      <c r="D505"/>
      <c r="E505"/>
      <c r="F505"/>
      <c r="G505"/>
      <c r="K505" s="457" t="str">
        <f t="shared" si="67"/>
        <v>Area Lighting (High Bay)</v>
      </c>
      <c r="L505" s="457" t="str">
        <f t="shared" si="68"/>
        <v>MH (Std, PS, CMH)</v>
      </c>
      <c r="M505" s="457" t="str">
        <f t="shared" si="69"/>
        <v>Industrial</v>
      </c>
      <c r="N505" s="458">
        <f t="shared" si="72"/>
        <v>0</v>
      </c>
      <c r="O505" s="458">
        <f t="shared" si="72"/>
        <v>0</v>
      </c>
    </row>
    <row r="506" spans="3:15" ht="16.5" thickTop="1" thickBot="1">
      <c r="C506"/>
      <c r="D506"/>
      <c r="E506"/>
      <c r="F506"/>
      <c r="G506"/>
      <c r="K506" s="457" t="str">
        <f t="shared" si="67"/>
        <v>Area Lighting (High Bay)</v>
      </c>
      <c r="L506" s="457" t="str">
        <f t="shared" si="68"/>
        <v>MH (Std, PS, CMH)</v>
      </c>
      <c r="M506" s="457" t="str">
        <f t="shared" si="69"/>
        <v>Industrial</v>
      </c>
      <c r="N506" s="458">
        <f t="shared" si="72"/>
        <v>0</v>
      </c>
      <c r="O506" s="458">
        <f t="shared" si="72"/>
        <v>0</v>
      </c>
    </row>
    <row r="507" spans="3:15" ht="16.5" thickTop="1" thickBot="1">
      <c r="C507"/>
      <c r="D507"/>
      <c r="E507"/>
      <c r="F507"/>
      <c r="G507"/>
      <c r="K507" s="457" t="str">
        <f t="shared" si="67"/>
        <v>Area Lighting (High Bay)</v>
      </c>
      <c r="L507" s="457" t="str">
        <f t="shared" si="68"/>
        <v>MH (Std, PS, CMH)</v>
      </c>
      <c r="M507" s="457" t="str">
        <f t="shared" si="69"/>
        <v>Industrial</v>
      </c>
      <c r="N507" s="458">
        <f t="shared" si="72"/>
        <v>0</v>
      </c>
      <c r="O507" s="458">
        <f t="shared" si="72"/>
        <v>0</v>
      </c>
    </row>
    <row r="508" spans="3:15" ht="16.5" thickTop="1" thickBot="1">
      <c r="C508"/>
      <c r="D508"/>
      <c r="E508"/>
      <c r="F508"/>
      <c r="G508"/>
      <c r="K508" s="457" t="str">
        <f t="shared" si="67"/>
        <v>Area Lighting (High Bay)</v>
      </c>
      <c r="L508" s="457" t="str">
        <f t="shared" si="68"/>
        <v>MH (Std, PS, CMH)</v>
      </c>
      <c r="M508" s="457" t="str">
        <f t="shared" si="69"/>
        <v>Industrial</v>
      </c>
      <c r="N508" s="458">
        <f t="shared" si="72"/>
        <v>0</v>
      </c>
      <c r="O508" s="458">
        <f t="shared" si="72"/>
        <v>0</v>
      </c>
    </row>
    <row r="509" spans="3:15" ht="16.5" thickTop="1" thickBot="1">
      <c r="C509"/>
      <c r="D509"/>
      <c r="E509"/>
      <c r="F509"/>
      <c r="G509"/>
      <c r="K509" s="457" t="str">
        <f t="shared" si="67"/>
        <v>Area Lighting (High Bay)</v>
      </c>
      <c r="L509" s="457" t="str">
        <f t="shared" si="68"/>
        <v>MH (Std, PS, CMH)</v>
      </c>
      <c r="M509" s="457" t="str">
        <f t="shared" si="69"/>
        <v>Industrial</v>
      </c>
      <c r="N509" s="458">
        <f t="shared" si="72"/>
        <v>0</v>
      </c>
      <c r="O509" s="458">
        <f t="shared" si="72"/>
        <v>0</v>
      </c>
    </row>
    <row r="510" spans="3:15" ht="16.5" thickTop="1" thickBot="1">
      <c r="C510"/>
      <c r="D510"/>
      <c r="E510"/>
      <c r="F510"/>
      <c r="G510"/>
      <c r="K510" s="457" t="str">
        <f t="shared" si="67"/>
        <v>Area Lighting (High Bay)</v>
      </c>
      <c r="L510" s="457" t="str">
        <f t="shared" si="68"/>
        <v>MH (Std, PS, CMH)</v>
      </c>
      <c r="M510" s="457" t="str">
        <f t="shared" si="69"/>
        <v>Industrial</v>
      </c>
      <c r="N510" s="458">
        <f t="shared" si="72"/>
        <v>0</v>
      </c>
      <c r="O510" s="458">
        <f t="shared" si="72"/>
        <v>0</v>
      </c>
    </row>
    <row r="511" spans="3:15" ht="16.5" thickTop="1" thickBot="1">
      <c r="C511"/>
      <c r="D511"/>
      <c r="E511"/>
      <c r="F511"/>
      <c r="G511"/>
      <c r="K511" s="457" t="str">
        <f t="shared" si="67"/>
        <v>Area Lighting (High Bay)</v>
      </c>
      <c r="L511" s="457" t="str">
        <f t="shared" si="68"/>
        <v>MH (Std, PS, CMH)</v>
      </c>
      <c r="M511" s="457" t="str">
        <f t="shared" si="69"/>
        <v>Industrial</v>
      </c>
      <c r="N511" s="458">
        <f t="shared" si="72"/>
        <v>0</v>
      </c>
      <c r="O511" s="458">
        <f t="shared" si="72"/>
        <v>0</v>
      </c>
    </row>
    <row r="512" spans="3:15" ht="16.5" thickTop="1" thickBot="1">
      <c r="C512"/>
      <c r="D512"/>
      <c r="E512"/>
      <c r="F512"/>
      <c r="G512"/>
      <c r="K512" s="457" t="str">
        <f t="shared" si="67"/>
        <v>Area Lighting (High Bay)</v>
      </c>
      <c r="L512" s="457" t="str">
        <f t="shared" si="68"/>
        <v>MH (Std, PS, CMH)</v>
      </c>
      <c r="M512" s="457" t="str">
        <f t="shared" si="69"/>
        <v>Industrial</v>
      </c>
      <c r="N512" s="458">
        <f t="shared" si="72"/>
        <v>0</v>
      </c>
      <c r="O512" s="458">
        <f t="shared" si="72"/>
        <v>0</v>
      </c>
    </row>
    <row r="513" spans="3:15" ht="16.5" thickTop="1" thickBot="1">
      <c r="C513"/>
      <c r="D513"/>
      <c r="E513"/>
      <c r="F513"/>
      <c r="G513"/>
      <c r="K513" s="457" t="str">
        <f t="shared" si="67"/>
        <v>Area Lighting (High Bay)</v>
      </c>
      <c r="L513" s="457" t="str">
        <f t="shared" si="68"/>
        <v>MH (Std, PS, CMH)</v>
      </c>
      <c r="M513" s="457" t="str">
        <f t="shared" si="69"/>
        <v>Industrial</v>
      </c>
      <c r="N513" s="458">
        <f t="shared" si="72"/>
        <v>0</v>
      </c>
      <c r="O513" s="458">
        <f t="shared" si="72"/>
        <v>0</v>
      </c>
    </row>
    <row r="514" spans="3:15" ht="16.5" thickTop="1" thickBot="1">
      <c r="C514"/>
      <c r="D514"/>
      <c r="E514"/>
      <c r="F514"/>
      <c r="G514"/>
      <c r="K514" s="457" t="str">
        <f t="shared" si="67"/>
        <v>Area Lighting (High Bay)</v>
      </c>
      <c r="L514" s="457" t="str">
        <f t="shared" si="68"/>
        <v>MH (Std, PS, CMH)</v>
      </c>
      <c r="M514" s="457" t="str">
        <f t="shared" si="69"/>
        <v>Industrial</v>
      </c>
      <c r="N514" s="458">
        <f t="shared" si="72"/>
        <v>0</v>
      </c>
      <c r="O514" s="458">
        <f t="shared" si="72"/>
        <v>0</v>
      </c>
    </row>
    <row r="515" spans="3:15" ht="16.5" thickTop="1" thickBot="1">
      <c r="C515"/>
      <c r="D515"/>
      <c r="E515"/>
      <c r="F515"/>
      <c r="G515"/>
      <c r="K515" s="457" t="str">
        <f t="shared" si="67"/>
        <v>Area Lighting (High Bay)</v>
      </c>
      <c r="L515" s="457" t="str">
        <f t="shared" si="68"/>
        <v>MH (Std, PS, CMH)</v>
      </c>
      <c r="M515" s="457" t="str">
        <f t="shared" si="69"/>
        <v>Industrial</v>
      </c>
      <c r="N515" s="458">
        <f t="shared" si="72"/>
        <v>0</v>
      </c>
      <c r="O515" s="458">
        <f t="shared" si="72"/>
        <v>0</v>
      </c>
    </row>
    <row r="516" spans="3:15" ht="16.5" thickTop="1" thickBot="1">
      <c r="C516"/>
      <c r="D516"/>
      <c r="E516"/>
      <c r="F516"/>
      <c r="G516"/>
      <c r="K516" s="457" t="str">
        <f t="shared" si="67"/>
        <v>Area Lighting (High Bay)</v>
      </c>
      <c r="L516" s="457" t="str">
        <f t="shared" si="68"/>
        <v>MH (Std, PS, CMH)</v>
      </c>
      <c r="M516" s="457" t="str">
        <f t="shared" si="69"/>
        <v>Industrial</v>
      </c>
      <c r="N516" s="458">
        <f t="shared" si="72"/>
        <v>0</v>
      </c>
      <c r="O516" s="458">
        <f t="shared" si="72"/>
        <v>0</v>
      </c>
    </row>
    <row r="517" spans="3:15" ht="16.5" thickTop="1" thickBot="1">
      <c r="C517"/>
      <c r="D517"/>
      <c r="E517"/>
      <c r="F517"/>
      <c r="G517"/>
      <c r="K517" s="457" t="str">
        <f t="shared" si="67"/>
        <v>Area Lighting (High Bay)</v>
      </c>
      <c r="L517" s="457" t="str">
        <f t="shared" si="68"/>
        <v>MH (Std, PS, CMH)</v>
      </c>
      <c r="M517" s="457" t="str">
        <f t="shared" si="69"/>
        <v>Industrial</v>
      </c>
      <c r="N517" s="458">
        <f t="shared" si="72"/>
        <v>0</v>
      </c>
      <c r="O517" s="458">
        <f t="shared" si="72"/>
        <v>0</v>
      </c>
    </row>
    <row r="518" spans="3:15" ht="15.75" thickTop="1">
      <c r="C518"/>
      <c r="D518"/>
      <c r="E518"/>
      <c r="F518"/>
      <c r="G518"/>
    </row>
    <row r="519" spans="3:15">
      <c r="C519"/>
      <c r="D519"/>
      <c r="E519"/>
      <c r="F519"/>
      <c r="G519"/>
    </row>
    <row r="520" spans="3:15">
      <c r="C520"/>
      <c r="D520"/>
      <c r="E520"/>
      <c r="F520"/>
      <c r="G520"/>
    </row>
    <row r="521" spans="3:15">
      <c r="C521"/>
      <c r="D521"/>
      <c r="E521"/>
      <c r="F521"/>
      <c r="G521"/>
    </row>
    <row r="522" spans="3:15">
      <c r="C522"/>
      <c r="D522"/>
      <c r="E522"/>
      <c r="F522"/>
      <c r="G522"/>
    </row>
    <row r="523" spans="3:15">
      <c r="C523"/>
      <c r="D523"/>
      <c r="E523"/>
      <c r="F523"/>
      <c r="G523"/>
    </row>
    <row r="524" spans="3:15">
      <c r="C524"/>
      <c r="D524"/>
      <c r="E524"/>
      <c r="F524"/>
      <c r="G524"/>
    </row>
    <row r="525" spans="3:15">
      <c r="C525"/>
      <c r="D525"/>
      <c r="E525"/>
      <c r="F525"/>
      <c r="G525"/>
    </row>
    <row r="526" spans="3:15">
      <c r="C526"/>
      <c r="D526"/>
      <c r="E526"/>
      <c r="F526"/>
      <c r="G526"/>
    </row>
    <row r="527" spans="3:15">
      <c r="C527"/>
      <c r="D527"/>
      <c r="E527"/>
      <c r="F527"/>
      <c r="G527"/>
    </row>
    <row r="528" spans="3:15">
      <c r="C528"/>
      <c r="D528"/>
      <c r="E528"/>
      <c r="F528"/>
      <c r="G528"/>
    </row>
    <row r="529" spans="3:7">
      <c r="C529"/>
      <c r="D529"/>
      <c r="E529"/>
      <c r="F529"/>
      <c r="G529"/>
    </row>
    <row r="530" spans="3:7">
      <c r="C530"/>
      <c r="D530"/>
      <c r="E530"/>
      <c r="F530"/>
      <c r="G530"/>
    </row>
    <row r="531" spans="3:7">
      <c r="C531"/>
      <c r="D531"/>
      <c r="E531"/>
      <c r="F531"/>
      <c r="G531"/>
    </row>
    <row r="532" spans="3:7">
      <c r="C532"/>
      <c r="D532"/>
      <c r="E532"/>
      <c r="F532"/>
      <c r="G532"/>
    </row>
    <row r="533" spans="3:7">
      <c r="C533"/>
      <c r="D533"/>
      <c r="E533"/>
      <c r="F533"/>
      <c r="G533"/>
    </row>
    <row r="534" spans="3:7">
      <c r="C534"/>
      <c r="D534"/>
      <c r="E534"/>
      <c r="F534"/>
      <c r="G534"/>
    </row>
    <row r="535" spans="3:7">
      <c r="C535"/>
      <c r="D535"/>
      <c r="E535"/>
      <c r="F535"/>
      <c r="G535"/>
    </row>
    <row r="536" spans="3:7">
      <c r="C536"/>
      <c r="D536"/>
      <c r="E536"/>
      <c r="F536"/>
      <c r="G536"/>
    </row>
    <row r="537" spans="3:7">
      <c r="C537"/>
      <c r="D537"/>
      <c r="E537"/>
      <c r="F537"/>
      <c r="G537"/>
    </row>
    <row r="538" spans="3:7">
      <c r="C538"/>
      <c r="D538"/>
      <c r="E538"/>
      <c r="F538"/>
      <c r="G538"/>
    </row>
    <row r="539" spans="3:7">
      <c r="C539"/>
      <c r="D539"/>
      <c r="E539"/>
      <c r="F539"/>
      <c r="G539"/>
    </row>
    <row r="540" spans="3:7">
      <c r="C540"/>
      <c r="D540"/>
      <c r="E540"/>
      <c r="F540"/>
      <c r="G540"/>
    </row>
    <row r="541" spans="3:7">
      <c r="C541"/>
      <c r="D541"/>
      <c r="E541"/>
      <c r="F541"/>
      <c r="G541"/>
    </row>
    <row r="542" spans="3:7">
      <c r="C542"/>
      <c r="D542"/>
      <c r="E542"/>
      <c r="F542"/>
      <c r="G542"/>
    </row>
    <row r="543" spans="3:7">
      <c r="C543"/>
      <c r="D543"/>
      <c r="E543"/>
      <c r="F543"/>
      <c r="G543"/>
    </row>
    <row r="544" spans="3:7">
      <c r="C544"/>
      <c r="D544"/>
      <c r="E544"/>
      <c r="F544"/>
      <c r="G544"/>
    </row>
    <row r="545" spans="3:7">
      <c r="C545"/>
      <c r="D545"/>
      <c r="E545"/>
      <c r="F545"/>
      <c r="G545"/>
    </row>
    <row r="546" spans="3:7">
      <c r="C546"/>
      <c r="D546"/>
      <c r="E546"/>
      <c r="F546"/>
      <c r="G546"/>
    </row>
  </sheetData>
  <sheetProtection password="CD9A" sheet="1" objects="1" scenarios="1"/>
  <pageMargins left="0.7" right="0.7" top="0.75" bottom="0.75" header="0.3" footer="0.3"/>
  <pageSetup orientation="portrait" r:id="rId5"/>
  <drawing r:id="rId6"/>
  <tableParts count="2">
    <tablePart r:id="rId7"/>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G331"/>
  <sheetViews>
    <sheetView topLeftCell="A25" zoomScale="60" zoomScaleNormal="60" workbookViewId="0">
      <selection activeCell="B5" sqref="B5"/>
    </sheetView>
  </sheetViews>
  <sheetFormatPr defaultRowHeight="15" outlineLevelRow="1" outlineLevelCol="1"/>
  <cols>
    <col min="1" max="1" width="4.42578125" style="384" customWidth="1"/>
    <col min="2" max="2" width="9.140625" style="384" customWidth="1"/>
    <col min="3" max="3" width="53.85546875" style="384" hidden="1" customWidth="1" outlineLevel="1"/>
    <col min="4" max="4" width="29.140625" style="384" hidden="1" customWidth="1" outlineLevel="1"/>
    <col min="5" max="5" width="30.5703125" style="384" hidden="1" customWidth="1" outlineLevel="1"/>
    <col min="6" max="6" width="31.85546875" style="384" hidden="1" customWidth="1" outlineLevel="1"/>
    <col min="7" max="8" width="31.5703125" style="384" hidden="1" customWidth="1" outlineLevel="1"/>
    <col min="9" max="10" width="9.140625" style="384" hidden="1" customWidth="1" outlineLevel="1"/>
    <col min="11" max="11" width="42.42578125" style="384" hidden="1" customWidth="1" outlineLevel="1"/>
    <col min="12" max="12" width="41.140625" style="384" hidden="1" customWidth="1" outlineLevel="1"/>
    <col min="13" max="13" width="25.28515625" style="384" hidden="1" customWidth="1" outlineLevel="1"/>
    <col min="14" max="14" width="28.7109375" style="384" hidden="1" customWidth="1" outlineLevel="1"/>
    <col min="15" max="15" width="24.42578125" style="384" hidden="1" customWidth="1" outlineLevel="1"/>
    <col min="16" max="16" width="23" style="384" hidden="1" customWidth="1" outlineLevel="1"/>
    <col min="17" max="18" width="9.140625" style="384" hidden="1" customWidth="1" outlineLevel="1"/>
    <col min="19" max="19" width="56.42578125" style="384" hidden="1" customWidth="1" outlineLevel="1"/>
    <col min="20" max="20" width="47" style="384" hidden="1" customWidth="1" outlineLevel="1"/>
    <col min="21" max="21" width="46.85546875" style="384" hidden="1" customWidth="1" outlineLevel="1"/>
    <col min="22" max="23" width="9.140625" style="384" hidden="1" customWidth="1" outlineLevel="1"/>
    <col min="24" max="24" width="9.140625" style="384" collapsed="1"/>
    <col min="25" max="51" width="9.140625" style="384"/>
    <col min="52" max="52" width="10.42578125" style="384" customWidth="1"/>
    <col min="53" max="53" width="42.42578125" style="384" bestFit="1" customWidth="1"/>
    <col min="54" max="54" width="23.85546875" style="384" bestFit="1" customWidth="1"/>
    <col min="55" max="55" width="23" style="384" bestFit="1" customWidth="1"/>
    <col min="56" max="56" width="9.140625" style="384"/>
    <col min="57" max="97" width="9.140625" style="384" customWidth="1"/>
    <col min="98" max="16384" width="9.140625" style="384"/>
  </cols>
  <sheetData>
    <row r="1" spans="1:58">
      <c r="A1" s="1" t="s">
        <v>8</v>
      </c>
    </row>
    <row r="3" spans="1:58">
      <c r="C3"/>
      <c r="D3"/>
    </row>
    <row r="4" spans="1:58">
      <c r="C4" s="238" t="s">
        <v>9</v>
      </c>
      <c r="D4" s="384" t="s">
        <v>30</v>
      </c>
      <c r="BF4" s="1"/>
    </row>
    <row r="6" spans="1:58" s="269" customFormat="1" ht="15.75" thickBot="1">
      <c r="C6" s="462" t="s">
        <v>51</v>
      </c>
      <c r="D6" s="462" t="s">
        <v>36</v>
      </c>
      <c r="E6" s="462" t="s">
        <v>11</v>
      </c>
      <c r="F6" s="462" t="s">
        <v>49</v>
      </c>
      <c r="G6" s="460" t="s">
        <v>944</v>
      </c>
      <c r="H6" s="269" t="s">
        <v>945</v>
      </c>
      <c r="K6" s="458" t="s">
        <v>51</v>
      </c>
      <c r="L6" s="458" t="s">
        <v>36</v>
      </c>
      <c r="M6" s="458" t="s">
        <v>11</v>
      </c>
      <c r="N6" s="458" t="s">
        <v>49</v>
      </c>
      <c r="O6" s="458" t="s">
        <v>944</v>
      </c>
      <c r="P6" s="458" t="s">
        <v>945</v>
      </c>
      <c r="S6" s="238" t="s">
        <v>12</v>
      </c>
      <c r="T6" s="384" t="s">
        <v>1286</v>
      </c>
      <c r="U6" s="384" t="s">
        <v>1287</v>
      </c>
    </row>
    <row r="7" spans="1:58" ht="16.5" thickTop="1" thickBot="1">
      <c r="C7" s="384" t="s">
        <v>24</v>
      </c>
      <c r="D7"/>
      <c r="E7"/>
      <c r="F7"/>
      <c r="G7" s="353"/>
      <c r="H7" s="353"/>
      <c r="I7" s="353"/>
      <c r="K7" s="457" t="str">
        <f>IF(C7=0,K6,C7)</f>
        <v>CFL</v>
      </c>
      <c r="L7" s="457" t="str">
        <f>IF(D7=0,L6,D7)</f>
        <v>Lighting Application</v>
      </c>
      <c r="M7" s="457" t="str">
        <f>IF(E7=0,M6,E7)</f>
        <v>Building Sub-Sector</v>
      </c>
      <c r="N7" s="457" t="str">
        <f>IF(F7=0,N6,F7)</f>
        <v>Baseline Lighting</v>
      </c>
      <c r="O7" s="461">
        <f t="shared" ref="O7:O38" si="0">G7</f>
        <v>0</v>
      </c>
      <c r="P7" s="461">
        <f t="shared" ref="P7:P38" si="1">H7</f>
        <v>0</v>
      </c>
      <c r="S7" s="239" t="s">
        <v>101</v>
      </c>
      <c r="T7" s="353">
        <v>816.3100552849312</v>
      </c>
      <c r="U7" s="353">
        <v>729.27397585578365</v>
      </c>
    </row>
    <row r="8" spans="1:58" ht="16.5" thickTop="1" thickBot="1">
      <c r="C8"/>
      <c r="D8" s="384" t="s">
        <v>1231</v>
      </c>
      <c r="E8"/>
      <c r="F8"/>
      <c r="G8" s="353"/>
      <c r="H8" s="353"/>
      <c r="I8" s="353"/>
      <c r="K8" s="457" t="str">
        <f t="shared" ref="K8:K39" si="2">IF(C8=0,K7,C8)</f>
        <v>CFL</v>
      </c>
      <c r="L8" s="457" t="str">
        <f t="shared" ref="L8:L39" si="3">IF(D8=0,L7,D8)</f>
        <v>Bldg Façade, Landscape, Service Canopies, and Stadium/Athletic Field Lighting</v>
      </c>
      <c r="M8" s="457" t="str">
        <f t="shared" ref="M8:M39" si="4">IF(E8=0,M7,E8)</f>
        <v>Building Sub-Sector</v>
      </c>
      <c r="N8" s="457" t="str">
        <f t="shared" ref="N8:N71" si="5">IF(F8=0,N7,F8)</f>
        <v>Baseline Lighting</v>
      </c>
      <c r="O8" s="461">
        <f t="shared" si="0"/>
        <v>0</v>
      </c>
      <c r="P8" s="461">
        <f t="shared" si="1"/>
        <v>0</v>
      </c>
      <c r="S8" s="239" t="s">
        <v>95</v>
      </c>
      <c r="T8" s="353">
        <v>741.85226571270744</v>
      </c>
      <c r="U8" s="353">
        <v>476.88210287968695</v>
      </c>
    </row>
    <row r="9" spans="1:58" ht="16.5" thickTop="1" thickBot="1">
      <c r="C9"/>
      <c r="D9"/>
      <c r="E9" s="384" t="s">
        <v>1185</v>
      </c>
      <c r="F9"/>
      <c r="G9" s="353"/>
      <c r="H9" s="353"/>
      <c r="I9" s="353"/>
      <c r="K9" s="457" t="str">
        <f t="shared" si="2"/>
        <v>CFL</v>
      </c>
      <c r="L9" s="457" t="str">
        <f t="shared" si="3"/>
        <v>Bldg Façade, Landscape, Service Canopies, and Stadium/Athletic Field Lighting</v>
      </c>
      <c r="M9" s="457" t="str">
        <f t="shared" si="4"/>
        <v>Outdoor Lighting</v>
      </c>
      <c r="N9" s="457" t="str">
        <f t="shared" si="5"/>
        <v>Baseline Lighting</v>
      </c>
      <c r="O9" s="461">
        <f t="shared" si="0"/>
        <v>0</v>
      </c>
      <c r="P9" s="461">
        <f t="shared" si="1"/>
        <v>0</v>
      </c>
      <c r="S9" s="239" t="s">
        <v>119</v>
      </c>
      <c r="T9" s="353">
        <v>17.623145389498774</v>
      </c>
      <c r="U9" s="353">
        <v>26.164223294548872</v>
      </c>
    </row>
    <row r="10" spans="1:58" ht="16.5" thickTop="1" thickBot="1">
      <c r="C10"/>
      <c r="D10"/>
      <c r="E10"/>
      <c r="F10" s="384" t="s">
        <v>26</v>
      </c>
      <c r="G10" s="353">
        <v>50.887258365180223</v>
      </c>
      <c r="H10" s="353">
        <v>23.147258299710817</v>
      </c>
      <c r="I10" s="353"/>
      <c r="K10" s="457" t="str">
        <f t="shared" si="2"/>
        <v>CFL</v>
      </c>
      <c r="L10" s="457" t="str">
        <f t="shared" si="3"/>
        <v>Bldg Façade, Landscape, Service Canopies, and Stadium/Athletic Field Lighting</v>
      </c>
      <c r="M10" s="457" t="str">
        <f t="shared" si="4"/>
        <v>Outdoor Lighting</v>
      </c>
      <c r="N10" s="457" t="str">
        <f t="shared" si="5"/>
        <v>Incandescent</v>
      </c>
      <c r="O10" s="461">
        <f t="shared" si="0"/>
        <v>50.887258365180223</v>
      </c>
      <c r="P10" s="461">
        <f t="shared" si="1"/>
        <v>23.147258299710817</v>
      </c>
      <c r="S10" s="239" t="s">
        <v>960</v>
      </c>
      <c r="T10" s="353">
        <v>210.61080067398154</v>
      </c>
      <c r="U10" s="353">
        <v>328.42883176174308</v>
      </c>
    </row>
    <row r="11" spans="1:58" ht="16.5" thickTop="1" thickBot="1">
      <c r="C11"/>
      <c r="D11"/>
      <c r="E11"/>
      <c r="F11" s="384" t="s">
        <v>846</v>
      </c>
      <c r="G11" s="353">
        <v>55.894140269319408</v>
      </c>
      <c r="H11" s="353">
        <v>26.742842213837445</v>
      </c>
      <c r="I11" s="353"/>
      <c r="K11" s="457" t="str">
        <f t="shared" si="2"/>
        <v>CFL</v>
      </c>
      <c r="L11" s="457" t="str">
        <f t="shared" si="3"/>
        <v>Bldg Façade, Landscape, Service Canopies, and Stadium/Athletic Field Lighting</v>
      </c>
      <c r="M11" s="457" t="str">
        <f t="shared" si="4"/>
        <v>Outdoor Lighting</v>
      </c>
      <c r="N11" s="457" t="str">
        <f t="shared" si="5"/>
        <v xml:space="preserve">Halogen </v>
      </c>
      <c r="O11" s="461">
        <f t="shared" si="0"/>
        <v>55.894140269319408</v>
      </c>
      <c r="P11" s="461">
        <f t="shared" si="1"/>
        <v>26.742842213837445</v>
      </c>
      <c r="S11" s="239" t="s">
        <v>1013</v>
      </c>
      <c r="T11" s="353">
        <v>4.3527117066497425</v>
      </c>
      <c r="U11" s="353">
        <v>0</v>
      </c>
    </row>
    <row r="12" spans="1:58" ht="16.5" thickTop="1" thickBot="1">
      <c r="C12" s="384" t="s">
        <v>101</v>
      </c>
      <c r="D12"/>
      <c r="E12"/>
      <c r="F12"/>
      <c r="G12" s="353"/>
      <c r="H12" s="353"/>
      <c r="I12" s="353"/>
      <c r="K12" s="457" t="str">
        <f t="shared" si="2"/>
        <v>Induction</v>
      </c>
      <c r="L12" s="457" t="str">
        <f t="shared" si="3"/>
        <v>Bldg Façade, Landscape, Service Canopies, and Stadium/Athletic Field Lighting</v>
      </c>
      <c r="M12" s="457" t="str">
        <f t="shared" si="4"/>
        <v>Outdoor Lighting</v>
      </c>
      <c r="N12" s="457" t="str">
        <f t="shared" si="5"/>
        <v xml:space="preserve">Halogen </v>
      </c>
      <c r="O12" s="461">
        <f t="shared" si="0"/>
        <v>0</v>
      </c>
      <c r="P12" s="461">
        <f t="shared" si="1"/>
        <v>0</v>
      </c>
      <c r="S12" s="239" t="s">
        <v>24</v>
      </c>
      <c r="T12" s="353">
        <v>106.78139863449962</v>
      </c>
      <c r="U12" s="353">
        <v>49.890100513548262</v>
      </c>
    </row>
    <row r="13" spans="1:58" ht="16.5" thickTop="1" thickBot="1">
      <c r="C13"/>
      <c r="D13" s="384" t="s">
        <v>116</v>
      </c>
      <c r="E13"/>
      <c r="F13"/>
      <c r="G13" s="353"/>
      <c r="H13" s="353"/>
      <c r="I13" s="353"/>
      <c r="K13" s="457" t="str">
        <f t="shared" si="2"/>
        <v>Induction</v>
      </c>
      <c r="L13" s="457" t="str">
        <f t="shared" si="3"/>
        <v>Street Lights</v>
      </c>
      <c r="M13" s="457" t="str">
        <f t="shared" si="4"/>
        <v>Outdoor Lighting</v>
      </c>
      <c r="N13" s="457" t="str">
        <f t="shared" si="5"/>
        <v xml:space="preserve">Halogen </v>
      </c>
      <c r="O13" s="461">
        <f t="shared" si="0"/>
        <v>0</v>
      </c>
      <c r="P13" s="461">
        <f t="shared" si="1"/>
        <v>0</v>
      </c>
      <c r="S13" s="239" t="s">
        <v>15</v>
      </c>
      <c r="T13" s="353">
        <v>392.07091977140414</v>
      </c>
      <c r="U13" s="353">
        <v>265.56247070364111</v>
      </c>
    </row>
    <row r="14" spans="1:58" ht="16.5" thickTop="1" thickBot="1">
      <c r="C14"/>
      <c r="D14"/>
      <c r="E14" s="384" t="s">
        <v>115</v>
      </c>
      <c r="F14"/>
      <c r="G14" s="353"/>
      <c r="H14" s="353"/>
      <c r="I14" s="353"/>
      <c r="K14" s="457" t="str">
        <f t="shared" si="2"/>
        <v>Induction</v>
      </c>
      <c r="L14" s="457" t="str">
        <f t="shared" si="3"/>
        <v>Street Lights</v>
      </c>
      <c r="M14" s="457" t="str">
        <f t="shared" si="4"/>
        <v>Roadway</v>
      </c>
      <c r="N14" s="457" t="str">
        <f t="shared" si="5"/>
        <v xml:space="preserve">Halogen </v>
      </c>
      <c r="O14" s="461">
        <f t="shared" si="0"/>
        <v>0</v>
      </c>
      <c r="P14" s="461">
        <f t="shared" si="1"/>
        <v>0</v>
      </c>
      <c r="S14" s="239" t="s">
        <v>995</v>
      </c>
      <c r="T14" s="353">
        <v>381.03704352504423</v>
      </c>
      <c r="U14" s="353">
        <v>462.37154012749829</v>
      </c>
    </row>
    <row r="15" spans="1:58" ht="16.5" thickTop="1" thickBot="1">
      <c r="C15"/>
      <c r="D15"/>
      <c r="E15"/>
      <c r="F15" s="384" t="s">
        <v>1245</v>
      </c>
      <c r="G15" s="353">
        <v>12.444182897802689</v>
      </c>
      <c r="H15" s="353">
        <v>34.534955899616762</v>
      </c>
      <c r="I15" s="353"/>
      <c r="K15" s="457" t="str">
        <f t="shared" si="2"/>
        <v>Induction</v>
      </c>
      <c r="L15" s="457" t="str">
        <f t="shared" si="3"/>
        <v>Street Lights</v>
      </c>
      <c r="M15" s="457" t="str">
        <f t="shared" si="4"/>
        <v>Roadway</v>
      </c>
      <c r="N15" s="457" t="str">
        <f t="shared" si="5"/>
        <v>MH (Std, PS, CMH)</v>
      </c>
      <c r="O15" s="461">
        <f t="shared" si="0"/>
        <v>12.444182897802689</v>
      </c>
      <c r="P15" s="461">
        <f t="shared" si="1"/>
        <v>34.534955899616762</v>
      </c>
      <c r="S15" s="239" t="s">
        <v>1270</v>
      </c>
      <c r="T15" s="353">
        <v>1246.47169315221</v>
      </c>
      <c r="U15" s="353">
        <v>488.68361613421598</v>
      </c>
    </row>
    <row r="16" spans="1:58" ht="16.5" thickTop="1" thickBot="1">
      <c r="C16"/>
      <c r="D16"/>
      <c r="E16"/>
      <c r="F16" s="384" t="s">
        <v>1256</v>
      </c>
      <c r="G16" s="353">
        <v>318.01034413387765</v>
      </c>
      <c r="H16" s="353">
        <v>295.66460709389031</v>
      </c>
      <c r="I16" s="353"/>
      <c r="K16" s="457" t="str">
        <f t="shared" si="2"/>
        <v>Induction</v>
      </c>
      <c r="L16" s="457" t="str">
        <f t="shared" si="3"/>
        <v>Street Lights</v>
      </c>
      <c r="M16" s="457" t="str">
        <f t="shared" si="4"/>
        <v>Roadway</v>
      </c>
      <c r="N16" s="457" t="str">
        <f t="shared" si="5"/>
        <v>HPS/MV</v>
      </c>
      <c r="O16" s="461">
        <f t="shared" si="0"/>
        <v>318.01034413387765</v>
      </c>
      <c r="P16" s="461">
        <f t="shared" si="1"/>
        <v>295.66460709389031</v>
      </c>
      <c r="S16" s="239" t="s">
        <v>1271</v>
      </c>
      <c r="T16" s="353">
        <v>48.992918547907145</v>
      </c>
      <c r="U16" s="353">
        <v>34.534955899616762</v>
      </c>
    </row>
    <row r="17" spans="3:21" ht="16.5" thickTop="1" thickBot="1">
      <c r="C17"/>
      <c r="D17" s="384" t="s">
        <v>1172</v>
      </c>
      <c r="E17"/>
      <c r="F17"/>
      <c r="G17" s="353"/>
      <c r="H17" s="353"/>
      <c r="I17" s="353"/>
      <c r="K17" s="457" t="str">
        <f t="shared" si="2"/>
        <v>Induction</v>
      </c>
      <c r="L17" s="457" t="str">
        <f t="shared" si="3"/>
        <v>Parking Lot</v>
      </c>
      <c r="M17" s="457" t="str">
        <f t="shared" si="4"/>
        <v>Roadway</v>
      </c>
      <c r="N17" s="457" t="str">
        <f t="shared" si="5"/>
        <v>HPS/MV</v>
      </c>
      <c r="O17" s="461">
        <f t="shared" si="0"/>
        <v>0</v>
      </c>
      <c r="P17" s="461">
        <f t="shared" si="1"/>
        <v>0</v>
      </c>
      <c r="S17" s="239" t="s">
        <v>18</v>
      </c>
      <c r="T17" s="353">
        <v>3966.1029523988341</v>
      </c>
      <c r="U17" s="353">
        <v>2861.7918171702831</v>
      </c>
    </row>
    <row r="18" spans="3:21" ht="16.5" thickTop="1" thickBot="1">
      <c r="C18"/>
      <c r="D18"/>
      <c r="E18" s="384" t="s">
        <v>1185</v>
      </c>
      <c r="F18"/>
      <c r="G18" s="353"/>
      <c r="H18" s="353"/>
      <c r="I18" s="353"/>
      <c r="K18" s="457" t="str">
        <f t="shared" si="2"/>
        <v>Induction</v>
      </c>
      <c r="L18" s="457" t="str">
        <f t="shared" si="3"/>
        <v>Parking Lot</v>
      </c>
      <c r="M18" s="457" t="str">
        <f t="shared" si="4"/>
        <v>Outdoor Lighting</v>
      </c>
      <c r="N18" s="457" t="str">
        <f t="shared" si="5"/>
        <v>HPS/MV</v>
      </c>
      <c r="O18" s="461">
        <f t="shared" si="0"/>
        <v>0</v>
      </c>
      <c r="P18" s="461">
        <f t="shared" si="1"/>
        <v>0</v>
      </c>
      <c r="S18"/>
      <c r="T18"/>
      <c r="U18"/>
    </row>
    <row r="19" spans="3:21" ht="16.5" thickTop="1" thickBot="1">
      <c r="C19"/>
      <c r="D19"/>
      <c r="E19"/>
      <c r="F19" s="384" t="s">
        <v>1245</v>
      </c>
      <c r="G19" s="353">
        <v>182.48540012508693</v>
      </c>
      <c r="H19" s="353">
        <v>180.5897602419042</v>
      </c>
      <c r="I19" s="353"/>
      <c r="K19" s="457" t="str">
        <f t="shared" si="2"/>
        <v>Induction</v>
      </c>
      <c r="L19" s="457" t="str">
        <f t="shared" si="3"/>
        <v>Parking Lot</v>
      </c>
      <c r="M19" s="457" t="str">
        <f t="shared" si="4"/>
        <v>Outdoor Lighting</v>
      </c>
      <c r="N19" s="457" t="str">
        <f t="shared" si="5"/>
        <v>MH (Std, PS, CMH)</v>
      </c>
      <c r="O19" s="461">
        <f t="shared" si="0"/>
        <v>182.48540012508693</v>
      </c>
      <c r="P19" s="461">
        <f t="shared" si="1"/>
        <v>180.5897602419042</v>
      </c>
      <c r="S19"/>
      <c r="T19"/>
      <c r="U19"/>
    </row>
    <row r="20" spans="3:21" ht="16.5" thickTop="1" thickBot="1">
      <c r="C20"/>
      <c r="D20"/>
      <c r="E20"/>
      <c r="F20" s="384" t="s">
        <v>1256</v>
      </c>
      <c r="G20" s="353">
        <v>110.70016904852906</v>
      </c>
      <c r="H20" s="353">
        <v>107.84283253092892</v>
      </c>
      <c r="I20" s="353"/>
      <c r="K20" s="457" t="str">
        <f t="shared" si="2"/>
        <v>Induction</v>
      </c>
      <c r="L20" s="457" t="str">
        <f t="shared" si="3"/>
        <v>Parking Lot</v>
      </c>
      <c r="M20" s="457" t="str">
        <f t="shared" si="4"/>
        <v>Outdoor Lighting</v>
      </c>
      <c r="N20" s="457" t="str">
        <f t="shared" si="5"/>
        <v>HPS/MV</v>
      </c>
      <c r="O20" s="461">
        <f t="shared" si="0"/>
        <v>110.70016904852906</v>
      </c>
      <c r="P20" s="461">
        <f t="shared" si="1"/>
        <v>107.84283253092892</v>
      </c>
      <c r="S20"/>
      <c r="T20"/>
      <c r="U20"/>
    </row>
    <row r="21" spans="3:21" ht="16.5" thickTop="1" thickBot="1">
      <c r="C21"/>
      <c r="D21" s="384" t="s">
        <v>1231</v>
      </c>
      <c r="E21"/>
      <c r="F21"/>
      <c r="G21" s="353"/>
      <c r="H21" s="353"/>
      <c r="I21" s="353"/>
      <c r="K21" s="457" t="str">
        <f t="shared" si="2"/>
        <v>Induction</v>
      </c>
      <c r="L21" s="457" t="str">
        <f t="shared" si="3"/>
        <v>Bldg Façade, Landscape, Service Canopies, and Stadium/Athletic Field Lighting</v>
      </c>
      <c r="M21" s="457" t="str">
        <f t="shared" si="4"/>
        <v>Outdoor Lighting</v>
      </c>
      <c r="N21" s="457" t="str">
        <f t="shared" si="5"/>
        <v>HPS/MV</v>
      </c>
      <c r="O21" s="461">
        <f t="shared" si="0"/>
        <v>0</v>
      </c>
      <c r="P21" s="461">
        <f t="shared" si="1"/>
        <v>0</v>
      </c>
      <c r="S21"/>
      <c r="T21"/>
      <c r="U21"/>
    </row>
    <row r="22" spans="3:21" ht="16.5" thickTop="1" thickBot="1">
      <c r="C22"/>
      <c r="D22"/>
      <c r="E22" s="384" t="s">
        <v>1185</v>
      </c>
      <c r="F22"/>
      <c r="G22" s="353"/>
      <c r="H22" s="353"/>
      <c r="I22" s="353"/>
      <c r="K22" s="457" t="str">
        <f t="shared" si="2"/>
        <v>Induction</v>
      </c>
      <c r="L22" s="457" t="str">
        <f t="shared" si="3"/>
        <v>Bldg Façade, Landscape, Service Canopies, and Stadium/Athletic Field Lighting</v>
      </c>
      <c r="M22" s="457" t="str">
        <f t="shared" si="4"/>
        <v>Outdoor Lighting</v>
      </c>
      <c r="N22" s="457" t="str">
        <f t="shared" si="5"/>
        <v>HPS/MV</v>
      </c>
      <c r="O22" s="461">
        <f t="shared" si="0"/>
        <v>0</v>
      </c>
      <c r="P22" s="461">
        <f t="shared" si="1"/>
        <v>0</v>
      </c>
      <c r="S22"/>
      <c r="T22"/>
      <c r="U22"/>
    </row>
    <row r="23" spans="3:21" ht="16.5" thickTop="1" thickBot="1">
      <c r="C23"/>
      <c r="D23"/>
      <c r="E23"/>
      <c r="F23" s="384" t="s">
        <v>1245</v>
      </c>
      <c r="G23" s="353">
        <v>164.26787346799742</v>
      </c>
      <c r="H23" s="353">
        <v>86.312675486381124</v>
      </c>
      <c r="I23" s="353"/>
      <c r="K23" s="457" t="str">
        <f t="shared" si="2"/>
        <v>Induction</v>
      </c>
      <c r="L23" s="457" t="str">
        <f t="shared" si="3"/>
        <v>Bldg Façade, Landscape, Service Canopies, and Stadium/Athletic Field Lighting</v>
      </c>
      <c r="M23" s="457" t="str">
        <f t="shared" si="4"/>
        <v>Outdoor Lighting</v>
      </c>
      <c r="N23" s="457" t="str">
        <f t="shared" si="5"/>
        <v>MH (Std, PS, CMH)</v>
      </c>
      <c r="O23" s="461">
        <f t="shared" si="0"/>
        <v>164.26787346799742</v>
      </c>
      <c r="P23" s="461">
        <f t="shared" si="1"/>
        <v>86.312675486381124</v>
      </c>
      <c r="S23"/>
      <c r="T23"/>
      <c r="U23"/>
    </row>
    <row r="24" spans="3:21" ht="16.5" thickTop="1" thickBot="1">
      <c r="C24"/>
      <c r="D24"/>
      <c r="E24"/>
      <c r="F24" s="384" t="s">
        <v>1256</v>
      </c>
      <c r="G24" s="353">
        <v>28.402085611637542</v>
      </c>
      <c r="H24" s="353">
        <v>24.329144603062353</v>
      </c>
      <c r="I24" s="353"/>
      <c r="K24" s="457" t="str">
        <f t="shared" si="2"/>
        <v>Induction</v>
      </c>
      <c r="L24" s="457" t="str">
        <f t="shared" si="3"/>
        <v>Bldg Façade, Landscape, Service Canopies, and Stadium/Athletic Field Lighting</v>
      </c>
      <c r="M24" s="457" t="str">
        <f t="shared" si="4"/>
        <v>Outdoor Lighting</v>
      </c>
      <c r="N24" s="457" t="str">
        <f t="shared" si="5"/>
        <v>HPS/MV</v>
      </c>
      <c r="O24" s="461">
        <f t="shared" si="0"/>
        <v>28.402085611637542</v>
      </c>
      <c r="P24" s="461">
        <f t="shared" si="1"/>
        <v>24.329144603062353</v>
      </c>
      <c r="S24"/>
      <c r="T24"/>
      <c r="U24"/>
    </row>
    <row r="25" spans="3:21" ht="16.5" thickTop="1" thickBot="1">
      <c r="C25" s="384" t="s">
        <v>95</v>
      </c>
      <c r="D25"/>
      <c r="E25"/>
      <c r="F25"/>
      <c r="G25" s="353"/>
      <c r="H25" s="353"/>
      <c r="I25" s="353"/>
      <c r="K25" s="457" t="str">
        <f t="shared" si="2"/>
        <v>LED</v>
      </c>
      <c r="L25" s="457" t="str">
        <f t="shared" si="3"/>
        <v>Bldg Façade, Landscape, Service Canopies, and Stadium/Athletic Field Lighting</v>
      </c>
      <c r="M25" s="457" t="str">
        <f t="shared" si="4"/>
        <v>Outdoor Lighting</v>
      </c>
      <c r="N25" s="457" t="str">
        <f t="shared" si="5"/>
        <v>HPS/MV</v>
      </c>
      <c r="O25" s="461">
        <f t="shared" si="0"/>
        <v>0</v>
      </c>
      <c r="P25" s="461">
        <f t="shared" si="1"/>
        <v>0</v>
      </c>
      <c r="S25"/>
      <c r="T25"/>
      <c r="U25"/>
    </row>
    <row r="26" spans="3:21" ht="16.5" thickTop="1" thickBot="1">
      <c r="C26"/>
      <c r="D26" s="384" t="s">
        <v>116</v>
      </c>
      <c r="E26"/>
      <c r="F26"/>
      <c r="G26" s="353"/>
      <c r="H26" s="353"/>
      <c r="I26" s="353"/>
      <c r="K26" s="457" t="str">
        <f t="shared" si="2"/>
        <v>LED</v>
      </c>
      <c r="L26" s="457" t="str">
        <f t="shared" si="3"/>
        <v>Street Lights</v>
      </c>
      <c r="M26" s="457" t="str">
        <f t="shared" si="4"/>
        <v>Outdoor Lighting</v>
      </c>
      <c r="N26" s="457" t="str">
        <f t="shared" si="5"/>
        <v>HPS/MV</v>
      </c>
      <c r="O26" s="461">
        <f t="shared" si="0"/>
        <v>0</v>
      </c>
      <c r="P26" s="461">
        <f t="shared" si="1"/>
        <v>0</v>
      </c>
      <c r="S26"/>
      <c r="T26"/>
      <c r="U26"/>
    </row>
    <row r="27" spans="3:21" ht="16.5" thickTop="1" thickBot="1">
      <c r="C27"/>
      <c r="D27"/>
      <c r="E27" s="384" t="s">
        <v>115</v>
      </c>
      <c r="F27"/>
      <c r="G27" s="353"/>
      <c r="H27" s="353"/>
      <c r="I27" s="353"/>
      <c r="K27" s="457" t="str">
        <f t="shared" si="2"/>
        <v>LED</v>
      </c>
      <c r="L27" s="457" t="str">
        <f t="shared" si="3"/>
        <v>Street Lights</v>
      </c>
      <c r="M27" s="457" t="str">
        <f t="shared" si="4"/>
        <v>Roadway</v>
      </c>
      <c r="N27" s="457" t="str">
        <f t="shared" si="5"/>
        <v>HPS/MV</v>
      </c>
      <c r="O27" s="461">
        <f t="shared" si="0"/>
        <v>0</v>
      </c>
      <c r="P27" s="461">
        <f t="shared" si="1"/>
        <v>0</v>
      </c>
      <c r="S27"/>
      <c r="T27"/>
      <c r="U27"/>
    </row>
    <row r="28" spans="3:21" ht="16.5" thickTop="1" thickBot="1">
      <c r="C28"/>
      <c r="D28"/>
      <c r="E28"/>
      <c r="F28" s="384" t="s">
        <v>1256</v>
      </c>
      <c r="G28" s="353">
        <v>571.42332047275454</v>
      </c>
      <c r="H28" s="353">
        <v>295.66460709389031</v>
      </c>
      <c r="I28" s="353"/>
      <c r="K28" s="457" t="str">
        <f t="shared" si="2"/>
        <v>LED</v>
      </c>
      <c r="L28" s="457" t="str">
        <f t="shared" si="3"/>
        <v>Street Lights</v>
      </c>
      <c r="M28" s="457" t="str">
        <f t="shared" si="4"/>
        <v>Roadway</v>
      </c>
      <c r="N28" s="457" t="str">
        <f t="shared" si="5"/>
        <v>HPS/MV</v>
      </c>
      <c r="O28" s="461">
        <f t="shared" si="0"/>
        <v>571.42332047275454</v>
      </c>
      <c r="P28" s="461">
        <f t="shared" si="1"/>
        <v>295.66460709389031</v>
      </c>
      <c r="S28"/>
      <c r="T28"/>
      <c r="U28"/>
    </row>
    <row r="29" spans="3:21" ht="16.5" thickTop="1" thickBot="1">
      <c r="C29"/>
      <c r="D29" s="384" t="s">
        <v>1043</v>
      </c>
      <c r="E29"/>
      <c r="F29"/>
      <c r="G29" s="353"/>
      <c r="H29" s="353"/>
      <c r="I29" s="353"/>
      <c r="K29" s="457" t="str">
        <f t="shared" si="2"/>
        <v>LED</v>
      </c>
      <c r="L29" s="457" t="str">
        <f t="shared" si="3"/>
        <v>Parking Garage</v>
      </c>
      <c r="M29" s="457" t="str">
        <f t="shared" si="4"/>
        <v>Roadway</v>
      </c>
      <c r="N29" s="457" t="str">
        <f t="shared" si="5"/>
        <v>HPS/MV</v>
      </c>
      <c r="O29" s="461">
        <f t="shared" si="0"/>
        <v>0</v>
      </c>
      <c r="P29" s="461">
        <f t="shared" si="1"/>
        <v>0</v>
      </c>
      <c r="S29"/>
      <c r="T29"/>
      <c r="U29"/>
    </row>
    <row r="30" spans="3:21" ht="16.5" thickTop="1" thickBot="1">
      <c r="C30"/>
      <c r="D30"/>
      <c r="E30" s="384" t="s">
        <v>1185</v>
      </c>
      <c r="F30"/>
      <c r="G30" s="353"/>
      <c r="H30" s="353"/>
      <c r="I30" s="353"/>
      <c r="K30" s="457" t="str">
        <f t="shared" si="2"/>
        <v>LED</v>
      </c>
      <c r="L30" s="457" t="str">
        <f t="shared" si="3"/>
        <v>Parking Garage</v>
      </c>
      <c r="M30" s="457" t="str">
        <f t="shared" si="4"/>
        <v>Outdoor Lighting</v>
      </c>
      <c r="N30" s="457" t="str">
        <f t="shared" si="5"/>
        <v>HPS/MV</v>
      </c>
      <c r="O30" s="461">
        <f t="shared" si="0"/>
        <v>0</v>
      </c>
      <c r="P30" s="461">
        <f t="shared" si="1"/>
        <v>0</v>
      </c>
      <c r="S30"/>
      <c r="T30"/>
      <c r="U30"/>
    </row>
    <row r="31" spans="3:21" ht="16.5" thickTop="1" thickBot="1">
      <c r="C31"/>
      <c r="D31"/>
      <c r="E31"/>
      <c r="F31" s="384" t="s">
        <v>24</v>
      </c>
      <c r="G31" s="353">
        <v>66.579448253517512</v>
      </c>
      <c r="H31" s="353">
        <v>96.484360469121199</v>
      </c>
      <c r="I31" s="353"/>
      <c r="K31" s="457" t="str">
        <f t="shared" si="2"/>
        <v>LED</v>
      </c>
      <c r="L31" s="457" t="str">
        <f t="shared" si="3"/>
        <v>Parking Garage</v>
      </c>
      <c r="M31" s="457" t="str">
        <f t="shared" si="4"/>
        <v>Outdoor Lighting</v>
      </c>
      <c r="N31" s="457" t="str">
        <f t="shared" si="5"/>
        <v>CFL</v>
      </c>
      <c r="O31" s="461">
        <f t="shared" si="0"/>
        <v>66.579448253517512</v>
      </c>
      <c r="P31" s="461">
        <f t="shared" si="1"/>
        <v>96.484360469121199</v>
      </c>
      <c r="S31"/>
      <c r="T31"/>
      <c r="U31"/>
    </row>
    <row r="32" spans="3:21" ht="16.5" thickTop="1" thickBot="1">
      <c r="C32"/>
      <c r="D32" s="384" t="s">
        <v>1231</v>
      </c>
      <c r="E32"/>
      <c r="F32"/>
      <c r="G32" s="353"/>
      <c r="H32" s="353"/>
      <c r="I32" s="353"/>
      <c r="K32" s="457" t="str">
        <f t="shared" si="2"/>
        <v>LED</v>
      </c>
      <c r="L32" s="457" t="str">
        <f t="shared" si="3"/>
        <v>Bldg Façade, Landscape, Service Canopies, and Stadium/Athletic Field Lighting</v>
      </c>
      <c r="M32" s="457" t="str">
        <f t="shared" si="4"/>
        <v>Outdoor Lighting</v>
      </c>
      <c r="N32" s="457" t="str">
        <f t="shared" si="5"/>
        <v>CFL</v>
      </c>
      <c r="O32" s="461">
        <f t="shared" si="0"/>
        <v>0</v>
      </c>
      <c r="P32" s="461">
        <f t="shared" si="1"/>
        <v>0</v>
      </c>
      <c r="S32"/>
      <c r="T32"/>
      <c r="U32"/>
    </row>
    <row r="33" spans="3:16" ht="16.5" thickTop="1" thickBot="1">
      <c r="C33"/>
      <c r="D33"/>
      <c r="E33" s="384" t="s">
        <v>1185</v>
      </c>
      <c r="F33"/>
      <c r="G33" s="353"/>
      <c r="H33" s="353"/>
      <c r="I33" s="353"/>
      <c r="K33" s="457" t="str">
        <f t="shared" si="2"/>
        <v>LED</v>
      </c>
      <c r="L33" s="457" t="str">
        <f t="shared" si="3"/>
        <v>Bldg Façade, Landscape, Service Canopies, and Stadium/Athletic Field Lighting</v>
      </c>
      <c r="M33" s="457" t="str">
        <f t="shared" si="4"/>
        <v>Outdoor Lighting</v>
      </c>
      <c r="N33" s="457" t="str">
        <f t="shared" si="5"/>
        <v>CFL</v>
      </c>
      <c r="O33" s="461">
        <f t="shared" si="0"/>
        <v>0</v>
      </c>
      <c r="P33" s="461">
        <f t="shared" si="1"/>
        <v>0</v>
      </c>
    </row>
    <row r="34" spans="3:16" ht="16.5" thickTop="1" thickBot="1">
      <c r="C34"/>
      <c r="D34"/>
      <c r="E34"/>
      <c r="F34" s="384" t="s">
        <v>24</v>
      </c>
      <c r="G34" s="353">
        <v>49.714115746881959</v>
      </c>
      <c r="H34" s="353">
        <v>61.585877016964623</v>
      </c>
      <c r="I34" s="353"/>
      <c r="K34" s="457" t="str">
        <f t="shared" si="2"/>
        <v>LED</v>
      </c>
      <c r="L34" s="457" t="str">
        <f t="shared" si="3"/>
        <v>Bldg Façade, Landscape, Service Canopies, and Stadium/Athletic Field Lighting</v>
      </c>
      <c r="M34" s="457" t="str">
        <f t="shared" si="4"/>
        <v>Outdoor Lighting</v>
      </c>
      <c r="N34" s="457" t="str">
        <f t="shared" si="5"/>
        <v>CFL</v>
      </c>
      <c r="O34" s="461">
        <f t="shared" si="0"/>
        <v>49.714115746881959</v>
      </c>
      <c r="P34" s="461">
        <f t="shared" si="1"/>
        <v>61.585877016964623</v>
      </c>
    </row>
    <row r="35" spans="3:16" ht="16.5" thickTop="1" thickBot="1">
      <c r="C35"/>
      <c r="D35"/>
      <c r="E35"/>
      <c r="F35" s="384" t="s">
        <v>26</v>
      </c>
      <c r="G35" s="353">
        <v>54.135381239553432</v>
      </c>
      <c r="H35" s="353">
        <v>23.147258299710817</v>
      </c>
      <c r="I35" s="353"/>
      <c r="K35" s="457" t="str">
        <f t="shared" si="2"/>
        <v>LED</v>
      </c>
      <c r="L35" s="457" t="str">
        <f t="shared" si="3"/>
        <v>Bldg Façade, Landscape, Service Canopies, and Stadium/Athletic Field Lighting</v>
      </c>
      <c r="M35" s="457" t="str">
        <f t="shared" si="4"/>
        <v>Outdoor Lighting</v>
      </c>
      <c r="N35" s="457" t="str">
        <f t="shared" si="5"/>
        <v>Incandescent</v>
      </c>
      <c r="O35" s="461">
        <f t="shared" si="0"/>
        <v>54.135381239553432</v>
      </c>
      <c r="P35" s="461">
        <f t="shared" si="1"/>
        <v>23.147258299710817</v>
      </c>
    </row>
    <row r="36" spans="3:16" ht="16.5" thickTop="1" thickBot="1">
      <c r="C36" s="384" t="s">
        <v>15</v>
      </c>
      <c r="D36"/>
      <c r="E36"/>
      <c r="F36"/>
      <c r="G36" s="353"/>
      <c r="H36" s="353"/>
      <c r="I36" s="353"/>
      <c r="K36" s="457" t="str">
        <f t="shared" si="2"/>
        <v>LED Panel Lighting</v>
      </c>
      <c r="L36" s="457" t="str">
        <f t="shared" si="3"/>
        <v>Bldg Façade, Landscape, Service Canopies, and Stadium/Athletic Field Lighting</v>
      </c>
      <c r="M36" s="457" t="str">
        <f t="shared" si="4"/>
        <v>Outdoor Lighting</v>
      </c>
      <c r="N36" s="457" t="str">
        <f t="shared" si="5"/>
        <v>Incandescent</v>
      </c>
      <c r="O36" s="461">
        <f t="shared" si="0"/>
        <v>0</v>
      </c>
      <c r="P36" s="461">
        <f t="shared" si="1"/>
        <v>0</v>
      </c>
    </row>
    <row r="37" spans="3:16" ht="16.5" thickTop="1" thickBot="1">
      <c r="C37"/>
      <c r="D37" s="384" t="s">
        <v>1043</v>
      </c>
      <c r="E37"/>
      <c r="F37"/>
      <c r="G37" s="353"/>
      <c r="H37" s="353"/>
      <c r="I37" s="353"/>
      <c r="K37" s="457" t="str">
        <f t="shared" si="2"/>
        <v>LED Panel Lighting</v>
      </c>
      <c r="L37" s="457" t="str">
        <f t="shared" si="3"/>
        <v>Parking Garage</v>
      </c>
      <c r="M37" s="457" t="str">
        <f t="shared" si="4"/>
        <v>Outdoor Lighting</v>
      </c>
      <c r="N37" s="457" t="str">
        <f t="shared" si="5"/>
        <v>Incandescent</v>
      </c>
      <c r="O37" s="461">
        <f t="shared" si="0"/>
        <v>0</v>
      </c>
      <c r="P37" s="461">
        <f t="shared" si="1"/>
        <v>0</v>
      </c>
    </row>
    <row r="38" spans="3:16" ht="16.5" hidden="1" outlineLevel="1" thickTop="1" thickBot="1">
      <c r="C38"/>
      <c r="D38"/>
      <c r="E38" s="384" t="s">
        <v>1185</v>
      </c>
      <c r="F38"/>
      <c r="G38" s="353"/>
      <c r="H38" s="353"/>
      <c r="I38" s="353"/>
      <c r="K38" s="457" t="str">
        <f t="shared" si="2"/>
        <v>LED Panel Lighting</v>
      </c>
      <c r="L38" s="457" t="str">
        <f t="shared" si="3"/>
        <v>Parking Garage</v>
      </c>
      <c r="M38" s="457" t="str">
        <f t="shared" si="4"/>
        <v>Outdoor Lighting</v>
      </c>
      <c r="N38" s="457" t="str">
        <f t="shared" si="5"/>
        <v>Incandescent</v>
      </c>
      <c r="O38" s="461">
        <f t="shared" si="0"/>
        <v>0</v>
      </c>
      <c r="P38" s="461">
        <f t="shared" si="1"/>
        <v>0</v>
      </c>
    </row>
    <row r="39" spans="3:16" ht="16.5" hidden="1" outlineLevel="1" thickTop="1" thickBot="1">
      <c r="C39"/>
      <c r="D39"/>
      <c r="E39"/>
      <c r="F39" s="384" t="s">
        <v>27</v>
      </c>
      <c r="G39" s="353">
        <v>392.07091977140414</v>
      </c>
      <c r="H39" s="353">
        <v>265.56247070364111</v>
      </c>
      <c r="I39" s="353"/>
      <c r="K39" s="457" t="str">
        <f t="shared" si="2"/>
        <v>LED Panel Lighting</v>
      </c>
      <c r="L39" s="457" t="str">
        <f t="shared" si="3"/>
        <v>Parking Garage</v>
      </c>
      <c r="M39" s="457" t="str">
        <f t="shared" si="4"/>
        <v>Outdoor Lighting</v>
      </c>
      <c r="N39" s="457" t="str">
        <f t="shared" si="5"/>
        <v>Linear Fluorescent</v>
      </c>
      <c r="O39" s="461">
        <f t="shared" ref="O39:O70" si="6">G39</f>
        <v>392.07091977140414</v>
      </c>
      <c r="P39" s="461">
        <f t="shared" ref="P39:P70" si="7">H39</f>
        <v>265.56247070364111</v>
      </c>
    </row>
    <row r="40" spans="3:16" ht="16.5" hidden="1" outlineLevel="1" thickTop="1" thickBot="1">
      <c r="C40" s="384" t="s">
        <v>119</v>
      </c>
      <c r="D40"/>
      <c r="E40"/>
      <c r="F40"/>
      <c r="G40" s="353"/>
      <c r="H40" s="353"/>
      <c r="I40" s="353"/>
      <c r="K40" s="457" t="str">
        <f t="shared" ref="K40:K71" si="8">IF(C40=0,K39,C40)</f>
        <v>LED Signs</v>
      </c>
      <c r="L40" s="457" t="str">
        <f t="shared" ref="L40:L71" si="9">IF(D40=0,L39,D40)</f>
        <v>Parking Garage</v>
      </c>
      <c r="M40" s="457" t="str">
        <f t="shared" ref="M40:M71" si="10">IF(E40=0,M39,E40)</f>
        <v>Outdoor Lighting</v>
      </c>
      <c r="N40" s="457" t="str">
        <f t="shared" si="5"/>
        <v>Linear Fluorescent</v>
      </c>
      <c r="O40" s="461">
        <f t="shared" si="6"/>
        <v>0</v>
      </c>
      <c r="P40" s="461">
        <f t="shared" si="7"/>
        <v>0</v>
      </c>
    </row>
    <row r="41" spans="3:16" ht="16.5" hidden="1" outlineLevel="1" thickTop="1" thickBot="1">
      <c r="C41"/>
      <c r="D41" s="384" t="s">
        <v>118</v>
      </c>
      <c r="E41"/>
      <c r="F41"/>
      <c r="G41" s="353"/>
      <c r="H41" s="353"/>
      <c r="I41" s="353"/>
      <c r="K41" s="457" t="str">
        <f t="shared" si="8"/>
        <v>LED Signs</v>
      </c>
      <c r="L41" s="457" t="str">
        <f t="shared" si="9"/>
        <v>Signs and Billboards</v>
      </c>
      <c r="M41" s="457" t="str">
        <f t="shared" si="10"/>
        <v>Outdoor Lighting</v>
      </c>
      <c r="N41" s="457" t="str">
        <f t="shared" si="5"/>
        <v>Linear Fluorescent</v>
      </c>
      <c r="O41" s="461">
        <f t="shared" si="6"/>
        <v>0</v>
      </c>
      <c r="P41" s="461">
        <f t="shared" si="7"/>
        <v>0</v>
      </c>
    </row>
    <row r="42" spans="3:16" ht="16.5" hidden="1" outlineLevel="1" thickTop="1" thickBot="1">
      <c r="C42"/>
      <c r="D42"/>
      <c r="E42" s="384" t="s">
        <v>115</v>
      </c>
      <c r="F42"/>
      <c r="G42" s="353"/>
      <c r="H42" s="353"/>
      <c r="I42" s="353"/>
      <c r="K42" s="457" t="str">
        <f t="shared" si="8"/>
        <v>LED Signs</v>
      </c>
      <c r="L42" s="457" t="str">
        <f t="shared" si="9"/>
        <v>Signs and Billboards</v>
      </c>
      <c r="M42" s="457" t="str">
        <f t="shared" si="10"/>
        <v>Roadway</v>
      </c>
      <c r="N42" s="457" t="str">
        <f t="shared" si="5"/>
        <v>Linear Fluorescent</v>
      </c>
      <c r="O42" s="461">
        <f t="shared" si="6"/>
        <v>0</v>
      </c>
      <c r="P42" s="461">
        <f t="shared" si="7"/>
        <v>0</v>
      </c>
    </row>
    <row r="43" spans="3:16" ht="16.5" hidden="1" outlineLevel="1" thickTop="1" thickBot="1">
      <c r="C43"/>
      <c r="D43"/>
      <c r="E43"/>
      <c r="F43" s="384" t="s">
        <v>31</v>
      </c>
      <c r="G43" s="353">
        <v>9.1824807603986773</v>
      </c>
      <c r="H43" s="353">
        <v>13.632780738229105</v>
      </c>
      <c r="I43" s="353"/>
      <c r="K43" s="457" t="str">
        <f t="shared" si="8"/>
        <v>LED Signs</v>
      </c>
      <c r="L43" s="457" t="str">
        <f t="shared" si="9"/>
        <v>Signs and Billboards</v>
      </c>
      <c r="M43" s="457" t="str">
        <f t="shared" si="10"/>
        <v>Roadway</v>
      </c>
      <c r="N43" s="457" t="str">
        <f t="shared" si="5"/>
        <v>Fluorescent Signs</v>
      </c>
      <c r="O43" s="461">
        <f t="shared" si="6"/>
        <v>9.1824807603986773</v>
      </c>
      <c r="P43" s="461">
        <f t="shared" si="7"/>
        <v>13.632780738229105</v>
      </c>
    </row>
    <row r="44" spans="3:16" ht="16.5" hidden="1" outlineLevel="1" thickTop="1" thickBot="1">
      <c r="C44"/>
      <c r="D44"/>
      <c r="E44"/>
      <c r="F44" s="384" t="s">
        <v>35</v>
      </c>
      <c r="G44" s="353">
        <v>8.4406646291000964</v>
      </c>
      <c r="H44" s="353">
        <v>12.531442556319767</v>
      </c>
      <c r="I44" s="353"/>
      <c r="K44" s="457" t="str">
        <f t="shared" si="8"/>
        <v>LED Signs</v>
      </c>
      <c r="L44" s="457" t="str">
        <f t="shared" si="9"/>
        <v>Signs and Billboards</v>
      </c>
      <c r="M44" s="457" t="str">
        <f t="shared" si="10"/>
        <v>Roadway</v>
      </c>
      <c r="N44" s="457" t="str">
        <f t="shared" si="5"/>
        <v>Neon Signs</v>
      </c>
      <c r="O44" s="461">
        <f t="shared" si="6"/>
        <v>8.4406646291000964</v>
      </c>
      <c r="P44" s="461">
        <f t="shared" si="7"/>
        <v>12.531442556319767</v>
      </c>
    </row>
    <row r="45" spans="3:16" ht="16.5" hidden="1" outlineLevel="1" thickTop="1" thickBot="1">
      <c r="C45" s="384" t="s">
        <v>960</v>
      </c>
      <c r="D45"/>
      <c r="E45"/>
      <c r="F45"/>
      <c r="G45" s="353"/>
      <c r="H45" s="353"/>
      <c r="I45" s="353"/>
      <c r="K45" s="457" t="str">
        <f t="shared" si="8"/>
        <v>High Efficiency Linear Fluorescent T-8/T-5</v>
      </c>
      <c r="L45" s="457" t="str">
        <f t="shared" si="9"/>
        <v>Signs and Billboards</v>
      </c>
      <c r="M45" s="457" t="str">
        <f t="shared" si="10"/>
        <v>Roadway</v>
      </c>
      <c r="N45" s="457" t="str">
        <f t="shared" si="5"/>
        <v>Neon Signs</v>
      </c>
      <c r="O45" s="461">
        <f t="shared" si="6"/>
        <v>0</v>
      </c>
      <c r="P45" s="461">
        <f t="shared" si="7"/>
        <v>0</v>
      </c>
    </row>
    <row r="46" spans="3:16" ht="16.5" hidden="1" outlineLevel="1" thickTop="1" thickBot="1">
      <c r="C46"/>
      <c r="D46" s="384" t="s">
        <v>1043</v>
      </c>
      <c r="E46"/>
      <c r="F46"/>
      <c r="G46" s="353"/>
      <c r="H46" s="353"/>
      <c r="I46" s="353"/>
      <c r="K46" s="457" t="str">
        <f t="shared" si="8"/>
        <v>High Efficiency Linear Fluorescent T-8/T-5</v>
      </c>
      <c r="L46" s="457" t="str">
        <f t="shared" si="9"/>
        <v>Parking Garage</v>
      </c>
      <c r="M46" s="457" t="str">
        <f t="shared" si="10"/>
        <v>Roadway</v>
      </c>
      <c r="N46" s="457" t="str">
        <f t="shared" si="5"/>
        <v>Neon Signs</v>
      </c>
      <c r="O46" s="461">
        <f t="shared" si="6"/>
        <v>0</v>
      </c>
      <c r="P46" s="461">
        <f t="shared" si="7"/>
        <v>0</v>
      </c>
    </row>
    <row r="47" spans="3:16" ht="16.5" hidden="1" outlineLevel="1" thickTop="1" thickBot="1">
      <c r="C47"/>
      <c r="D47"/>
      <c r="E47" s="384" t="s">
        <v>1185</v>
      </c>
      <c r="F47"/>
      <c r="G47" s="353"/>
      <c r="H47" s="353"/>
      <c r="I47" s="353"/>
      <c r="K47" s="457" t="str">
        <f t="shared" si="8"/>
        <v>High Efficiency Linear Fluorescent T-8/T-5</v>
      </c>
      <c r="L47" s="457" t="str">
        <f t="shared" si="9"/>
        <v>Parking Garage</v>
      </c>
      <c r="M47" s="457" t="str">
        <f t="shared" si="10"/>
        <v>Outdoor Lighting</v>
      </c>
      <c r="N47" s="457" t="str">
        <f t="shared" si="5"/>
        <v>Neon Signs</v>
      </c>
      <c r="O47" s="461">
        <f t="shared" si="6"/>
        <v>0</v>
      </c>
      <c r="P47" s="461">
        <f t="shared" si="7"/>
        <v>0</v>
      </c>
    </row>
    <row r="48" spans="3:16" ht="16.5" hidden="1" outlineLevel="1" thickTop="1" thickBot="1">
      <c r="C48"/>
      <c r="D48"/>
      <c r="E48"/>
      <c r="F48" s="384" t="s">
        <v>27</v>
      </c>
      <c r="G48" s="353">
        <v>160.73850915695573</v>
      </c>
      <c r="H48" s="353">
        <v>265.56247070364111</v>
      </c>
      <c r="I48" s="353"/>
      <c r="K48" s="457" t="str">
        <f t="shared" si="8"/>
        <v>High Efficiency Linear Fluorescent T-8/T-5</v>
      </c>
      <c r="L48" s="457" t="str">
        <f t="shared" si="9"/>
        <v>Parking Garage</v>
      </c>
      <c r="M48" s="457" t="str">
        <f t="shared" si="10"/>
        <v>Outdoor Lighting</v>
      </c>
      <c r="N48" s="457" t="str">
        <f t="shared" si="5"/>
        <v>Linear Fluorescent</v>
      </c>
      <c r="O48" s="461">
        <f t="shared" si="6"/>
        <v>160.73850915695573</v>
      </c>
      <c r="P48" s="461">
        <f t="shared" si="7"/>
        <v>265.56247070364111</v>
      </c>
    </row>
    <row r="49" spans="3:16" ht="16.5" hidden="1" outlineLevel="1" thickTop="1" thickBot="1">
      <c r="C49"/>
      <c r="D49" s="384" t="s">
        <v>1172</v>
      </c>
      <c r="E49"/>
      <c r="F49"/>
      <c r="G49" s="353"/>
      <c r="H49" s="353"/>
      <c r="I49" s="353"/>
      <c r="K49" s="457" t="str">
        <f t="shared" si="8"/>
        <v>High Efficiency Linear Fluorescent T-8/T-5</v>
      </c>
      <c r="L49" s="457" t="str">
        <f t="shared" si="9"/>
        <v>Parking Lot</v>
      </c>
      <c r="M49" s="457" t="str">
        <f t="shared" si="10"/>
        <v>Outdoor Lighting</v>
      </c>
      <c r="N49" s="457" t="str">
        <f t="shared" si="5"/>
        <v>Linear Fluorescent</v>
      </c>
      <c r="O49" s="461">
        <f t="shared" si="6"/>
        <v>0</v>
      </c>
      <c r="P49" s="461">
        <f t="shared" si="7"/>
        <v>0</v>
      </c>
    </row>
    <row r="50" spans="3:16" ht="16.5" hidden="1" outlineLevel="1" thickTop="1" thickBot="1">
      <c r="C50"/>
      <c r="D50"/>
      <c r="E50" s="384" t="s">
        <v>1185</v>
      </c>
      <c r="F50"/>
      <c r="G50" s="353"/>
      <c r="H50" s="353"/>
      <c r="I50" s="353"/>
      <c r="K50" s="457" t="str">
        <f t="shared" si="8"/>
        <v>High Efficiency Linear Fluorescent T-8/T-5</v>
      </c>
      <c r="L50" s="457" t="str">
        <f t="shared" si="9"/>
        <v>Parking Lot</v>
      </c>
      <c r="M50" s="457" t="str">
        <f t="shared" si="10"/>
        <v>Outdoor Lighting</v>
      </c>
      <c r="N50" s="457" t="str">
        <f t="shared" si="5"/>
        <v>Linear Fluorescent</v>
      </c>
      <c r="O50" s="461">
        <f t="shared" si="6"/>
        <v>0</v>
      </c>
      <c r="P50" s="461">
        <f t="shared" si="7"/>
        <v>0</v>
      </c>
    </row>
    <row r="51" spans="3:16" ht="16.5" hidden="1" outlineLevel="1" thickTop="1" thickBot="1">
      <c r="C51"/>
      <c r="D51"/>
      <c r="E51"/>
      <c r="F51" s="384" t="s">
        <v>27</v>
      </c>
      <c r="G51" s="353">
        <v>14.988678884552201</v>
      </c>
      <c r="H51" s="353">
        <v>39.657159304242548</v>
      </c>
      <c r="I51" s="353"/>
      <c r="K51" s="457" t="str">
        <f t="shared" si="8"/>
        <v>High Efficiency Linear Fluorescent T-8/T-5</v>
      </c>
      <c r="L51" s="457" t="str">
        <f t="shared" si="9"/>
        <v>Parking Lot</v>
      </c>
      <c r="M51" s="457" t="str">
        <f t="shared" si="10"/>
        <v>Outdoor Lighting</v>
      </c>
      <c r="N51" s="457" t="str">
        <f t="shared" si="5"/>
        <v>Linear Fluorescent</v>
      </c>
      <c r="O51" s="461">
        <f t="shared" si="6"/>
        <v>14.988678884552201</v>
      </c>
      <c r="P51" s="461">
        <f t="shared" si="7"/>
        <v>39.657159304242548</v>
      </c>
    </row>
    <row r="52" spans="3:16" ht="16.5" hidden="1" outlineLevel="1" thickTop="1" thickBot="1">
      <c r="C52"/>
      <c r="D52" s="384" t="s">
        <v>1231</v>
      </c>
      <c r="E52"/>
      <c r="F52"/>
      <c r="G52" s="353"/>
      <c r="H52" s="353"/>
      <c r="I52" s="353"/>
      <c r="K52" s="457" t="str">
        <f t="shared" si="8"/>
        <v>High Efficiency Linear Fluorescent T-8/T-5</v>
      </c>
      <c r="L52" s="457" t="str">
        <f t="shared" si="9"/>
        <v>Bldg Façade, Landscape, Service Canopies, and Stadium/Athletic Field Lighting</v>
      </c>
      <c r="M52" s="457" t="str">
        <f t="shared" si="10"/>
        <v>Outdoor Lighting</v>
      </c>
      <c r="N52" s="457" t="str">
        <f t="shared" si="5"/>
        <v>Linear Fluorescent</v>
      </c>
      <c r="O52" s="461">
        <f t="shared" si="6"/>
        <v>0</v>
      </c>
      <c r="P52" s="461">
        <f t="shared" si="7"/>
        <v>0</v>
      </c>
    </row>
    <row r="53" spans="3:16" ht="16.5" hidden="1" outlineLevel="1" thickTop="1" thickBot="1">
      <c r="C53"/>
      <c r="D53"/>
      <c r="E53" s="384" t="s">
        <v>1185</v>
      </c>
      <c r="F53"/>
      <c r="G53" s="353"/>
      <c r="H53" s="353"/>
      <c r="I53" s="353"/>
      <c r="K53" s="457" t="str">
        <f t="shared" si="8"/>
        <v>High Efficiency Linear Fluorescent T-8/T-5</v>
      </c>
      <c r="L53" s="457" t="str">
        <f t="shared" si="9"/>
        <v>Bldg Façade, Landscape, Service Canopies, and Stadium/Athletic Field Lighting</v>
      </c>
      <c r="M53" s="457" t="str">
        <f t="shared" si="10"/>
        <v>Outdoor Lighting</v>
      </c>
      <c r="N53" s="457" t="str">
        <f t="shared" si="5"/>
        <v>Linear Fluorescent</v>
      </c>
      <c r="O53" s="461">
        <f t="shared" si="6"/>
        <v>0</v>
      </c>
      <c r="P53" s="461">
        <f t="shared" si="7"/>
        <v>0</v>
      </c>
    </row>
    <row r="54" spans="3:16" ht="16.5" hidden="1" outlineLevel="1" thickTop="1" thickBot="1">
      <c r="C54"/>
      <c r="D54"/>
      <c r="E54"/>
      <c r="F54" s="384" t="s">
        <v>27</v>
      </c>
      <c r="G54" s="353">
        <v>34.8836126324736</v>
      </c>
      <c r="H54" s="353">
        <v>23.209201753859393</v>
      </c>
      <c r="I54" s="353"/>
      <c r="K54" s="457" t="str">
        <f t="shared" si="8"/>
        <v>High Efficiency Linear Fluorescent T-8/T-5</v>
      </c>
      <c r="L54" s="457" t="str">
        <f t="shared" si="9"/>
        <v>Bldg Façade, Landscape, Service Canopies, and Stadium/Athletic Field Lighting</v>
      </c>
      <c r="M54" s="457" t="str">
        <f t="shared" si="10"/>
        <v>Outdoor Lighting</v>
      </c>
      <c r="N54" s="457" t="str">
        <f t="shared" si="5"/>
        <v>Linear Fluorescent</v>
      </c>
      <c r="O54" s="461">
        <f t="shared" si="6"/>
        <v>34.8836126324736</v>
      </c>
      <c r="P54" s="461">
        <f t="shared" si="7"/>
        <v>23.209201753859393</v>
      </c>
    </row>
    <row r="55" spans="3:16" ht="16.5" hidden="1" outlineLevel="1" thickTop="1" thickBot="1">
      <c r="C55" s="384" t="s">
        <v>995</v>
      </c>
      <c r="D55"/>
      <c r="E55"/>
      <c r="F55"/>
      <c r="G55" s="353"/>
      <c r="H55" s="353"/>
      <c r="I55" s="353"/>
      <c r="K55" s="457" t="str">
        <f t="shared" si="8"/>
        <v>CMH</v>
      </c>
      <c r="L55" s="457" t="str">
        <f t="shared" si="9"/>
        <v>Bldg Façade, Landscape, Service Canopies, and Stadium/Athletic Field Lighting</v>
      </c>
      <c r="M55" s="457" t="str">
        <f t="shared" si="10"/>
        <v>Outdoor Lighting</v>
      </c>
      <c r="N55" s="457" t="str">
        <f t="shared" si="5"/>
        <v>Linear Fluorescent</v>
      </c>
      <c r="O55" s="461">
        <f t="shared" si="6"/>
        <v>0</v>
      </c>
      <c r="P55" s="461">
        <f t="shared" si="7"/>
        <v>0</v>
      </c>
    </row>
    <row r="56" spans="3:16" ht="16.5" hidden="1" outlineLevel="1" thickTop="1" thickBot="1">
      <c r="C56"/>
      <c r="D56" s="384" t="s">
        <v>116</v>
      </c>
      <c r="E56"/>
      <c r="F56"/>
      <c r="G56" s="353"/>
      <c r="H56" s="353"/>
      <c r="I56" s="353"/>
      <c r="K56" s="457" t="str">
        <f t="shared" si="8"/>
        <v>CMH</v>
      </c>
      <c r="L56" s="457" t="str">
        <f t="shared" si="9"/>
        <v>Street Lights</v>
      </c>
      <c r="M56" s="457" t="str">
        <f t="shared" si="10"/>
        <v>Outdoor Lighting</v>
      </c>
      <c r="N56" s="457" t="str">
        <f t="shared" si="5"/>
        <v>Linear Fluorescent</v>
      </c>
      <c r="O56" s="461">
        <f t="shared" si="6"/>
        <v>0</v>
      </c>
      <c r="P56" s="461">
        <f t="shared" si="7"/>
        <v>0</v>
      </c>
    </row>
    <row r="57" spans="3:16" ht="16.5" hidden="1" outlineLevel="1" thickTop="1" thickBot="1">
      <c r="C57"/>
      <c r="D57"/>
      <c r="E57" s="384" t="s">
        <v>115</v>
      </c>
      <c r="F57"/>
      <c r="G57" s="353"/>
      <c r="H57" s="353"/>
      <c r="I57" s="353"/>
      <c r="K57" s="457" t="str">
        <f t="shared" si="8"/>
        <v>CMH</v>
      </c>
      <c r="L57" s="457" t="str">
        <f t="shared" si="9"/>
        <v>Street Lights</v>
      </c>
      <c r="M57" s="457" t="str">
        <f t="shared" si="10"/>
        <v>Roadway</v>
      </c>
      <c r="N57" s="457" t="str">
        <f t="shared" si="5"/>
        <v>Linear Fluorescent</v>
      </c>
      <c r="O57" s="461">
        <f t="shared" si="6"/>
        <v>0</v>
      </c>
      <c r="P57" s="461">
        <f t="shared" si="7"/>
        <v>0</v>
      </c>
    </row>
    <row r="58" spans="3:16" ht="16.5" hidden="1" outlineLevel="1" thickTop="1" thickBot="1">
      <c r="C58"/>
      <c r="D58"/>
      <c r="E58"/>
      <c r="F58" s="384" t="s">
        <v>1245</v>
      </c>
      <c r="G58" s="353">
        <v>21.971342677604653</v>
      </c>
      <c r="H58" s="353">
        <v>34.534955899616762</v>
      </c>
      <c r="I58" s="353"/>
      <c r="K58" s="457" t="str">
        <f t="shared" si="8"/>
        <v>CMH</v>
      </c>
      <c r="L58" s="457" t="str">
        <f t="shared" si="9"/>
        <v>Street Lights</v>
      </c>
      <c r="M58" s="457" t="str">
        <f t="shared" si="10"/>
        <v>Roadway</v>
      </c>
      <c r="N58" s="457" t="str">
        <f t="shared" si="5"/>
        <v>MH (Std, PS, CMH)</v>
      </c>
      <c r="O58" s="461">
        <f t="shared" si="6"/>
        <v>21.971342677604653</v>
      </c>
      <c r="P58" s="461">
        <f t="shared" si="7"/>
        <v>34.534955899616762</v>
      </c>
    </row>
    <row r="59" spans="3:16" ht="16.5" hidden="1" outlineLevel="1" thickTop="1" thickBot="1">
      <c r="C59"/>
      <c r="D59"/>
      <c r="E59"/>
      <c r="F59" s="384" t="s">
        <v>1256</v>
      </c>
      <c r="G59" s="353">
        <v>249.79973729539208</v>
      </c>
      <c r="H59" s="353">
        <v>295.66460709389031</v>
      </c>
      <c r="I59" s="353"/>
      <c r="K59" s="457" t="str">
        <f t="shared" si="8"/>
        <v>CMH</v>
      </c>
      <c r="L59" s="457" t="str">
        <f t="shared" si="9"/>
        <v>Street Lights</v>
      </c>
      <c r="M59" s="457" t="str">
        <f t="shared" si="10"/>
        <v>Roadway</v>
      </c>
      <c r="N59" s="457" t="str">
        <f t="shared" si="5"/>
        <v>HPS/MV</v>
      </c>
      <c r="O59" s="461">
        <f t="shared" si="6"/>
        <v>249.79973729539208</v>
      </c>
      <c r="P59" s="461">
        <f t="shared" si="7"/>
        <v>295.66460709389031</v>
      </c>
    </row>
    <row r="60" spans="3:16" ht="16.5" hidden="1" outlineLevel="1" thickTop="1" thickBot="1">
      <c r="C60"/>
      <c r="D60" s="384" t="s">
        <v>1172</v>
      </c>
      <c r="E60"/>
      <c r="F60"/>
      <c r="G60" s="353"/>
      <c r="H60" s="353"/>
      <c r="I60" s="353"/>
      <c r="K60" s="457" t="str">
        <f t="shared" si="8"/>
        <v>CMH</v>
      </c>
      <c r="L60" s="457" t="str">
        <f t="shared" si="9"/>
        <v>Parking Lot</v>
      </c>
      <c r="M60" s="457" t="str">
        <f t="shared" si="10"/>
        <v>Roadway</v>
      </c>
      <c r="N60" s="457" t="str">
        <f t="shared" si="5"/>
        <v>HPS/MV</v>
      </c>
      <c r="O60" s="461">
        <f t="shared" si="6"/>
        <v>0</v>
      </c>
      <c r="P60" s="461">
        <f t="shared" si="7"/>
        <v>0</v>
      </c>
    </row>
    <row r="61" spans="3:16" ht="16.5" hidden="1" outlineLevel="1" thickTop="1" thickBot="1">
      <c r="C61"/>
      <c r="D61"/>
      <c r="E61" s="384" t="s">
        <v>1185</v>
      </c>
      <c r="F61"/>
      <c r="G61" s="353"/>
      <c r="H61" s="353"/>
      <c r="I61" s="353"/>
      <c r="K61" s="457" t="str">
        <f t="shared" si="8"/>
        <v>CMH</v>
      </c>
      <c r="L61" s="457" t="str">
        <f t="shared" si="9"/>
        <v>Parking Lot</v>
      </c>
      <c r="M61" s="457" t="str">
        <f t="shared" si="10"/>
        <v>Outdoor Lighting</v>
      </c>
      <c r="N61" s="457" t="str">
        <f t="shared" si="5"/>
        <v>HPS/MV</v>
      </c>
      <c r="O61" s="461">
        <f t="shared" si="6"/>
        <v>0</v>
      </c>
      <c r="P61" s="461">
        <f t="shared" si="7"/>
        <v>0</v>
      </c>
    </row>
    <row r="62" spans="3:16" ht="16.5" hidden="1" outlineLevel="1" thickTop="1" thickBot="1">
      <c r="C62"/>
      <c r="D62"/>
      <c r="E62"/>
      <c r="F62" s="384" t="s">
        <v>1256</v>
      </c>
      <c r="G62" s="353">
        <v>86.955892023551925</v>
      </c>
      <c r="H62" s="353">
        <v>107.84283253092892</v>
      </c>
      <c r="I62" s="353"/>
      <c r="K62" s="457" t="str">
        <f t="shared" si="8"/>
        <v>CMH</v>
      </c>
      <c r="L62" s="457" t="str">
        <f t="shared" si="9"/>
        <v>Parking Lot</v>
      </c>
      <c r="M62" s="457" t="str">
        <f t="shared" si="10"/>
        <v>Outdoor Lighting</v>
      </c>
      <c r="N62" s="457" t="str">
        <f t="shared" si="5"/>
        <v>HPS/MV</v>
      </c>
      <c r="O62" s="461">
        <f t="shared" si="6"/>
        <v>86.955892023551925</v>
      </c>
      <c r="P62" s="461">
        <f t="shared" si="7"/>
        <v>107.84283253092892</v>
      </c>
    </row>
    <row r="63" spans="3:16" ht="16.5" hidden="1" outlineLevel="1" thickTop="1" thickBot="1">
      <c r="C63"/>
      <c r="D63" s="384" t="s">
        <v>1231</v>
      </c>
      <c r="E63"/>
      <c r="F63"/>
      <c r="G63" s="353"/>
      <c r="H63" s="353"/>
      <c r="I63" s="353"/>
      <c r="K63" s="457" t="str">
        <f t="shared" si="8"/>
        <v>CMH</v>
      </c>
      <c r="L63" s="457" t="str">
        <f t="shared" si="9"/>
        <v>Bldg Façade, Landscape, Service Canopies, and Stadium/Athletic Field Lighting</v>
      </c>
      <c r="M63" s="457" t="str">
        <f t="shared" si="10"/>
        <v>Outdoor Lighting</v>
      </c>
      <c r="N63" s="457" t="str">
        <f t="shared" si="5"/>
        <v>HPS/MV</v>
      </c>
      <c r="O63" s="461">
        <f t="shared" si="6"/>
        <v>0</v>
      </c>
      <c r="P63" s="461">
        <f t="shared" si="7"/>
        <v>0</v>
      </c>
    </row>
    <row r="64" spans="3:16" ht="16.5" hidden="1" outlineLevel="1" thickTop="1" thickBot="1">
      <c r="C64"/>
      <c r="D64"/>
      <c r="E64" s="384" t="s">
        <v>1185</v>
      </c>
      <c r="F64"/>
      <c r="G64" s="353"/>
      <c r="H64" s="353"/>
      <c r="I64" s="353"/>
      <c r="K64" s="457" t="str">
        <f t="shared" si="8"/>
        <v>CMH</v>
      </c>
      <c r="L64" s="457" t="str">
        <f t="shared" si="9"/>
        <v>Bldg Façade, Landscape, Service Canopies, and Stadium/Athletic Field Lighting</v>
      </c>
      <c r="M64" s="457" t="str">
        <f t="shared" si="10"/>
        <v>Outdoor Lighting</v>
      </c>
      <c r="N64" s="457" t="str">
        <f t="shared" si="5"/>
        <v>HPS/MV</v>
      </c>
      <c r="O64" s="461">
        <f t="shared" si="6"/>
        <v>0</v>
      </c>
      <c r="P64" s="461">
        <f t="shared" si="7"/>
        <v>0</v>
      </c>
    </row>
    <row r="65" spans="3:16" ht="16.5" hidden="1" outlineLevel="1" thickTop="1" thickBot="1">
      <c r="C65"/>
      <c r="D65"/>
      <c r="E65"/>
      <c r="F65" s="384" t="s">
        <v>1256</v>
      </c>
      <c r="G65" s="353">
        <v>22.310071528495545</v>
      </c>
      <c r="H65" s="353">
        <v>24.329144603062353</v>
      </c>
      <c r="I65" s="353"/>
      <c r="K65" s="457" t="str">
        <f t="shared" si="8"/>
        <v>CMH</v>
      </c>
      <c r="L65" s="457" t="str">
        <f t="shared" si="9"/>
        <v>Bldg Façade, Landscape, Service Canopies, and Stadium/Athletic Field Lighting</v>
      </c>
      <c r="M65" s="457" t="str">
        <f t="shared" si="10"/>
        <v>Outdoor Lighting</v>
      </c>
      <c r="N65" s="457" t="str">
        <f t="shared" si="5"/>
        <v>HPS/MV</v>
      </c>
      <c r="O65" s="461">
        <f t="shared" si="6"/>
        <v>22.310071528495545</v>
      </c>
      <c r="P65" s="461">
        <f t="shared" si="7"/>
        <v>24.329144603062353</v>
      </c>
    </row>
    <row r="66" spans="3:16" ht="16.5" hidden="1" outlineLevel="1" thickTop="1" thickBot="1">
      <c r="C66" s="384" t="s">
        <v>1013</v>
      </c>
      <c r="D66"/>
      <c r="E66"/>
      <c r="F66"/>
      <c r="G66" s="353"/>
      <c r="H66" s="353"/>
      <c r="I66" s="353"/>
      <c r="K66" s="457" t="str">
        <f t="shared" si="8"/>
        <v>LED Traffic Signals</v>
      </c>
      <c r="L66" s="457" t="str">
        <f t="shared" si="9"/>
        <v>Bldg Façade, Landscape, Service Canopies, and Stadium/Athletic Field Lighting</v>
      </c>
      <c r="M66" s="457" t="str">
        <f t="shared" si="10"/>
        <v>Outdoor Lighting</v>
      </c>
      <c r="N66" s="457" t="str">
        <f t="shared" si="5"/>
        <v>HPS/MV</v>
      </c>
      <c r="O66" s="461">
        <f t="shared" si="6"/>
        <v>0</v>
      </c>
      <c r="P66" s="461">
        <f t="shared" si="7"/>
        <v>0</v>
      </c>
    </row>
    <row r="67" spans="3:16" ht="16.5" hidden="1" outlineLevel="1" thickTop="1" thickBot="1">
      <c r="C67"/>
      <c r="D67" s="384" t="s">
        <v>117</v>
      </c>
      <c r="E67"/>
      <c r="F67"/>
      <c r="G67" s="353"/>
      <c r="H67" s="353"/>
      <c r="I67" s="353"/>
      <c r="K67" s="457" t="str">
        <f t="shared" si="8"/>
        <v>LED Traffic Signals</v>
      </c>
      <c r="L67" s="457" t="str">
        <f t="shared" si="9"/>
        <v>Traffic Signals</v>
      </c>
      <c r="M67" s="457" t="str">
        <f t="shared" si="10"/>
        <v>Outdoor Lighting</v>
      </c>
      <c r="N67" s="457" t="str">
        <f t="shared" si="5"/>
        <v>HPS/MV</v>
      </c>
      <c r="O67" s="461">
        <f t="shared" si="6"/>
        <v>0</v>
      </c>
      <c r="P67" s="461">
        <f t="shared" si="7"/>
        <v>0</v>
      </c>
    </row>
    <row r="68" spans="3:16" ht="16.5" hidden="1" outlineLevel="1" thickTop="1" thickBot="1">
      <c r="C68"/>
      <c r="D68"/>
      <c r="E68" s="384" t="s">
        <v>115</v>
      </c>
      <c r="F68"/>
      <c r="G68" s="353"/>
      <c r="H68" s="353"/>
      <c r="I68" s="353"/>
      <c r="K68" s="457" t="str">
        <f t="shared" si="8"/>
        <v>LED Traffic Signals</v>
      </c>
      <c r="L68" s="457" t="str">
        <f t="shared" si="9"/>
        <v>Traffic Signals</v>
      </c>
      <c r="M68" s="457" t="str">
        <f t="shared" si="10"/>
        <v>Roadway</v>
      </c>
      <c r="N68" s="457" t="str">
        <f t="shared" si="5"/>
        <v>HPS/MV</v>
      </c>
      <c r="O68" s="461">
        <f t="shared" si="6"/>
        <v>0</v>
      </c>
      <c r="P68" s="461">
        <f t="shared" si="7"/>
        <v>0</v>
      </c>
    </row>
    <row r="69" spans="3:16" ht="16.5" hidden="1" outlineLevel="1" thickTop="1" thickBot="1">
      <c r="C69"/>
      <c r="D69"/>
      <c r="E69"/>
      <c r="F69" s="384" t="s">
        <v>33</v>
      </c>
      <c r="G69" s="353">
        <v>4.3527117066497425</v>
      </c>
      <c r="H69" s="353">
        <v>0</v>
      </c>
      <c r="I69" s="353"/>
      <c r="K69" s="457" t="str">
        <f t="shared" si="8"/>
        <v>LED Traffic Signals</v>
      </c>
      <c r="L69" s="457" t="str">
        <f t="shared" si="9"/>
        <v>Traffic Signals</v>
      </c>
      <c r="M69" s="457" t="str">
        <f t="shared" si="10"/>
        <v>Roadway</v>
      </c>
      <c r="N69" s="457" t="str">
        <f t="shared" si="5"/>
        <v>Incandescent Signals</v>
      </c>
      <c r="O69" s="461">
        <f t="shared" si="6"/>
        <v>4.3527117066497425</v>
      </c>
      <c r="P69" s="461">
        <f t="shared" si="7"/>
        <v>0</v>
      </c>
    </row>
    <row r="70" spans="3:16" ht="16.5" hidden="1" outlineLevel="1" thickTop="1" thickBot="1">
      <c r="C70" s="384" t="s">
        <v>1270</v>
      </c>
      <c r="D70"/>
      <c r="E70"/>
      <c r="F70"/>
      <c r="G70" s="353"/>
      <c r="H70" s="353"/>
      <c r="I70" s="353"/>
      <c r="K70" s="457" t="str">
        <f t="shared" si="8"/>
        <v>Outdoor LED Fixture</v>
      </c>
      <c r="L70" s="457" t="str">
        <f t="shared" si="9"/>
        <v>Traffic Signals</v>
      </c>
      <c r="M70" s="457" t="str">
        <f t="shared" si="10"/>
        <v>Roadway</v>
      </c>
      <c r="N70" s="457" t="str">
        <f t="shared" si="5"/>
        <v>Incandescent Signals</v>
      </c>
      <c r="O70" s="461">
        <f t="shared" si="6"/>
        <v>0</v>
      </c>
      <c r="P70" s="461">
        <f t="shared" si="7"/>
        <v>0</v>
      </c>
    </row>
    <row r="71" spans="3:16" ht="16.5" hidden="1" outlineLevel="1" thickTop="1" thickBot="1">
      <c r="C71"/>
      <c r="D71" s="384" t="s">
        <v>1172</v>
      </c>
      <c r="E71"/>
      <c r="F71"/>
      <c r="G71" s="353"/>
      <c r="H71" s="353"/>
      <c r="I71" s="353"/>
      <c r="K71" s="457" t="str">
        <f t="shared" si="8"/>
        <v>Outdoor LED Fixture</v>
      </c>
      <c r="L71" s="457" t="str">
        <f t="shared" si="9"/>
        <v>Parking Lot</v>
      </c>
      <c r="M71" s="457" t="str">
        <f t="shared" si="10"/>
        <v>Roadway</v>
      </c>
      <c r="N71" s="457" t="str">
        <f t="shared" si="5"/>
        <v>Incandescent Signals</v>
      </c>
      <c r="O71" s="461">
        <f t="shared" ref="O71:O102" si="11">G71</f>
        <v>0</v>
      </c>
      <c r="P71" s="461">
        <f t="shared" ref="P71:P102" si="12">H71</f>
        <v>0</v>
      </c>
    </row>
    <row r="72" spans="3:16" ht="16.5" hidden="1" outlineLevel="1" thickTop="1" thickBot="1">
      <c r="C72"/>
      <c r="D72"/>
      <c r="E72" s="384" t="s">
        <v>1185</v>
      </c>
      <c r="F72"/>
      <c r="G72" s="353"/>
      <c r="H72" s="353"/>
      <c r="I72" s="353"/>
      <c r="K72" s="457" t="str">
        <f t="shared" ref="K72:K103" si="13">IF(C72=0,K71,C72)</f>
        <v>Outdoor LED Fixture</v>
      </c>
      <c r="L72" s="457" t="str">
        <f t="shared" ref="L72:L103" si="14">IF(D72=0,L71,D72)</f>
        <v>Parking Lot</v>
      </c>
      <c r="M72" s="457" t="str">
        <f t="shared" ref="M72:M103" si="15">IF(E72=0,M71,E72)</f>
        <v>Outdoor Lighting</v>
      </c>
      <c r="N72" s="457" t="str">
        <f t="shared" ref="N72:N135" si="16">IF(F72=0,N71,F72)</f>
        <v>Incandescent Signals</v>
      </c>
      <c r="O72" s="461">
        <f t="shared" si="11"/>
        <v>0</v>
      </c>
      <c r="P72" s="461">
        <f t="shared" si="12"/>
        <v>0</v>
      </c>
    </row>
    <row r="73" spans="3:16" ht="16.5" hidden="1" outlineLevel="1" thickTop="1" thickBot="1">
      <c r="C73"/>
      <c r="D73"/>
      <c r="E73"/>
      <c r="F73" s="384" t="s">
        <v>27</v>
      </c>
      <c r="G73" s="353">
        <v>36.560156911037915</v>
      </c>
      <c r="H73" s="353">
        <v>39.657159304242548</v>
      </c>
      <c r="I73" s="353"/>
      <c r="K73" s="457" t="str">
        <f t="shared" si="13"/>
        <v>Outdoor LED Fixture</v>
      </c>
      <c r="L73" s="457" t="str">
        <f t="shared" si="14"/>
        <v>Parking Lot</v>
      </c>
      <c r="M73" s="457" t="str">
        <f t="shared" si="15"/>
        <v>Outdoor Lighting</v>
      </c>
      <c r="N73" s="457" t="str">
        <f t="shared" si="16"/>
        <v>Linear Fluorescent</v>
      </c>
      <c r="O73" s="461">
        <f t="shared" si="11"/>
        <v>36.560156911037915</v>
      </c>
      <c r="P73" s="461">
        <f t="shared" si="12"/>
        <v>39.657159304242548</v>
      </c>
    </row>
    <row r="74" spans="3:16" ht="16.5" hidden="1" outlineLevel="1" thickTop="1" thickBot="1">
      <c r="C74"/>
      <c r="D74"/>
      <c r="E74"/>
      <c r="F74" s="384" t="s">
        <v>1245</v>
      </c>
      <c r="G74" s="353">
        <v>718.44752025376283</v>
      </c>
      <c r="H74" s="353">
        <v>180.5897602419042</v>
      </c>
      <c r="I74" s="353"/>
      <c r="K74" s="457" t="str">
        <f t="shared" si="13"/>
        <v>Outdoor LED Fixture</v>
      </c>
      <c r="L74" s="457" t="str">
        <f t="shared" si="14"/>
        <v>Parking Lot</v>
      </c>
      <c r="M74" s="457" t="str">
        <f t="shared" si="15"/>
        <v>Outdoor Lighting</v>
      </c>
      <c r="N74" s="457" t="str">
        <f t="shared" si="16"/>
        <v>MH (Std, PS, CMH)</v>
      </c>
      <c r="O74" s="461">
        <f t="shared" si="11"/>
        <v>718.44752025376283</v>
      </c>
      <c r="P74" s="461">
        <f t="shared" si="12"/>
        <v>180.5897602419042</v>
      </c>
    </row>
    <row r="75" spans="3:16" ht="16.5" hidden="1" outlineLevel="1" thickTop="1" thickBot="1">
      <c r="C75"/>
      <c r="D75"/>
      <c r="E75"/>
      <c r="F75" s="384" t="s">
        <v>1256</v>
      </c>
      <c r="G75" s="353">
        <v>198.91383831205064</v>
      </c>
      <c r="H75" s="353">
        <v>107.84283253092892</v>
      </c>
      <c r="I75" s="353"/>
      <c r="K75" s="457" t="str">
        <f t="shared" si="13"/>
        <v>Outdoor LED Fixture</v>
      </c>
      <c r="L75" s="457" t="str">
        <f t="shared" si="14"/>
        <v>Parking Lot</v>
      </c>
      <c r="M75" s="457" t="str">
        <f t="shared" si="15"/>
        <v>Outdoor Lighting</v>
      </c>
      <c r="N75" s="457" t="str">
        <f t="shared" si="16"/>
        <v>HPS/MV</v>
      </c>
      <c r="O75" s="461">
        <f t="shared" si="11"/>
        <v>198.91383831205064</v>
      </c>
      <c r="P75" s="461">
        <f t="shared" si="12"/>
        <v>107.84283253092892</v>
      </c>
    </row>
    <row r="76" spans="3:16" ht="16.5" hidden="1" outlineLevel="1" thickTop="1" thickBot="1">
      <c r="C76"/>
      <c r="D76" s="384" t="s">
        <v>1231</v>
      </c>
      <c r="E76"/>
      <c r="F76"/>
      <c r="G76" s="353"/>
      <c r="H76" s="353"/>
      <c r="I76" s="353"/>
      <c r="K76" s="457" t="str">
        <f t="shared" si="13"/>
        <v>Outdoor LED Fixture</v>
      </c>
      <c r="L76" s="457" t="str">
        <f t="shared" si="14"/>
        <v>Bldg Façade, Landscape, Service Canopies, and Stadium/Athletic Field Lighting</v>
      </c>
      <c r="M76" s="457" t="str">
        <f t="shared" si="15"/>
        <v>Outdoor Lighting</v>
      </c>
      <c r="N76" s="457" t="str">
        <f t="shared" si="16"/>
        <v>HPS/MV</v>
      </c>
      <c r="O76" s="461">
        <f t="shared" si="11"/>
        <v>0</v>
      </c>
      <c r="P76" s="461">
        <f t="shared" si="12"/>
        <v>0</v>
      </c>
    </row>
    <row r="77" spans="3:16" ht="16.5" hidden="1" outlineLevel="1" thickTop="1" thickBot="1">
      <c r="C77"/>
      <c r="D77"/>
      <c r="E77" s="384" t="s">
        <v>1185</v>
      </c>
      <c r="F77"/>
      <c r="G77" s="353"/>
      <c r="H77" s="353"/>
      <c r="I77" s="353"/>
      <c r="K77" s="457" t="str">
        <f t="shared" si="13"/>
        <v>Outdoor LED Fixture</v>
      </c>
      <c r="L77" s="457" t="str">
        <f t="shared" si="14"/>
        <v>Bldg Façade, Landscape, Service Canopies, and Stadium/Athletic Field Lighting</v>
      </c>
      <c r="M77" s="457" t="str">
        <f t="shared" si="15"/>
        <v>Outdoor Lighting</v>
      </c>
      <c r="N77" s="457" t="str">
        <f t="shared" si="16"/>
        <v>HPS/MV</v>
      </c>
      <c r="O77" s="461">
        <f t="shared" si="11"/>
        <v>0</v>
      </c>
      <c r="P77" s="461">
        <f t="shared" si="12"/>
        <v>0</v>
      </c>
    </row>
    <row r="78" spans="3:16" ht="16.5" hidden="1" outlineLevel="1" thickTop="1" thickBot="1">
      <c r="C78"/>
      <c r="D78"/>
      <c r="E78"/>
      <c r="F78" s="384" t="s">
        <v>27</v>
      </c>
      <c r="G78" s="353">
        <v>16.562375499975513</v>
      </c>
      <c r="H78" s="353">
        <v>23.209201753859393</v>
      </c>
      <c r="I78" s="353"/>
      <c r="K78" s="457" t="str">
        <f t="shared" si="13"/>
        <v>Outdoor LED Fixture</v>
      </c>
      <c r="L78" s="457" t="str">
        <f t="shared" si="14"/>
        <v>Bldg Façade, Landscape, Service Canopies, and Stadium/Athletic Field Lighting</v>
      </c>
      <c r="M78" s="457" t="str">
        <f t="shared" si="15"/>
        <v>Outdoor Lighting</v>
      </c>
      <c r="N78" s="457" t="str">
        <f t="shared" si="16"/>
        <v>Linear Fluorescent</v>
      </c>
      <c r="O78" s="461">
        <f t="shared" si="11"/>
        <v>16.562375499975513</v>
      </c>
      <c r="P78" s="461">
        <f t="shared" si="12"/>
        <v>23.209201753859393</v>
      </c>
    </row>
    <row r="79" spans="3:16" ht="16.5" hidden="1" outlineLevel="1" thickTop="1" thickBot="1">
      <c r="C79"/>
      <c r="D79"/>
      <c r="E79"/>
      <c r="F79" s="384" t="s">
        <v>846</v>
      </c>
      <c r="G79" s="353">
        <v>60.68506657811821</v>
      </c>
      <c r="H79" s="353">
        <v>26.742842213837445</v>
      </c>
      <c r="I79" s="353"/>
      <c r="K79" s="457" t="str">
        <f t="shared" si="13"/>
        <v>Outdoor LED Fixture</v>
      </c>
      <c r="L79" s="457" t="str">
        <f t="shared" si="14"/>
        <v>Bldg Façade, Landscape, Service Canopies, and Stadium/Athletic Field Lighting</v>
      </c>
      <c r="M79" s="457" t="str">
        <f t="shared" si="15"/>
        <v>Outdoor Lighting</v>
      </c>
      <c r="N79" s="457" t="str">
        <f t="shared" si="16"/>
        <v xml:space="preserve">Halogen </v>
      </c>
      <c r="O79" s="461">
        <f t="shared" si="11"/>
        <v>60.68506657811821</v>
      </c>
      <c r="P79" s="461">
        <f t="shared" si="12"/>
        <v>26.742842213837445</v>
      </c>
    </row>
    <row r="80" spans="3:16" ht="16.5" hidden="1" outlineLevel="1" thickTop="1" thickBot="1">
      <c r="C80"/>
      <c r="D80"/>
      <c r="E80"/>
      <c r="F80" s="384" t="s">
        <v>1245</v>
      </c>
      <c r="G80" s="353">
        <v>164.26787346799742</v>
      </c>
      <c r="H80" s="353">
        <v>86.312675486381124</v>
      </c>
      <c r="I80" s="353"/>
      <c r="K80" s="457" t="str">
        <f t="shared" si="13"/>
        <v>Outdoor LED Fixture</v>
      </c>
      <c r="L80" s="457" t="str">
        <f t="shared" si="14"/>
        <v>Bldg Façade, Landscape, Service Canopies, and Stadium/Athletic Field Lighting</v>
      </c>
      <c r="M80" s="457" t="str">
        <f t="shared" si="15"/>
        <v>Outdoor Lighting</v>
      </c>
      <c r="N80" s="457" t="str">
        <f t="shared" si="16"/>
        <v>MH (Std, PS, CMH)</v>
      </c>
      <c r="O80" s="461">
        <f t="shared" si="11"/>
        <v>164.26787346799742</v>
      </c>
      <c r="P80" s="461">
        <f t="shared" si="12"/>
        <v>86.312675486381124</v>
      </c>
    </row>
    <row r="81" spans="3:16" ht="16.5" hidden="1" outlineLevel="1" thickTop="1" thickBot="1">
      <c r="C81"/>
      <c r="D81"/>
      <c r="E81"/>
      <c r="F81" s="384" t="s">
        <v>1256</v>
      </c>
      <c r="G81" s="353">
        <v>51.034862129267538</v>
      </c>
      <c r="H81" s="353">
        <v>24.329144603062353</v>
      </c>
      <c r="I81" s="353"/>
      <c r="K81" s="457" t="str">
        <f t="shared" si="13"/>
        <v>Outdoor LED Fixture</v>
      </c>
      <c r="L81" s="457" t="str">
        <f t="shared" si="14"/>
        <v>Bldg Façade, Landscape, Service Canopies, and Stadium/Athletic Field Lighting</v>
      </c>
      <c r="M81" s="457" t="str">
        <f t="shared" si="15"/>
        <v>Outdoor Lighting</v>
      </c>
      <c r="N81" s="457" t="str">
        <f t="shared" si="16"/>
        <v>HPS/MV</v>
      </c>
      <c r="O81" s="461">
        <f t="shared" si="11"/>
        <v>51.034862129267538</v>
      </c>
      <c r="P81" s="461">
        <f t="shared" si="12"/>
        <v>24.329144603062353</v>
      </c>
    </row>
    <row r="82" spans="3:16" ht="16.5" hidden="1" outlineLevel="1" thickTop="1" thickBot="1">
      <c r="C82" s="384" t="s">
        <v>1271</v>
      </c>
      <c r="D82"/>
      <c r="E82"/>
      <c r="F82"/>
      <c r="G82" s="353"/>
      <c r="H82" s="353"/>
      <c r="I82" s="353"/>
      <c r="K82" s="457" t="str">
        <f t="shared" si="13"/>
        <v>LED Roadway</v>
      </c>
      <c r="L82" s="457" t="str">
        <f t="shared" si="14"/>
        <v>Bldg Façade, Landscape, Service Canopies, and Stadium/Athletic Field Lighting</v>
      </c>
      <c r="M82" s="457" t="str">
        <f t="shared" si="15"/>
        <v>Outdoor Lighting</v>
      </c>
      <c r="N82" s="457" t="str">
        <f t="shared" si="16"/>
        <v>HPS/MV</v>
      </c>
      <c r="O82" s="461">
        <f t="shared" si="11"/>
        <v>0</v>
      </c>
      <c r="P82" s="461">
        <f t="shared" si="12"/>
        <v>0</v>
      </c>
    </row>
    <row r="83" spans="3:16" ht="16.5" hidden="1" outlineLevel="1" thickTop="1" thickBot="1">
      <c r="C83"/>
      <c r="D83" s="384" t="s">
        <v>116</v>
      </c>
      <c r="E83"/>
      <c r="F83"/>
      <c r="G83" s="353"/>
      <c r="H83" s="353"/>
      <c r="I83" s="353"/>
      <c r="K83" s="457" t="str">
        <f t="shared" si="13"/>
        <v>LED Roadway</v>
      </c>
      <c r="L83" s="457" t="str">
        <f t="shared" si="14"/>
        <v>Street Lights</v>
      </c>
      <c r="M83" s="457" t="str">
        <f t="shared" si="15"/>
        <v>Outdoor Lighting</v>
      </c>
      <c r="N83" s="457" t="str">
        <f t="shared" si="16"/>
        <v>HPS/MV</v>
      </c>
      <c r="O83" s="461">
        <f t="shared" si="11"/>
        <v>0</v>
      </c>
      <c r="P83" s="461">
        <f t="shared" si="12"/>
        <v>0</v>
      </c>
    </row>
    <row r="84" spans="3:16" ht="16.5" hidden="1" outlineLevel="1" thickTop="1" thickBot="1">
      <c r="C84"/>
      <c r="D84"/>
      <c r="E84" s="384" t="s">
        <v>115</v>
      </c>
      <c r="F84"/>
      <c r="G84" s="353"/>
      <c r="H84" s="353"/>
      <c r="I84" s="353"/>
      <c r="K84" s="457" t="str">
        <f t="shared" si="13"/>
        <v>LED Roadway</v>
      </c>
      <c r="L84" s="457" t="str">
        <f t="shared" si="14"/>
        <v>Street Lights</v>
      </c>
      <c r="M84" s="457" t="str">
        <f t="shared" si="15"/>
        <v>Roadway</v>
      </c>
      <c r="N84" s="457" t="str">
        <f t="shared" si="16"/>
        <v>HPS/MV</v>
      </c>
      <c r="O84" s="461">
        <f t="shared" si="11"/>
        <v>0</v>
      </c>
      <c r="P84" s="461">
        <f t="shared" si="12"/>
        <v>0</v>
      </c>
    </row>
    <row r="85" spans="3:16" ht="16.5" hidden="1" outlineLevel="1" thickTop="1" thickBot="1">
      <c r="C85"/>
      <c r="D85"/>
      <c r="E85"/>
      <c r="F85" s="384" t="s">
        <v>1245</v>
      </c>
      <c r="G85" s="353">
        <v>48.992918547907145</v>
      </c>
      <c r="H85" s="353">
        <v>34.534955899616762</v>
      </c>
      <c r="I85" s="353"/>
      <c r="K85" s="457" t="str">
        <f t="shared" si="13"/>
        <v>LED Roadway</v>
      </c>
      <c r="L85" s="457" t="str">
        <f t="shared" si="14"/>
        <v>Street Lights</v>
      </c>
      <c r="M85" s="457" t="str">
        <f t="shared" si="15"/>
        <v>Roadway</v>
      </c>
      <c r="N85" s="457" t="str">
        <f t="shared" si="16"/>
        <v>MH (Std, PS, CMH)</v>
      </c>
      <c r="O85" s="461">
        <f t="shared" si="11"/>
        <v>48.992918547907145</v>
      </c>
      <c r="P85" s="461">
        <f t="shared" si="12"/>
        <v>34.534955899616762</v>
      </c>
    </row>
    <row r="86" spans="3:16" ht="16.5" hidden="1" outlineLevel="1" thickTop="1" thickBot="1">
      <c r="C86"/>
      <c r="D86"/>
      <c r="E86"/>
      <c r="F86"/>
      <c r="G86"/>
      <c r="H86" s="353"/>
      <c r="I86" s="353"/>
      <c r="K86" s="457" t="str">
        <f t="shared" si="13"/>
        <v>LED Roadway</v>
      </c>
      <c r="L86" s="457" t="str">
        <f t="shared" si="14"/>
        <v>Street Lights</v>
      </c>
      <c r="M86" s="457" t="str">
        <f t="shared" si="15"/>
        <v>Roadway</v>
      </c>
      <c r="N86" s="457" t="str">
        <f t="shared" si="16"/>
        <v>MH (Std, PS, CMH)</v>
      </c>
      <c r="O86" s="461">
        <f t="shared" si="11"/>
        <v>0</v>
      </c>
      <c r="P86" s="461">
        <f t="shared" si="12"/>
        <v>0</v>
      </c>
    </row>
    <row r="87" spans="3:16" ht="16.5" hidden="1" outlineLevel="1" thickTop="1" thickBot="1">
      <c r="C87"/>
      <c r="D87"/>
      <c r="E87"/>
      <c r="F87"/>
      <c r="G87"/>
      <c r="H87" s="353"/>
      <c r="I87" s="353"/>
      <c r="K87" s="457" t="str">
        <f t="shared" si="13"/>
        <v>LED Roadway</v>
      </c>
      <c r="L87" s="457" t="str">
        <f t="shared" si="14"/>
        <v>Street Lights</v>
      </c>
      <c r="M87" s="457" t="str">
        <f t="shared" si="15"/>
        <v>Roadway</v>
      </c>
      <c r="N87" s="457" t="str">
        <f t="shared" si="16"/>
        <v>MH (Std, PS, CMH)</v>
      </c>
      <c r="O87" s="461">
        <f t="shared" si="11"/>
        <v>0</v>
      </c>
      <c r="P87" s="461">
        <f t="shared" si="12"/>
        <v>0</v>
      </c>
    </row>
    <row r="88" spans="3:16" ht="16.5" hidden="1" outlineLevel="1" thickTop="1" thickBot="1">
      <c r="C88"/>
      <c r="D88"/>
      <c r="E88"/>
      <c r="F88"/>
      <c r="G88"/>
      <c r="H88" s="353"/>
      <c r="I88" s="353"/>
      <c r="K88" s="457" t="str">
        <f t="shared" si="13"/>
        <v>LED Roadway</v>
      </c>
      <c r="L88" s="457" t="str">
        <f t="shared" si="14"/>
        <v>Street Lights</v>
      </c>
      <c r="M88" s="457" t="str">
        <f t="shared" si="15"/>
        <v>Roadway</v>
      </c>
      <c r="N88" s="457" t="str">
        <f t="shared" si="16"/>
        <v>MH (Std, PS, CMH)</v>
      </c>
      <c r="O88" s="461">
        <f t="shared" si="11"/>
        <v>0</v>
      </c>
      <c r="P88" s="461">
        <f t="shared" si="12"/>
        <v>0</v>
      </c>
    </row>
    <row r="89" spans="3:16" ht="16.5" hidden="1" outlineLevel="1" thickTop="1" thickBot="1">
      <c r="C89"/>
      <c r="D89"/>
      <c r="E89"/>
      <c r="F89"/>
      <c r="G89"/>
      <c r="H89" s="353"/>
      <c r="I89" s="353"/>
      <c r="K89" s="457" t="str">
        <f t="shared" si="13"/>
        <v>LED Roadway</v>
      </c>
      <c r="L89" s="457" t="str">
        <f t="shared" si="14"/>
        <v>Street Lights</v>
      </c>
      <c r="M89" s="457" t="str">
        <f t="shared" si="15"/>
        <v>Roadway</v>
      </c>
      <c r="N89" s="457" t="str">
        <f t="shared" si="16"/>
        <v>MH (Std, PS, CMH)</v>
      </c>
      <c r="O89" s="461">
        <f t="shared" si="11"/>
        <v>0</v>
      </c>
      <c r="P89" s="461">
        <f t="shared" si="12"/>
        <v>0</v>
      </c>
    </row>
    <row r="90" spans="3:16" ht="16.5" hidden="1" outlineLevel="1" thickTop="1" thickBot="1">
      <c r="C90"/>
      <c r="D90"/>
      <c r="E90"/>
      <c r="F90"/>
      <c r="G90"/>
      <c r="H90" s="353"/>
      <c r="I90" s="353"/>
      <c r="K90" s="457" t="str">
        <f t="shared" si="13"/>
        <v>LED Roadway</v>
      </c>
      <c r="L90" s="457" t="str">
        <f t="shared" si="14"/>
        <v>Street Lights</v>
      </c>
      <c r="M90" s="457" t="str">
        <f t="shared" si="15"/>
        <v>Roadway</v>
      </c>
      <c r="N90" s="457" t="str">
        <f t="shared" si="16"/>
        <v>MH (Std, PS, CMH)</v>
      </c>
      <c r="O90" s="461">
        <f t="shared" si="11"/>
        <v>0</v>
      </c>
      <c r="P90" s="461">
        <f t="shared" si="12"/>
        <v>0</v>
      </c>
    </row>
    <row r="91" spans="3:16" ht="16.5" hidden="1" outlineLevel="1" thickTop="1" thickBot="1">
      <c r="C91"/>
      <c r="D91"/>
      <c r="E91"/>
      <c r="F91"/>
      <c r="G91"/>
      <c r="H91" s="353"/>
      <c r="I91" s="353"/>
      <c r="K91" s="457" t="str">
        <f t="shared" si="13"/>
        <v>LED Roadway</v>
      </c>
      <c r="L91" s="457" t="str">
        <f t="shared" si="14"/>
        <v>Street Lights</v>
      </c>
      <c r="M91" s="457" t="str">
        <f t="shared" si="15"/>
        <v>Roadway</v>
      </c>
      <c r="N91" s="457" t="str">
        <f t="shared" si="16"/>
        <v>MH (Std, PS, CMH)</v>
      </c>
      <c r="O91" s="461">
        <f t="shared" si="11"/>
        <v>0</v>
      </c>
      <c r="P91" s="461">
        <f t="shared" si="12"/>
        <v>0</v>
      </c>
    </row>
    <row r="92" spans="3:16" ht="16.5" hidden="1" outlineLevel="1" thickTop="1" thickBot="1">
      <c r="C92"/>
      <c r="D92"/>
      <c r="E92"/>
      <c r="F92"/>
      <c r="G92"/>
      <c r="H92" s="353"/>
      <c r="I92" s="353"/>
      <c r="K92" s="457" t="str">
        <f t="shared" si="13"/>
        <v>LED Roadway</v>
      </c>
      <c r="L92" s="457" t="str">
        <f t="shared" si="14"/>
        <v>Street Lights</v>
      </c>
      <c r="M92" s="457" t="str">
        <f t="shared" si="15"/>
        <v>Roadway</v>
      </c>
      <c r="N92" s="457" t="str">
        <f t="shared" si="16"/>
        <v>MH (Std, PS, CMH)</v>
      </c>
      <c r="O92" s="461">
        <f t="shared" si="11"/>
        <v>0</v>
      </c>
      <c r="P92" s="461">
        <f t="shared" si="12"/>
        <v>0</v>
      </c>
    </row>
    <row r="93" spans="3:16" ht="16.5" hidden="1" outlineLevel="1" thickTop="1" thickBot="1">
      <c r="C93"/>
      <c r="D93"/>
      <c r="E93"/>
      <c r="F93"/>
      <c r="G93"/>
      <c r="H93" s="353"/>
      <c r="I93" s="353"/>
      <c r="K93" s="457" t="str">
        <f t="shared" si="13"/>
        <v>LED Roadway</v>
      </c>
      <c r="L93" s="457" t="str">
        <f t="shared" si="14"/>
        <v>Street Lights</v>
      </c>
      <c r="M93" s="457" t="str">
        <f t="shared" si="15"/>
        <v>Roadway</v>
      </c>
      <c r="N93" s="457" t="str">
        <f t="shared" si="16"/>
        <v>MH (Std, PS, CMH)</v>
      </c>
      <c r="O93" s="461">
        <f t="shared" si="11"/>
        <v>0</v>
      </c>
      <c r="P93" s="461">
        <f t="shared" si="12"/>
        <v>0</v>
      </c>
    </row>
    <row r="94" spans="3:16" ht="16.5" hidden="1" outlineLevel="1" thickTop="1" thickBot="1">
      <c r="C94"/>
      <c r="D94"/>
      <c r="E94"/>
      <c r="F94"/>
      <c r="G94"/>
      <c r="H94" s="353"/>
      <c r="I94" s="353"/>
      <c r="K94" s="457" t="str">
        <f t="shared" si="13"/>
        <v>LED Roadway</v>
      </c>
      <c r="L94" s="457" t="str">
        <f t="shared" si="14"/>
        <v>Street Lights</v>
      </c>
      <c r="M94" s="457" t="str">
        <f t="shared" si="15"/>
        <v>Roadway</v>
      </c>
      <c r="N94" s="457" t="str">
        <f t="shared" si="16"/>
        <v>MH (Std, PS, CMH)</v>
      </c>
      <c r="O94" s="461">
        <f t="shared" si="11"/>
        <v>0</v>
      </c>
      <c r="P94" s="461">
        <f t="shared" si="12"/>
        <v>0</v>
      </c>
    </row>
    <row r="95" spans="3:16" ht="16.5" hidden="1" outlineLevel="1" thickTop="1" thickBot="1">
      <c r="C95"/>
      <c r="D95"/>
      <c r="E95"/>
      <c r="F95"/>
      <c r="G95"/>
      <c r="H95" s="353"/>
      <c r="I95" s="353"/>
      <c r="K95" s="457" t="str">
        <f t="shared" si="13"/>
        <v>LED Roadway</v>
      </c>
      <c r="L95" s="457" t="str">
        <f t="shared" si="14"/>
        <v>Street Lights</v>
      </c>
      <c r="M95" s="457" t="str">
        <f t="shared" si="15"/>
        <v>Roadway</v>
      </c>
      <c r="N95" s="457" t="str">
        <f t="shared" si="16"/>
        <v>MH (Std, PS, CMH)</v>
      </c>
      <c r="O95" s="461">
        <f t="shared" si="11"/>
        <v>0</v>
      </c>
      <c r="P95" s="461">
        <f t="shared" si="12"/>
        <v>0</v>
      </c>
    </row>
    <row r="96" spans="3:16" ht="16.5" hidden="1" outlineLevel="1" thickTop="1" thickBot="1">
      <c r="C96"/>
      <c r="D96"/>
      <c r="E96"/>
      <c r="F96"/>
      <c r="G96"/>
      <c r="H96" s="353"/>
      <c r="I96" s="353"/>
      <c r="K96" s="457" t="str">
        <f t="shared" si="13"/>
        <v>LED Roadway</v>
      </c>
      <c r="L96" s="457" t="str">
        <f t="shared" si="14"/>
        <v>Street Lights</v>
      </c>
      <c r="M96" s="457" t="str">
        <f t="shared" si="15"/>
        <v>Roadway</v>
      </c>
      <c r="N96" s="457" t="str">
        <f t="shared" si="16"/>
        <v>MH (Std, PS, CMH)</v>
      </c>
      <c r="O96" s="461">
        <f t="shared" si="11"/>
        <v>0</v>
      </c>
      <c r="P96" s="461">
        <f t="shared" si="12"/>
        <v>0</v>
      </c>
    </row>
    <row r="97" spans="3:59" ht="16.5" hidden="1" outlineLevel="1" thickTop="1" thickBot="1">
      <c r="C97"/>
      <c r="D97"/>
      <c r="E97"/>
      <c r="F97"/>
      <c r="G97"/>
      <c r="H97" s="353"/>
      <c r="I97" s="353"/>
      <c r="K97" s="457" t="str">
        <f t="shared" si="13"/>
        <v>LED Roadway</v>
      </c>
      <c r="L97" s="457" t="str">
        <f t="shared" si="14"/>
        <v>Street Lights</v>
      </c>
      <c r="M97" s="457" t="str">
        <f t="shared" si="15"/>
        <v>Roadway</v>
      </c>
      <c r="N97" s="457" t="str">
        <f t="shared" si="16"/>
        <v>MH (Std, PS, CMH)</v>
      </c>
      <c r="O97" s="461">
        <f t="shared" si="11"/>
        <v>0</v>
      </c>
      <c r="P97" s="461">
        <f t="shared" si="12"/>
        <v>0</v>
      </c>
    </row>
    <row r="98" spans="3:59" ht="16.5" hidden="1" outlineLevel="1" thickTop="1" thickBot="1">
      <c r="C98"/>
      <c r="D98"/>
      <c r="E98"/>
      <c r="F98"/>
      <c r="G98"/>
      <c r="H98" s="353"/>
      <c r="I98" s="353"/>
      <c r="K98" s="457" t="str">
        <f t="shared" si="13"/>
        <v>LED Roadway</v>
      </c>
      <c r="L98" s="457" t="str">
        <f t="shared" si="14"/>
        <v>Street Lights</v>
      </c>
      <c r="M98" s="457" t="str">
        <f t="shared" si="15"/>
        <v>Roadway</v>
      </c>
      <c r="N98" s="457" t="str">
        <f t="shared" si="16"/>
        <v>MH (Std, PS, CMH)</v>
      </c>
      <c r="O98" s="461">
        <f t="shared" si="11"/>
        <v>0</v>
      </c>
      <c r="P98" s="461">
        <f t="shared" si="12"/>
        <v>0</v>
      </c>
    </row>
    <row r="99" spans="3:59" ht="16.5" hidden="1" outlineLevel="1" thickTop="1" thickBot="1">
      <c r="C99"/>
      <c r="D99"/>
      <c r="E99"/>
      <c r="F99"/>
      <c r="G99"/>
      <c r="H99" s="353"/>
      <c r="I99" s="353"/>
      <c r="K99" s="457" t="str">
        <f t="shared" si="13"/>
        <v>LED Roadway</v>
      </c>
      <c r="L99" s="457" t="str">
        <f t="shared" si="14"/>
        <v>Street Lights</v>
      </c>
      <c r="M99" s="457" t="str">
        <f t="shared" si="15"/>
        <v>Roadway</v>
      </c>
      <c r="N99" s="457" t="str">
        <f t="shared" si="16"/>
        <v>MH (Std, PS, CMH)</v>
      </c>
      <c r="O99" s="461">
        <f t="shared" si="11"/>
        <v>0</v>
      </c>
      <c r="P99" s="461">
        <f t="shared" si="12"/>
        <v>0</v>
      </c>
    </row>
    <row r="100" spans="3:59" ht="16.5" hidden="1" outlineLevel="1" thickTop="1" thickBot="1">
      <c r="C100"/>
      <c r="D100"/>
      <c r="E100"/>
      <c r="F100"/>
      <c r="G100"/>
      <c r="H100" s="353"/>
      <c r="I100" s="353"/>
      <c r="K100" s="457" t="str">
        <f t="shared" si="13"/>
        <v>LED Roadway</v>
      </c>
      <c r="L100" s="457" t="str">
        <f t="shared" si="14"/>
        <v>Street Lights</v>
      </c>
      <c r="M100" s="457" t="str">
        <f t="shared" si="15"/>
        <v>Roadway</v>
      </c>
      <c r="N100" s="457" t="str">
        <f t="shared" si="16"/>
        <v>MH (Std, PS, CMH)</v>
      </c>
      <c r="O100" s="461">
        <f t="shared" si="11"/>
        <v>0</v>
      </c>
      <c r="P100" s="461">
        <f t="shared" si="12"/>
        <v>0</v>
      </c>
    </row>
    <row r="101" spans="3:59" ht="16.5" hidden="1" outlineLevel="1" thickTop="1" thickBot="1">
      <c r="C101"/>
      <c r="D101"/>
      <c r="E101"/>
      <c r="F101"/>
      <c r="G101"/>
      <c r="H101" s="353"/>
      <c r="I101" s="353"/>
      <c r="K101" s="457" t="str">
        <f t="shared" si="13"/>
        <v>LED Roadway</v>
      </c>
      <c r="L101" s="457" t="str">
        <f t="shared" si="14"/>
        <v>Street Lights</v>
      </c>
      <c r="M101" s="457" t="str">
        <f t="shared" si="15"/>
        <v>Roadway</v>
      </c>
      <c r="N101" s="457" t="str">
        <f t="shared" si="16"/>
        <v>MH (Std, PS, CMH)</v>
      </c>
      <c r="O101" s="461">
        <f t="shared" si="11"/>
        <v>0</v>
      </c>
      <c r="P101" s="461">
        <f t="shared" si="12"/>
        <v>0</v>
      </c>
      <c r="BG101" s="1"/>
    </row>
    <row r="102" spans="3:59" ht="16.5" hidden="1" outlineLevel="1" thickTop="1" thickBot="1">
      <c r="C102"/>
      <c r="D102"/>
      <c r="E102"/>
      <c r="F102"/>
      <c r="G102"/>
      <c r="H102" s="353"/>
      <c r="I102" s="353"/>
      <c r="K102" s="457" t="str">
        <f t="shared" si="13"/>
        <v>LED Roadway</v>
      </c>
      <c r="L102" s="457" t="str">
        <f t="shared" si="14"/>
        <v>Street Lights</v>
      </c>
      <c r="M102" s="457" t="str">
        <f t="shared" si="15"/>
        <v>Roadway</v>
      </c>
      <c r="N102" s="457" t="str">
        <f t="shared" si="16"/>
        <v>MH (Std, PS, CMH)</v>
      </c>
      <c r="O102" s="461">
        <f t="shared" si="11"/>
        <v>0</v>
      </c>
      <c r="P102" s="461">
        <f t="shared" si="12"/>
        <v>0</v>
      </c>
    </row>
    <row r="103" spans="3:59" ht="16.5" hidden="1" outlineLevel="1" thickTop="1" thickBot="1">
      <c r="C103"/>
      <c r="D103"/>
      <c r="E103"/>
      <c r="F103"/>
      <c r="G103"/>
      <c r="H103" s="353"/>
      <c r="I103" s="353"/>
      <c r="K103" s="457" t="str">
        <f t="shared" si="13"/>
        <v>LED Roadway</v>
      </c>
      <c r="L103" s="457" t="str">
        <f t="shared" si="14"/>
        <v>Street Lights</v>
      </c>
      <c r="M103" s="457" t="str">
        <f t="shared" si="15"/>
        <v>Roadway</v>
      </c>
      <c r="N103" s="457" t="str">
        <f t="shared" si="16"/>
        <v>MH (Std, PS, CMH)</v>
      </c>
      <c r="O103" s="461">
        <f t="shared" ref="O103:O134" si="17">G103</f>
        <v>0</v>
      </c>
      <c r="P103" s="461">
        <f t="shared" ref="P103:P134" si="18">H103</f>
        <v>0</v>
      </c>
    </row>
    <row r="104" spans="3:59" ht="16.5" hidden="1" outlineLevel="1" thickTop="1" thickBot="1">
      <c r="C104"/>
      <c r="D104"/>
      <c r="E104"/>
      <c r="F104"/>
      <c r="G104"/>
      <c r="H104" s="353"/>
      <c r="I104" s="353"/>
      <c r="K104" s="457" t="str">
        <f t="shared" ref="K104:K135" si="19">IF(C104=0,K103,C104)</f>
        <v>LED Roadway</v>
      </c>
      <c r="L104" s="457" t="str">
        <f t="shared" ref="L104:L135" si="20">IF(D104=0,L103,D104)</f>
        <v>Street Lights</v>
      </c>
      <c r="M104" s="457" t="str">
        <f t="shared" ref="M104:M135" si="21">IF(E104=0,M103,E104)</f>
        <v>Roadway</v>
      </c>
      <c r="N104" s="457" t="str">
        <f t="shared" si="16"/>
        <v>MH (Std, PS, CMH)</v>
      </c>
      <c r="O104" s="461">
        <f t="shared" si="17"/>
        <v>0</v>
      </c>
      <c r="P104" s="461">
        <f t="shared" si="18"/>
        <v>0</v>
      </c>
    </row>
    <row r="105" spans="3:59" ht="16.5" hidden="1" outlineLevel="1" thickTop="1" thickBot="1">
      <c r="C105"/>
      <c r="D105"/>
      <c r="E105"/>
      <c r="F105"/>
      <c r="G105"/>
      <c r="H105" s="353"/>
      <c r="I105" s="353"/>
      <c r="K105" s="457" t="str">
        <f t="shared" si="19"/>
        <v>LED Roadway</v>
      </c>
      <c r="L105" s="457" t="str">
        <f t="shared" si="20"/>
        <v>Street Lights</v>
      </c>
      <c r="M105" s="457" t="str">
        <f t="shared" si="21"/>
        <v>Roadway</v>
      </c>
      <c r="N105" s="457" t="str">
        <f t="shared" si="16"/>
        <v>MH (Std, PS, CMH)</v>
      </c>
      <c r="O105" s="461">
        <f t="shared" si="17"/>
        <v>0</v>
      </c>
      <c r="P105" s="461">
        <f t="shared" si="18"/>
        <v>0</v>
      </c>
    </row>
    <row r="106" spans="3:59" ht="16.5" hidden="1" outlineLevel="1" thickTop="1" thickBot="1">
      <c r="C106"/>
      <c r="D106"/>
      <c r="E106"/>
      <c r="F106"/>
      <c r="G106"/>
      <c r="H106" s="353"/>
      <c r="I106" s="353"/>
      <c r="K106" s="457" t="str">
        <f t="shared" si="19"/>
        <v>LED Roadway</v>
      </c>
      <c r="L106" s="457" t="str">
        <f t="shared" si="20"/>
        <v>Street Lights</v>
      </c>
      <c r="M106" s="457" t="str">
        <f t="shared" si="21"/>
        <v>Roadway</v>
      </c>
      <c r="N106" s="457" t="str">
        <f t="shared" si="16"/>
        <v>MH (Std, PS, CMH)</v>
      </c>
      <c r="O106" s="461">
        <f t="shared" si="17"/>
        <v>0</v>
      </c>
      <c r="P106" s="461">
        <f t="shared" si="18"/>
        <v>0</v>
      </c>
    </row>
    <row r="107" spans="3:59" ht="16.5" hidden="1" outlineLevel="1" thickTop="1" thickBot="1">
      <c r="C107"/>
      <c r="D107"/>
      <c r="E107"/>
      <c r="F107"/>
      <c r="G107"/>
      <c r="H107" s="353"/>
      <c r="I107" s="353"/>
      <c r="K107" s="457" t="str">
        <f t="shared" si="19"/>
        <v>LED Roadway</v>
      </c>
      <c r="L107" s="457" t="str">
        <f t="shared" si="20"/>
        <v>Street Lights</v>
      </c>
      <c r="M107" s="457" t="str">
        <f t="shared" si="21"/>
        <v>Roadway</v>
      </c>
      <c r="N107" s="457" t="str">
        <f t="shared" si="16"/>
        <v>MH (Std, PS, CMH)</v>
      </c>
      <c r="O107" s="461">
        <f t="shared" si="17"/>
        <v>0</v>
      </c>
      <c r="P107" s="461">
        <f t="shared" si="18"/>
        <v>0</v>
      </c>
    </row>
    <row r="108" spans="3:59" ht="16.5" hidden="1" outlineLevel="1" thickTop="1" thickBot="1">
      <c r="C108"/>
      <c r="D108"/>
      <c r="E108"/>
      <c r="F108"/>
      <c r="G108"/>
      <c r="H108" s="353"/>
      <c r="I108" s="353"/>
      <c r="K108" s="457" t="str">
        <f t="shared" si="19"/>
        <v>LED Roadway</v>
      </c>
      <c r="L108" s="457" t="str">
        <f t="shared" si="20"/>
        <v>Street Lights</v>
      </c>
      <c r="M108" s="457" t="str">
        <f t="shared" si="21"/>
        <v>Roadway</v>
      </c>
      <c r="N108" s="457" t="str">
        <f t="shared" si="16"/>
        <v>MH (Std, PS, CMH)</v>
      </c>
      <c r="O108" s="461">
        <f t="shared" si="17"/>
        <v>0</v>
      </c>
      <c r="P108" s="461">
        <f t="shared" si="18"/>
        <v>0</v>
      </c>
    </row>
    <row r="109" spans="3:59" ht="16.5" hidden="1" outlineLevel="1" thickTop="1" thickBot="1">
      <c r="C109"/>
      <c r="D109"/>
      <c r="E109"/>
      <c r="F109"/>
      <c r="G109"/>
      <c r="H109" s="353"/>
      <c r="I109" s="353"/>
      <c r="K109" s="457" t="str">
        <f t="shared" si="19"/>
        <v>LED Roadway</v>
      </c>
      <c r="L109" s="457" t="str">
        <f t="shared" si="20"/>
        <v>Street Lights</v>
      </c>
      <c r="M109" s="457" t="str">
        <f t="shared" si="21"/>
        <v>Roadway</v>
      </c>
      <c r="N109" s="457" t="str">
        <f t="shared" si="16"/>
        <v>MH (Std, PS, CMH)</v>
      </c>
      <c r="O109" s="461">
        <f t="shared" si="17"/>
        <v>0</v>
      </c>
      <c r="P109" s="461">
        <f t="shared" si="18"/>
        <v>0</v>
      </c>
    </row>
    <row r="110" spans="3:59" ht="16.5" hidden="1" outlineLevel="1" thickTop="1" thickBot="1">
      <c r="C110"/>
      <c r="D110"/>
      <c r="E110"/>
      <c r="F110"/>
      <c r="G110"/>
      <c r="H110" s="353"/>
      <c r="I110" s="353"/>
      <c r="K110" s="457" t="str">
        <f t="shared" si="19"/>
        <v>LED Roadway</v>
      </c>
      <c r="L110" s="457" t="str">
        <f t="shared" si="20"/>
        <v>Street Lights</v>
      </c>
      <c r="M110" s="457" t="str">
        <f t="shared" si="21"/>
        <v>Roadway</v>
      </c>
      <c r="N110" s="457" t="str">
        <f t="shared" si="16"/>
        <v>MH (Std, PS, CMH)</v>
      </c>
      <c r="O110" s="461">
        <f t="shared" si="17"/>
        <v>0</v>
      </c>
      <c r="P110" s="461">
        <f t="shared" si="18"/>
        <v>0</v>
      </c>
    </row>
    <row r="111" spans="3:59" ht="16.5" hidden="1" outlineLevel="1" thickTop="1" thickBot="1">
      <c r="C111"/>
      <c r="D111"/>
      <c r="E111"/>
      <c r="F111"/>
      <c r="G111"/>
      <c r="H111" s="353"/>
      <c r="I111" s="353"/>
      <c r="K111" s="457" t="str">
        <f t="shared" si="19"/>
        <v>LED Roadway</v>
      </c>
      <c r="L111" s="457" t="str">
        <f t="shared" si="20"/>
        <v>Street Lights</v>
      </c>
      <c r="M111" s="457" t="str">
        <f t="shared" si="21"/>
        <v>Roadway</v>
      </c>
      <c r="N111" s="457" t="str">
        <f t="shared" si="16"/>
        <v>MH (Std, PS, CMH)</v>
      </c>
      <c r="O111" s="461">
        <f t="shared" si="17"/>
        <v>0</v>
      </c>
      <c r="P111" s="461">
        <f t="shared" si="18"/>
        <v>0</v>
      </c>
    </row>
    <row r="112" spans="3:59" ht="16.5" hidden="1" outlineLevel="1" thickTop="1" thickBot="1">
      <c r="C112"/>
      <c r="D112"/>
      <c r="E112"/>
      <c r="F112"/>
      <c r="G112"/>
      <c r="H112" s="353"/>
      <c r="I112" s="353"/>
      <c r="K112" s="457" t="str">
        <f t="shared" si="19"/>
        <v>LED Roadway</v>
      </c>
      <c r="L112" s="457" t="str">
        <f t="shared" si="20"/>
        <v>Street Lights</v>
      </c>
      <c r="M112" s="457" t="str">
        <f t="shared" si="21"/>
        <v>Roadway</v>
      </c>
      <c r="N112" s="457" t="str">
        <f t="shared" si="16"/>
        <v>MH (Std, PS, CMH)</v>
      </c>
      <c r="O112" s="461">
        <f t="shared" si="17"/>
        <v>0</v>
      </c>
      <c r="P112" s="461">
        <f t="shared" si="18"/>
        <v>0</v>
      </c>
    </row>
    <row r="113" spans="3:16" ht="16.5" hidden="1" outlineLevel="1" thickTop="1" thickBot="1">
      <c r="C113"/>
      <c r="D113"/>
      <c r="E113"/>
      <c r="F113"/>
      <c r="G113"/>
      <c r="H113" s="353"/>
      <c r="I113" s="353"/>
      <c r="K113" s="457" t="str">
        <f t="shared" si="19"/>
        <v>LED Roadway</v>
      </c>
      <c r="L113" s="457" t="str">
        <f t="shared" si="20"/>
        <v>Street Lights</v>
      </c>
      <c r="M113" s="457" t="str">
        <f t="shared" si="21"/>
        <v>Roadway</v>
      </c>
      <c r="N113" s="457" t="str">
        <f t="shared" si="16"/>
        <v>MH (Std, PS, CMH)</v>
      </c>
      <c r="O113" s="461">
        <f t="shared" si="17"/>
        <v>0</v>
      </c>
      <c r="P113" s="461">
        <f t="shared" si="18"/>
        <v>0</v>
      </c>
    </row>
    <row r="114" spans="3:16" ht="16.5" hidden="1" outlineLevel="1" thickTop="1" thickBot="1">
      <c r="C114"/>
      <c r="D114"/>
      <c r="E114"/>
      <c r="F114"/>
      <c r="G114"/>
      <c r="H114" s="353"/>
      <c r="I114" s="353"/>
      <c r="K114" s="457" t="str">
        <f t="shared" si="19"/>
        <v>LED Roadway</v>
      </c>
      <c r="L114" s="457" t="str">
        <f t="shared" si="20"/>
        <v>Street Lights</v>
      </c>
      <c r="M114" s="457" t="str">
        <f t="shared" si="21"/>
        <v>Roadway</v>
      </c>
      <c r="N114" s="457" t="str">
        <f t="shared" si="16"/>
        <v>MH (Std, PS, CMH)</v>
      </c>
      <c r="O114" s="461">
        <f t="shared" si="17"/>
        <v>0</v>
      </c>
      <c r="P114" s="461">
        <f t="shared" si="18"/>
        <v>0</v>
      </c>
    </row>
    <row r="115" spans="3:16" ht="16.5" hidden="1" outlineLevel="1" thickTop="1" thickBot="1">
      <c r="C115"/>
      <c r="D115"/>
      <c r="E115"/>
      <c r="F115"/>
      <c r="G115"/>
      <c r="H115" s="353"/>
      <c r="I115" s="353"/>
      <c r="K115" s="457" t="str">
        <f t="shared" si="19"/>
        <v>LED Roadway</v>
      </c>
      <c r="L115" s="457" t="str">
        <f t="shared" si="20"/>
        <v>Street Lights</v>
      </c>
      <c r="M115" s="457" t="str">
        <f t="shared" si="21"/>
        <v>Roadway</v>
      </c>
      <c r="N115" s="457" t="str">
        <f t="shared" si="16"/>
        <v>MH (Std, PS, CMH)</v>
      </c>
      <c r="O115" s="461">
        <f t="shared" si="17"/>
        <v>0</v>
      </c>
      <c r="P115" s="461">
        <f t="shared" si="18"/>
        <v>0</v>
      </c>
    </row>
    <row r="116" spans="3:16" ht="16.5" hidden="1" outlineLevel="1" thickTop="1" thickBot="1">
      <c r="C116"/>
      <c r="D116"/>
      <c r="E116"/>
      <c r="F116"/>
      <c r="G116"/>
      <c r="H116" s="353"/>
      <c r="I116" s="353"/>
      <c r="K116" s="457" t="str">
        <f t="shared" si="19"/>
        <v>LED Roadway</v>
      </c>
      <c r="L116" s="457" t="str">
        <f t="shared" si="20"/>
        <v>Street Lights</v>
      </c>
      <c r="M116" s="457" t="str">
        <f t="shared" si="21"/>
        <v>Roadway</v>
      </c>
      <c r="N116" s="457" t="str">
        <f t="shared" si="16"/>
        <v>MH (Std, PS, CMH)</v>
      </c>
      <c r="O116" s="461">
        <f t="shared" si="17"/>
        <v>0</v>
      </c>
      <c r="P116" s="461">
        <f t="shared" si="18"/>
        <v>0</v>
      </c>
    </row>
    <row r="117" spans="3:16" ht="16.5" hidden="1" outlineLevel="1" thickTop="1" thickBot="1">
      <c r="C117"/>
      <c r="D117"/>
      <c r="E117"/>
      <c r="F117"/>
      <c r="G117"/>
      <c r="H117" s="353"/>
      <c r="I117" s="353"/>
      <c r="K117" s="457" t="str">
        <f t="shared" si="19"/>
        <v>LED Roadway</v>
      </c>
      <c r="L117" s="457" t="str">
        <f t="shared" si="20"/>
        <v>Street Lights</v>
      </c>
      <c r="M117" s="457" t="str">
        <f t="shared" si="21"/>
        <v>Roadway</v>
      </c>
      <c r="N117" s="457" t="str">
        <f t="shared" si="16"/>
        <v>MH (Std, PS, CMH)</v>
      </c>
      <c r="O117" s="461">
        <f t="shared" si="17"/>
        <v>0</v>
      </c>
      <c r="P117" s="461">
        <f t="shared" si="18"/>
        <v>0</v>
      </c>
    </row>
    <row r="118" spans="3:16" ht="16.5" hidden="1" outlineLevel="1" thickTop="1" thickBot="1">
      <c r="C118"/>
      <c r="D118"/>
      <c r="E118"/>
      <c r="F118"/>
      <c r="G118"/>
      <c r="H118" s="353"/>
      <c r="I118" s="353"/>
      <c r="K118" s="457" t="str">
        <f t="shared" si="19"/>
        <v>LED Roadway</v>
      </c>
      <c r="L118" s="457" t="str">
        <f t="shared" si="20"/>
        <v>Street Lights</v>
      </c>
      <c r="M118" s="457" t="str">
        <f t="shared" si="21"/>
        <v>Roadway</v>
      </c>
      <c r="N118" s="457" t="str">
        <f t="shared" si="16"/>
        <v>MH (Std, PS, CMH)</v>
      </c>
      <c r="O118" s="461">
        <f t="shared" si="17"/>
        <v>0</v>
      </c>
      <c r="P118" s="461">
        <f t="shared" si="18"/>
        <v>0</v>
      </c>
    </row>
    <row r="119" spans="3:16" ht="16.5" hidden="1" outlineLevel="1" thickTop="1" thickBot="1">
      <c r="C119"/>
      <c r="D119"/>
      <c r="E119"/>
      <c r="F119"/>
      <c r="G119"/>
      <c r="H119" s="353"/>
      <c r="I119" s="353"/>
      <c r="K119" s="457" t="str">
        <f t="shared" si="19"/>
        <v>LED Roadway</v>
      </c>
      <c r="L119" s="457" t="str">
        <f t="shared" si="20"/>
        <v>Street Lights</v>
      </c>
      <c r="M119" s="457" t="str">
        <f t="shared" si="21"/>
        <v>Roadway</v>
      </c>
      <c r="N119" s="457" t="str">
        <f t="shared" si="16"/>
        <v>MH (Std, PS, CMH)</v>
      </c>
      <c r="O119" s="461">
        <f t="shared" si="17"/>
        <v>0</v>
      </c>
      <c r="P119" s="461">
        <f t="shared" si="18"/>
        <v>0</v>
      </c>
    </row>
    <row r="120" spans="3:16" ht="16.5" hidden="1" outlineLevel="1" thickTop="1" thickBot="1">
      <c r="C120"/>
      <c r="D120"/>
      <c r="E120"/>
      <c r="F120"/>
      <c r="G120"/>
      <c r="H120" s="353"/>
      <c r="I120" s="353"/>
      <c r="K120" s="457" t="str">
        <f t="shared" si="19"/>
        <v>LED Roadway</v>
      </c>
      <c r="L120" s="457" t="str">
        <f t="shared" si="20"/>
        <v>Street Lights</v>
      </c>
      <c r="M120" s="457" t="str">
        <f t="shared" si="21"/>
        <v>Roadway</v>
      </c>
      <c r="N120" s="457" t="str">
        <f t="shared" si="16"/>
        <v>MH (Std, PS, CMH)</v>
      </c>
      <c r="O120" s="461">
        <f t="shared" si="17"/>
        <v>0</v>
      </c>
      <c r="P120" s="461">
        <f t="shared" si="18"/>
        <v>0</v>
      </c>
    </row>
    <row r="121" spans="3:16" ht="16.5" hidden="1" outlineLevel="1" thickTop="1" thickBot="1">
      <c r="C121"/>
      <c r="D121"/>
      <c r="E121"/>
      <c r="F121"/>
      <c r="G121"/>
      <c r="H121" s="353"/>
      <c r="I121" s="353"/>
      <c r="K121" s="457" t="str">
        <f t="shared" si="19"/>
        <v>LED Roadway</v>
      </c>
      <c r="L121" s="457" t="str">
        <f t="shared" si="20"/>
        <v>Street Lights</v>
      </c>
      <c r="M121" s="457" t="str">
        <f t="shared" si="21"/>
        <v>Roadway</v>
      </c>
      <c r="N121" s="457" t="str">
        <f t="shared" si="16"/>
        <v>MH (Std, PS, CMH)</v>
      </c>
      <c r="O121" s="461">
        <f t="shared" si="17"/>
        <v>0</v>
      </c>
      <c r="P121" s="461">
        <f t="shared" si="18"/>
        <v>0</v>
      </c>
    </row>
    <row r="122" spans="3:16" ht="16.5" hidden="1" outlineLevel="1" thickTop="1" thickBot="1">
      <c r="C122"/>
      <c r="D122"/>
      <c r="E122"/>
      <c r="F122"/>
      <c r="G122"/>
      <c r="H122" s="353"/>
      <c r="I122" s="353"/>
      <c r="K122" s="457" t="str">
        <f t="shared" si="19"/>
        <v>LED Roadway</v>
      </c>
      <c r="L122" s="457" t="str">
        <f t="shared" si="20"/>
        <v>Street Lights</v>
      </c>
      <c r="M122" s="457" t="str">
        <f t="shared" si="21"/>
        <v>Roadway</v>
      </c>
      <c r="N122" s="457" t="str">
        <f t="shared" si="16"/>
        <v>MH (Std, PS, CMH)</v>
      </c>
      <c r="O122" s="461">
        <f t="shared" si="17"/>
        <v>0</v>
      </c>
      <c r="P122" s="461">
        <f t="shared" si="18"/>
        <v>0</v>
      </c>
    </row>
    <row r="123" spans="3:16" ht="16.5" hidden="1" outlineLevel="1" thickTop="1" thickBot="1">
      <c r="C123"/>
      <c r="D123"/>
      <c r="E123"/>
      <c r="F123"/>
      <c r="G123"/>
      <c r="H123" s="353"/>
      <c r="I123" s="353"/>
      <c r="K123" s="457" t="str">
        <f t="shared" si="19"/>
        <v>LED Roadway</v>
      </c>
      <c r="L123" s="457" t="str">
        <f t="shared" si="20"/>
        <v>Street Lights</v>
      </c>
      <c r="M123" s="457" t="str">
        <f t="shared" si="21"/>
        <v>Roadway</v>
      </c>
      <c r="N123" s="457" t="str">
        <f t="shared" si="16"/>
        <v>MH (Std, PS, CMH)</v>
      </c>
      <c r="O123" s="461">
        <f t="shared" si="17"/>
        <v>0</v>
      </c>
      <c r="P123" s="461">
        <f t="shared" si="18"/>
        <v>0</v>
      </c>
    </row>
    <row r="124" spans="3:16" ht="16.5" hidden="1" outlineLevel="1" thickTop="1" thickBot="1">
      <c r="C124"/>
      <c r="D124"/>
      <c r="E124"/>
      <c r="F124"/>
      <c r="G124"/>
      <c r="H124" s="353"/>
      <c r="I124" s="353"/>
      <c r="K124" s="457" t="str">
        <f t="shared" si="19"/>
        <v>LED Roadway</v>
      </c>
      <c r="L124" s="457" t="str">
        <f t="shared" si="20"/>
        <v>Street Lights</v>
      </c>
      <c r="M124" s="457" t="str">
        <f t="shared" si="21"/>
        <v>Roadway</v>
      </c>
      <c r="N124" s="457" t="str">
        <f t="shared" si="16"/>
        <v>MH (Std, PS, CMH)</v>
      </c>
      <c r="O124" s="461">
        <f t="shared" si="17"/>
        <v>0</v>
      </c>
      <c r="P124" s="461">
        <f t="shared" si="18"/>
        <v>0</v>
      </c>
    </row>
    <row r="125" spans="3:16" ht="16.5" hidden="1" outlineLevel="1" thickTop="1" thickBot="1">
      <c r="C125"/>
      <c r="D125"/>
      <c r="E125"/>
      <c r="F125"/>
      <c r="G125"/>
      <c r="H125" s="353"/>
      <c r="I125" s="353"/>
      <c r="K125" s="457" t="str">
        <f t="shared" si="19"/>
        <v>LED Roadway</v>
      </c>
      <c r="L125" s="457" t="str">
        <f t="shared" si="20"/>
        <v>Street Lights</v>
      </c>
      <c r="M125" s="457" t="str">
        <f t="shared" si="21"/>
        <v>Roadway</v>
      </c>
      <c r="N125" s="457" t="str">
        <f t="shared" si="16"/>
        <v>MH (Std, PS, CMH)</v>
      </c>
      <c r="O125" s="461">
        <f t="shared" si="17"/>
        <v>0</v>
      </c>
      <c r="P125" s="461">
        <f t="shared" si="18"/>
        <v>0</v>
      </c>
    </row>
    <row r="126" spans="3:16" ht="16.5" hidden="1" outlineLevel="1" thickTop="1" thickBot="1">
      <c r="C126"/>
      <c r="D126"/>
      <c r="E126"/>
      <c r="F126"/>
      <c r="G126"/>
      <c r="H126" s="353"/>
      <c r="I126" s="353"/>
      <c r="K126" s="457" t="str">
        <f t="shared" si="19"/>
        <v>LED Roadway</v>
      </c>
      <c r="L126" s="457" t="str">
        <f t="shared" si="20"/>
        <v>Street Lights</v>
      </c>
      <c r="M126" s="457" t="str">
        <f t="shared" si="21"/>
        <v>Roadway</v>
      </c>
      <c r="N126" s="457" t="str">
        <f t="shared" si="16"/>
        <v>MH (Std, PS, CMH)</v>
      </c>
      <c r="O126" s="461">
        <f t="shared" si="17"/>
        <v>0</v>
      </c>
      <c r="P126" s="461">
        <f t="shared" si="18"/>
        <v>0</v>
      </c>
    </row>
    <row r="127" spans="3:16" ht="16.5" hidden="1" outlineLevel="1" thickTop="1" thickBot="1">
      <c r="C127"/>
      <c r="D127"/>
      <c r="E127"/>
      <c r="F127"/>
      <c r="G127"/>
      <c r="H127" s="353"/>
      <c r="I127" s="353"/>
      <c r="K127" s="457" t="str">
        <f t="shared" si="19"/>
        <v>LED Roadway</v>
      </c>
      <c r="L127" s="457" t="str">
        <f t="shared" si="20"/>
        <v>Street Lights</v>
      </c>
      <c r="M127" s="457" t="str">
        <f t="shared" si="21"/>
        <v>Roadway</v>
      </c>
      <c r="N127" s="457" t="str">
        <f t="shared" si="16"/>
        <v>MH (Std, PS, CMH)</v>
      </c>
      <c r="O127" s="461">
        <f t="shared" si="17"/>
        <v>0</v>
      </c>
      <c r="P127" s="461">
        <f t="shared" si="18"/>
        <v>0</v>
      </c>
    </row>
    <row r="128" spans="3:16" ht="16.5" hidden="1" outlineLevel="1" thickTop="1" thickBot="1">
      <c r="C128"/>
      <c r="D128"/>
      <c r="E128"/>
      <c r="F128"/>
      <c r="G128"/>
      <c r="H128" s="353"/>
      <c r="I128" s="353"/>
      <c r="K128" s="457" t="str">
        <f t="shared" si="19"/>
        <v>LED Roadway</v>
      </c>
      <c r="L128" s="457" t="str">
        <f t="shared" si="20"/>
        <v>Street Lights</v>
      </c>
      <c r="M128" s="457" t="str">
        <f t="shared" si="21"/>
        <v>Roadway</v>
      </c>
      <c r="N128" s="457" t="str">
        <f t="shared" si="16"/>
        <v>MH (Std, PS, CMH)</v>
      </c>
      <c r="O128" s="461">
        <f t="shared" si="17"/>
        <v>0</v>
      </c>
      <c r="P128" s="461">
        <f t="shared" si="18"/>
        <v>0</v>
      </c>
    </row>
    <row r="129" spans="3:16" ht="16.5" hidden="1" outlineLevel="1" thickTop="1" thickBot="1">
      <c r="C129"/>
      <c r="D129"/>
      <c r="E129"/>
      <c r="F129"/>
      <c r="G129"/>
      <c r="H129" s="353"/>
      <c r="I129" s="353"/>
      <c r="K129" s="457" t="str">
        <f t="shared" si="19"/>
        <v>LED Roadway</v>
      </c>
      <c r="L129" s="457" t="str">
        <f t="shared" si="20"/>
        <v>Street Lights</v>
      </c>
      <c r="M129" s="457" t="str">
        <f t="shared" si="21"/>
        <v>Roadway</v>
      </c>
      <c r="N129" s="457" t="str">
        <f t="shared" si="16"/>
        <v>MH (Std, PS, CMH)</v>
      </c>
      <c r="O129" s="461">
        <f t="shared" si="17"/>
        <v>0</v>
      </c>
      <c r="P129" s="461">
        <f t="shared" si="18"/>
        <v>0</v>
      </c>
    </row>
    <row r="130" spans="3:16" ht="16.5" hidden="1" outlineLevel="1" thickTop="1" thickBot="1">
      <c r="C130"/>
      <c r="D130"/>
      <c r="E130"/>
      <c r="F130"/>
      <c r="G130"/>
      <c r="H130" s="353"/>
      <c r="I130" s="353"/>
      <c r="K130" s="457" t="str">
        <f t="shared" si="19"/>
        <v>LED Roadway</v>
      </c>
      <c r="L130" s="457" t="str">
        <f t="shared" si="20"/>
        <v>Street Lights</v>
      </c>
      <c r="M130" s="457" t="str">
        <f t="shared" si="21"/>
        <v>Roadway</v>
      </c>
      <c r="N130" s="457" t="str">
        <f t="shared" si="16"/>
        <v>MH (Std, PS, CMH)</v>
      </c>
      <c r="O130" s="461">
        <f t="shared" si="17"/>
        <v>0</v>
      </c>
      <c r="P130" s="461">
        <f t="shared" si="18"/>
        <v>0</v>
      </c>
    </row>
    <row r="131" spans="3:16" ht="16.5" hidden="1" outlineLevel="1" thickTop="1" thickBot="1">
      <c r="C131"/>
      <c r="D131"/>
      <c r="E131"/>
      <c r="F131"/>
      <c r="G131"/>
      <c r="H131" s="353"/>
      <c r="I131" s="353"/>
      <c r="K131" s="457" t="str">
        <f t="shared" si="19"/>
        <v>LED Roadway</v>
      </c>
      <c r="L131" s="457" t="str">
        <f t="shared" si="20"/>
        <v>Street Lights</v>
      </c>
      <c r="M131" s="457" t="str">
        <f t="shared" si="21"/>
        <v>Roadway</v>
      </c>
      <c r="N131" s="457" t="str">
        <f t="shared" si="16"/>
        <v>MH (Std, PS, CMH)</v>
      </c>
      <c r="O131" s="461">
        <f t="shared" si="17"/>
        <v>0</v>
      </c>
      <c r="P131" s="461">
        <f t="shared" si="18"/>
        <v>0</v>
      </c>
    </row>
    <row r="132" spans="3:16" ht="16.5" hidden="1" outlineLevel="1" thickTop="1" thickBot="1">
      <c r="C132"/>
      <c r="D132"/>
      <c r="E132"/>
      <c r="F132"/>
      <c r="G132"/>
      <c r="H132" s="353"/>
      <c r="I132" s="353"/>
      <c r="K132" s="457" t="str">
        <f t="shared" si="19"/>
        <v>LED Roadway</v>
      </c>
      <c r="L132" s="457" t="str">
        <f t="shared" si="20"/>
        <v>Street Lights</v>
      </c>
      <c r="M132" s="457" t="str">
        <f t="shared" si="21"/>
        <v>Roadway</v>
      </c>
      <c r="N132" s="457" t="str">
        <f t="shared" si="16"/>
        <v>MH (Std, PS, CMH)</v>
      </c>
      <c r="O132" s="461">
        <f t="shared" si="17"/>
        <v>0</v>
      </c>
      <c r="P132" s="461">
        <f t="shared" si="18"/>
        <v>0</v>
      </c>
    </row>
    <row r="133" spans="3:16" ht="16.5" hidden="1" outlineLevel="1" thickTop="1" thickBot="1">
      <c r="C133"/>
      <c r="D133"/>
      <c r="E133"/>
      <c r="F133"/>
      <c r="G133"/>
      <c r="H133" s="353"/>
      <c r="I133" s="353"/>
      <c r="K133" s="457" t="str">
        <f t="shared" si="19"/>
        <v>LED Roadway</v>
      </c>
      <c r="L133" s="457" t="str">
        <f t="shared" si="20"/>
        <v>Street Lights</v>
      </c>
      <c r="M133" s="457" t="str">
        <f t="shared" si="21"/>
        <v>Roadway</v>
      </c>
      <c r="N133" s="457" t="str">
        <f t="shared" si="16"/>
        <v>MH (Std, PS, CMH)</v>
      </c>
      <c r="O133" s="461">
        <f t="shared" si="17"/>
        <v>0</v>
      </c>
      <c r="P133" s="461">
        <f t="shared" si="18"/>
        <v>0</v>
      </c>
    </row>
    <row r="134" spans="3:16" ht="16.5" hidden="1" outlineLevel="1" thickTop="1" thickBot="1">
      <c r="C134"/>
      <c r="D134"/>
      <c r="E134"/>
      <c r="F134"/>
      <c r="G134"/>
      <c r="H134" s="353"/>
      <c r="I134" s="353"/>
      <c r="K134" s="457" t="str">
        <f t="shared" si="19"/>
        <v>LED Roadway</v>
      </c>
      <c r="L134" s="457" t="str">
        <f t="shared" si="20"/>
        <v>Street Lights</v>
      </c>
      <c r="M134" s="457" t="str">
        <f t="shared" si="21"/>
        <v>Roadway</v>
      </c>
      <c r="N134" s="457" t="str">
        <f t="shared" si="16"/>
        <v>MH (Std, PS, CMH)</v>
      </c>
      <c r="O134" s="461">
        <f t="shared" si="17"/>
        <v>0</v>
      </c>
      <c r="P134" s="461">
        <f t="shared" si="18"/>
        <v>0</v>
      </c>
    </row>
    <row r="135" spans="3:16" ht="16.5" hidden="1" outlineLevel="1" thickTop="1" thickBot="1">
      <c r="C135"/>
      <c r="D135"/>
      <c r="E135"/>
      <c r="F135"/>
      <c r="G135"/>
      <c r="H135" s="353"/>
      <c r="I135" s="353"/>
      <c r="K135" s="457" t="str">
        <f t="shared" si="19"/>
        <v>LED Roadway</v>
      </c>
      <c r="L135" s="457" t="str">
        <f t="shared" si="20"/>
        <v>Street Lights</v>
      </c>
      <c r="M135" s="457" t="str">
        <f t="shared" si="21"/>
        <v>Roadway</v>
      </c>
      <c r="N135" s="457" t="str">
        <f t="shared" si="16"/>
        <v>MH (Std, PS, CMH)</v>
      </c>
      <c r="O135" s="461">
        <f t="shared" ref="O135:O166" si="22">G135</f>
        <v>0</v>
      </c>
      <c r="P135" s="461">
        <f t="shared" ref="P135:P166" si="23">H135</f>
        <v>0</v>
      </c>
    </row>
    <row r="136" spans="3:16" ht="16.5" hidden="1" outlineLevel="1" thickTop="1" thickBot="1">
      <c r="C136"/>
      <c r="D136"/>
      <c r="E136"/>
      <c r="F136"/>
      <c r="G136"/>
      <c r="H136" s="353"/>
      <c r="I136" s="353"/>
      <c r="K136" s="457" t="str">
        <f t="shared" ref="K136:K155" si="24">IF(C136=0,K135,C136)</f>
        <v>LED Roadway</v>
      </c>
      <c r="L136" s="457" t="str">
        <f t="shared" ref="L136:L155" si="25">IF(D136=0,L135,D136)</f>
        <v>Street Lights</v>
      </c>
      <c r="M136" s="457" t="str">
        <f t="shared" ref="M136:M155" si="26">IF(E136=0,M135,E136)</f>
        <v>Roadway</v>
      </c>
      <c r="N136" s="457" t="str">
        <f t="shared" ref="N136:N180" si="27">IF(F136=0,N135,F136)</f>
        <v>MH (Std, PS, CMH)</v>
      </c>
      <c r="O136" s="461">
        <f t="shared" si="22"/>
        <v>0</v>
      </c>
      <c r="P136" s="461">
        <f t="shared" si="23"/>
        <v>0</v>
      </c>
    </row>
    <row r="137" spans="3:16" ht="16.5" hidden="1" outlineLevel="1" thickTop="1" thickBot="1">
      <c r="H137" s="353"/>
      <c r="I137" s="353"/>
      <c r="K137" s="457" t="str">
        <f t="shared" si="24"/>
        <v>LED Roadway</v>
      </c>
      <c r="L137" s="457" t="str">
        <f t="shared" si="25"/>
        <v>Street Lights</v>
      </c>
      <c r="M137" s="457" t="str">
        <f t="shared" si="26"/>
        <v>Roadway</v>
      </c>
      <c r="N137" s="457" t="str">
        <f t="shared" si="27"/>
        <v>MH (Std, PS, CMH)</v>
      </c>
      <c r="O137" s="461">
        <f t="shared" si="22"/>
        <v>0</v>
      </c>
      <c r="P137" s="461">
        <f t="shared" si="23"/>
        <v>0</v>
      </c>
    </row>
    <row r="138" spans="3:16" ht="16.5" hidden="1" outlineLevel="1" thickTop="1" thickBot="1">
      <c r="K138" s="457" t="str">
        <f t="shared" si="24"/>
        <v>LED Roadway</v>
      </c>
      <c r="L138" s="457" t="str">
        <f t="shared" si="25"/>
        <v>Street Lights</v>
      </c>
      <c r="M138" s="457" t="str">
        <f t="shared" si="26"/>
        <v>Roadway</v>
      </c>
      <c r="N138" s="457" t="str">
        <f t="shared" si="27"/>
        <v>MH (Std, PS, CMH)</v>
      </c>
      <c r="O138" s="461">
        <f t="shared" si="22"/>
        <v>0</v>
      </c>
      <c r="P138" s="461">
        <f t="shared" si="23"/>
        <v>0</v>
      </c>
    </row>
    <row r="139" spans="3:16" ht="16.5" hidden="1" outlineLevel="1" thickTop="1" thickBot="1">
      <c r="K139" s="457" t="str">
        <f t="shared" si="24"/>
        <v>LED Roadway</v>
      </c>
      <c r="L139" s="457" t="str">
        <f t="shared" si="25"/>
        <v>Street Lights</v>
      </c>
      <c r="M139" s="457" t="str">
        <f t="shared" si="26"/>
        <v>Roadway</v>
      </c>
      <c r="N139" s="457" t="str">
        <f t="shared" si="27"/>
        <v>MH (Std, PS, CMH)</v>
      </c>
      <c r="O139" s="461">
        <f t="shared" si="22"/>
        <v>0</v>
      </c>
      <c r="P139" s="461">
        <f t="shared" si="23"/>
        <v>0</v>
      </c>
    </row>
    <row r="140" spans="3:16" ht="16.5" hidden="1" outlineLevel="1" thickTop="1" thickBot="1">
      <c r="K140" s="457" t="str">
        <f t="shared" si="24"/>
        <v>LED Roadway</v>
      </c>
      <c r="L140" s="457" t="str">
        <f t="shared" si="25"/>
        <v>Street Lights</v>
      </c>
      <c r="M140" s="457" t="str">
        <f t="shared" si="26"/>
        <v>Roadway</v>
      </c>
      <c r="N140" s="457" t="str">
        <f t="shared" si="27"/>
        <v>MH (Std, PS, CMH)</v>
      </c>
      <c r="O140" s="461">
        <f t="shared" si="22"/>
        <v>0</v>
      </c>
      <c r="P140" s="461">
        <f t="shared" si="23"/>
        <v>0</v>
      </c>
    </row>
    <row r="141" spans="3:16" ht="16.5" hidden="1" outlineLevel="1" thickTop="1" thickBot="1">
      <c r="K141" s="457" t="str">
        <f t="shared" si="24"/>
        <v>LED Roadway</v>
      </c>
      <c r="L141" s="457" t="str">
        <f t="shared" si="25"/>
        <v>Street Lights</v>
      </c>
      <c r="M141" s="457" t="str">
        <f t="shared" si="26"/>
        <v>Roadway</v>
      </c>
      <c r="N141" s="457" t="str">
        <f t="shared" si="27"/>
        <v>MH (Std, PS, CMH)</v>
      </c>
      <c r="O141" s="461">
        <f t="shared" si="22"/>
        <v>0</v>
      </c>
      <c r="P141" s="461">
        <f t="shared" si="23"/>
        <v>0</v>
      </c>
    </row>
    <row r="142" spans="3:16" ht="16.5" hidden="1" outlineLevel="1" thickTop="1" thickBot="1">
      <c r="K142" s="457" t="str">
        <f t="shared" si="24"/>
        <v>LED Roadway</v>
      </c>
      <c r="L142" s="457" t="str">
        <f t="shared" si="25"/>
        <v>Street Lights</v>
      </c>
      <c r="M142" s="457" t="str">
        <f t="shared" si="26"/>
        <v>Roadway</v>
      </c>
      <c r="N142" s="457" t="str">
        <f t="shared" si="27"/>
        <v>MH (Std, PS, CMH)</v>
      </c>
      <c r="O142" s="461">
        <f t="shared" si="22"/>
        <v>0</v>
      </c>
      <c r="P142" s="461">
        <f t="shared" si="23"/>
        <v>0</v>
      </c>
    </row>
    <row r="143" spans="3:16" ht="16.5" hidden="1" outlineLevel="1" thickTop="1" thickBot="1">
      <c r="K143" s="457" t="str">
        <f t="shared" si="24"/>
        <v>LED Roadway</v>
      </c>
      <c r="L143" s="457" t="str">
        <f t="shared" si="25"/>
        <v>Street Lights</v>
      </c>
      <c r="M143" s="457" t="str">
        <f t="shared" si="26"/>
        <v>Roadway</v>
      </c>
      <c r="N143" s="457" t="str">
        <f t="shared" si="27"/>
        <v>MH (Std, PS, CMH)</v>
      </c>
      <c r="O143" s="461">
        <f t="shared" si="22"/>
        <v>0</v>
      </c>
      <c r="P143" s="461">
        <f t="shared" si="23"/>
        <v>0</v>
      </c>
    </row>
    <row r="144" spans="3:16" ht="16.5" hidden="1" outlineLevel="1" thickTop="1" thickBot="1">
      <c r="K144" s="457" t="str">
        <f t="shared" si="24"/>
        <v>LED Roadway</v>
      </c>
      <c r="L144" s="457" t="str">
        <f t="shared" si="25"/>
        <v>Street Lights</v>
      </c>
      <c r="M144" s="457" t="str">
        <f t="shared" si="26"/>
        <v>Roadway</v>
      </c>
      <c r="N144" s="457" t="str">
        <f t="shared" si="27"/>
        <v>MH (Std, PS, CMH)</v>
      </c>
      <c r="O144" s="461">
        <f t="shared" si="22"/>
        <v>0</v>
      </c>
      <c r="P144" s="461">
        <f t="shared" si="23"/>
        <v>0</v>
      </c>
    </row>
    <row r="145" spans="11:16" ht="16.5" hidden="1" outlineLevel="1" thickTop="1" thickBot="1">
      <c r="K145" s="457" t="str">
        <f t="shared" si="24"/>
        <v>LED Roadway</v>
      </c>
      <c r="L145" s="457" t="str">
        <f t="shared" si="25"/>
        <v>Street Lights</v>
      </c>
      <c r="M145" s="457" t="str">
        <f t="shared" si="26"/>
        <v>Roadway</v>
      </c>
      <c r="N145" s="457" t="str">
        <f t="shared" si="27"/>
        <v>MH (Std, PS, CMH)</v>
      </c>
      <c r="O145" s="461">
        <f t="shared" si="22"/>
        <v>0</v>
      </c>
      <c r="P145" s="461">
        <f t="shared" si="23"/>
        <v>0</v>
      </c>
    </row>
    <row r="146" spans="11:16" ht="16.5" hidden="1" outlineLevel="1" thickTop="1" thickBot="1">
      <c r="K146" s="457" t="str">
        <f t="shared" si="24"/>
        <v>LED Roadway</v>
      </c>
      <c r="L146" s="457" t="str">
        <f t="shared" si="25"/>
        <v>Street Lights</v>
      </c>
      <c r="M146" s="457" t="str">
        <f t="shared" si="26"/>
        <v>Roadway</v>
      </c>
      <c r="N146" s="457" t="str">
        <f t="shared" si="27"/>
        <v>MH (Std, PS, CMH)</v>
      </c>
      <c r="O146" s="461">
        <f t="shared" si="22"/>
        <v>0</v>
      </c>
      <c r="P146" s="461">
        <f t="shared" si="23"/>
        <v>0</v>
      </c>
    </row>
    <row r="147" spans="11:16" ht="16.5" hidden="1" outlineLevel="1" thickTop="1" thickBot="1">
      <c r="K147" s="457" t="str">
        <f t="shared" si="24"/>
        <v>LED Roadway</v>
      </c>
      <c r="L147" s="457" t="str">
        <f t="shared" si="25"/>
        <v>Street Lights</v>
      </c>
      <c r="M147" s="457" t="str">
        <f t="shared" si="26"/>
        <v>Roadway</v>
      </c>
      <c r="N147" s="457" t="str">
        <f t="shared" si="27"/>
        <v>MH (Std, PS, CMH)</v>
      </c>
      <c r="O147" s="461">
        <f t="shared" si="22"/>
        <v>0</v>
      </c>
      <c r="P147" s="461">
        <f t="shared" si="23"/>
        <v>0</v>
      </c>
    </row>
    <row r="148" spans="11:16" ht="16.5" hidden="1" outlineLevel="1" thickTop="1" thickBot="1">
      <c r="K148" s="457" t="str">
        <f t="shared" si="24"/>
        <v>LED Roadway</v>
      </c>
      <c r="L148" s="457" t="str">
        <f t="shared" si="25"/>
        <v>Street Lights</v>
      </c>
      <c r="M148" s="457" t="str">
        <f t="shared" si="26"/>
        <v>Roadway</v>
      </c>
      <c r="N148" s="457" t="str">
        <f t="shared" si="27"/>
        <v>MH (Std, PS, CMH)</v>
      </c>
      <c r="O148" s="461">
        <f t="shared" si="22"/>
        <v>0</v>
      </c>
      <c r="P148" s="461">
        <f t="shared" si="23"/>
        <v>0</v>
      </c>
    </row>
    <row r="149" spans="11:16" ht="16.5" hidden="1" outlineLevel="1" thickTop="1" thickBot="1">
      <c r="K149" s="457" t="str">
        <f t="shared" si="24"/>
        <v>LED Roadway</v>
      </c>
      <c r="L149" s="457" t="str">
        <f t="shared" si="25"/>
        <v>Street Lights</v>
      </c>
      <c r="M149" s="457" t="str">
        <f t="shared" si="26"/>
        <v>Roadway</v>
      </c>
      <c r="N149" s="457" t="str">
        <f t="shared" si="27"/>
        <v>MH (Std, PS, CMH)</v>
      </c>
      <c r="O149" s="461">
        <f t="shared" si="22"/>
        <v>0</v>
      </c>
      <c r="P149" s="461">
        <f t="shared" si="23"/>
        <v>0</v>
      </c>
    </row>
    <row r="150" spans="11:16" ht="16.5" hidden="1" outlineLevel="1" thickTop="1" thickBot="1">
      <c r="K150" s="457" t="str">
        <f t="shared" si="24"/>
        <v>LED Roadway</v>
      </c>
      <c r="L150" s="457" t="str">
        <f t="shared" si="25"/>
        <v>Street Lights</v>
      </c>
      <c r="M150" s="457" t="str">
        <f t="shared" si="26"/>
        <v>Roadway</v>
      </c>
      <c r="N150" s="457" t="str">
        <f t="shared" si="27"/>
        <v>MH (Std, PS, CMH)</v>
      </c>
      <c r="O150" s="461">
        <f t="shared" si="22"/>
        <v>0</v>
      </c>
      <c r="P150" s="461">
        <f t="shared" si="23"/>
        <v>0</v>
      </c>
    </row>
    <row r="151" spans="11:16" ht="16.5" hidden="1" outlineLevel="1" thickTop="1" thickBot="1">
      <c r="K151" s="457" t="str">
        <f t="shared" si="24"/>
        <v>LED Roadway</v>
      </c>
      <c r="L151" s="457" t="str">
        <f t="shared" si="25"/>
        <v>Street Lights</v>
      </c>
      <c r="M151" s="457" t="str">
        <f t="shared" si="26"/>
        <v>Roadway</v>
      </c>
      <c r="N151" s="457" t="str">
        <f t="shared" si="27"/>
        <v>MH (Std, PS, CMH)</v>
      </c>
      <c r="O151" s="461">
        <f t="shared" si="22"/>
        <v>0</v>
      </c>
      <c r="P151" s="461">
        <f t="shared" si="23"/>
        <v>0</v>
      </c>
    </row>
    <row r="152" spans="11:16" ht="16.5" hidden="1" outlineLevel="1" thickTop="1" thickBot="1">
      <c r="K152" s="457" t="str">
        <f t="shared" si="24"/>
        <v>LED Roadway</v>
      </c>
      <c r="L152" s="457" t="str">
        <f t="shared" si="25"/>
        <v>Street Lights</v>
      </c>
      <c r="M152" s="457" t="str">
        <f t="shared" si="26"/>
        <v>Roadway</v>
      </c>
      <c r="N152" s="457" t="str">
        <f t="shared" si="27"/>
        <v>MH (Std, PS, CMH)</v>
      </c>
      <c r="O152" s="461">
        <f t="shared" si="22"/>
        <v>0</v>
      </c>
      <c r="P152" s="461">
        <f t="shared" si="23"/>
        <v>0</v>
      </c>
    </row>
    <row r="153" spans="11:16" ht="16.5" hidden="1" outlineLevel="1" thickTop="1" thickBot="1">
      <c r="K153" s="457" t="str">
        <f t="shared" si="24"/>
        <v>LED Roadway</v>
      </c>
      <c r="L153" s="457" t="str">
        <f t="shared" si="25"/>
        <v>Street Lights</v>
      </c>
      <c r="M153" s="457" t="str">
        <f t="shared" si="26"/>
        <v>Roadway</v>
      </c>
      <c r="N153" s="457" t="str">
        <f t="shared" si="27"/>
        <v>MH (Std, PS, CMH)</v>
      </c>
      <c r="O153" s="461">
        <f t="shared" si="22"/>
        <v>0</v>
      </c>
      <c r="P153" s="461">
        <f t="shared" si="23"/>
        <v>0</v>
      </c>
    </row>
    <row r="154" spans="11:16" ht="16.5" hidden="1" outlineLevel="1" thickTop="1" thickBot="1">
      <c r="K154" s="457" t="str">
        <f t="shared" si="24"/>
        <v>LED Roadway</v>
      </c>
      <c r="L154" s="457" t="str">
        <f t="shared" si="25"/>
        <v>Street Lights</v>
      </c>
      <c r="M154" s="457" t="str">
        <f t="shared" si="26"/>
        <v>Roadway</v>
      </c>
      <c r="N154" s="457" t="str">
        <f t="shared" si="27"/>
        <v>MH (Std, PS, CMH)</v>
      </c>
      <c r="O154" s="461">
        <f t="shared" si="22"/>
        <v>0</v>
      </c>
      <c r="P154" s="461">
        <f t="shared" si="23"/>
        <v>0</v>
      </c>
    </row>
    <row r="155" spans="11:16" ht="16.5" hidden="1" outlineLevel="1" thickTop="1" thickBot="1">
      <c r="K155" s="457" t="str">
        <f t="shared" si="24"/>
        <v>LED Roadway</v>
      </c>
      <c r="L155" s="457" t="str">
        <f t="shared" si="25"/>
        <v>Street Lights</v>
      </c>
      <c r="M155" s="457" t="str">
        <f t="shared" si="26"/>
        <v>Roadway</v>
      </c>
      <c r="N155" s="457" t="str">
        <f t="shared" si="27"/>
        <v>MH (Std, PS, CMH)</v>
      </c>
      <c r="O155" s="461">
        <f t="shared" si="22"/>
        <v>0</v>
      </c>
      <c r="P155" s="461">
        <f t="shared" si="23"/>
        <v>0</v>
      </c>
    </row>
    <row r="156" spans="11:16" ht="16.5" hidden="1" outlineLevel="1" thickTop="1" thickBot="1">
      <c r="K156" s="457" t="str">
        <f t="shared" ref="K156:K180" si="28">IF(C156=0,K155,C156)</f>
        <v>LED Roadway</v>
      </c>
      <c r="L156" s="457" t="str">
        <f t="shared" ref="L156:L180" si="29">IF(D156=0,L155,D156)</f>
        <v>Street Lights</v>
      </c>
      <c r="M156" s="457" t="str">
        <f t="shared" ref="M156:M180" si="30">IF(E156=0,M155,E156)</f>
        <v>Roadway</v>
      </c>
      <c r="N156" s="457" t="str">
        <f t="shared" si="27"/>
        <v>MH (Std, PS, CMH)</v>
      </c>
      <c r="O156" s="461">
        <f t="shared" si="22"/>
        <v>0</v>
      </c>
      <c r="P156" s="461">
        <f t="shared" si="23"/>
        <v>0</v>
      </c>
    </row>
    <row r="157" spans="11:16" ht="16.5" hidden="1" outlineLevel="1" thickTop="1" thickBot="1">
      <c r="K157" s="457" t="str">
        <f t="shared" si="28"/>
        <v>LED Roadway</v>
      </c>
      <c r="L157" s="457" t="str">
        <f t="shared" si="29"/>
        <v>Street Lights</v>
      </c>
      <c r="M157" s="457" t="str">
        <f t="shared" si="30"/>
        <v>Roadway</v>
      </c>
      <c r="N157" s="457" t="str">
        <f t="shared" si="27"/>
        <v>MH (Std, PS, CMH)</v>
      </c>
      <c r="O157" s="461">
        <f t="shared" si="22"/>
        <v>0</v>
      </c>
      <c r="P157" s="461">
        <f t="shared" si="23"/>
        <v>0</v>
      </c>
    </row>
    <row r="158" spans="11:16" ht="16.5" hidden="1" outlineLevel="1" thickTop="1" thickBot="1">
      <c r="K158" s="457" t="str">
        <f t="shared" si="28"/>
        <v>LED Roadway</v>
      </c>
      <c r="L158" s="457" t="str">
        <f t="shared" si="29"/>
        <v>Street Lights</v>
      </c>
      <c r="M158" s="457" t="str">
        <f t="shared" si="30"/>
        <v>Roadway</v>
      </c>
      <c r="N158" s="457" t="str">
        <f t="shared" si="27"/>
        <v>MH (Std, PS, CMH)</v>
      </c>
      <c r="O158" s="461">
        <f t="shared" si="22"/>
        <v>0</v>
      </c>
      <c r="P158" s="461">
        <f t="shared" si="23"/>
        <v>0</v>
      </c>
    </row>
    <row r="159" spans="11:16" ht="16.5" hidden="1" outlineLevel="1" thickTop="1" thickBot="1">
      <c r="K159" s="457" t="str">
        <f t="shared" si="28"/>
        <v>LED Roadway</v>
      </c>
      <c r="L159" s="457" t="str">
        <f t="shared" si="29"/>
        <v>Street Lights</v>
      </c>
      <c r="M159" s="457" t="str">
        <f t="shared" si="30"/>
        <v>Roadway</v>
      </c>
      <c r="N159" s="457" t="str">
        <f t="shared" si="27"/>
        <v>MH (Std, PS, CMH)</v>
      </c>
      <c r="O159" s="461">
        <f t="shared" si="22"/>
        <v>0</v>
      </c>
      <c r="P159" s="461">
        <f t="shared" si="23"/>
        <v>0</v>
      </c>
    </row>
    <row r="160" spans="11:16" ht="16.5" hidden="1" outlineLevel="1" thickTop="1" thickBot="1">
      <c r="K160" s="457" t="str">
        <f t="shared" si="28"/>
        <v>LED Roadway</v>
      </c>
      <c r="L160" s="457" t="str">
        <f t="shared" si="29"/>
        <v>Street Lights</v>
      </c>
      <c r="M160" s="457" t="str">
        <f t="shared" si="30"/>
        <v>Roadway</v>
      </c>
      <c r="N160" s="457" t="str">
        <f t="shared" si="27"/>
        <v>MH (Std, PS, CMH)</v>
      </c>
      <c r="O160" s="461">
        <f t="shared" si="22"/>
        <v>0</v>
      </c>
      <c r="P160" s="461">
        <f t="shared" si="23"/>
        <v>0</v>
      </c>
    </row>
    <row r="161" spans="11:16" ht="16.5" hidden="1" outlineLevel="1" thickTop="1" thickBot="1">
      <c r="K161" s="457" t="str">
        <f t="shared" si="28"/>
        <v>LED Roadway</v>
      </c>
      <c r="L161" s="457" t="str">
        <f t="shared" si="29"/>
        <v>Street Lights</v>
      </c>
      <c r="M161" s="457" t="str">
        <f t="shared" si="30"/>
        <v>Roadway</v>
      </c>
      <c r="N161" s="457" t="str">
        <f t="shared" si="27"/>
        <v>MH (Std, PS, CMH)</v>
      </c>
      <c r="O161" s="461">
        <f t="shared" si="22"/>
        <v>0</v>
      </c>
      <c r="P161" s="461">
        <f t="shared" si="23"/>
        <v>0</v>
      </c>
    </row>
    <row r="162" spans="11:16" ht="16.5" hidden="1" outlineLevel="1" thickTop="1" thickBot="1">
      <c r="K162" s="457" t="str">
        <f t="shared" si="28"/>
        <v>LED Roadway</v>
      </c>
      <c r="L162" s="457" t="str">
        <f t="shared" si="29"/>
        <v>Street Lights</v>
      </c>
      <c r="M162" s="457" t="str">
        <f t="shared" si="30"/>
        <v>Roadway</v>
      </c>
      <c r="N162" s="457" t="str">
        <f t="shared" si="27"/>
        <v>MH (Std, PS, CMH)</v>
      </c>
      <c r="O162" s="461">
        <f t="shared" si="22"/>
        <v>0</v>
      </c>
      <c r="P162" s="461">
        <f t="shared" si="23"/>
        <v>0</v>
      </c>
    </row>
    <row r="163" spans="11:16" ht="16.5" hidden="1" outlineLevel="1" thickTop="1" thickBot="1">
      <c r="K163" s="457" t="str">
        <f t="shared" si="28"/>
        <v>LED Roadway</v>
      </c>
      <c r="L163" s="457" t="str">
        <f t="shared" si="29"/>
        <v>Street Lights</v>
      </c>
      <c r="M163" s="457" t="str">
        <f t="shared" si="30"/>
        <v>Roadway</v>
      </c>
      <c r="N163" s="457" t="str">
        <f t="shared" si="27"/>
        <v>MH (Std, PS, CMH)</v>
      </c>
      <c r="O163" s="461">
        <f t="shared" si="22"/>
        <v>0</v>
      </c>
      <c r="P163" s="461">
        <f t="shared" si="23"/>
        <v>0</v>
      </c>
    </row>
    <row r="164" spans="11:16" ht="16.5" hidden="1" outlineLevel="1" thickTop="1" thickBot="1">
      <c r="K164" s="457" t="str">
        <f t="shared" si="28"/>
        <v>LED Roadway</v>
      </c>
      <c r="L164" s="457" t="str">
        <f t="shared" si="29"/>
        <v>Street Lights</v>
      </c>
      <c r="M164" s="457" t="str">
        <f t="shared" si="30"/>
        <v>Roadway</v>
      </c>
      <c r="N164" s="457" t="str">
        <f t="shared" si="27"/>
        <v>MH (Std, PS, CMH)</v>
      </c>
      <c r="O164" s="461">
        <f t="shared" si="22"/>
        <v>0</v>
      </c>
      <c r="P164" s="461">
        <f t="shared" si="23"/>
        <v>0</v>
      </c>
    </row>
    <row r="165" spans="11:16" ht="16.5" hidden="1" outlineLevel="1" thickTop="1" thickBot="1">
      <c r="K165" s="457" t="str">
        <f t="shared" si="28"/>
        <v>LED Roadway</v>
      </c>
      <c r="L165" s="457" t="str">
        <f t="shared" si="29"/>
        <v>Street Lights</v>
      </c>
      <c r="M165" s="457" t="str">
        <f t="shared" si="30"/>
        <v>Roadway</v>
      </c>
      <c r="N165" s="457" t="str">
        <f t="shared" si="27"/>
        <v>MH (Std, PS, CMH)</v>
      </c>
      <c r="O165" s="461">
        <f t="shared" si="22"/>
        <v>0</v>
      </c>
      <c r="P165" s="461">
        <f t="shared" si="23"/>
        <v>0</v>
      </c>
    </row>
    <row r="166" spans="11:16" ht="16.5" hidden="1" outlineLevel="1" thickTop="1" thickBot="1">
      <c r="K166" s="457" t="str">
        <f t="shared" si="28"/>
        <v>LED Roadway</v>
      </c>
      <c r="L166" s="457" t="str">
        <f t="shared" si="29"/>
        <v>Street Lights</v>
      </c>
      <c r="M166" s="457" t="str">
        <f t="shared" si="30"/>
        <v>Roadway</v>
      </c>
      <c r="N166" s="457" t="str">
        <f t="shared" si="27"/>
        <v>MH (Std, PS, CMH)</v>
      </c>
      <c r="O166" s="461">
        <f t="shared" si="22"/>
        <v>0</v>
      </c>
      <c r="P166" s="461">
        <f t="shared" si="23"/>
        <v>0</v>
      </c>
    </row>
    <row r="167" spans="11:16" ht="16.5" hidden="1" outlineLevel="1" thickTop="1" thickBot="1">
      <c r="K167" s="457" t="str">
        <f t="shared" si="28"/>
        <v>LED Roadway</v>
      </c>
      <c r="L167" s="457" t="str">
        <f t="shared" si="29"/>
        <v>Street Lights</v>
      </c>
      <c r="M167" s="457" t="str">
        <f t="shared" si="30"/>
        <v>Roadway</v>
      </c>
      <c r="N167" s="457" t="str">
        <f t="shared" si="27"/>
        <v>MH (Std, PS, CMH)</v>
      </c>
      <c r="O167" s="461">
        <f t="shared" ref="O167:O180" si="31">G167</f>
        <v>0</v>
      </c>
      <c r="P167" s="461">
        <f t="shared" ref="P167:P180" si="32">H167</f>
        <v>0</v>
      </c>
    </row>
    <row r="168" spans="11:16" ht="16.5" hidden="1" outlineLevel="1" thickTop="1" thickBot="1">
      <c r="K168" s="457" t="str">
        <f t="shared" si="28"/>
        <v>LED Roadway</v>
      </c>
      <c r="L168" s="457" t="str">
        <f t="shared" si="29"/>
        <v>Street Lights</v>
      </c>
      <c r="M168" s="457" t="str">
        <f t="shared" si="30"/>
        <v>Roadway</v>
      </c>
      <c r="N168" s="457" t="str">
        <f t="shared" si="27"/>
        <v>MH (Std, PS, CMH)</v>
      </c>
      <c r="O168" s="461">
        <f t="shared" si="31"/>
        <v>0</v>
      </c>
      <c r="P168" s="461">
        <f t="shared" si="32"/>
        <v>0</v>
      </c>
    </row>
    <row r="169" spans="11:16" ht="16.5" hidden="1" outlineLevel="1" thickTop="1" thickBot="1">
      <c r="K169" s="457" t="str">
        <f t="shared" si="28"/>
        <v>LED Roadway</v>
      </c>
      <c r="L169" s="457" t="str">
        <f t="shared" si="29"/>
        <v>Street Lights</v>
      </c>
      <c r="M169" s="457" t="str">
        <f t="shared" si="30"/>
        <v>Roadway</v>
      </c>
      <c r="N169" s="457" t="str">
        <f t="shared" si="27"/>
        <v>MH (Std, PS, CMH)</v>
      </c>
      <c r="O169" s="461">
        <f t="shared" si="31"/>
        <v>0</v>
      </c>
      <c r="P169" s="461">
        <f t="shared" si="32"/>
        <v>0</v>
      </c>
    </row>
    <row r="170" spans="11:16" ht="16.5" hidden="1" outlineLevel="1" thickTop="1" thickBot="1">
      <c r="K170" s="457" t="str">
        <f t="shared" si="28"/>
        <v>LED Roadway</v>
      </c>
      <c r="L170" s="457" t="str">
        <f t="shared" si="29"/>
        <v>Street Lights</v>
      </c>
      <c r="M170" s="457" t="str">
        <f t="shared" si="30"/>
        <v>Roadway</v>
      </c>
      <c r="N170" s="457" t="str">
        <f t="shared" si="27"/>
        <v>MH (Std, PS, CMH)</v>
      </c>
      <c r="O170" s="461">
        <f t="shared" si="31"/>
        <v>0</v>
      </c>
      <c r="P170" s="461">
        <f t="shared" si="32"/>
        <v>0</v>
      </c>
    </row>
    <row r="171" spans="11:16" ht="16.5" hidden="1" outlineLevel="1" thickTop="1" thickBot="1">
      <c r="K171" s="457" t="str">
        <f t="shared" si="28"/>
        <v>LED Roadway</v>
      </c>
      <c r="L171" s="457" t="str">
        <f t="shared" si="29"/>
        <v>Street Lights</v>
      </c>
      <c r="M171" s="457" t="str">
        <f t="shared" si="30"/>
        <v>Roadway</v>
      </c>
      <c r="N171" s="457" t="str">
        <f t="shared" si="27"/>
        <v>MH (Std, PS, CMH)</v>
      </c>
      <c r="O171" s="461">
        <f t="shared" si="31"/>
        <v>0</v>
      </c>
      <c r="P171" s="461">
        <f t="shared" si="32"/>
        <v>0</v>
      </c>
    </row>
    <row r="172" spans="11:16" ht="16.5" hidden="1" outlineLevel="1" thickTop="1" thickBot="1">
      <c r="K172" s="457" t="str">
        <f t="shared" si="28"/>
        <v>LED Roadway</v>
      </c>
      <c r="L172" s="457" t="str">
        <f t="shared" si="29"/>
        <v>Street Lights</v>
      </c>
      <c r="M172" s="457" t="str">
        <f t="shared" si="30"/>
        <v>Roadway</v>
      </c>
      <c r="N172" s="457" t="str">
        <f t="shared" si="27"/>
        <v>MH (Std, PS, CMH)</v>
      </c>
      <c r="O172" s="461">
        <f t="shared" si="31"/>
        <v>0</v>
      </c>
      <c r="P172" s="461">
        <f t="shared" si="32"/>
        <v>0</v>
      </c>
    </row>
    <row r="173" spans="11:16" ht="16.5" hidden="1" outlineLevel="1" thickTop="1" thickBot="1">
      <c r="K173" s="457" t="str">
        <f t="shared" si="28"/>
        <v>LED Roadway</v>
      </c>
      <c r="L173" s="457" t="str">
        <f t="shared" si="29"/>
        <v>Street Lights</v>
      </c>
      <c r="M173" s="457" t="str">
        <f t="shared" si="30"/>
        <v>Roadway</v>
      </c>
      <c r="N173" s="457" t="str">
        <f t="shared" si="27"/>
        <v>MH (Std, PS, CMH)</v>
      </c>
      <c r="O173" s="461">
        <f t="shared" si="31"/>
        <v>0</v>
      </c>
      <c r="P173" s="461">
        <f t="shared" si="32"/>
        <v>0</v>
      </c>
    </row>
    <row r="174" spans="11:16" ht="16.5" hidden="1" outlineLevel="1" thickTop="1" thickBot="1">
      <c r="K174" s="457" t="str">
        <f t="shared" si="28"/>
        <v>LED Roadway</v>
      </c>
      <c r="L174" s="457" t="str">
        <f t="shared" si="29"/>
        <v>Street Lights</v>
      </c>
      <c r="M174" s="457" t="str">
        <f t="shared" si="30"/>
        <v>Roadway</v>
      </c>
      <c r="N174" s="457" t="str">
        <f t="shared" si="27"/>
        <v>MH (Std, PS, CMH)</v>
      </c>
      <c r="O174" s="461">
        <f t="shared" si="31"/>
        <v>0</v>
      </c>
      <c r="P174" s="461">
        <f t="shared" si="32"/>
        <v>0</v>
      </c>
    </row>
    <row r="175" spans="11:16" ht="16.5" hidden="1" outlineLevel="1" thickTop="1" thickBot="1">
      <c r="K175" s="457" t="str">
        <f t="shared" si="28"/>
        <v>LED Roadway</v>
      </c>
      <c r="L175" s="457" t="str">
        <f t="shared" si="29"/>
        <v>Street Lights</v>
      </c>
      <c r="M175" s="457" t="str">
        <f t="shared" si="30"/>
        <v>Roadway</v>
      </c>
      <c r="N175" s="457" t="str">
        <f t="shared" si="27"/>
        <v>MH (Std, PS, CMH)</v>
      </c>
      <c r="O175" s="461">
        <f t="shared" si="31"/>
        <v>0</v>
      </c>
      <c r="P175" s="461">
        <f t="shared" si="32"/>
        <v>0</v>
      </c>
    </row>
    <row r="176" spans="11:16" ht="16.5" hidden="1" outlineLevel="1" thickTop="1" thickBot="1">
      <c r="K176" s="457" t="str">
        <f t="shared" si="28"/>
        <v>LED Roadway</v>
      </c>
      <c r="L176" s="457" t="str">
        <f t="shared" si="29"/>
        <v>Street Lights</v>
      </c>
      <c r="M176" s="457" t="str">
        <f t="shared" si="30"/>
        <v>Roadway</v>
      </c>
      <c r="N176" s="457" t="str">
        <f t="shared" si="27"/>
        <v>MH (Std, PS, CMH)</v>
      </c>
      <c r="O176" s="461">
        <f t="shared" si="31"/>
        <v>0</v>
      </c>
      <c r="P176" s="461">
        <f t="shared" si="32"/>
        <v>0</v>
      </c>
    </row>
    <row r="177" spans="11:16" ht="16.5" hidden="1" outlineLevel="1" thickTop="1" thickBot="1">
      <c r="K177" s="457" t="str">
        <f t="shared" si="28"/>
        <v>LED Roadway</v>
      </c>
      <c r="L177" s="457" t="str">
        <f t="shared" si="29"/>
        <v>Street Lights</v>
      </c>
      <c r="M177" s="457" t="str">
        <f t="shared" si="30"/>
        <v>Roadway</v>
      </c>
      <c r="N177" s="457" t="str">
        <f t="shared" si="27"/>
        <v>MH (Std, PS, CMH)</v>
      </c>
      <c r="O177" s="461">
        <f t="shared" si="31"/>
        <v>0</v>
      </c>
      <c r="P177" s="461">
        <f t="shared" si="32"/>
        <v>0</v>
      </c>
    </row>
    <row r="178" spans="11:16" ht="16.5" hidden="1" outlineLevel="1" thickTop="1" thickBot="1">
      <c r="K178" s="457" t="str">
        <f t="shared" si="28"/>
        <v>LED Roadway</v>
      </c>
      <c r="L178" s="457" t="str">
        <f t="shared" si="29"/>
        <v>Street Lights</v>
      </c>
      <c r="M178" s="457" t="str">
        <f t="shared" si="30"/>
        <v>Roadway</v>
      </c>
      <c r="N178" s="457" t="str">
        <f t="shared" si="27"/>
        <v>MH (Std, PS, CMH)</v>
      </c>
      <c r="O178" s="461">
        <f t="shared" si="31"/>
        <v>0</v>
      </c>
      <c r="P178" s="461">
        <f t="shared" si="32"/>
        <v>0</v>
      </c>
    </row>
    <row r="179" spans="11:16" ht="16.5" hidden="1" outlineLevel="1" thickTop="1" thickBot="1">
      <c r="K179" s="457" t="str">
        <f t="shared" si="28"/>
        <v>LED Roadway</v>
      </c>
      <c r="L179" s="457" t="str">
        <f t="shared" si="29"/>
        <v>Street Lights</v>
      </c>
      <c r="M179" s="457" t="str">
        <f t="shared" si="30"/>
        <v>Roadway</v>
      </c>
      <c r="N179" s="457" t="str">
        <f t="shared" si="27"/>
        <v>MH (Std, PS, CMH)</v>
      </c>
      <c r="O179" s="461">
        <f t="shared" si="31"/>
        <v>0</v>
      </c>
      <c r="P179" s="461">
        <f t="shared" si="32"/>
        <v>0</v>
      </c>
    </row>
    <row r="180" spans="11:16" ht="16.5" hidden="1" outlineLevel="1" thickTop="1" thickBot="1">
      <c r="K180" s="457" t="str">
        <f t="shared" si="28"/>
        <v>LED Roadway</v>
      </c>
      <c r="L180" s="457" t="str">
        <f t="shared" si="29"/>
        <v>Street Lights</v>
      </c>
      <c r="M180" s="457" t="str">
        <f t="shared" si="30"/>
        <v>Roadway</v>
      </c>
      <c r="N180" s="457" t="str">
        <f t="shared" si="27"/>
        <v>MH (Std, PS, CMH)</v>
      </c>
      <c r="O180" s="461">
        <f t="shared" si="31"/>
        <v>0</v>
      </c>
      <c r="P180" s="461">
        <f t="shared" si="32"/>
        <v>0</v>
      </c>
    </row>
    <row r="181" spans="11:16" ht="15.75" hidden="1" outlineLevel="1" thickTop="1"/>
    <row r="182" spans="11:16" hidden="1" outlineLevel="1"/>
    <row r="183" spans="11:16" hidden="1" outlineLevel="1"/>
    <row r="184" spans="11:16" hidden="1" outlineLevel="1"/>
    <row r="185" spans="11:16" hidden="1" outlineLevel="1"/>
    <row r="186" spans="11:16" hidden="1" outlineLevel="1"/>
    <row r="187" spans="11:16" hidden="1" outlineLevel="1"/>
    <row r="188" spans="11:16" hidden="1" outlineLevel="1"/>
    <row r="189" spans="11:16" hidden="1" outlineLevel="1"/>
    <row r="190" spans="11:16" hidden="1" outlineLevel="1"/>
    <row r="191" spans="11:16" hidden="1" outlineLevel="1"/>
    <row r="192" spans="11:16" hidden="1" outlineLevel="1"/>
    <row r="193" spans="1:21" ht="15.75" collapsed="1" thickTop="1"/>
    <row r="195" spans="1:21">
      <c r="A195" s="1" t="s">
        <v>19</v>
      </c>
    </row>
    <row r="197" spans="1:21">
      <c r="C197"/>
      <c r="D197"/>
    </row>
    <row r="198" spans="1:21">
      <c r="C198" s="238" t="s">
        <v>9</v>
      </c>
      <c r="D198" s="384" t="s">
        <v>30</v>
      </c>
    </row>
    <row r="200" spans="1:21" ht="15.75" thickBot="1">
      <c r="C200" s="238" t="s">
        <v>36</v>
      </c>
      <c r="D200" s="238" t="s">
        <v>49</v>
      </c>
      <c r="E200" s="238" t="s">
        <v>11</v>
      </c>
      <c r="F200" s="384" t="s">
        <v>944</v>
      </c>
      <c r="G200" s="384" t="s">
        <v>945</v>
      </c>
      <c r="K200" s="458" t="s">
        <v>36</v>
      </c>
      <c r="L200" s="458" t="s">
        <v>49</v>
      </c>
      <c r="M200" s="458" t="s">
        <v>11</v>
      </c>
      <c r="N200" s="458" t="s">
        <v>944</v>
      </c>
      <c r="O200" s="458" t="s">
        <v>945</v>
      </c>
      <c r="S200" s="238" t="s">
        <v>12</v>
      </c>
      <c r="T200" s="384" t="s">
        <v>1288</v>
      </c>
      <c r="U200" s="384" t="s">
        <v>1289</v>
      </c>
    </row>
    <row r="201" spans="1:21" ht="16.5" thickTop="1" thickBot="1">
      <c r="C201" s="384" t="s">
        <v>118</v>
      </c>
      <c r="D201"/>
      <c r="E201"/>
      <c r="F201" s="353"/>
      <c r="G201" s="353"/>
      <c r="H201" s="353"/>
      <c r="I201" s="353"/>
      <c r="K201" s="457" t="str">
        <f t="shared" ref="K201:K232" si="33">IF(C201=0,K200,C201)</f>
        <v>Signs and Billboards</v>
      </c>
      <c r="L201" s="457" t="str">
        <f t="shared" ref="L201:L232" si="34">IF(D201=0,L200,D201)</f>
        <v>Baseline Lighting</v>
      </c>
      <c r="M201" s="457" t="str">
        <f t="shared" ref="M201:M232" si="35">IF(E201=0,M200,E201)</f>
        <v>Building Sub-Sector</v>
      </c>
      <c r="N201" s="458">
        <f t="shared" ref="N201:N232" si="36">F201</f>
        <v>0</v>
      </c>
      <c r="O201" s="458">
        <f t="shared" ref="O201:O232" si="37">G201</f>
        <v>0</v>
      </c>
      <c r="S201" s="239" t="s">
        <v>118</v>
      </c>
      <c r="T201" s="353">
        <v>17.623145389498774</v>
      </c>
      <c r="U201" s="353">
        <v>26.164223294548872</v>
      </c>
    </row>
    <row r="202" spans="1:21" ht="16.5" thickTop="1" thickBot="1">
      <c r="C202"/>
      <c r="D202" s="384" t="s">
        <v>31</v>
      </c>
      <c r="E202"/>
      <c r="F202" s="353"/>
      <c r="G202" s="353"/>
      <c r="H202" s="353"/>
      <c r="I202" s="353"/>
      <c r="K202" s="457" t="str">
        <f t="shared" si="33"/>
        <v>Signs and Billboards</v>
      </c>
      <c r="L202" s="457" t="str">
        <f t="shared" si="34"/>
        <v>Fluorescent Signs</v>
      </c>
      <c r="M202" s="457" t="str">
        <f t="shared" si="35"/>
        <v>Building Sub-Sector</v>
      </c>
      <c r="N202" s="458">
        <f t="shared" si="36"/>
        <v>0</v>
      </c>
      <c r="O202" s="458">
        <f t="shared" si="37"/>
        <v>0</v>
      </c>
      <c r="S202" s="239" t="s">
        <v>116</v>
      </c>
      <c r="T202" s="353">
        <v>620.41623902066169</v>
      </c>
      <c r="U202" s="353">
        <v>330.19956299350707</v>
      </c>
    </row>
    <row r="203" spans="1:21" ht="16.5" thickTop="1" thickBot="1">
      <c r="C203"/>
      <c r="D203"/>
      <c r="E203" s="384" t="s">
        <v>115</v>
      </c>
      <c r="F203" s="353">
        <v>9.1824807603986773</v>
      </c>
      <c r="G203" s="353">
        <v>13.632780738229105</v>
      </c>
      <c r="H203" s="353"/>
      <c r="I203" s="353"/>
      <c r="K203" s="457" t="str">
        <f t="shared" si="33"/>
        <v>Signs and Billboards</v>
      </c>
      <c r="L203" s="457" t="str">
        <f t="shared" si="34"/>
        <v>Fluorescent Signs</v>
      </c>
      <c r="M203" s="457" t="str">
        <f t="shared" si="35"/>
        <v>Roadway</v>
      </c>
      <c r="N203" s="458">
        <f t="shared" si="36"/>
        <v>9.1824807603986773</v>
      </c>
      <c r="O203" s="458">
        <f t="shared" si="37"/>
        <v>13.632780738229105</v>
      </c>
      <c r="S203" s="239" t="s">
        <v>117</v>
      </c>
      <c r="T203" s="353">
        <v>4.3527117066497425</v>
      </c>
      <c r="U203" s="353">
        <v>0</v>
      </c>
    </row>
    <row r="204" spans="1:21" ht="16.5" thickTop="1" thickBot="1">
      <c r="C204"/>
      <c r="D204" s="384" t="s">
        <v>35</v>
      </c>
      <c r="E204"/>
      <c r="F204" s="353"/>
      <c r="G204" s="353"/>
      <c r="H204" s="353"/>
      <c r="I204" s="353"/>
      <c r="K204" s="457" t="str">
        <f t="shared" si="33"/>
        <v>Signs and Billboards</v>
      </c>
      <c r="L204" s="457" t="str">
        <f t="shared" si="34"/>
        <v>Neon Signs</v>
      </c>
      <c r="M204" s="457" t="str">
        <f t="shared" si="35"/>
        <v>Roadway</v>
      </c>
      <c r="N204" s="458">
        <f t="shared" si="36"/>
        <v>0</v>
      </c>
      <c r="O204" s="458">
        <f t="shared" si="37"/>
        <v>0</v>
      </c>
      <c r="S204" s="239" t="s">
        <v>1043</v>
      </c>
      <c r="T204" s="353">
        <v>458.65036802492165</v>
      </c>
      <c r="U204" s="353">
        <v>362.04683117276232</v>
      </c>
    </row>
    <row r="205" spans="1:21" ht="16.5" thickTop="1" thickBot="1">
      <c r="C205"/>
      <c r="D205"/>
      <c r="E205" s="384" t="s">
        <v>115</v>
      </c>
      <c r="F205" s="353">
        <v>8.4406646291000964</v>
      </c>
      <c r="G205" s="353">
        <v>12.531442556319767</v>
      </c>
      <c r="H205" s="353"/>
      <c r="I205" s="353"/>
      <c r="K205" s="457" t="str">
        <f t="shared" si="33"/>
        <v>Signs and Billboards</v>
      </c>
      <c r="L205" s="457" t="str">
        <f t="shared" si="34"/>
        <v>Neon Signs</v>
      </c>
      <c r="M205" s="457" t="str">
        <f t="shared" si="35"/>
        <v>Roadway</v>
      </c>
      <c r="N205" s="458">
        <f t="shared" si="36"/>
        <v>8.4406646291000964</v>
      </c>
      <c r="O205" s="458">
        <f t="shared" si="37"/>
        <v>12.531442556319767</v>
      </c>
      <c r="S205" s="239" t="s">
        <v>1172</v>
      </c>
      <c r="T205" s="353">
        <v>953.92151547685137</v>
      </c>
      <c r="U205" s="353">
        <v>328.08975207707567</v>
      </c>
    </row>
    <row r="206" spans="1:21" ht="16.5" thickTop="1" thickBot="1">
      <c r="C206" s="384" t="s">
        <v>116</v>
      </c>
      <c r="D206"/>
      <c r="E206"/>
      <c r="F206" s="353"/>
      <c r="G206" s="353"/>
      <c r="H206" s="353"/>
      <c r="I206" s="353"/>
      <c r="K206" s="457" t="str">
        <f t="shared" si="33"/>
        <v>Street Lights</v>
      </c>
      <c r="L206" s="457" t="str">
        <f t="shared" si="34"/>
        <v>Neon Signs</v>
      </c>
      <c r="M206" s="457" t="str">
        <f t="shared" si="35"/>
        <v>Roadway</v>
      </c>
      <c r="N206" s="458">
        <f t="shared" si="36"/>
        <v>0</v>
      </c>
      <c r="O206" s="458">
        <f t="shared" si="37"/>
        <v>0</v>
      </c>
      <c r="S206" s="239" t="s">
        <v>1231</v>
      </c>
      <c r="T206" s="353">
        <v>414.72091179429214</v>
      </c>
      <c r="U206" s="353">
        <v>245.32699937381577</v>
      </c>
    </row>
    <row r="207" spans="1:21" ht="16.5" thickTop="1" thickBot="1">
      <c r="C207"/>
      <c r="D207" s="384" t="s">
        <v>1245</v>
      </c>
      <c r="E207"/>
      <c r="F207" s="353"/>
      <c r="G207" s="353"/>
      <c r="H207" s="353"/>
      <c r="I207" s="353"/>
      <c r="K207" s="457" t="str">
        <f t="shared" si="33"/>
        <v>Street Lights</v>
      </c>
      <c r="L207" s="457" t="str">
        <f t="shared" si="34"/>
        <v>MH (Std, PS, CMH)</v>
      </c>
      <c r="M207" s="457" t="str">
        <f t="shared" si="35"/>
        <v>Roadway</v>
      </c>
      <c r="N207" s="458">
        <f t="shared" si="36"/>
        <v>0</v>
      </c>
      <c r="O207" s="458">
        <f t="shared" si="37"/>
        <v>0</v>
      </c>
      <c r="S207" s="239" t="s">
        <v>18</v>
      </c>
      <c r="T207" s="353">
        <v>2469.6848914128755</v>
      </c>
      <c r="U207" s="353">
        <v>1291.8273689117098</v>
      </c>
    </row>
    <row r="208" spans="1:21" ht="16.5" thickTop="1" thickBot="1">
      <c r="C208"/>
      <c r="D208"/>
      <c r="E208" s="384" t="s">
        <v>115</v>
      </c>
      <c r="F208" s="353">
        <v>48.992918547907145</v>
      </c>
      <c r="G208" s="353">
        <v>34.534955899616762</v>
      </c>
      <c r="H208" s="353"/>
      <c r="I208" s="353"/>
      <c r="K208" s="457" t="str">
        <f t="shared" si="33"/>
        <v>Street Lights</v>
      </c>
      <c r="L208" s="457" t="str">
        <f t="shared" si="34"/>
        <v>MH (Std, PS, CMH)</v>
      </c>
      <c r="M208" s="457" t="str">
        <f t="shared" si="35"/>
        <v>Roadway</v>
      </c>
      <c r="N208" s="458">
        <f t="shared" si="36"/>
        <v>48.992918547907145</v>
      </c>
      <c r="O208" s="458">
        <f t="shared" si="37"/>
        <v>34.534955899616762</v>
      </c>
      <c r="S208"/>
      <c r="T208"/>
      <c r="U208"/>
    </row>
    <row r="209" spans="3:21" ht="16.5" thickTop="1" thickBot="1">
      <c r="C209"/>
      <c r="D209" s="384" t="s">
        <v>1256</v>
      </c>
      <c r="E209"/>
      <c r="F209" s="353"/>
      <c r="G209" s="353"/>
      <c r="H209" s="353"/>
      <c r="I209" s="353"/>
      <c r="K209" s="457" t="str">
        <f t="shared" si="33"/>
        <v>Street Lights</v>
      </c>
      <c r="L209" s="457" t="str">
        <f t="shared" si="34"/>
        <v>HPS/MV</v>
      </c>
      <c r="M209" s="457" t="str">
        <f t="shared" si="35"/>
        <v>Roadway</v>
      </c>
      <c r="N209" s="458">
        <f t="shared" si="36"/>
        <v>0</v>
      </c>
      <c r="O209" s="458">
        <f t="shared" si="37"/>
        <v>0</v>
      </c>
      <c r="S209"/>
      <c r="T209"/>
      <c r="U209"/>
    </row>
    <row r="210" spans="3:21" ht="16.5" thickTop="1" thickBot="1">
      <c r="C210"/>
      <c r="D210"/>
      <c r="E210" s="384" t="s">
        <v>115</v>
      </c>
      <c r="F210" s="353">
        <v>571.42332047275454</v>
      </c>
      <c r="G210" s="353">
        <v>295.66460709389031</v>
      </c>
      <c r="H210" s="353"/>
      <c r="I210" s="353"/>
      <c r="K210" s="457" t="str">
        <f t="shared" si="33"/>
        <v>Street Lights</v>
      </c>
      <c r="L210" s="457" t="str">
        <f t="shared" si="34"/>
        <v>HPS/MV</v>
      </c>
      <c r="M210" s="457" t="str">
        <f t="shared" si="35"/>
        <v>Roadway</v>
      </c>
      <c r="N210" s="458">
        <f t="shared" si="36"/>
        <v>571.42332047275454</v>
      </c>
      <c r="O210" s="458">
        <f t="shared" si="37"/>
        <v>295.66460709389031</v>
      </c>
      <c r="S210"/>
      <c r="T210"/>
      <c r="U210"/>
    </row>
    <row r="211" spans="3:21" ht="16.5" thickTop="1" thickBot="1">
      <c r="C211" s="384" t="s">
        <v>117</v>
      </c>
      <c r="D211"/>
      <c r="E211"/>
      <c r="F211" s="353"/>
      <c r="G211" s="353"/>
      <c r="H211" s="353"/>
      <c r="I211" s="353"/>
      <c r="K211" s="457" t="str">
        <f t="shared" si="33"/>
        <v>Traffic Signals</v>
      </c>
      <c r="L211" s="457" t="str">
        <f t="shared" si="34"/>
        <v>HPS/MV</v>
      </c>
      <c r="M211" s="457" t="str">
        <f t="shared" si="35"/>
        <v>Roadway</v>
      </c>
      <c r="N211" s="458">
        <f t="shared" si="36"/>
        <v>0</v>
      </c>
      <c r="O211" s="458">
        <f t="shared" si="37"/>
        <v>0</v>
      </c>
      <c r="S211"/>
      <c r="T211"/>
      <c r="U211"/>
    </row>
    <row r="212" spans="3:21" ht="16.5" thickTop="1" thickBot="1">
      <c r="C212"/>
      <c r="D212" s="384" t="s">
        <v>33</v>
      </c>
      <c r="E212"/>
      <c r="F212" s="353"/>
      <c r="G212" s="353"/>
      <c r="H212" s="353"/>
      <c r="I212" s="353"/>
      <c r="K212" s="457" t="str">
        <f t="shared" si="33"/>
        <v>Traffic Signals</v>
      </c>
      <c r="L212" s="457" t="str">
        <f t="shared" si="34"/>
        <v>Incandescent Signals</v>
      </c>
      <c r="M212" s="457" t="str">
        <f t="shared" si="35"/>
        <v>Roadway</v>
      </c>
      <c r="N212" s="458">
        <f t="shared" si="36"/>
        <v>0</v>
      </c>
      <c r="O212" s="458">
        <f t="shared" si="37"/>
        <v>0</v>
      </c>
      <c r="S212"/>
      <c r="T212"/>
      <c r="U212"/>
    </row>
    <row r="213" spans="3:21" ht="16.5" thickTop="1" thickBot="1">
      <c r="C213"/>
      <c r="D213"/>
      <c r="E213" s="384" t="s">
        <v>115</v>
      </c>
      <c r="F213" s="353">
        <v>4.3527117066497425</v>
      </c>
      <c r="G213" s="353">
        <v>0</v>
      </c>
      <c r="H213" s="353"/>
      <c r="I213" s="353"/>
      <c r="K213" s="457" t="str">
        <f t="shared" si="33"/>
        <v>Traffic Signals</v>
      </c>
      <c r="L213" s="457" t="str">
        <f t="shared" si="34"/>
        <v>Incandescent Signals</v>
      </c>
      <c r="M213" s="457" t="str">
        <f t="shared" si="35"/>
        <v>Roadway</v>
      </c>
      <c r="N213" s="458">
        <f t="shared" si="36"/>
        <v>4.3527117066497425</v>
      </c>
      <c r="O213" s="458">
        <f t="shared" si="37"/>
        <v>0</v>
      </c>
      <c r="S213"/>
      <c r="T213"/>
      <c r="U213"/>
    </row>
    <row r="214" spans="3:21" ht="16.5" thickTop="1" thickBot="1">
      <c r="C214" s="384" t="s">
        <v>1043</v>
      </c>
      <c r="D214"/>
      <c r="E214"/>
      <c r="F214" s="353"/>
      <c r="G214" s="353"/>
      <c r="H214" s="353"/>
      <c r="I214" s="353"/>
      <c r="K214" s="457" t="str">
        <f t="shared" si="33"/>
        <v>Parking Garage</v>
      </c>
      <c r="L214" s="457" t="str">
        <f t="shared" si="34"/>
        <v>Incandescent Signals</v>
      </c>
      <c r="M214" s="457" t="str">
        <f t="shared" si="35"/>
        <v>Roadway</v>
      </c>
      <c r="N214" s="458">
        <f t="shared" si="36"/>
        <v>0</v>
      </c>
      <c r="O214" s="458">
        <f t="shared" si="37"/>
        <v>0</v>
      </c>
      <c r="S214"/>
      <c r="T214"/>
      <c r="U214"/>
    </row>
    <row r="215" spans="3:21" ht="16.5" thickTop="1" thickBot="1">
      <c r="C215"/>
      <c r="D215" s="384" t="s">
        <v>24</v>
      </c>
      <c r="E215"/>
      <c r="F215" s="353"/>
      <c r="G215" s="353"/>
      <c r="H215" s="353"/>
      <c r="I215" s="353"/>
      <c r="K215" s="457" t="str">
        <f t="shared" si="33"/>
        <v>Parking Garage</v>
      </c>
      <c r="L215" s="457" t="str">
        <f t="shared" si="34"/>
        <v>CFL</v>
      </c>
      <c r="M215" s="457" t="str">
        <f t="shared" si="35"/>
        <v>Roadway</v>
      </c>
      <c r="N215" s="458">
        <f t="shared" si="36"/>
        <v>0</v>
      </c>
      <c r="O215" s="458">
        <f t="shared" si="37"/>
        <v>0</v>
      </c>
      <c r="S215"/>
      <c r="T215"/>
      <c r="U215"/>
    </row>
    <row r="216" spans="3:21" ht="16.5" thickTop="1" thickBot="1">
      <c r="C216"/>
      <c r="D216"/>
      <c r="E216" s="384" t="s">
        <v>1185</v>
      </c>
      <c r="F216" s="353">
        <v>66.579448253517512</v>
      </c>
      <c r="G216" s="353">
        <v>96.484360469121199</v>
      </c>
      <c r="H216" s="353"/>
      <c r="I216" s="353"/>
      <c r="K216" s="457" t="str">
        <f t="shared" si="33"/>
        <v>Parking Garage</v>
      </c>
      <c r="L216" s="457" t="str">
        <f t="shared" si="34"/>
        <v>CFL</v>
      </c>
      <c r="M216" s="457" t="str">
        <f t="shared" si="35"/>
        <v>Outdoor Lighting</v>
      </c>
      <c r="N216" s="458">
        <f t="shared" si="36"/>
        <v>66.579448253517512</v>
      </c>
      <c r="O216" s="458">
        <f t="shared" si="37"/>
        <v>96.484360469121199</v>
      </c>
      <c r="S216"/>
      <c r="T216"/>
      <c r="U216"/>
    </row>
    <row r="217" spans="3:21" ht="16.5" thickTop="1" thickBot="1">
      <c r="C217"/>
      <c r="D217" s="384" t="s">
        <v>27</v>
      </c>
      <c r="E217"/>
      <c r="F217" s="353"/>
      <c r="G217" s="353"/>
      <c r="H217" s="353"/>
      <c r="I217" s="353"/>
      <c r="K217" s="457" t="str">
        <f t="shared" si="33"/>
        <v>Parking Garage</v>
      </c>
      <c r="L217" s="457" t="str">
        <f t="shared" si="34"/>
        <v>Linear Fluorescent</v>
      </c>
      <c r="M217" s="457" t="str">
        <f t="shared" si="35"/>
        <v>Outdoor Lighting</v>
      </c>
      <c r="N217" s="458">
        <f t="shared" si="36"/>
        <v>0</v>
      </c>
      <c r="O217" s="458">
        <f t="shared" si="37"/>
        <v>0</v>
      </c>
      <c r="S217"/>
      <c r="T217"/>
      <c r="U217"/>
    </row>
    <row r="218" spans="3:21" ht="16.5" thickTop="1" thickBot="1">
      <c r="C218"/>
      <c r="D218"/>
      <c r="E218" s="384" t="s">
        <v>1185</v>
      </c>
      <c r="F218" s="353">
        <v>392.07091977140414</v>
      </c>
      <c r="G218" s="353">
        <v>265.56247070364111</v>
      </c>
      <c r="H218" s="353"/>
      <c r="I218" s="353"/>
      <c r="K218" s="457" t="str">
        <f t="shared" si="33"/>
        <v>Parking Garage</v>
      </c>
      <c r="L218" s="457" t="str">
        <f t="shared" si="34"/>
        <v>Linear Fluorescent</v>
      </c>
      <c r="M218" s="457" t="str">
        <f t="shared" si="35"/>
        <v>Outdoor Lighting</v>
      </c>
      <c r="N218" s="458">
        <f t="shared" si="36"/>
        <v>392.07091977140414</v>
      </c>
      <c r="O218" s="458">
        <f t="shared" si="37"/>
        <v>265.56247070364111</v>
      </c>
      <c r="S218"/>
      <c r="T218"/>
      <c r="U218"/>
    </row>
    <row r="219" spans="3:21" ht="16.5" thickTop="1" thickBot="1">
      <c r="C219" s="384" t="s">
        <v>1172</v>
      </c>
      <c r="D219"/>
      <c r="E219"/>
      <c r="F219" s="353"/>
      <c r="G219" s="353"/>
      <c r="H219" s="353"/>
      <c r="I219" s="353"/>
      <c r="K219" s="457" t="str">
        <f t="shared" si="33"/>
        <v>Parking Lot</v>
      </c>
      <c r="L219" s="457" t="str">
        <f t="shared" si="34"/>
        <v>Linear Fluorescent</v>
      </c>
      <c r="M219" s="457" t="str">
        <f t="shared" si="35"/>
        <v>Outdoor Lighting</v>
      </c>
      <c r="N219" s="458">
        <f t="shared" si="36"/>
        <v>0</v>
      </c>
      <c r="O219" s="458">
        <f t="shared" si="37"/>
        <v>0</v>
      </c>
      <c r="S219"/>
      <c r="T219"/>
      <c r="U219"/>
    </row>
    <row r="220" spans="3:21" ht="16.5" thickTop="1" thickBot="1">
      <c r="C220"/>
      <c r="D220" s="384" t="s">
        <v>27</v>
      </c>
      <c r="E220"/>
      <c r="F220" s="353"/>
      <c r="G220" s="353"/>
      <c r="H220" s="353"/>
      <c r="I220" s="353"/>
      <c r="K220" s="457" t="str">
        <f t="shared" si="33"/>
        <v>Parking Lot</v>
      </c>
      <c r="L220" s="457" t="str">
        <f t="shared" si="34"/>
        <v>Linear Fluorescent</v>
      </c>
      <c r="M220" s="457" t="str">
        <f t="shared" si="35"/>
        <v>Outdoor Lighting</v>
      </c>
      <c r="N220" s="458">
        <f t="shared" si="36"/>
        <v>0</v>
      </c>
      <c r="O220" s="458">
        <f t="shared" si="37"/>
        <v>0</v>
      </c>
      <c r="S220"/>
      <c r="T220"/>
      <c r="U220"/>
    </row>
    <row r="221" spans="3:21" ht="16.5" thickTop="1" thickBot="1">
      <c r="C221"/>
      <c r="D221"/>
      <c r="E221" s="384" t="s">
        <v>1185</v>
      </c>
      <c r="F221" s="353">
        <v>36.560156911037915</v>
      </c>
      <c r="G221" s="353">
        <v>39.657159304242548</v>
      </c>
      <c r="H221" s="353"/>
      <c r="I221" s="353"/>
      <c r="K221" s="457" t="str">
        <f t="shared" si="33"/>
        <v>Parking Lot</v>
      </c>
      <c r="L221" s="457" t="str">
        <f t="shared" si="34"/>
        <v>Linear Fluorescent</v>
      </c>
      <c r="M221" s="457" t="str">
        <f t="shared" si="35"/>
        <v>Outdoor Lighting</v>
      </c>
      <c r="N221" s="458">
        <f t="shared" si="36"/>
        <v>36.560156911037915</v>
      </c>
      <c r="O221" s="458">
        <f t="shared" si="37"/>
        <v>39.657159304242548</v>
      </c>
      <c r="S221"/>
      <c r="T221"/>
      <c r="U221"/>
    </row>
    <row r="222" spans="3:21" ht="16.5" thickTop="1" thickBot="1">
      <c r="C222"/>
      <c r="D222" s="384" t="s">
        <v>1245</v>
      </c>
      <c r="E222"/>
      <c r="F222" s="353"/>
      <c r="G222" s="353"/>
      <c r="H222" s="353"/>
      <c r="I222" s="353"/>
      <c r="K222" s="457" t="str">
        <f t="shared" si="33"/>
        <v>Parking Lot</v>
      </c>
      <c r="L222" s="457" t="str">
        <f t="shared" si="34"/>
        <v>MH (Std, PS, CMH)</v>
      </c>
      <c r="M222" s="457" t="str">
        <f t="shared" si="35"/>
        <v>Outdoor Lighting</v>
      </c>
      <c r="N222" s="458">
        <f t="shared" si="36"/>
        <v>0</v>
      </c>
      <c r="O222" s="458">
        <f t="shared" si="37"/>
        <v>0</v>
      </c>
      <c r="S222"/>
      <c r="T222"/>
      <c r="U222"/>
    </row>
    <row r="223" spans="3:21" ht="16.5" thickTop="1" thickBot="1">
      <c r="C223"/>
      <c r="D223"/>
      <c r="E223" s="384" t="s">
        <v>1185</v>
      </c>
      <c r="F223" s="353">
        <v>718.44752025376283</v>
      </c>
      <c r="G223" s="353">
        <v>180.5897602419042</v>
      </c>
      <c r="H223" s="353"/>
      <c r="I223" s="353"/>
      <c r="K223" s="457" t="str">
        <f t="shared" si="33"/>
        <v>Parking Lot</v>
      </c>
      <c r="L223" s="457" t="str">
        <f t="shared" si="34"/>
        <v>MH (Std, PS, CMH)</v>
      </c>
      <c r="M223" s="457" t="str">
        <f t="shared" si="35"/>
        <v>Outdoor Lighting</v>
      </c>
      <c r="N223" s="458">
        <f t="shared" si="36"/>
        <v>718.44752025376283</v>
      </c>
      <c r="O223" s="458">
        <f t="shared" si="37"/>
        <v>180.5897602419042</v>
      </c>
    </row>
    <row r="224" spans="3:21" ht="16.5" thickTop="1" thickBot="1">
      <c r="C224"/>
      <c r="D224" s="384" t="s">
        <v>1256</v>
      </c>
      <c r="E224"/>
      <c r="F224" s="353"/>
      <c r="G224" s="353"/>
      <c r="H224" s="353"/>
      <c r="I224" s="353"/>
      <c r="K224" s="457" t="str">
        <f t="shared" si="33"/>
        <v>Parking Lot</v>
      </c>
      <c r="L224" s="457" t="str">
        <f t="shared" si="34"/>
        <v>HPS/MV</v>
      </c>
      <c r="M224" s="457" t="str">
        <f t="shared" si="35"/>
        <v>Outdoor Lighting</v>
      </c>
      <c r="N224" s="458">
        <f t="shared" si="36"/>
        <v>0</v>
      </c>
      <c r="O224" s="458">
        <f t="shared" si="37"/>
        <v>0</v>
      </c>
    </row>
    <row r="225" spans="3:15" ht="16.5" thickTop="1" thickBot="1">
      <c r="C225"/>
      <c r="D225"/>
      <c r="E225" s="384" t="s">
        <v>1185</v>
      </c>
      <c r="F225" s="353">
        <v>198.91383831205064</v>
      </c>
      <c r="G225" s="353">
        <v>107.84283253092892</v>
      </c>
      <c r="H225" s="353"/>
      <c r="I225" s="353"/>
      <c r="K225" s="457" t="str">
        <f t="shared" si="33"/>
        <v>Parking Lot</v>
      </c>
      <c r="L225" s="457" t="str">
        <f t="shared" si="34"/>
        <v>HPS/MV</v>
      </c>
      <c r="M225" s="457" t="str">
        <f t="shared" si="35"/>
        <v>Outdoor Lighting</v>
      </c>
      <c r="N225" s="458">
        <f t="shared" si="36"/>
        <v>198.91383831205064</v>
      </c>
      <c r="O225" s="458">
        <f t="shared" si="37"/>
        <v>107.84283253092892</v>
      </c>
    </row>
    <row r="226" spans="3:15" ht="16.5" thickTop="1" thickBot="1">
      <c r="C226" s="384" t="s">
        <v>1231</v>
      </c>
      <c r="D226"/>
      <c r="E226"/>
      <c r="F226" s="353"/>
      <c r="G226" s="353"/>
      <c r="H226" s="353"/>
      <c r="I226" s="353"/>
      <c r="K226" s="457" t="str">
        <f t="shared" si="33"/>
        <v>Bldg Façade, Landscape, Service Canopies, and Stadium/Athletic Field Lighting</v>
      </c>
      <c r="L226" s="457" t="str">
        <f t="shared" si="34"/>
        <v>HPS/MV</v>
      </c>
      <c r="M226" s="457" t="str">
        <f t="shared" si="35"/>
        <v>Outdoor Lighting</v>
      </c>
      <c r="N226" s="458">
        <f t="shared" si="36"/>
        <v>0</v>
      </c>
      <c r="O226" s="458">
        <f t="shared" si="37"/>
        <v>0</v>
      </c>
    </row>
    <row r="227" spans="3:15" ht="16.5" thickTop="1" thickBot="1">
      <c r="C227"/>
      <c r="D227" s="384" t="s">
        <v>24</v>
      </c>
      <c r="E227"/>
      <c r="F227" s="353"/>
      <c r="G227" s="353"/>
      <c r="H227" s="353"/>
      <c r="I227" s="353"/>
      <c r="K227" s="457" t="str">
        <f t="shared" si="33"/>
        <v>Bldg Façade, Landscape, Service Canopies, and Stadium/Athletic Field Lighting</v>
      </c>
      <c r="L227" s="457" t="str">
        <f t="shared" si="34"/>
        <v>CFL</v>
      </c>
      <c r="M227" s="457" t="str">
        <f t="shared" si="35"/>
        <v>Outdoor Lighting</v>
      </c>
      <c r="N227" s="458">
        <f t="shared" si="36"/>
        <v>0</v>
      </c>
      <c r="O227" s="458">
        <f t="shared" si="37"/>
        <v>0</v>
      </c>
    </row>
    <row r="228" spans="3:15" ht="16.5" thickTop="1" thickBot="1">
      <c r="C228"/>
      <c r="D228"/>
      <c r="E228" s="384" t="s">
        <v>1185</v>
      </c>
      <c r="F228" s="353">
        <v>49.714115746881959</v>
      </c>
      <c r="G228" s="353">
        <v>61.585877016964623</v>
      </c>
      <c r="H228" s="353"/>
      <c r="I228" s="353"/>
      <c r="K228" s="457" t="str">
        <f t="shared" si="33"/>
        <v>Bldg Façade, Landscape, Service Canopies, and Stadium/Athletic Field Lighting</v>
      </c>
      <c r="L228" s="457" t="str">
        <f t="shared" si="34"/>
        <v>CFL</v>
      </c>
      <c r="M228" s="457" t="str">
        <f t="shared" si="35"/>
        <v>Outdoor Lighting</v>
      </c>
      <c r="N228" s="458">
        <f t="shared" si="36"/>
        <v>49.714115746881959</v>
      </c>
      <c r="O228" s="458">
        <f t="shared" si="37"/>
        <v>61.585877016964623</v>
      </c>
    </row>
    <row r="229" spans="3:15" ht="16.5" thickTop="1" thickBot="1">
      <c r="C229"/>
      <c r="D229" s="384" t="s">
        <v>26</v>
      </c>
      <c r="E229"/>
      <c r="F229" s="353"/>
      <c r="G229" s="353"/>
      <c r="H229" s="353"/>
      <c r="I229" s="353"/>
      <c r="K229" s="457" t="str">
        <f t="shared" si="33"/>
        <v>Bldg Façade, Landscape, Service Canopies, and Stadium/Athletic Field Lighting</v>
      </c>
      <c r="L229" s="457" t="str">
        <f t="shared" si="34"/>
        <v>Incandescent</v>
      </c>
      <c r="M229" s="457" t="str">
        <f t="shared" si="35"/>
        <v>Outdoor Lighting</v>
      </c>
      <c r="N229" s="458">
        <f t="shared" si="36"/>
        <v>0</v>
      </c>
      <c r="O229" s="458">
        <f t="shared" si="37"/>
        <v>0</v>
      </c>
    </row>
    <row r="230" spans="3:15" ht="16.5" thickTop="1" thickBot="1">
      <c r="C230"/>
      <c r="D230"/>
      <c r="E230" s="384" t="s">
        <v>1185</v>
      </c>
      <c r="F230" s="353">
        <v>54.135381239553432</v>
      </c>
      <c r="G230" s="353">
        <v>23.147258299710817</v>
      </c>
      <c r="H230" s="353"/>
      <c r="I230" s="353"/>
      <c r="K230" s="457" t="str">
        <f t="shared" si="33"/>
        <v>Bldg Façade, Landscape, Service Canopies, and Stadium/Athletic Field Lighting</v>
      </c>
      <c r="L230" s="457" t="str">
        <f t="shared" si="34"/>
        <v>Incandescent</v>
      </c>
      <c r="M230" s="457" t="str">
        <f t="shared" si="35"/>
        <v>Outdoor Lighting</v>
      </c>
      <c r="N230" s="458">
        <f t="shared" si="36"/>
        <v>54.135381239553432</v>
      </c>
      <c r="O230" s="458">
        <f t="shared" si="37"/>
        <v>23.147258299710817</v>
      </c>
    </row>
    <row r="231" spans="3:15" ht="16.5" thickTop="1" thickBot="1">
      <c r="C231"/>
      <c r="D231" s="384" t="s">
        <v>27</v>
      </c>
      <c r="E231"/>
      <c r="F231" s="353"/>
      <c r="G231" s="353"/>
      <c r="H231" s="353"/>
      <c r="I231" s="353"/>
      <c r="K231" s="457" t="str">
        <f t="shared" si="33"/>
        <v>Bldg Façade, Landscape, Service Canopies, and Stadium/Athletic Field Lighting</v>
      </c>
      <c r="L231" s="457" t="str">
        <f t="shared" si="34"/>
        <v>Linear Fluorescent</v>
      </c>
      <c r="M231" s="457" t="str">
        <f t="shared" si="35"/>
        <v>Outdoor Lighting</v>
      </c>
      <c r="N231" s="458">
        <f t="shared" si="36"/>
        <v>0</v>
      </c>
      <c r="O231" s="458">
        <f t="shared" si="37"/>
        <v>0</v>
      </c>
    </row>
    <row r="232" spans="3:15" ht="16.5" thickTop="1" thickBot="1">
      <c r="C232"/>
      <c r="D232"/>
      <c r="E232" s="384" t="s">
        <v>1185</v>
      </c>
      <c r="F232" s="353">
        <v>34.8836126324736</v>
      </c>
      <c r="G232" s="353">
        <v>23.209201753859393</v>
      </c>
      <c r="H232" s="353"/>
      <c r="I232" s="353"/>
      <c r="K232" s="457" t="str">
        <f t="shared" si="33"/>
        <v>Bldg Façade, Landscape, Service Canopies, and Stadium/Athletic Field Lighting</v>
      </c>
      <c r="L232" s="457" t="str">
        <f t="shared" si="34"/>
        <v>Linear Fluorescent</v>
      </c>
      <c r="M232" s="457" t="str">
        <f t="shared" si="35"/>
        <v>Outdoor Lighting</v>
      </c>
      <c r="N232" s="458">
        <f t="shared" si="36"/>
        <v>34.8836126324736</v>
      </c>
      <c r="O232" s="458">
        <f t="shared" si="37"/>
        <v>23.209201753859393</v>
      </c>
    </row>
    <row r="233" spans="3:15" ht="16.5" thickTop="1" thickBot="1">
      <c r="C233"/>
      <c r="D233" s="384" t="s">
        <v>846</v>
      </c>
      <c r="E233"/>
      <c r="F233" s="353"/>
      <c r="G233" s="353"/>
      <c r="H233" s="353"/>
      <c r="I233" s="353"/>
      <c r="K233" s="457" t="str">
        <f t="shared" ref="K233:K264" si="38">IF(C233=0,K232,C233)</f>
        <v>Bldg Façade, Landscape, Service Canopies, and Stadium/Athletic Field Lighting</v>
      </c>
      <c r="L233" s="457" t="str">
        <f t="shared" ref="L233:L264" si="39">IF(D233=0,L232,D233)</f>
        <v xml:space="preserve">Halogen </v>
      </c>
      <c r="M233" s="457" t="str">
        <f t="shared" ref="M233:M264" si="40">IF(E233=0,M232,E233)</f>
        <v>Outdoor Lighting</v>
      </c>
      <c r="N233" s="458">
        <f t="shared" ref="N233:N264" si="41">F233</f>
        <v>0</v>
      </c>
      <c r="O233" s="458">
        <f t="shared" ref="O233:O264" si="42">G233</f>
        <v>0</v>
      </c>
    </row>
    <row r="234" spans="3:15" ht="16.5" thickTop="1" thickBot="1">
      <c r="C234"/>
      <c r="D234"/>
      <c r="E234" s="384" t="s">
        <v>1185</v>
      </c>
      <c r="F234" s="353">
        <v>60.68506657811821</v>
      </c>
      <c r="G234" s="353">
        <v>26.742842213837445</v>
      </c>
      <c r="H234" s="353"/>
      <c r="I234" s="353"/>
      <c r="K234" s="457" t="str">
        <f t="shared" si="38"/>
        <v>Bldg Façade, Landscape, Service Canopies, and Stadium/Athletic Field Lighting</v>
      </c>
      <c r="L234" s="457" t="str">
        <f t="shared" si="39"/>
        <v xml:space="preserve">Halogen </v>
      </c>
      <c r="M234" s="457" t="str">
        <f t="shared" si="40"/>
        <v>Outdoor Lighting</v>
      </c>
      <c r="N234" s="458">
        <f t="shared" si="41"/>
        <v>60.68506657811821</v>
      </c>
      <c r="O234" s="458">
        <f t="shared" si="42"/>
        <v>26.742842213837445</v>
      </c>
    </row>
    <row r="235" spans="3:15" ht="16.5" thickTop="1" thickBot="1">
      <c r="C235"/>
      <c r="D235" s="384" t="s">
        <v>1245</v>
      </c>
      <c r="E235"/>
      <c r="F235" s="353"/>
      <c r="G235" s="353"/>
      <c r="H235" s="353"/>
      <c r="I235" s="353"/>
      <c r="K235" s="457" t="str">
        <f t="shared" si="38"/>
        <v>Bldg Façade, Landscape, Service Canopies, and Stadium/Athletic Field Lighting</v>
      </c>
      <c r="L235" s="457" t="str">
        <f t="shared" si="39"/>
        <v>MH (Std, PS, CMH)</v>
      </c>
      <c r="M235" s="457" t="str">
        <f t="shared" si="40"/>
        <v>Outdoor Lighting</v>
      </c>
      <c r="N235" s="458">
        <f t="shared" si="41"/>
        <v>0</v>
      </c>
      <c r="O235" s="458">
        <f t="shared" si="42"/>
        <v>0</v>
      </c>
    </row>
    <row r="236" spans="3:15" ht="16.5" thickTop="1" thickBot="1">
      <c r="C236"/>
      <c r="D236"/>
      <c r="E236" s="384" t="s">
        <v>1185</v>
      </c>
      <c r="F236" s="353">
        <v>164.26787346799742</v>
      </c>
      <c r="G236" s="353">
        <v>86.312675486381124</v>
      </c>
      <c r="H236" s="353"/>
      <c r="I236" s="353"/>
      <c r="K236" s="457" t="str">
        <f t="shared" si="38"/>
        <v>Bldg Façade, Landscape, Service Canopies, and Stadium/Athletic Field Lighting</v>
      </c>
      <c r="L236" s="457" t="str">
        <f t="shared" si="39"/>
        <v>MH (Std, PS, CMH)</v>
      </c>
      <c r="M236" s="457" t="str">
        <f t="shared" si="40"/>
        <v>Outdoor Lighting</v>
      </c>
      <c r="N236" s="458">
        <f t="shared" si="41"/>
        <v>164.26787346799742</v>
      </c>
      <c r="O236" s="458">
        <f t="shared" si="42"/>
        <v>86.312675486381124</v>
      </c>
    </row>
    <row r="237" spans="3:15" ht="16.5" thickTop="1" thickBot="1">
      <c r="C237"/>
      <c r="D237" s="384" t="s">
        <v>1256</v>
      </c>
      <c r="E237"/>
      <c r="F237" s="353"/>
      <c r="G237" s="353"/>
      <c r="H237" s="353"/>
      <c r="I237" s="353"/>
      <c r="K237" s="457" t="str">
        <f t="shared" si="38"/>
        <v>Bldg Façade, Landscape, Service Canopies, and Stadium/Athletic Field Lighting</v>
      </c>
      <c r="L237" s="457" t="str">
        <f t="shared" si="39"/>
        <v>HPS/MV</v>
      </c>
      <c r="M237" s="457" t="str">
        <f t="shared" si="40"/>
        <v>Outdoor Lighting</v>
      </c>
      <c r="N237" s="458">
        <f t="shared" si="41"/>
        <v>0</v>
      </c>
      <c r="O237" s="458">
        <f t="shared" si="42"/>
        <v>0</v>
      </c>
    </row>
    <row r="238" spans="3:15" ht="16.5" thickTop="1" thickBot="1">
      <c r="C238"/>
      <c r="D238"/>
      <c r="E238" s="384" t="s">
        <v>1185</v>
      </c>
      <c r="F238" s="353">
        <v>51.034862129267538</v>
      </c>
      <c r="G238" s="353">
        <v>24.329144603062353</v>
      </c>
      <c r="H238" s="353"/>
      <c r="I238" s="353"/>
      <c r="K238" s="457" t="str">
        <f t="shared" si="38"/>
        <v>Bldg Façade, Landscape, Service Canopies, and Stadium/Athletic Field Lighting</v>
      </c>
      <c r="L238" s="457" t="str">
        <f t="shared" si="39"/>
        <v>HPS/MV</v>
      </c>
      <c r="M238" s="457" t="str">
        <f t="shared" si="40"/>
        <v>Outdoor Lighting</v>
      </c>
      <c r="N238" s="458">
        <f t="shared" si="41"/>
        <v>51.034862129267538</v>
      </c>
      <c r="O238" s="458">
        <f t="shared" si="42"/>
        <v>24.329144603062353</v>
      </c>
    </row>
    <row r="239" spans="3:15" ht="16.5" thickTop="1" thickBot="1">
      <c r="C239"/>
      <c r="D239"/>
      <c r="E239"/>
      <c r="F239"/>
      <c r="G239"/>
      <c r="H239" s="353"/>
      <c r="I239" s="353"/>
      <c r="K239" s="457" t="str">
        <f t="shared" si="38"/>
        <v>Bldg Façade, Landscape, Service Canopies, and Stadium/Athletic Field Lighting</v>
      </c>
      <c r="L239" s="457" t="str">
        <f t="shared" si="39"/>
        <v>HPS/MV</v>
      </c>
      <c r="M239" s="457" t="str">
        <f t="shared" si="40"/>
        <v>Outdoor Lighting</v>
      </c>
      <c r="N239" s="458">
        <f t="shared" si="41"/>
        <v>0</v>
      </c>
      <c r="O239" s="458">
        <f t="shared" si="42"/>
        <v>0</v>
      </c>
    </row>
    <row r="240" spans="3:15" ht="16.5" thickTop="1" thickBot="1">
      <c r="C240"/>
      <c r="D240"/>
      <c r="E240"/>
      <c r="F240"/>
      <c r="G240"/>
      <c r="H240" s="353"/>
      <c r="I240" s="353"/>
      <c r="K240" s="457" t="str">
        <f t="shared" si="38"/>
        <v>Bldg Façade, Landscape, Service Canopies, and Stadium/Athletic Field Lighting</v>
      </c>
      <c r="L240" s="457" t="str">
        <f t="shared" si="39"/>
        <v>HPS/MV</v>
      </c>
      <c r="M240" s="457" t="str">
        <f t="shared" si="40"/>
        <v>Outdoor Lighting</v>
      </c>
      <c r="N240" s="458">
        <f t="shared" si="41"/>
        <v>0</v>
      </c>
      <c r="O240" s="458">
        <f t="shared" si="42"/>
        <v>0</v>
      </c>
    </row>
    <row r="241" spans="3:15" ht="16.5" thickTop="1" thickBot="1">
      <c r="C241"/>
      <c r="D241"/>
      <c r="E241"/>
      <c r="F241"/>
      <c r="G241"/>
      <c r="H241" s="353"/>
      <c r="I241" s="353"/>
      <c r="K241" s="457" t="str">
        <f t="shared" si="38"/>
        <v>Bldg Façade, Landscape, Service Canopies, and Stadium/Athletic Field Lighting</v>
      </c>
      <c r="L241" s="457" t="str">
        <f t="shared" si="39"/>
        <v>HPS/MV</v>
      </c>
      <c r="M241" s="457" t="str">
        <f t="shared" si="40"/>
        <v>Outdoor Lighting</v>
      </c>
      <c r="N241" s="458">
        <f t="shared" si="41"/>
        <v>0</v>
      </c>
      <c r="O241" s="458">
        <f t="shared" si="42"/>
        <v>0</v>
      </c>
    </row>
    <row r="242" spans="3:15" ht="16.5" thickTop="1" thickBot="1">
      <c r="C242"/>
      <c r="D242"/>
      <c r="E242"/>
      <c r="F242"/>
      <c r="G242"/>
      <c r="H242" s="353"/>
      <c r="I242" s="353"/>
      <c r="K242" s="457" t="str">
        <f t="shared" si="38"/>
        <v>Bldg Façade, Landscape, Service Canopies, and Stadium/Athletic Field Lighting</v>
      </c>
      <c r="L242" s="457" t="str">
        <f t="shared" si="39"/>
        <v>HPS/MV</v>
      </c>
      <c r="M242" s="457" t="str">
        <f t="shared" si="40"/>
        <v>Outdoor Lighting</v>
      </c>
      <c r="N242" s="458">
        <f t="shared" si="41"/>
        <v>0</v>
      </c>
      <c r="O242" s="458">
        <f t="shared" si="42"/>
        <v>0</v>
      </c>
    </row>
    <row r="243" spans="3:15" ht="16.5" thickTop="1" thickBot="1">
      <c r="C243"/>
      <c r="D243"/>
      <c r="E243"/>
      <c r="F243"/>
      <c r="G243"/>
      <c r="H243" s="353"/>
      <c r="I243" s="353"/>
      <c r="K243" s="457" t="str">
        <f t="shared" si="38"/>
        <v>Bldg Façade, Landscape, Service Canopies, and Stadium/Athletic Field Lighting</v>
      </c>
      <c r="L243" s="457" t="str">
        <f t="shared" si="39"/>
        <v>HPS/MV</v>
      </c>
      <c r="M243" s="457" t="str">
        <f t="shared" si="40"/>
        <v>Outdoor Lighting</v>
      </c>
      <c r="N243" s="458">
        <f t="shared" si="41"/>
        <v>0</v>
      </c>
      <c r="O243" s="458">
        <f t="shared" si="42"/>
        <v>0</v>
      </c>
    </row>
    <row r="244" spans="3:15" ht="16.5" thickTop="1" thickBot="1">
      <c r="C244"/>
      <c r="D244"/>
      <c r="E244"/>
      <c r="F244"/>
      <c r="G244"/>
      <c r="H244" s="353"/>
      <c r="I244" s="353"/>
      <c r="K244" s="457" t="str">
        <f t="shared" si="38"/>
        <v>Bldg Façade, Landscape, Service Canopies, and Stadium/Athletic Field Lighting</v>
      </c>
      <c r="L244" s="457" t="str">
        <f t="shared" si="39"/>
        <v>HPS/MV</v>
      </c>
      <c r="M244" s="457" t="str">
        <f t="shared" si="40"/>
        <v>Outdoor Lighting</v>
      </c>
      <c r="N244" s="458">
        <f t="shared" si="41"/>
        <v>0</v>
      </c>
      <c r="O244" s="458">
        <f t="shared" si="42"/>
        <v>0</v>
      </c>
    </row>
    <row r="245" spans="3:15" ht="16.5" thickTop="1" thickBot="1">
      <c r="C245"/>
      <c r="D245"/>
      <c r="E245"/>
      <c r="F245"/>
      <c r="G245"/>
      <c r="H245" s="353"/>
      <c r="I245" s="353"/>
      <c r="K245" s="457" t="str">
        <f t="shared" si="38"/>
        <v>Bldg Façade, Landscape, Service Canopies, and Stadium/Athletic Field Lighting</v>
      </c>
      <c r="L245" s="457" t="str">
        <f t="shared" si="39"/>
        <v>HPS/MV</v>
      </c>
      <c r="M245" s="457" t="str">
        <f t="shared" si="40"/>
        <v>Outdoor Lighting</v>
      </c>
      <c r="N245" s="458">
        <f t="shared" si="41"/>
        <v>0</v>
      </c>
      <c r="O245" s="458">
        <f t="shared" si="42"/>
        <v>0</v>
      </c>
    </row>
    <row r="246" spans="3:15" ht="16.5" thickTop="1" thickBot="1">
      <c r="C246"/>
      <c r="D246"/>
      <c r="E246"/>
      <c r="F246"/>
      <c r="G246"/>
      <c r="H246" s="353"/>
      <c r="I246" s="353"/>
      <c r="K246" s="457" t="str">
        <f t="shared" si="38"/>
        <v>Bldg Façade, Landscape, Service Canopies, and Stadium/Athletic Field Lighting</v>
      </c>
      <c r="L246" s="457" t="str">
        <f t="shared" si="39"/>
        <v>HPS/MV</v>
      </c>
      <c r="M246" s="457" t="str">
        <f t="shared" si="40"/>
        <v>Outdoor Lighting</v>
      </c>
      <c r="N246" s="458">
        <f t="shared" si="41"/>
        <v>0</v>
      </c>
      <c r="O246" s="458">
        <f t="shared" si="42"/>
        <v>0</v>
      </c>
    </row>
    <row r="247" spans="3:15" ht="16.5" thickTop="1" thickBot="1">
      <c r="C247"/>
      <c r="D247"/>
      <c r="E247"/>
      <c r="F247"/>
      <c r="G247"/>
      <c r="H247" s="353"/>
      <c r="I247" s="353"/>
      <c r="K247" s="457" t="str">
        <f t="shared" si="38"/>
        <v>Bldg Façade, Landscape, Service Canopies, and Stadium/Athletic Field Lighting</v>
      </c>
      <c r="L247" s="457" t="str">
        <f t="shared" si="39"/>
        <v>HPS/MV</v>
      </c>
      <c r="M247" s="457" t="str">
        <f t="shared" si="40"/>
        <v>Outdoor Lighting</v>
      </c>
      <c r="N247" s="458">
        <f t="shared" si="41"/>
        <v>0</v>
      </c>
      <c r="O247" s="458">
        <f t="shared" si="42"/>
        <v>0</v>
      </c>
    </row>
    <row r="248" spans="3:15" ht="16.5" thickTop="1" thickBot="1">
      <c r="C248"/>
      <c r="D248"/>
      <c r="E248"/>
      <c r="F248"/>
      <c r="G248"/>
      <c r="H248" s="353"/>
      <c r="I248" s="353"/>
      <c r="K248" s="457" t="str">
        <f t="shared" si="38"/>
        <v>Bldg Façade, Landscape, Service Canopies, and Stadium/Athletic Field Lighting</v>
      </c>
      <c r="L248" s="457" t="str">
        <f t="shared" si="39"/>
        <v>HPS/MV</v>
      </c>
      <c r="M248" s="457" t="str">
        <f t="shared" si="40"/>
        <v>Outdoor Lighting</v>
      </c>
      <c r="N248" s="458">
        <f t="shared" si="41"/>
        <v>0</v>
      </c>
      <c r="O248" s="458">
        <f t="shared" si="42"/>
        <v>0</v>
      </c>
    </row>
    <row r="249" spans="3:15" ht="16.5" thickTop="1" thickBot="1">
      <c r="C249"/>
      <c r="D249"/>
      <c r="E249"/>
      <c r="F249"/>
      <c r="G249"/>
      <c r="H249" s="353"/>
      <c r="I249" s="353"/>
      <c r="K249" s="457" t="str">
        <f t="shared" si="38"/>
        <v>Bldg Façade, Landscape, Service Canopies, and Stadium/Athletic Field Lighting</v>
      </c>
      <c r="L249" s="457" t="str">
        <f t="shared" si="39"/>
        <v>HPS/MV</v>
      </c>
      <c r="M249" s="457" t="str">
        <f t="shared" si="40"/>
        <v>Outdoor Lighting</v>
      </c>
      <c r="N249" s="458">
        <f t="shared" si="41"/>
        <v>0</v>
      </c>
      <c r="O249" s="458">
        <f t="shared" si="42"/>
        <v>0</v>
      </c>
    </row>
    <row r="250" spans="3:15" ht="16.5" thickTop="1" thickBot="1">
      <c r="C250"/>
      <c r="D250"/>
      <c r="E250"/>
      <c r="F250"/>
      <c r="G250"/>
      <c r="H250" s="353"/>
      <c r="I250" s="353"/>
      <c r="K250" s="457" t="str">
        <f t="shared" si="38"/>
        <v>Bldg Façade, Landscape, Service Canopies, and Stadium/Athletic Field Lighting</v>
      </c>
      <c r="L250" s="457" t="str">
        <f t="shared" si="39"/>
        <v>HPS/MV</v>
      </c>
      <c r="M250" s="457" t="str">
        <f t="shared" si="40"/>
        <v>Outdoor Lighting</v>
      </c>
      <c r="N250" s="458">
        <f t="shared" si="41"/>
        <v>0</v>
      </c>
      <c r="O250" s="458">
        <f t="shared" si="42"/>
        <v>0</v>
      </c>
    </row>
    <row r="251" spans="3:15" ht="16.5" thickTop="1" thickBot="1">
      <c r="C251"/>
      <c r="D251"/>
      <c r="E251"/>
      <c r="F251"/>
      <c r="G251"/>
      <c r="H251" s="353"/>
      <c r="I251" s="353"/>
      <c r="K251" s="457" t="str">
        <f t="shared" si="38"/>
        <v>Bldg Façade, Landscape, Service Canopies, and Stadium/Athletic Field Lighting</v>
      </c>
      <c r="L251" s="457" t="str">
        <f t="shared" si="39"/>
        <v>HPS/MV</v>
      </c>
      <c r="M251" s="457" t="str">
        <f t="shared" si="40"/>
        <v>Outdoor Lighting</v>
      </c>
      <c r="N251" s="458">
        <f t="shared" si="41"/>
        <v>0</v>
      </c>
      <c r="O251" s="458">
        <f t="shared" si="42"/>
        <v>0</v>
      </c>
    </row>
    <row r="252" spans="3:15" ht="16.5" thickTop="1" thickBot="1">
      <c r="C252"/>
      <c r="D252"/>
      <c r="E252"/>
      <c r="F252"/>
      <c r="G252"/>
      <c r="H252" s="353"/>
      <c r="I252" s="353"/>
      <c r="K252" s="457" t="str">
        <f t="shared" si="38"/>
        <v>Bldg Façade, Landscape, Service Canopies, and Stadium/Athletic Field Lighting</v>
      </c>
      <c r="L252" s="457" t="str">
        <f t="shared" si="39"/>
        <v>HPS/MV</v>
      </c>
      <c r="M252" s="457" t="str">
        <f t="shared" si="40"/>
        <v>Outdoor Lighting</v>
      </c>
      <c r="N252" s="458">
        <f t="shared" si="41"/>
        <v>0</v>
      </c>
      <c r="O252" s="458">
        <f t="shared" si="42"/>
        <v>0</v>
      </c>
    </row>
    <row r="253" spans="3:15" ht="16.5" thickTop="1" thickBot="1">
      <c r="C253"/>
      <c r="D253"/>
      <c r="E253"/>
      <c r="F253"/>
      <c r="G253"/>
      <c r="H253" s="353"/>
      <c r="I253" s="353"/>
      <c r="K253" s="457" t="str">
        <f t="shared" si="38"/>
        <v>Bldg Façade, Landscape, Service Canopies, and Stadium/Athletic Field Lighting</v>
      </c>
      <c r="L253" s="457" t="str">
        <f t="shared" si="39"/>
        <v>HPS/MV</v>
      </c>
      <c r="M253" s="457" t="str">
        <f t="shared" si="40"/>
        <v>Outdoor Lighting</v>
      </c>
      <c r="N253" s="458">
        <f t="shared" si="41"/>
        <v>0</v>
      </c>
      <c r="O253" s="458">
        <f t="shared" si="42"/>
        <v>0</v>
      </c>
    </row>
    <row r="254" spans="3:15" ht="16.5" thickTop="1" thickBot="1">
      <c r="C254"/>
      <c r="D254"/>
      <c r="E254"/>
      <c r="F254"/>
      <c r="G254"/>
      <c r="H254" s="353"/>
      <c r="I254" s="353"/>
      <c r="K254" s="457" t="str">
        <f t="shared" si="38"/>
        <v>Bldg Façade, Landscape, Service Canopies, and Stadium/Athletic Field Lighting</v>
      </c>
      <c r="L254" s="457" t="str">
        <f t="shared" si="39"/>
        <v>HPS/MV</v>
      </c>
      <c r="M254" s="457" t="str">
        <f t="shared" si="40"/>
        <v>Outdoor Lighting</v>
      </c>
      <c r="N254" s="458">
        <f t="shared" si="41"/>
        <v>0</v>
      </c>
      <c r="O254" s="458">
        <f t="shared" si="42"/>
        <v>0</v>
      </c>
    </row>
    <row r="255" spans="3:15" ht="16.5" thickTop="1" thickBot="1">
      <c r="C255"/>
      <c r="D255"/>
      <c r="E255"/>
      <c r="F255"/>
      <c r="G255"/>
      <c r="H255" s="353"/>
      <c r="I255" s="353"/>
      <c r="K255" s="457" t="str">
        <f t="shared" si="38"/>
        <v>Bldg Façade, Landscape, Service Canopies, and Stadium/Athletic Field Lighting</v>
      </c>
      <c r="L255" s="457" t="str">
        <f t="shared" si="39"/>
        <v>HPS/MV</v>
      </c>
      <c r="M255" s="457" t="str">
        <f t="shared" si="40"/>
        <v>Outdoor Lighting</v>
      </c>
      <c r="N255" s="458">
        <f t="shared" si="41"/>
        <v>0</v>
      </c>
      <c r="O255" s="458">
        <f t="shared" si="42"/>
        <v>0</v>
      </c>
    </row>
    <row r="256" spans="3:15" ht="16.5" thickTop="1" thickBot="1">
      <c r="C256"/>
      <c r="D256"/>
      <c r="E256"/>
      <c r="F256"/>
      <c r="G256"/>
      <c r="H256" s="353"/>
      <c r="I256" s="353"/>
      <c r="K256" s="457" t="str">
        <f t="shared" si="38"/>
        <v>Bldg Façade, Landscape, Service Canopies, and Stadium/Athletic Field Lighting</v>
      </c>
      <c r="L256" s="457" t="str">
        <f t="shared" si="39"/>
        <v>HPS/MV</v>
      </c>
      <c r="M256" s="457" t="str">
        <f t="shared" si="40"/>
        <v>Outdoor Lighting</v>
      </c>
      <c r="N256" s="458">
        <f t="shared" si="41"/>
        <v>0</v>
      </c>
      <c r="O256" s="458">
        <f t="shared" si="42"/>
        <v>0</v>
      </c>
    </row>
    <row r="257" spans="3:15" ht="16.5" thickTop="1" thickBot="1">
      <c r="C257"/>
      <c r="D257"/>
      <c r="E257"/>
      <c r="F257"/>
      <c r="G257"/>
      <c r="H257" s="353"/>
      <c r="I257" s="353"/>
      <c r="K257" s="457" t="str">
        <f t="shared" si="38"/>
        <v>Bldg Façade, Landscape, Service Canopies, and Stadium/Athletic Field Lighting</v>
      </c>
      <c r="L257" s="457" t="str">
        <f t="shared" si="39"/>
        <v>HPS/MV</v>
      </c>
      <c r="M257" s="457" t="str">
        <f t="shared" si="40"/>
        <v>Outdoor Lighting</v>
      </c>
      <c r="N257" s="458">
        <f t="shared" si="41"/>
        <v>0</v>
      </c>
      <c r="O257" s="458">
        <f t="shared" si="42"/>
        <v>0</v>
      </c>
    </row>
    <row r="258" spans="3:15" ht="16.5" thickTop="1" thickBot="1">
      <c r="C258"/>
      <c r="D258"/>
      <c r="E258"/>
      <c r="F258"/>
      <c r="G258"/>
      <c r="H258" s="353"/>
      <c r="I258" s="353"/>
      <c r="K258" s="457" t="str">
        <f t="shared" si="38"/>
        <v>Bldg Façade, Landscape, Service Canopies, and Stadium/Athletic Field Lighting</v>
      </c>
      <c r="L258" s="457" t="str">
        <f t="shared" si="39"/>
        <v>HPS/MV</v>
      </c>
      <c r="M258" s="457" t="str">
        <f t="shared" si="40"/>
        <v>Outdoor Lighting</v>
      </c>
      <c r="N258" s="458">
        <f t="shared" si="41"/>
        <v>0</v>
      </c>
      <c r="O258" s="458">
        <f t="shared" si="42"/>
        <v>0</v>
      </c>
    </row>
    <row r="259" spans="3:15" ht="16.5" thickTop="1" thickBot="1">
      <c r="C259"/>
      <c r="D259"/>
      <c r="E259"/>
      <c r="F259"/>
      <c r="G259"/>
      <c r="H259" s="353"/>
      <c r="I259" s="353"/>
      <c r="K259" s="457" t="str">
        <f t="shared" si="38"/>
        <v>Bldg Façade, Landscape, Service Canopies, and Stadium/Athletic Field Lighting</v>
      </c>
      <c r="L259" s="457" t="str">
        <f t="shared" si="39"/>
        <v>HPS/MV</v>
      </c>
      <c r="M259" s="457" t="str">
        <f t="shared" si="40"/>
        <v>Outdoor Lighting</v>
      </c>
      <c r="N259" s="458">
        <f t="shared" si="41"/>
        <v>0</v>
      </c>
      <c r="O259" s="458">
        <f t="shared" si="42"/>
        <v>0</v>
      </c>
    </row>
    <row r="260" spans="3:15" ht="16.5" thickTop="1" thickBot="1">
      <c r="C260"/>
      <c r="D260"/>
      <c r="E260"/>
      <c r="F260"/>
      <c r="G260"/>
      <c r="H260" s="353"/>
      <c r="I260" s="353"/>
      <c r="K260" s="457" t="str">
        <f t="shared" si="38"/>
        <v>Bldg Façade, Landscape, Service Canopies, and Stadium/Athletic Field Lighting</v>
      </c>
      <c r="L260" s="457" t="str">
        <f t="shared" si="39"/>
        <v>HPS/MV</v>
      </c>
      <c r="M260" s="457" t="str">
        <f t="shared" si="40"/>
        <v>Outdoor Lighting</v>
      </c>
      <c r="N260" s="458">
        <f t="shared" si="41"/>
        <v>0</v>
      </c>
      <c r="O260" s="458">
        <f t="shared" si="42"/>
        <v>0</v>
      </c>
    </row>
    <row r="261" spans="3:15" ht="16.5" thickTop="1" thickBot="1">
      <c r="C261"/>
      <c r="D261"/>
      <c r="E261"/>
      <c r="F261"/>
      <c r="G261"/>
      <c r="H261" s="353"/>
      <c r="I261" s="353"/>
      <c r="K261" s="457" t="str">
        <f t="shared" si="38"/>
        <v>Bldg Façade, Landscape, Service Canopies, and Stadium/Athletic Field Lighting</v>
      </c>
      <c r="L261" s="457" t="str">
        <f t="shared" si="39"/>
        <v>HPS/MV</v>
      </c>
      <c r="M261" s="457" t="str">
        <f t="shared" si="40"/>
        <v>Outdoor Lighting</v>
      </c>
      <c r="N261" s="458">
        <f t="shared" si="41"/>
        <v>0</v>
      </c>
      <c r="O261" s="458">
        <f t="shared" si="42"/>
        <v>0</v>
      </c>
    </row>
    <row r="262" spans="3:15" ht="16.5" thickTop="1" thickBot="1">
      <c r="C262"/>
      <c r="D262"/>
      <c r="E262"/>
      <c r="F262"/>
      <c r="G262"/>
      <c r="H262" s="353"/>
      <c r="I262" s="353"/>
      <c r="K262" s="457" t="str">
        <f t="shared" si="38"/>
        <v>Bldg Façade, Landscape, Service Canopies, and Stadium/Athletic Field Lighting</v>
      </c>
      <c r="L262" s="457" t="str">
        <f t="shared" si="39"/>
        <v>HPS/MV</v>
      </c>
      <c r="M262" s="457" t="str">
        <f t="shared" si="40"/>
        <v>Outdoor Lighting</v>
      </c>
      <c r="N262" s="458">
        <f t="shared" si="41"/>
        <v>0</v>
      </c>
      <c r="O262" s="458">
        <f t="shared" si="42"/>
        <v>0</v>
      </c>
    </row>
    <row r="263" spans="3:15" ht="16.5" thickTop="1" thickBot="1">
      <c r="C263"/>
      <c r="D263"/>
      <c r="E263"/>
      <c r="F263"/>
      <c r="G263"/>
      <c r="H263" s="353"/>
      <c r="I263" s="353"/>
      <c r="K263" s="457" t="str">
        <f t="shared" si="38"/>
        <v>Bldg Façade, Landscape, Service Canopies, and Stadium/Athletic Field Lighting</v>
      </c>
      <c r="L263" s="457" t="str">
        <f t="shared" si="39"/>
        <v>HPS/MV</v>
      </c>
      <c r="M263" s="457" t="str">
        <f t="shared" si="40"/>
        <v>Outdoor Lighting</v>
      </c>
      <c r="N263" s="458">
        <f t="shared" si="41"/>
        <v>0</v>
      </c>
      <c r="O263" s="458">
        <f t="shared" si="42"/>
        <v>0</v>
      </c>
    </row>
    <row r="264" spans="3:15" ht="16.5" thickTop="1" thickBot="1">
      <c r="C264"/>
      <c r="D264"/>
      <c r="E264"/>
      <c r="F264"/>
      <c r="G264"/>
      <c r="H264" s="353"/>
      <c r="I264" s="353"/>
      <c r="K264" s="457" t="str">
        <f t="shared" si="38"/>
        <v>Bldg Façade, Landscape, Service Canopies, and Stadium/Athletic Field Lighting</v>
      </c>
      <c r="L264" s="457" t="str">
        <f t="shared" si="39"/>
        <v>HPS/MV</v>
      </c>
      <c r="M264" s="457" t="str">
        <f t="shared" si="40"/>
        <v>Outdoor Lighting</v>
      </c>
      <c r="N264" s="458">
        <f t="shared" si="41"/>
        <v>0</v>
      </c>
      <c r="O264" s="458">
        <f t="shared" si="42"/>
        <v>0</v>
      </c>
    </row>
    <row r="265" spans="3:15" ht="16.5" thickTop="1" thickBot="1">
      <c r="C265"/>
      <c r="D265"/>
      <c r="E265"/>
      <c r="F265"/>
      <c r="G265"/>
      <c r="H265" s="353"/>
      <c r="I265" s="353"/>
      <c r="K265" s="457" t="str">
        <f t="shared" ref="K265:K296" si="43">IF(C265=0,K264,C265)</f>
        <v>Bldg Façade, Landscape, Service Canopies, and Stadium/Athletic Field Lighting</v>
      </c>
      <c r="L265" s="457" t="str">
        <f t="shared" ref="L265:L296" si="44">IF(D265=0,L264,D265)</f>
        <v>HPS/MV</v>
      </c>
      <c r="M265" s="457" t="str">
        <f t="shared" ref="M265:M296" si="45">IF(E265=0,M264,E265)</f>
        <v>Outdoor Lighting</v>
      </c>
      <c r="N265" s="458">
        <f t="shared" ref="N265:N296" si="46">F265</f>
        <v>0</v>
      </c>
      <c r="O265" s="458">
        <f t="shared" ref="O265:O296" si="47">G265</f>
        <v>0</v>
      </c>
    </row>
    <row r="266" spans="3:15" ht="16.5" thickTop="1" thickBot="1">
      <c r="C266"/>
      <c r="D266"/>
      <c r="E266"/>
      <c r="F266"/>
      <c r="G266"/>
      <c r="H266" s="353"/>
      <c r="I266" s="353"/>
      <c r="K266" s="457" t="str">
        <f t="shared" si="43"/>
        <v>Bldg Façade, Landscape, Service Canopies, and Stadium/Athletic Field Lighting</v>
      </c>
      <c r="L266" s="457" t="str">
        <f t="shared" si="44"/>
        <v>HPS/MV</v>
      </c>
      <c r="M266" s="457" t="str">
        <f t="shared" si="45"/>
        <v>Outdoor Lighting</v>
      </c>
      <c r="N266" s="458">
        <f t="shared" si="46"/>
        <v>0</v>
      </c>
      <c r="O266" s="458">
        <f t="shared" si="47"/>
        <v>0</v>
      </c>
    </row>
    <row r="267" spans="3:15" ht="16.5" thickTop="1" thickBot="1">
      <c r="C267"/>
      <c r="D267"/>
      <c r="E267"/>
      <c r="F267"/>
      <c r="G267"/>
      <c r="H267" s="353"/>
      <c r="I267" s="353"/>
      <c r="K267" s="457" t="str">
        <f t="shared" si="43"/>
        <v>Bldg Façade, Landscape, Service Canopies, and Stadium/Athletic Field Lighting</v>
      </c>
      <c r="L267" s="457" t="str">
        <f t="shared" si="44"/>
        <v>HPS/MV</v>
      </c>
      <c r="M267" s="457" t="str">
        <f t="shared" si="45"/>
        <v>Outdoor Lighting</v>
      </c>
      <c r="N267" s="458">
        <f t="shared" si="46"/>
        <v>0</v>
      </c>
      <c r="O267" s="458">
        <f t="shared" si="47"/>
        <v>0</v>
      </c>
    </row>
    <row r="268" spans="3:15" ht="16.5" thickTop="1" thickBot="1">
      <c r="C268"/>
      <c r="D268"/>
      <c r="E268"/>
      <c r="F268"/>
      <c r="G268"/>
      <c r="H268" s="353"/>
      <c r="I268" s="353"/>
      <c r="K268" s="457" t="str">
        <f t="shared" si="43"/>
        <v>Bldg Façade, Landscape, Service Canopies, and Stadium/Athletic Field Lighting</v>
      </c>
      <c r="L268" s="457" t="str">
        <f t="shared" si="44"/>
        <v>HPS/MV</v>
      </c>
      <c r="M268" s="457" t="str">
        <f t="shared" si="45"/>
        <v>Outdoor Lighting</v>
      </c>
      <c r="N268" s="458">
        <f t="shared" si="46"/>
        <v>0</v>
      </c>
      <c r="O268" s="458">
        <f t="shared" si="47"/>
        <v>0</v>
      </c>
    </row>
    <row r="269" spans="3:15" ht="16.5" thickTop="1" thickBot="1">
      <c r="C269"/>
      <c r="D269"/>
      <c r="E269"/>
      <c r="F269"/>
      <c r="G269"/>
      <c r="H269" s="353"/>
      <c r="I269" s="353"/>
      <c r="K269" s="457" t="str">
        <f t="shared" si="43"/>
        <v>Bldg Façade, Landscape, Service Canopies, and Stadium/Athletic Field Lighting</v>
      </c>
      <c r="L269" s="457" t="str">
        <f t="shared" si="44"/>
        <v>HPS/MV</v>
      </c>
      <c r="M269" s="457" t="str">
        <f t="shared" si="45"/>
        <v>Outdoor Lighting</v>
      </c>
      <c r="N269" s="458">
        <f t="shared" si="46"/>
        <v>0</v>
      </c>
      <c r="O269" s="458">
        <f t="shared" si="47"/>
        <v>0</v>
      </c>
    </row>
    <row r="270" spans="3:15" ht="16.5" thickTop="1" thickBot="1">
      <c r="C270"/>
      <c r="D270"/>
      <c r="E270"/>
      <c r="F270"/>
      <c r="G270"/>
      <c r="H270" s="353"/>
      <c r="I270" s="353"/>
      <c r="K270" s="457" t="str">
        <f t="shared" si="43"/>
        <v>Bldg Façade, Landscape, Service Canopies, and Stadium/Athletic Field Lighting</v>
      </c>
      <c r="L270" s="457" t="str">
        <f t="shared" si="44"/>
        <v>HPS/MV</v>
      </c>
      <c r="M270" s="457" t="str">
        <f t="shared" si="45"/>
        <v>Outdoor Lighting</v>
      </c>
      <c r="N270" s="458">
        <f t="shared" si="46"/>
        <v>0</v>
      </c>
      <c r="O270" s="458">
        <f t="shared" si="47"/>
        <v>0</v>
      </c>
    </row>
    <row r="271" spans="3:15" ht="16.5" thickTop="1" thickBot="1">
      <c r="C271"/>
      <c r="D271"/>
      <c r="E271"/>
      <c r="F271"/>
      <c r="G271"/>
      <c r="H271" s="353"/>
      <c r="I271" s="353"/>
      <c r="K271" s="457" t="str">
        <f t="shared" si="43"/>
        <v>Bldg Façade, Landscape, Service Canopies, and Stadium/Athletic Field Lighting</v>
      </c>
      <c r="L271" s="457" t="str">
        <f t="shared" si="44"/>
        <v>HPS/MV</v>
      </c>
      <c r="M271" s="457" t="str">
        <f t="shared" si="45"/>
        <v>Outdoor Lighting</v>
      </c>
      <c r="N271" s="458">
        <f t="shared" si="46"/>
        <v>0</v>
      </c>
      <c r="O271" s="458">
        <f t="shared" si="47"/>
        <v>0</v>
      </c>
    </row>
    <row r="272" spans="3:15" ht="16.5" thickTop="1" thickBot="1">
      <c r="C272"/>
      <c r="D272"/>
      <c r="E272"/>
      <c r="F272"/>
      <c r="G272"/>
      <c r="H272" s="353"/>
      <c r="I272" s="353"/>
      <c r="K272" s="457" t="str">
        <f t="shared" si="43"/>
        <v>Bldg Façade, Landscape, Service Canopies, and Stadium/Athletic Field Lighting</v>
      </c>
      <c r="L272" s="457" t="str">
        <f t="shared" si="44"/>
        <v>HPS/MV</v>
      </c>
      <c r="M272" s="457" t="str">
        <f t="shared" si="45"/>
        <v>Outdoor Lighting</v>
      </c>
      <c r="N272" s="458">
        <f t="shared" si="46"/>
        <v>0</v>
      </c>
      <c r="O272" s="458">
        <f t="shared" si="47"/>
        <v>0</v>
      </c>
    </row>
    <row r="273" spans="3:15" ht="16.5" thickTop="1" thickBot="1">
      <c r="C273"/>
      <c r="D273"/>
      <c r="E273"/>
      <c r="F273"/>
      <c r="G273"/>
      <c r="H273" s="353"/>
      <c r="I273" s="353"/>
      <c r="K273" s="457" t="str">
        <f t="shared" si="43"/>
        <v>Bldg Façade, Landscape, Service Canopies, and Stadium/Athletic Field Lighting</v>
      </c>
      <c r="L273" s="457" t="str">
        <f t="shared" si="44"/>
        <v>HPS/MV</v>
      </c>
      <c r="M273" s="457" t="str">
        <f t="shared" si="45"/>
        <v>Outdoor Lighting</v>
      </c>
      <c r="N273" s="458">
        <f t="shared" si="46"/>
        <v>0</v>
      </c>
      <c r="O273" s="458">
        <f t="shared" si="47"/>
        <v>0</v>
      </c>
    </row>
    <row r="274" spans="3:15" ht="16.5" thickTop="1" thickBot="1">
      <c r="C274"/>
      <c r="D274"/>
      <c r="E274"/>
      <c r="F274"/>
      <c r="G274"/>
      <c r="H274" s="353"/>
      <c r="I274" s="353"/>
      <c r="K274" s="457" t="str">
        <f t="shared" si="43"/>
        <v>Bldg Façade, Landscape, Service Canopies, and Stadium/Athletic Field Lighting</v>
      </c>
      <c r="L274" s="457" t="str">
        <f t="shared" si="44"/>
        <v>HPS/MV</v>
      </c>
      <c r="M274" s="457" t="str">
        <f t="shared" si="45"/>
        <v>Outdoor Lighting</v>
      </c>
      <c r="N274" s="458">
        <f t="shared" si="46"/>
        <v>0</v>
      </c>
      <c r="O274" s="458">
        <f t="shared" si="47"/>
        <v>0</v>
      </c>
    </row>
    <row r="275" spans="3:15" ht="16.5" thickTop="1" thickBot="1">
      <c r="C275"/>
      <c r="D275"/>
      <c r="E275"/>
      <c r="F275"/>
      <c r="G275"/>
      <c r="H275" s="353"/>
      <c r="I275" s="353"/>
      <c r="K275" s="457" t="str">
        <f t="shared" si="43"/>
        <v>Bldg Façade, Landscape, Service Canopies, and Stadium/Athletic Field Lighting</v>
      </c>
      <c r="L275" s="457" t="str">
        <f t="shared" si="44"/>
        <v>HPS/MV</v>
      </c>
      <c r="M275" s="457" t="str">
        <f t="shared" si="45"/>
        <v>Outdoor Lighting</v>
      </c>
      <c r="N275" s="458">
        <f t="shared" si="46"/>
        <v>0</v>
      </c>
      <c r="O275" s="458">
        <f t="shared" si="47"/>
        <v>0</v>
      </c>
    </row>
    <row r="276" spans="3:15" ht="16.5" thickTop="1" thickBot="1">
      <c r="C276"/>
      <c r="D276"/>
      <c r="E276"/>
      <c r="F276"/>
      <c r="G276"/>
      <c r="H276" s="353"/>
      <c r="I276" s="353"/>
      <c r="K276" s="457" t="str">
        <f t="shared" si="43"/>
        <v>Bldg Façade, Landscape, Service Canopies, and Stadium/Athletic Field Lighting</v>
      </c>
      <c r="L276" s="457" t="str">
        <f t="shared" si="44"/>
        <v>HPS/MV</v>
      </c>
      <c r="M276" s="457" t="str">
        <f t="shared" si="45"/>
        <v>Outdoor Lighting</v>
      </c>
      <c r="N276" s="458">
        <f t="shared" si="46"/>
        <v>0</v>
      </c>
      <c r="O276" s="458">
        <f t="shared" si="47"/>
        <v>0</v>
      </c>
    </row>
    <row r="277" spans="3:15" ht="16.5" thickTop="1" thickBot="1">
      <c r="C277"/>
      <c r="D277"/>
      <c r="E277"/>
      <c r="F277"/>
      <c r="G277"/>
      <c r="H277" s="353"/>
      <c r="I277" s="353"/>
      <c r="K277" s="457" t="str">
        <f t="shared" si="43"/>
        <v>Bldg Façade, Landscape, Service Canopies, and Stadium/Athletic Field Lighting</v>
      </c>
      <c r="L277" s="457" t="str">
        <f t="shared" si="44"/>
        <v>HPS/MV</v>
      </c>
      <c r="M277" s="457" t="str">
        <f t="shared" si="45"/>
        <v>Outdoor Lighting</v>
      </c>
      <c r="N277" s="458">
        <f t="shared" si="46"/>
        <v>0</v>
      </c>
      <c r="O277" s="458">
        <f t="shared" si="47"/>
        <v>0</v>
      </c>
    </row>
    <row r="278" spans="3:15" ht="16.5" thickTop="1" thickBot="1">
      <c r="C278"/>
      <c r="D278"/>
      <c r="E278"/>
      <c r="F278"/>
      <c r="G278"/>
      <c r="H278" s="353"/>
      <c r="I278" s="353"/>
      <c r="K278" s="457" t="str">
        <f t="shared" si="43"/>
        <v>Bldg Façade, Landscape, Service Canopies, and Stadium/Athletic Field Lighting</v>
      </c>
      <c r="L278" s="457" t="str">
        <f t="shared" si="44"/>
        <v>HPS/MV</v>
      </c>
      <c r="M278" s="457" t="str">
        <f t="shared" si="45"/>
        <v>Outdoor Lighting</v>
      </c>
      <c r="N278" s="458">
        <f t="shared" si="46"/>
        <v>0</v>
      </c>
      <c r="O278" s="458">
        <f t="shared" si="47"/>
        <v>0</v>
      </c>
    </row>
    <row r="279" spans="3:15" ht="16.5" thickTop="1" thickBot="1">
      <c r="C279"/>
      <c r="D279"/>
      <c r="E279"/>
      <c r="F279"/>
      <c r="G279"/>
      <c r="H279" s="353"/>
      <c r="I279" s="353"/>
      <c r="K279" s="457" t="str">
        <f t="shared" si="43"/>
        <v>Bldg Façade, Landscape, Service Canopies, and Stadium/Athletic Field Lighting</v>
      </c>
      <c r="L279" s="457" t="str">
        <f t="shared" si="44"/>
        <v>HPS/MV</v>
      </c>
      <c r="M279" s="457" t="str">
        <f t="shared" si="45"/>
        <v>Outdoor Lighting</v>
      </c>
      <c r="N279" s="458">
        <f t="shared" si="46"/>
        <v>0</v>
      </c>
      <c r="O279" s="458">
        <f t="shared" si="47"/>
        <v>0</v>
      </c>
    </row>
    <row r="280" spans="3:15" ht="16.5" thickTop="1" thickBot="1">
      <c r="C280"/>
      <c r="D280"/>
      <c r="E280"/>
      <c r="F280"/>
      <c r="G280"/>
      <c r="H280" s="353"/>
      <c r="I280" s="353"/>
      <c r="K280" s="457" t="str">
        <f t="shared" si="43"/>
        <v>Bldg Façade, Landscape, Service Canopies, and Stadium/Athletic Field Lighting</v>
      </c>
      <c r="L280" s="457" t="str">
        <f t="shared" si="44"/>
        <v>HPS/MV</v>
      </c>
      <c r="M280" s="457" t="str">
        <f t="shared" si="45"/>
        <v>Outdoor Lighting</v>
      </c>
      <c r="N280" s="458">
        <f t="shared" si="46"/>
        <v>0</v>
      </c>
      <c r="O280" s="458">
        <f t="shared" si="47"/>
        <v>0</v>
      </c>
    </row>
    <row r="281" spans="3:15" ht="16.5" thickTop="1" thickBot="1">
      <c r="C281"/>
      <c r="D281"/>
      <c r="E281"/>
      <c r="F281"/>
      <c r="G281"/>
      <c r="H281" s="353"/>
      <c r="I281" s="353"/>
      <c r="K281" s="457" t="str">
        <f t="shared" si="43"/>
        <v>Bldg Façade, Landscape, Service Canopies, and Stadium/Athletic Field Lighting</v>
      </c>
      <c r="L281" s="457" t="str">
        <f t="shared" si="44"/>
        <v>HPS/MV</v>
      </c>
      <c r="M281" s="457" t="str">
        <f t="shared" si="45"/>
        <v>Outdoor Lighting</v>
      </c>
      <c r="N281" s="458">
        <f t="shared" si="46"/>
        <v>0</v>
      </c>
      <c r="O281" s="458">
        <f t="shared" si="47"/>
        <v>0</v>
      </c>
    </row>
    <row r="282" spans="3:15" ht="16.5" thickTop="1" thickBot="1">
      <c r="H282" s="353"/>
      <c r="I282" s="353"/>
      <c r="K282" s="457" t="str">
        <f t="shared" si="43"/>
        <v>Bldg Façade, Landscape, Service Canopies, and Stadium/Athletic Field Lighting</v>
      </c>
      <c r="L282" s="457" t="str">
        <f t="shared" si="44"/>
        <v>HPS/MV</v>
      </c>
      <c r="M282" s="457" t="str">
        <f t="shared" si="45"/>
        <v>Outdoor Lighting</v>
      </c>
      <c r="N282" s="458">
        <f t="shared" si="46"/>
        <v>0</v>
      </c>
      <c r="O282" s="458">
        <f t="shared" si="47"/>
        <v>0</v>
      </c>
    </row>
    <row r="283" spans="3:15" ht="16.5" thickTop="1" thickBot="1">
      <c r="K283" s="457" t="str">
        <f t="shared" si="43"/>
        <v>Bldg Façade, Landscape, Service Canopies, and Stadium/Athletic Field Lighting</v>
      </c>
      <c r="L283" s="457" t="str">
        <f t="shared" si="44"/>
        <v>HPS/MV</v>
      </c>
      <c r="M283" s="457" t="str">
        <f t="shared" si="45"/>
        <v>Outdoor Lighting</v>
      </c>
      <c r="N283" s="458">
        <f t="shared" si="46"/>
        <v>0</v>
      </c>
      <c r="O283" s="458">
        <f t="shared" si="47"/>
        <v>0</v>
      </c>
    </row>
    <row r="284" spans="3:15" ht="16.5" thickTop="1" thickBot="1">
      <c r="K284" s="457" t="str">
        <f t="shared" si="43"/>
        <v>Bldg Façade, Landscape, Service Canopies, and Stadium/Athletic Field Lighting</v>
      </c>
      <c r="L284" s="457" t="str">
        <f t="shared" si="44"/>
        <v>HPS/MV</v>
      </c>
      <c r="M284" s="457" t="str">
        <f t="shared" si="45"/>
        <v>Outdoor Lighting</v>
      </c>
      <c r="N284" s="458">
        <f t="shared" si="46"/>
        <v>0</v>
      </c>
      <c r="O284" s="458">
        <f t="shared" si="47"/>
        <v>0</v>
      </c>
    </row>
    <row r="285" spans="3:15" ht="16.5" thickTop="1" thickBot="1">
      <c r="K285" s="457" t="str">
        <f t="shared" si="43"/>
        <v>Bldg Façade, Landscape, Service Canopies, and Stadium/Athletic Field Lighting</v>
      </c>
      <c r="L285" s="457" t="str">
        <f t="shared" si="44"/>
        <v>HPS/MV</v>
      </c>
      <c r="M285" s="457" t="str">
        <f t="shared" si="45"/>
        <v>Outdoor Lighting</v>
      </c>
      <c r="N285" s="458">
        <f t="shared" si="46"/>
        <v>0</v>
      </c>
      <c r="O285" s="458">
        <f t="shared" si="47"/>
        <v>0</v>
      </c>
    </row>
    <row r="286" spans="3:15" ht="16.5" thickTop="1" thickBot="1">
      <c r="K286" s="457" t="str">
        <f t="shared" si="43"/>
        <v>Bldg Façade, Landscape, Service Canopies, and Stadium/Athletic Field Lighting</v>
      </c>
      <c r="L286" s="457" t="str">
        <f t="shared" si="44"/>
        <v>HPS/MV</v>
      </c>
      <c r="M286" s="457" t="str">
        <f t="shared" si="45"/>
        <v>Outdoor Lighting</v>
      </c>
      <c r="N286" s="458">
        <f t="shared" si="46"/>
        <v>0</v>
      </c>
      <c r="O286" s="458">
        <f t="shared" si="47"/>
        <v>0</v>
      </c>
    </row>
    <row r="287" spans="3:15" ht="16.5" thickTop="1" thickBot="1">
      <c r="K287" s="457" t="str">
        <f t="shared" si="43"/>
        <v>Bldg Façade, Landscape, Service Canopies, and Stadium/Athletic Field Lighting</v>
      </c>
      <c r="L287" s="457" t="str">
        <f t="shared" si="44"/>
        <v>HPS/MV</v>
      </c>
      <c r="M287" s="457" t="str">
        <f t="shared" si="45"/>
        <v>Outdoor Lighting</v>
      </c>
      <c r="N287" s="458">
        <f t="shared" si="46"/>
        <v>0</v>
      </c>
      <c r="O287" s="458">
        <f t="shared" si="47"/>
        <v>0</v>
      </c>
    </row>
    <row r="288" spans="3:15" ht="16.5" thickTop="1" thickBot="1">
      <c r="K288" s="457" t="str">
        <f t="shared" si="43"/>
        <v>Bldg Façade, Landscape, Service Canopies, and Stadium/Athletic Field Lighting</v>
      </c>
      <c r="L288" s="457" t="str">
        <f t="shared" si="44"/>
        <v>HPS/MV</v>
      </c>
      <c r="M288" s="457" t="str">
        <f t="shared" si="45"/>
        <v>Outdoor Lighting</v>
      </c>
      <c r="N288" s="458">
        <f t="shared" si="46"/>
        <v>0</v>
      </c>
      <c r="O288" s="458">
        <f t="shared" si="47"/>
        <v>0</v>
      </c>
    </row>
    <row r="289" spans="11:15" ht="16.5" thickTop="1" thickBot="1">
      <c r="K289" s="457" t="str">
        <f t="shared" si="43"/>
        <v>Bldg Façade, Landscape, Service Canopies, and Stadium/Athletic Field Lighting</v>
      </c>
      <c r="L289" s="457" t="str">
        <f t="shared" si="44"/>
        <v>HPS/MV</v>
      </c>
      <c r="M289" s="457" t="str">
        <f t="shared" si="45"/>
        <v>Outdoor Lighting</v>
      </c>
      <c r="N289" s="458">
        <f t="shared" si="46"/>
        <v>0</v>
      </c>
      <c r="O289" s="458">
        <f t="shared" si="47"/>
        <v>0</v>
      </c>
    </row>
    <row r="290" spans="11:15" ht="16.5" thickTop="1" thickBot="1">
      <c r="K290" s="457" t="str">
        <f t="shared" si="43"/>
        <v>Bldg Façade, Landscape, Service Canopies, and Stadium/Athletic Field Lighting</v>
      </c>
      <c r="L290" s="457" t="str">
        <f t="shared" si="44"/>
        <v>HPS/MV</v>
      </c>
      <c r="M290" s="457" t="str">
        <f t="shared" si="45"/>
        <v>Outdoor Lighting</v>
      </c>
      <c r="N290" s="458">
        <f t="shared" si="46"/>
        <v>0</v>
      </c>
      <c r="O290" s="458">
        <f t="shared" si="47"/>
        <v>0</v>
      </c>
    </row>
    <row r="291" spans="11:15" ht="16.5" thickTop="1" thickBot="1">
      <c r="K291" s="457" t="str">
        <f t="shared" si="43"/>
        <v>Bldg Façade, Landscape, Service Canopies, and Stadium/Athletic Field Lighting</v>
      </c>
      <c r="L291" s="457" t="str">
        <f t="shared" si="44"/>
        <v>HPS/MV</v>
      </c>
      <c r="M291" s="457" t="str">
        <f t="shared" si="45"/>
        <v>Outdoor Lighting</v>
      </c>
      <c r="N291" s="458">
        <f t="shared" si="46"/>
        <v>0</v>
      </c>
      <c r="O291" s="458">
        <f t="shared" si="47"/>
        <v>0</v>
      </c>
    </row>
    <row r="292" spans="11:15" ht="16.5" thickTop="1" thickBot="1">
      <c r="K292" s="457" t="str">
        <f t="shared" si="43"/>
        <v>Bldg Façade, Landscape, Service Canopies, and Stadium/Athletic Field Lighting</v>
      </c>
      <c r="L292" s="457" t="str">
        <f t="shared" si="44"/>
        <v>HPS/MV</v>
      </c>
      <c r="M292" s="457" t="str">
        <f t="shared" si="45"/>
        <v>Outdoor Lighting</v>
      </c>
      <c r="N292" s="458">
        <f t="shared" si="46"/>
        <v>0</v>
      </c>
      <c r="O292" s="458">
        <f t="shared" si="47"/>
        <v>0</v>
      </c>
    </row>
    <row r="293" spans="11:15" ht="16.5" thickTop="1" thickBot="1">
      <c r="K293" s="457" t="str">
        <f t="shared" si="43"/>
        <v>Bldg Façade, Landscape, Service Canopies, and Stadium/Athletic Field Lighting</v>
      </c>
      <c r="L293" s="457" t="str">
        <f t="shared" si="44"/>
        <v>HPS/MV</v>
      </c>
      <c r="M293" s="457" t="str">
        <f t="shared" si="45"/>
        <v>Outdoor Lighting</v>
      </c>
      <c r="N293" s="458">
        <f t="shared" si="46"/>
        <v>0</v>
      </c>
      <c r="O293" s="458">
        <f t="shared" si="47"/>
        <v>0</v>
      </c>
    </row>
    <row r="294" spans="11:15" ht="16.5" thickTop="1" thickBot="1">
      <c r="K294" s="457" t="str">
        <f t="shared" si="43"/>
        <v>Bldg Façade, Landscape, Service Canopies, and Stadium/Athletic Field Lighting</v>
      </c>
      <c r="L294" s="457" t="str">
        <f t="shared" si="44"/>
        <v>HPS/MV</v>
      </c>
      <c r="M294" s="457" t="str">
        <f t="shared" si="45"/>
        <v>Outdoor Lighting</v>
      </c>
      <c r="N294" s="458">
        <f t="shared" si="46"/>
        <v>0</v>
      </c>
      <c r="O294" s="458">
        <f t="shared" si="47"/>
        <v>0</v>
      </c>
    </row>
    <row r="295" spans="11:15" ht="16.5" thickTop="1" thickBot="1">
      <c r="K295" s="457" t="str">
        <f t="shared" si="43"/>
        <v>Bldg Façade, Landscape, Service Canopies, and Stadium/Athletic Field Lighting</v>
      </c>
      <c r="L295" s="457" t="str">
        <f t="shared" si="44"/>
        <v>HPS/MV</v>
      </c>
      <c r="M295" s="457" t="str">
        <f t="shared" si="45"/>
        <v>Outdoor Lighting</v>
      </c>
      <c r="N295" s="458">
        <f t="shared" si="46"/>
        <v>0</v>
      </c>
      <c r="O295" s="458">
        <f t="shared" si="47"/>
        <v>0</v>
      </c>
    </row>
    <row r="296" spans="11:15" ht="16.5" thickTop="1" thickBot="1">
      <c r="K296" s="457" t="str">
        <f t="shared" si="43"/>
        <v>Bldg Façade, Landscape, Service Canopies, and Stadium/Athletic Field Lighting</v>
      </c>
      <c r="L296" s="457" t="str">
        <f t="shared" si="44"/>
        <v>HPS/MV</v>
      </c>
      <c r="M296" s="457" t="str">
        <f t="shared" si="45"/>
        <v>Outdoor Lighting</v>
      </c>
      <c r="N296" s="458">
        <f t="shared" si="46"/>
        <v>0</v>
      </c>
      <c r="O296" s="458">
        <f t="shared" si="47"/>
        <v>0</v>
      </c>
    </row>
    <row r="297" spans="11:15" ht="16.5" thickTop="1" thickBot="1">
      <c r="K297" s="457" t="str">
        <f t="shared" ref="K297:K330" si="48">IF(C297=0,K296,C297)</f>
        <v>Bldg Façade, Landscape, Service Canopies, and Stadium/Athletic Field Lighting</v>
      </c>
      <c r="L297" s="457" t="str">
        <f t="shared" ref="L297:L330" si="49">IF(D297=0,L296,D297)</f>
        <v>HPS/MV</v>
      </c>
      <c r="M297" s="457" t="str">
        <f t="shared" ref="M297:M330" si="50">IF(E297=0,M296,E297)</f>
        <v>Outdoor Lighting</v>
      </c>
      <c r="N297" s="458">
        <f t="shared" ref="N297:N310" si="51">F297</f>
        <v>0</v>
      </c>
      <c r="O297" s="458">
        <f t="shared" ref="O297:O310" si="52">G297</f>
        <v>0</v>
      </c>
    </row>
    <row r="298" spans="11:15" ht="16.5" thickTop="1" thickBot="1">
      <c r="K298" s="457" t="str">
        <f t="shared" si="48"/>
        <v>Bldg Façade, Landscape, Service Canopies, and Stadium/Athletic Field Lighting</v>
      </c>
      <c r="L298" s="457" t="str">
        <f t="shared" si="49"/>
        <v>HPS/MV</v>
      </c>
      <c r="M298" s="457" t="str">
        <f t="shared" si="50"/>
        <v>Outdoor Lighting</v>
      </c>
      <c r="N298" s="458">
        <f t="shared" si="51"/>
        <v>0</v>
      </c>
      <c r="O298" s="458">
        <f t="shared" si="52"/>
        <v>0</v>
      </c>
    </row>
    <row r="299" spans="11:15" ht="16.5" thickTop="1" thickBot="1">
      <c r="K299" s="457" t="str">
        <f t="shared" si="48"/>
        <v>Bldg Façade, Landscape, Service Canopies, and Stadium/Athletic Field Lighting</v>
      </c>
      <c r="L299" s="457" t="str">
        <f t="shared" si="49"/>
        <v>HPS/MV</v>
      </c>
      <c r="M299" s="457" t="str">
        <f t="shared" si="50"/>
        <v>Outdoor Lighting</v>
      </c>
      <c r="N299" s="458">
        <f t="shared" si="51"/>
        <v>0</v>
      </c>
      <c r="O299" s="458">
        <f t="shared" si="52"/>
        <v>0</v>
      </c>
    </row>
    <row r="300" spans="11:15" ht="16.5" thickTop="1" thickBot="1">
      <c r="K300" s="457" t="str">
        <f t="shared" si="48"/>
        <v>Bldg Façade, Landscape, Service Canopies, and Stadium/Athletic Field Lighting</v>
      </c>
      <c r="L300" s="457" t="str">
        <f t="shared" si="49"/>
        <v>HPS/MV</v>
      </c>
      <c r="M300" s="457" t="str">
        <f t="shared" si="50"/>
        <v>Outdoor Lighting</v>
      </c>
      <c r="N300" s="458">
        <f t="shared" si="51"/>
        <v>0</v>
      </c>
      <c r="O300" s="458">
        <f t="shared" si="52"/>
        <v>0</v>
      </c>
    </row>
    <row r="301" spans="11:15" ht="16.5" thickTop="1" thickBot="1">
      <c r="K301" s="457" t="str">
        <f t="shared" si="48"/>
        <v>Bldg Façade, Landscape, Service Canopies, and Stadium/Athletic Field Lighting</v>
      </c>
      <c r="L301" s="457" t="str">
        <f t="shared" si="49"/>
        <v>HPS/MV</v>
      </c>
      <c r="M301" s="457" t="str">
        <f t="shared" si="50"/>
        <v>Outdoor Lighting</v>
      </c>
      <c r="N301" s="458">
        <f t="shared" si="51"/>
        <v>0</v>
      </c>
      <c r="O301" s="458">
        <f t="shared" si="52"/>
        <v>0</v>
      </c>
    </row>
    <row r="302" spans="11:15" ht="16.5" thickTop="1" thickBot="1">
      <c r="K302" s="457" t="str">
        <f t="shared" si="48"/>
        <v>Bldg Façade, Landscape, Service Canopies, and Stadium/Athletic Field Lighting</v>
      </c>
      <c r="L302" s="457" t="str">
        <f t="shared" si="49"/>
        <v>HPS/MV</v>
      </c>
      <c r="M302" s="457" t="str">
        <f t="shared" si="50"/>
        <v>Outdoor Lighting</v>
      </c>
      <c r="N302" s="458">
        <f t="shared" si="51"/>
        <v>0</v>
      </c>
      <c r="O302" s="458">
        <f t="shared" si="52"/>
        <v>0</v>
      </c>
    </row>
    <row r="303" spans="11:15" ht="16.5" thickTop="1" thickBot="1">
      <c r="K303" s="457" t="str">
        <f t="shared" si="48"/>
        <v>Bldg Façade, Landscape, Service Canopies, and Stadium/Athletic Field Lighting</v>
      </c>
      <c r="L303" s="457" t="str">
        <f t="shared" si="49"/>
        <v>HPS/MV</v>
      </c>
      <c r="M303" s="457" t="str">
        <f t="shared" si="50"/>
        <v>Outdoor Lighting</v>
      </c>
      <c r="N303" s="458">
        <f t="shared" si="51"/>
        <v>0</v>
      </c>
      <c r="O303" s="458">
        <f t="shared" si="52"/>
        <v>0</v>
      </c>
    </row>
    <row r="304" spans="11:15" ht="16.5" thickTop="1" thickBot="1">
      <c r="K304" s="457" t="str">
        <f t="shared" si="48"/>
        <v>Bldg Façade, Landscape, Service Canopies, and Stadium/Athletic Field Lighting</v>
      </c>
      <c r="L304" s="457" t="str">
        <f t="shared" si="49"/>
        <v>HPS/MV</v>
      </c>
      <c r="M304" s="457" t="str">
        <f t="shared" si="50"/>
        <v>Outdoor Lighting</v>
      </c>
      <c r="N304" s="458">
        <f t="shared" si="51"/>
        <v>0</v>
      </c>
      <c r="O304" s="458">
        <f t="shared" si="52"/>
        <v>0</v>
      </c>
    </row>
    <row r="305" spans="11:15" ht="16.5" thickTop="1" thickBot="1">
      <c r="K305" s="457" t="str">
        <f t="shared" si="48"/>
        <v>Bldg Façade, Landscape, Service Canopies, and Stadium/Athletic Field Lighting</v>
      </c>
      <c r="L305" s="457" t="str">
        <f t="shared" si="49"/>
        <v>HPS/MV</v>
      </c>
      <c r="M305" s="457" t="str">
        <f t="shared" si="50"/>
        <v>Outdoor Lighting</v>
      </c>
      <c r="N305" s="458">
        <f t="shared" si="51"/>
        <v>0</v>
      </c>
      <c r="O305" s="458">
        <f t="shared" si="52"/>
        <v>0</v>
      </c>
    </row>
    <row r="306" spans="11:15" ht="16.5" thickTop="1" thickBot="1">
      <c r="K306" s="457" t="str">
        <f t="shared" si="48"/>
        <v>Bldg Façade, Landscape, Service Canopies, and Stadium/Athletic Field Lighting</v>
      </c>
      <c r="L306" s="457" t="str">
        <f t="shared" si="49"/>
        <v>HPS/MV</v>
      </c>
      <c r="M306" s="457" t="str">
        <f t="shared" si="50"/>
        <v>Outdoor Lighting</v>
      </c>
      <c r="N306" s="458">
        <f t="shared" si="51"/>
        <v>0</v>
      </c>
      <c r="O306" s="458">
        <f t="shared" si="52"/>
        <v>0</v>
      </c>
    </row>
    <row r="307" spans="11:15" ht="16.5" thickTop="1" thickBot="1">
      <c r="K307" s="457" t="str">
        <f t="shared" si="48"/>
        <v>Bldg Façade, Landscape, Service Canopies, and Stadium/Athletic Field Lighting</v>
      </c>
      <c r="L307" s="457" t="str">
        <f t="shared" si="49"/>
        <v>HPS/MV</v>
      </c>
      <c r="M307" s="457" t="str">
        <f t="shared" si="50"/>
        <v>Outdoor Lighting</v>
      </c>
      <c r="N307" s="458">
        <f t="shared" si="51"/>
        <v>0</v>
      </c>
      <c r="O307" s="458">
        <f t="shared" si="52"/>
        <v>0</v>
      </c>
    </row>
    <row r="308" spans="11:15" ht="16.5" thickTop="1" thickBot="1">
      <c r="K308" s="457" t="str">
        <f t="shared" si="48"/>
        <v>Bldg Façade, Landscape, Service Canopies, and Stadium/Athletic Field Lighting</v>
      </c>
      <c r="L308" s="457" t="str">
        <f t="shared" si="49"/>
        <v>HPS/MV</v>
      </c>
      <c r="M308" s="457" t="str">
        <f t="shared" si="50"/>
        <v>Outdoor Lighting</v>
      </c>
      <c r="N308" s="458">
        <f t="shared" si="51"/>
        <v>0</v>
      </c>
      <c r="O308" s="458">
        <f t="shared" si="52"/>
        <v>0</v>
      </c>
    </row>
    <row r="309" spans="11:15" ht="16.5" thickTop="1" thickBot="1">
      <c r="K309" s="457" t="str">
        <f t="shared" si="48"/>
        <v>Bldg Façade, Landscape, Service Canopies, and Stadium/Athletic Field Lighting</v>
      </c>
      <c r="L309" s="457" t="str">
        <f t="shared" si="49"/>
        <v>HPS/MV</v>
      </c>
      <c r="M309" s="457" t="str">
        <f t="shared" si="50"/>
        <v>Outdoor Lighting</v>
      </c>
      <c r="N309" s="458">
        <f t="shared" si="51"/>
        <v>0</v>
      </c>
      <c r="O309" s="458">
        <f t="shared" si="52"/>
        <v>0</v>
      </c>
    </row>
    <row r="310" spans="11:15" ht="16.5" thickTop="1" thickBot="1">
      <c r="K310" s="457" t="str">
        <f t="shared" si="48"/>
        <v>Bldg Façade, Landscape, Service Canopies, and Stadium/Athletic Field Lighting</v>
      </c>
      <c r="L310" s="457" t="str">
        <f t="shared" si="49"/>
        <v>HPS/MV</v>
      </c>
      <c r="M310" s="457" t="str">
        <f t="shared" si="50"/>
        <v>Outdoor Lighting</v>
      </c>
      <c r="N310" s="458">
        <f t="shared" si="51"/>
        <v>0</v>
      </c>
      <c r="O310" s="458">
        <f t="shared" si="52"/>
        <v>0</v>
      </c>
    </row>
    <row r="311" spans="11:15" ht="16.5" thickTop="1" thickBot="1">
      <c r="K311" s="457" t="str">
        <f t="shared" si="48"/>
        <v>Bldg Façade, Landscape, Service Canopies, and Stadium/Athletic Field Lighting</v>
      </c>
      <c r="L311" s="457" t="str">
        <f t="shared" si="49"/>
        <v>HPS/MV</v>
      </c>
      <c r="M311" s="457" t="str">
        <f t="shared" si="50"/>
        <v>Outdoor Lighting</v>
      </c>
      <c r="N311" s="458">
        <f t="shared" ref="N311:O330" si="53">F311</f>
        <v>0</v>
      </c>
      <c r="O311" s="458">
        <f t="shared" si="53"/>
        <v>0</v>
      </c>
    </row>
    <row r="312" spans="11:15" ht="16.5" thickTop="1" thickBot="1">
      <c r="K312" s="457" t="str">
        <f t="shared" si="48"/>
        <v>Bldg Façade, Landscape, Service Canopies, and Stadium/Athletic Field Lighting</v>
      </c>
      <c r="L312" s="457" t="str">
        <f t="shared" si="49"/>
        <v>HPS/MV</v>
      </c>
      <c r="M312" s="457" t="str">
        <f t="shared" si="50"/>
        <v>Outdoor Lighting</v>
      </c>
      <c r="N312" s="458">
        <f t="shared" si="53"/>
        <v>0</v>
      </c>
      <c r="O312" s="458">
        <f t="shared" si="53"/>
        <v>0</v>
      </c>
    </row>
    <row r="313" spans="11:15" ht="16.5" thickTop="1" thickBot="1">
      <c r="K313" s="457" t="str">
        <f t="shared" si="48"/>
        <v>Bldg Façade, Landscape, Service Canopies, and Stadium/Athletic Field Lighting</v>
      </c>
      <c r="L313" s="457" t="str">
        <f t="shared" si="49"/>
        <v>HPS/MV</v>
      </c>
      <c r="M313" s="457" t="str">
        <f t="shared" si="50"/>
        <v>Outdoor Lighting</v>
      </c>
      <c r="N313" s="458">
        <f t="shared" si="53"/>
        <v>0</v>
      </c>
      <c r="O313" s="458">
        <f t="shared" si="53"/>
        <v>0</v>
      </c>
    </row>
    <row r="314" spans="11:15" ht="16.5" thickTop="1" thickBot="1">
      <c r="K314" s="457" t="str">
        <f t="shared" si="48"/>
        <v>Bldg Façade, Landscape, Service Canopies, and Stadium/Athletic Field Lighting</v>
      </c>
      <c r="L314" s="457" t="str">
        <f t="shared" si="49"/>
        <v>HPS/MV</v>
      </c>
      <c r="M314" s="457" t="str">
        <f t="shared" si="50"/>
        <v>Outdoor Lighting</v>
      </c>
      <c r="N314" s="458">
        <f t="shared" si="53"/>
        <v>0</v>
      </c>
      <c r="O314" s="458">
        <f t="shared" si="53"/>
        <v>0</v>
      </c>
    </row>
    <row r="315" spans="11:15" ht="16.5" thickTop="1" thickBot="1">
      <c r="K315" s="457" t="str">
        <f t="shared" si="48"/>
        <v>Bldg Façade, Landscape, Service Canopies, and Stadium/Athletic Field Lighting</v>
      </c>
      <c r="L315" s="457" t="str">
        <f t="shared" si="49"/>
        <v>HPS/MV</v>
      </c>
      <c r="M315" s="457" t="str">
        <f t="shared" si="50"/>
        <v>Outdoor Lighting</v>
      </c>
      <c r="N315" s="458">
        <f t="shared" si="53"/>
        <v>0</v>
      </c>
      <c r="O315" s="458">
        <f t="shared" si="53"/>
        <v>0</v>
      </c>
    </row>
    <row r="316" spans="11:15" ht="16.5" thickTop="1" thickBot="1">
      <c r="K316" s="457" t="str">
        <f t="shared" si="48"/>
        <v>Bldg Façade, Landscape, Service Canopies, and Stadium/Athletic Field Lighting</v>
      </c>
      <c r="L316" s="457" t="str">
        <f t="shared" si="49"/>
        <v>HPS/MV</v>
      </c>
      <c r="M316" s="457" t="str">
        <f t="shared" si="50"/>
        <v>Outdoor Lighting</v>
      </c>
      <c r="N316" s="458">
        <f t="shared" si="53"/>
        <v>0</v>
      </c>
      <c r="O316" s="458">
        <f t="shared" si="53"/>
        <v>0</v>
      </c>
    </row>
    <row r="317" spans="11:15" ht="16.5" thickTop="1" thickBot="1">
      <c r="K317" s="457" t="str">
        <f t="shared" si="48"/>
        <v>Bldg Façade, Landscape, Service Canopies, and Stadium/Athletic Field Lighting</v>
      </c>
      <c r="L317" s="457" t="str">
        <f t="shared" si="49"/>
        <v>HPS/MV</v>
      </c>
      <c r="M317" s="457" t="str">
        <f t="shared" si="50"/>
        <v>Outdoor Lighting</v>
      </c>
      <c r="N317" s="458">
        <f t="shared" si="53"/>
        <v>0</v>
      </c>
      <c r="O317" s="458">
        <f t="shared" si="53"/>
        <v>0</v>
      </c>
    </row>
    <row r="318" spans="11:15" ht="16.5" thickTop="1" thickBot="1">
      <c r="K318" s="457" t="str">
        <f t="shared" si="48"/>
        <v>Bldg Façade, Landscape, Service Canopies, and Stadium/Athletic Field Lighting</v>
      </c>
      <c r="L318" s="457" t="str">
        <f t="shared" si="49"/>
        <v>HPS/MV</v>
      </c>
      <c r="M318" s="457" t="str">
        <f t="shared" si="50"/>
        <v>Outdoor Lighting</v>
      </c>
      <c r="N318" s="458">
        <f t="shared" si="53"/>
        <v>0</v>
      </c>
      <c r="O318" s="458">
        <f t="shared" si="53"/>
        <v>0</v>
      </c>
    </row>
    <row r="319" spans="11:15" ht="16.5" thickTop="1" thickBot="1">
      <c r="K319" s="457" t="str">
        <f t="shared" si="48"/>
        <v>Bldg Façade, Landscape, Service Canopies, and Stadium/Athletic Field Lighting</v>
      </c>
      <c r="L319" s="457" t="str">
        <f t="shared" si="49"/>
        <v>HPS/MV</v>
      </c>
      <c r="M319" s="457" t="str">
        <f t="shared" si="50"/>
        <v>Outdoor Lighting</v>
      </c>
      <c r="N319" s="458">
        <f t="shared" si="53"/>
        <v>0</v>
      </c>
      <c r="O319" s="458">
        <f t="shared" si="53"/>
        <v>0</v>
      </c>
    </row>
    <row r="320" spans="11:15" ht="16.5" thickTop="1" thickBot="1">
      <c r="K320" s="457" t="str">
        <f t="shared" si="48"/>
        <v>Bldg Façade, Landscape, Service Canopies, and Stadium/Athletic Field Lighting</v>
      </c>
      <c r="L320" s="457" t="str">
        <f t="shared" si="49"/>
        <v>HPS/MV</v>
      </c>
      <c r="M320" s="457" t="str">
        <f t="shared" si="50"/>
        <v>Outdoor Lighting</v>
      </c>
      <c r="N320" s="458">
        <f t="shared" si="53"/>
        <v>0</v>
      </c>
      <c r="O320" s="458">
        <f t="shared" si="53"/>
        <v>0</v>
      </c>
    </row>
    <row r="321" spans="11:15" ht="16.5" thickTop="1" thickBot="1">
      <c r="K321" s="457" t="str">
        <f t="shared" si="48"/>
        <v>Bldg Façade, Landscape, Service Canopies, and Stadium/Athletic Field Lighting</v>
      </c>
      <c r="L321" s="457" t="str">
        <f t="shared" si="49"/>
        <v>HPS/MV</v>
      </c>
      <c r="M321" s="457" t="str">
        <f t="shared" si="50"/>
        <v>Outdoor Lighting</v>
      </c>
      <c r="N321" s="458">
        <f t="shared" si="53"/>
        <v>0</v>
      </c>
      <c r="O321" s="458">
        <f t="shared" si="53"/>
        <v>0</v>
      </c>
    </row>
    <row r="322" spans="11:15" ht="16.5" thickTop="1" thickBot="1">
      <c r="K322" s="457" t="str">
        <f t="shared" si="48"/>
        <v>Bldg Façade, Landscape, Service Canopies, and Stadium/Athletic Field Lighting</v>
      </c>
      <c r="L322" s="457" t="str">
        <f t="shared" si="49"/>
        <v>HPS/MV</v>
      </c>
      <c r="M322" s="457" t="str">
        <f t="shared" si="50"/>
        <v>Outdoor Lighting</v>
      </c>
      <c r="N322" s="458">
        <f t="shared" si="53"/>
        <v>0</v>
      </c>
      <c r="O322" s="458">
        <f t="shared" si="53"/>
        <v>0</v>
      </c>
    </row>
    <row r="323" spans="11:15" ht="16.5" thickTop="1" thickBot="1">
      <c r="K323" s="457" t="str">
        <f t="shared" si="48"/>
        <v>Bldg Façade, Landscape, Service Canopies, and Stadium/Athletic Field Lighting</v>
      </c>
      <c r="L323" s="457" t="str">
        <f t="shared" si="49"/>
        <v>HPS/MV</v>
      </c>
      <c r="M323" s="457" t="str">
        <f t="shared" si="50"/>
        <v>Outdoor Lighting</v>
      </c>
      <c r="N323" s="458">
        <f t="shared" si="53"/>
        <v>0</v>
      </c>
      <c r="O323" s="458">
        <f t="shared" si="53"/>
        <v>0</v>
      </c>
    </row>
    <row r="324" spans="11:15" ht="16.5" thickTop="1" thickBot="1">
      <c r="K324" s="457" t="str">
        <f t="shared" si="48"/>
        <v>Bldg Façade, Landscape, Service Canopies, and Stadium/Athletic Field Lighting</v>
      </c>
      <c r="L324" s="457" t="str">
        <f t="shared" si="49"/>
        <v>HPS/MV</v>
      </c>
      <c r="M324" s="457" t="str">
        <f t="shared" si="50"/>
        <v>Outdoor Lighting</v>
      </c>
      <c r="N324" s="458">
        <f t="shared" si="53"/>
        <v>0</v>
      </c>
      <c r="O324" s="458">
        <f t="shared" si="53"/>
        <v>0</v>
      </c>
    </row>
    <row r="325" spans="11:15" ht="16.5" thickTop="1" thickBot="1">
      <c r="K325" s="457" t="str">
        <f t="shared" si="48"/>
        <v>Bldg Façade, Landscape, Service Canopies, and Stadium/Athletic Field Lighting</v>
      </c>
      <c r="L325" s="457" t="str">
        <f t="shared" si="49"/>
        <v>HPS/MV</v>
      </c>
      <c r="M325" s="457" t="str">
        <f t="shared" si="50"/>
        <v>Outdoor Lighting</v>
      </c>
      <c r="N325" s="458">
        <f t="shared" si="53"/>
        <v>0</v>
      </c>
      <c r="O325" s="458">
        <f t="shared" si="53"/>
        <v>0</v>
      </c>
    </row>
    <row r="326" spans="11:15" ht="16.5" thickTop="1" thickBot="1">
      <c r="K326" s="457" t="str">
        <f t="shared" si="48"/>
        <v>Bldg Façade, Landscape, Service Canopies, and Stadium/Athletic Field Lighting</v>
      </c>
      <c r="L326" s="457" t="str">
        <f t="shared" si="49"/>
        <v>HPS/MV</v>
      </c>
      <c r="M326" s="457" t="str">
        <f t="shared" si="50"/>
        <v>Outdoor Lighting</v>
      </c>
      <c r="N326" s="458">
        <f t="shared" si="53"/>
        <v>0</v>
      </c>
      <c r="O326" s="458">
        <f t="shared" si="53"/>
        <v>0</v>
      </c>
    </row>
    <row r="327" spans="11:15" ht="16.5" thickTop="1" thickBot="1">
      <c r="K327" s="457" t="str">
        <f t="shared" si="48"/>
        <v>Bldg Façade, Landscape, Service Canopies, and Stadium/Athletic Field Lighting</v>
      </c>
      <c r="L327" s="457" t="str">
        <f t="shared" si="49"/>
        <v>HPS/MV</v>
      </c>
      <c r="M327" s="457" t="str">
        <f t="shared" si="50"/>
        <v>Outdoor Lighting</v>
      </c>
      <c r="N327" s="458">
        <f t="shared" si="53"/>
        <v>0</v>
      </c>
      <c r="O327" s="458">
        <f t="shared" si="53"/>
        <v>0</v>
      </c>
    </row>
    <row r="328" spans="11:15" ht="16.5" thickTop="1" thickBot="1">
      <c r="K328" s="457" t="str">
        <f t="shared" si="48"/>
        <v>Bldg Façade, Landscape, Service Canopies, and Stadium/Athletic Field Lighting</v>
      </c>
      <c r="L328" s="457" t="str">
        <f t="shared" si="49"/>
        <v>HPS/MV</v>
      </c>
      <c r="M328" s="457" t="str">
        <f t="shared" si="50"/>
        <v>Outdoor Lighting</v>
      </c>
      <c r="N328" s="458">
        <f t="shared" si="53"/>
        <v>0</v>
      </c>
      <c r="O328" s="458">
        <f t="shared" si="53"/>
        <v>0</v>
      </c>
    </row>
    <row r="329" spans="11:15" ht="16.5" thickTop="1" thickBot="1">
      <c r="K329" s="457" t="str">
        <f t="shared" si="48"/>
        <v>Bldg Façade, Landscape, Service Canopies, and Stadium/Athletic Field Lighting</v>
      </c>
      <c r="L329" s="457" t="str">
        <f t="shared" si="49"/>
        <v>HPS/MV</v>
      </c>
      <c r="M329" s="457" t="str">
        <f t="shared" si="50"/>
        <v>Outdoor Lighting</v>
      </c>
      <c r="N329" s="458">
        <f t="shared" si="53"/>
        <v>0</v>
      </c>
      <c r="O329" s="458">
        <f t="shared" si="53"/>
        <v>0</v>
      </c>
    </row>
    <row r="330" spans="11:15" ht="16.5" thickTop="1" thickBot="1">
      <c r="K330" s="457" t="str">
        <f t="shared" si="48"/>
        <v>Bldg Façade, Landscape, Service Canopies, and Stadium/Athletic Field Lighting</v>
      </c>
      <c r="L330" s="457" t="str">
        <f t="shared" si="49"/>
        <v>HPS/MV</v>
      </c>
      <c r="M330" s="457" t="str">
        <f t="shared" si="50"/>
        <v>Outdoor Lighting</v>
      </c>
      <c r="N330" s="458">
        <f t="shared" si="53"/>
        <v>0</v>
      </c>
      <c r="O330" s="458">
        <f t="shared" si="53"/>
        <v>0</v>
      </c>
    </row>
    <row r="331" spans="11:15" ht="15.75" thickTop="1"/>
  </sheetData>
  <sheetProtection password="CD9A" sheet="1" objects="1" scenarios="1"/>
  <pageMargins left="0.7" right="0.7" top="0.75" bottom="0.75" header="0.3" footer="0.3"/>
  <pageSetup orientation="portrait" r:id="rId5"/>
  <drawing r:id="rId6"/>
  <tableParts count="2">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C2:T24"/>
  <sheetViews>
    <sheetView zoomScale="80" zoomScaleNormal="80" workbookViewId="0"/>
  </sheetViews>
  <sheetFormatPr defaultRowHeight="15" outlineLevelCol="1"/>
  <cols>
    <col min="1" max="1" width="4.42578125" style="384" customWidth="1"/>
    <col min="2" max="2" width="9.140625" style="384" customWidth="1"/>
    <col min="3" max="3" width="37.140625" style="384" customWidth="1" outlineLevel="1"/>
    <col min="4" max="4" width="70.85546875" style="384" customWidth="1" outlineLevel="1"/>
    <col min="5" max="5" width="20.85546875" style="384" customWidth="1" outlineLevel="1"/>
    <col min="6" max="6" width="22" style="384" customWidth="1" outlineLevel="1"/>
    <col min="7" max="7" width="21.5703125" style="384" customWidth="1" outlineLevel="1"/>
    <col min="8" max="9" width="9.140625" style="384" customWidth="1" outlineLevel="1"/>
    <col min="10" max="10" width="42.42578125" style="384" customWidth="1" outlineLevel="1"/>
    <col min="11" max="11" width="41.140625" style="384" customWidth="1" outlineLevel="1"/>
    <col min="12" max="12" width="79.5703125" style="384" customWidth="1" outlineLevel="1"/>
    <col min="13" max="13" width="25.28515625" style="384" customWidth="1" outlineLevel="1"/>
    <col min="14" max="14" width="24.42578125" style="384" customWidth="1" outlineLevel="1"/>
    <col min="15" max="15" width="23" style="384" customWidth="1" outlineLevel="1"/>
    <col min="16" max="16" width="75.5703125" style="384" customWidth="1" outlineLevel="1"/>
    <col min="17" max="17" width="28.7109375" style="384" customWidth="1" outlineLevel="1"/>
    <col min="18" max="18" width="28.28515625" style="384" customWidth="1" outlineLevel="1"/>
    <col min="19" max="20" width="9.140625" style="384" customWidth="1" outlineLevel="1"/>
    <col min="21" max="48" width="9.140625" style="384"/>
    <col min="49" max="49" width="10.42578125" style="384" customWidth="1"/>
    <col min="50" max="50" width="42.42578125" style="384" bestFit="1" customWidth="1"/>
    <col min="51" max="51" width="23.85546875" style="384" bestFit="1" customWidth="1"/>
    <col min="52" max="52" width="23" style="384" bestFit="1" customWidth="1"/>
    <col min="53" max="53" width="9.140625" style="384"/>
    <col min="54" max="94" width="9.140625" style="384" customWidth="1"/>
    <col min="95" max="16384" width="9.140625" style="384"/>
  </cols>
  <sheetData>
    <row r="2" spans="3:5" ht="28.5">
      <c r="C2" s="846" t="s">
        <v>1403</v>
      </c>
    </row>
    <row r="4" spans="3:5">
      <c r="C4" s="238" t="s">
        <v>36</v>
      </c>
      <c r="D4" s="384" t="s">
        <v>1220</v>
      </c>
    </row>
    <row r="5" spans="3:5">
      <c r="C5"/>
      <c r="D5"/>
      <c r="E5"/>
    </row>
    <row r="6" spans="3:5">
      <c r="C6" s="238" t="s">
        <v>12</v>
      </c>
      <c r="D6" t="s">
        <v>1398</v>
      </c>
      <c r="E6"/>
    </row>
    <row r="7" spans="3:5">
      <c r="C7" s="239" t="s">
        <v>100</v>
      </c>
      <c r="D7" s="845">
        <v>536.81628000000001</v>
      </c>
      <c r="E7"/>
    </row>
    <row r="8" spans="3:5">
      <c r="C8" s="239" t="s">
        <v>1142</v>
      </c>
      <c r="D8" s="845">
        <v>328.32750217054399</v>
      </c>
      <c r="E8"/>
    </row>
    <row r="9" spans="3:5">
      <c r="C9" s="239" t="s">
        <v>1143</v>
      </c>
      <c r="D9" s="845">
        <v>446.00405151407563</v>
      </c>
      <c r="E9"/>
    </row>
    <row r="10" spans="3:5">
      <c r="C10" s="239" t="s">
        <v>1223</v>
      </c>
      <c r="D10" s="845">
        <v>847.73737352200249</v>
      </c>
      <c r="E10"/>
    </row>
    <row r="11" spans="3:5">
      <c r="C11" s="239" t="s">
        <v>938</v>
      </c>
      <c r="D11" s="845">
        <v>158.9804897203272</v>
      </c>
      <c r="E11"/>
    </row>
    <row r="12" spans="3:5">
      <c r="C12" s="239" t="s">
        <v>541</v>
      </c>
      <c r="D12" s="845">
        <v>3383.5093556389616</v>
      </c>
      <c r="E12"/>
    </row>
    <row r="13" spans="3:5">
      <c r="C13" s="239" t="s">
        <v>181</v>
      </c>
      <c r="D13" s="845">
        <v>4282.1979731819283</v>
      </c>
      <c r="E13"/>
    </row>
    <row r="14" spans="3:5">
      <c r="C14" s="239" t="s">
        <v>502</v>
      </c>
      <c r="D14" s="845">
        <v>476.27033903997801</v>
      </c>
      <c r="E14"/>
    </row>
    <row r="15" spans="3:5">
      <c r="C15" s="239" t="s">
        <v>499</v>
      </c>
      <c r="D15" s="845">
        <v>758.7847696012816</v>
      </c>
      <c r="E15"/>
    </row>
    <row r="16" spans="3:5">
      <c r="C16" s="239" t="s">
        <v>1154</v>
      </c>
      <c r="D16" s="845">
        <v>1092.1285966387297</v>
      </c>
      <c r="E16"/>
    </row>
    <row r="17" spans="3:5">
      <c r="C17" s="239" t="s">
        <v>105</v>
      </c>
      <c r="D17" s="845">
        <v>812.73640840912788</v>
      </c>
      <c r="E17"/>
    </row>
    <row r="18" spans="3:5">
      <c r="C18" s="239" t="s">
        <v>1149</v>
      </c>
      <c r="D18" s="845">
        <v>358.49365031662188</v>
      </c>
      <c r="E18"/>
    </row>
    <row r="19" spans="3:5">
      <c r="C19" s="239" t="s">
        <v>18</v>
      </c>
      <c r="D19" s="845">
        <v>944.84612141352693</v>
      </c>
      <c r="E19"/>
    </row>
    <row r="20" spans="3:5">
      <c r="C20"/>
      <c r="D20"/>
      <c r="E20"/>
    </row>
    <row r="21" spans="3:5">
      <c r="C21"/>
      <c r="D21"/>
      <c r="E21"/>
    </row>
    <row r="22" spans="3:5">
      <c r="C22"/>
      <c r="D22"/>
      <c r="E22"/>
    </row>
    <row r="23" spans="3:5">
      <c r="C23"/>
      <c r="D23"/>
      <c r="E23"/>
    </row>
    <row r="24" spans="3:5">
      <c r="C24"/>
      <c r="D24"/>
    </row>
  </sheetData>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691"/>
  <sheetViews>
    <sheetView workbookViewId="0">
      <selection activeCell="K8" sqref="K8"/>
    </sheetView>
  </sheetViews>
  <sheetFormatPr defaultColWidth="9.140625" defaultRowHeight="15"/>
  <cols>
    <col min="1" max="1" width="2.140625" style="37" customWidth="1"/>
    <col min="2" max="2" width="18" style="35" customWidth="1"/>
    <col min="3" max="3" width="21.140625" style="34" customWidth="1"/>
    <col min="4" max="4" width="22.85546875" style="34" customWidth="1"/>
    <col min="5" max="5" width="29.28515625" style="34" customWidth="1"/>
    <col min="6" max="7" width="20.5703125" style="34" customWidth="1"/>
    <col min="8" max="8" width="24.42578125" style="293" customWidth="1"/>
    <col min="9" max="9" width="12.85546875" style="34" customWidth="1"/>
    <col min="10" max="10" width="11" style="34" customWidth="1"/>
    <col min="11" max="11" width="21.5703125" style="34" customWidth="1"/>
    <col min="12" max="12" width="11.42578125" style="34" customWidth="1"/>
    <col min="13" max="13" width="19.42578125" style="34" customWidth="1"/>
    <col min="14" max="14" width="12.42578125" style="34" customWidth="1"/>
    <col min="15" max="15" width="17.85546875" style="262" customWidth="1"/>
    <col min="16" max="16" width="18.5703125" style="262" customWidth="1"/>
    <col min="17" max="17" width="17.85546875" style="262" customWidth="1"/>
    <col min="18" max="18" width="4.140625" style="804" customWidth="1"/>
    <col min="19" max="19" width="12.42578125" style="384" customWidth="1"/>
    <col min="20" max="20" width="19.28515625" style="34" customWidth="1"/>
    <col min="21" max="21" width="21.5703125" style="34" customWidth="1"/>
    <col min="22" max="22" width="20" style="34" customWidth="1"/>
    <col min="23" max="23" width="22.28515625" style="34" customWidth="1"/>
    <col min="24" max="24" width="4.85546875" style="807" customWidth="1"/>
    <col min="25" max="25" width="4.7109375" style="37" customWidth="1"/>
    <col min="26" max="26" width="11.140625" style="384" customWidth="1"/>
    <col min="27" max="27" width="18.42578125" style="34" customWidth="1"/>
    <col min="28" max="28" width="4.85546875" style="807" customWidth="1"/>
    <col min="29" max="29" width="17" style="384" bestFit="1" customWidth="1"/>
    <col min="30" max="30" width="36.140625" style="34" customWidth="1"/>
    <col min="31" max="31" width="28.42578125" style="34" customWidth="1"/>
    <col min="32" max="32" width="43" style="807" customWidth="1"/>
    <col min="33" max="33" width="9.140625" style="807"/>
    <col min="34" max="39" width="9.140625" style="807" customWidth="1"/>
    <col min="40" max="87" width="9.140625" style="807"/>
    <col min="88" max="16384" width="9.140625" style="34"/>
  </cols>
  <sheetData>
    <row r="1" spans="1:108" ht="28.5">
      <c r="B1" s="846" t="s">
        <v>1404</v>
      </c>
      <c r="C1" s="389"/>
      <c r="AG1" s="818"/>
      <c r="AH1" s="818"/>
      <c r="AI1" s="818"/>
      <c r="AJ1" s="818"/>
      <c r="AK1" s="818"/>
      <c r="AL1" s="818"/>
      <c r="AM1" s="818"/>
      <c r="AN1" s="818"/>
      <c r="AO1" s="818"/>
      <c r="AP1" s="818"/>
      <c r="AQ1" s="818"/>
      <c r="AR1" s="818"/>
      <c r="AS1" s="818"/>
      <c r="AT1" s="818"/>
      <c r="AU1" s="818"/>
      <c r="AV1" s="818"/>
      <c r="AW1" s="818"/>
      <c r="AX1" s="818"/>
      <c r="AY1" s="818"/>
      <c r="AZ1" s="818"/>
      <c r="BA1" s="818"/>
      <c r="BB1" s="818"/>
      <c r="BC1" s="818"/>
      <c r="BD1" s="818"/>
      <c r="BE1" s="818"/>
      <c r="BF1" s="818"/>
      <c r="BG1" s="818"/>
      <c r="BH1" s="818"/>
      <c r="BI1" s="818"/>
      <c r="BJ1" s="818"/>
      <c r="BK1" s="818"/>
      <c r="BL1" s="818"/>
      <c r="BM1" s="818"/>
      <c r="BN1" s="818"/>
      <c r="BO1" s="818"/>
      <c r="BP1" s="818"/>
      <c r="BQ1" s="818"/>
      <c r="BR1" s="818"/>
      <c r="BS1" s="818"/>
      <c r="BT1" s="818"/>
      <c r="BU1" s="818"/>
      <c r="BV1" s="818"/>
      <c r="BW1" s="818"/>
      <c r="BX1" s="818"/>
      <c r="BY1" s="818"/>
      <c r="BZ1" s="818"/>
      <c r="CA1" s="818"/>
      <c r="CB1" s="818"/>
      <c r="CC1" s="818"/>
      <c r="CD1" s="818"/>
      <c r="CE1" s="818"/>
      <c r="CF1" s="818"/>
      <c r="CG1" s="818"/>
      <c r="CH1" s="818"/>
      <c r="CI1" s="818"/>
      <c r="CJ1" s="298"/>
      <c r="CK1" s="298"/>
      <c r="CL1" s="298"/>
      <c r="CM1" s="298"/>
      <c r="CN1" s="298"/>
      <c r="CO1" s="298"/>
      <c r="CP1" s="298"/>
      <c r="CQ1" s="298"/>
      <c r="CR1" s="298"/>
      <c r="CS1" s="298"/>
      <c r="CT1" s="298"/>
      <c r="CU1" s="298"/>
      <c r="CV1" s="298"/>
      <c r="CW1" s="298"/>
      <c r="CX1" s="298"/>
      <c r="CY1" s="298"/>
      <c r="CZ1" s="298"/>
      <c r="DA1" s="298"/>
      <c r="DB1" s="298"/>
      <c r="DC1" s="298"/>
      <c r="DD1" s="298"/>
    </row>
    <row r="2" spans="1:108" ht="16.5" thickBot="1">
      <c r="B2" s="351" t="s">
        <v>37</v>
      </c>
      <c r="D2" s="297"/>
      <c r="O2" s="262" t="s">
        <v>38</v>
      </c>
      <c r="P2" s="262" t="s">
        <v>39</v>
      </c>
      <c r="Z2" s="34" t="s">
        <v>40</v>
      </c>
      <c r="AA2" s="34" t="s">
        <v>40</v>
      </c>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298"/>
      <c r="CK2" s="298"/>
      <c r="CL2" s="298"/>
      <c r="CM2" s="298"/>
      <c r="CN2" s="298"/>
      <c r="CO2" s="298"/>
      <c r="CP2" s="298"/>
      <c r="CQ2" s="298"/>
      <c r="CR2" s="298"/>
      <c r="CS2" s="298"/>
      <c r="CT2" s="298"/>
      <c r="CU2" s="298"/>
      <c r="CV2" s="298"/>
      <c r="CW2" s="298"/>
      <c r="CX2" s="298"/>
      <c r="CY2" s="298"/>
      <c r="CZ2" s="298"/>
      <c r="DA2" s="298"/>
      <c r="DB2" s="298"/>
      <c r="DC2" s="298"/>
      <c r="DD2" s="298"/>
    </row>
    <row r="3" spans="1:108" s="428" customFormat="1" ht="30" customHeight="1">
      <c r="A3" s="805"/>
      <c r="B3" s="851" t="s">
        <v>41</v>
      </c>
      <c r="C3" s="852"/>
      <c r="D3" s="852"/>
      <c r="E3" s="852"/>
      <c r="F3" s="851" t="s">
        <v>42</v>
      </c>
      <c r="G3" s="852"/>
      <c r="H3" s="852"/>
      <c r="I3" s="852"/>
      <c r="J3" s="851" t="s">
        <v>912</v>
      </c>
      <c r="K3" s="853"/>
      <c r="L3" s="851" t="s">
        <v>43</v>
      </c>
      <c r="M3" s="852"/>
      <c r="N3" s="854" t="s">
        <v>913</v>
      </c>
      <c r="O3" s="855"/>
      <c r="P3" s="854" t="s">
        <v>914</v>
      </c>
      <c r="Q3" s="855"/>
      <c r="R3" s="805"/>
      <c r="S3" s="851" t="s">
        <v>1285</v>
      </c>
      <c r="T3" s="852"/>
      <c r="U3" s="852"/>
      <c r="V3" s="852"/>
      <c r="W3" s="853"/>
      <c r="X3" s="805"/>
      <c r="Y3" s="805"/>
      <c r="Z3" s="844"/>
      <c r="AA3" s="844"/>
      <c r="AB3" s="805"/>
      <c r="AC3" s="844"/>
      <c r="AD3" s="844"/>
      <c r="AE3" s="844"/>
      <c r="AF3" s="819"/>
      <c r="AG3" s="819"/>
      <c r="AH3" s="819"/>
      <c r="AI3" s="819"/>
      <c r="AJ3" s="819"/>
      <c r="AK3" s="819"/>
      <c r="AL3" s="819"/>
      <c r="AM3" s="819"/>
      <c r="AN3" s="819"/>
      <c r="AO3" s="819"/>
      <c r="AP3" s="819"/>
      <c r="AQ3" s="819"/>
      <c r="AR3" s="819"/>
      <c r="AS3" s="819"/>
      <c r="AT3" s="819"/>
      <c r="AU3" s="819"/>
      <c r="AV3" s="819"/>
      <c r="AW3" s="819"/>
      <c r="AX3" s="819"/>
      <c r="AY3" s="819"/>
      <c r="AZ3" s="819"/>
      <c r="BA3" s="819"/>
      <c r="BB3" s="819"/>
      <c r="BC3" s="819"/>
      <c r="BD3" s="819"/>
      <c r="BE3" s="819"/>
      <c r="BF3" s="819"/>
      <c r="BG3" s="819"/>
      <c r="BH3" s="819"/>
      <c r="BI3" s="819"/>
      <c r="BJ3" s="819"/>
      <c r="BK3" s="819"/>
      <c r="BL3" s="819"/>
      <c r="BM3" s="819"/>
      <c r="BN3" s="819"/>
      <c r="BO3" s="819"/>
      <c r="BP3" s="819"/>
      <c r="BQ3" s="819"/>
      <c r="BR3" s="819"/>
      <c r="BS3" s="819"/>
      <c r="BT3" s="819"/>
      <c r="BU3" s="819"/>
      <c r="BV3" s="819"/>
      <c r="BW3" s="819"/>
      <c r="BX3" s="819"/>
      <c r="BY3" s="819"/>
      <c r="BZ3" s="819"/>
      <c r="CA3" s="819"/>
      <c r="CB3" s="819"/>
      <c r="CC3" s="819"/>
      <c r="CD3" s="819"/>
      <c r="CE3" s="819"/>
      <c r="CF3" s="819"/>
      <c r="CG3" s="819"/>
      <c r="CH3" s="819"/>
      <c r="CI3" s="819"/>
    </row>
    <row r="4" spans="1:108" s="430" customFormat="1" ht="16.5" customHeight="1">
      <c r="A4" s="805"/>
      <c r="B4" s="843"/>
      <c r="C4" s="844"/>
      <c r="D4" s="844"/>
      <c r="E4" s="844" t="s">
        <v>46</v>
      </c>
      <c r="F4" s="843"/>
      <c r="G4" s="844" t="s">
        <v>47</v>
      </c>
      <c r="H4" s="844"/>
      <c r="I4" s="842" t="s">
        <v>47</v>
      </c>
      <c r="J4" s="856"/>
      <c r="K4" s="856"/>
      <c r="L4" s="857"/>
      <c r="M4" s="858"/>
      <c r="N4" s="857" t="s">
        <v>46</v>
      </c>
      <c r="O4" s="859"/>
      <c r="P4" s="860" t="s">
        <v>46</v>
      </c>
      <c r="Q4" s="859"/>
      <c r="R4" s="805"/>
      <c r="S4" s="843"/>
      <c r="T4" s="844"/>
      <c r="U4" s="844"/>
      <c r="V4" s="844"/>
      <c r="W4" s="844"/>
      <c r="X4" s="805"/>
      <c r="Y4" s="805"/>
      <c r="Z4" s="844"/>
      <c r="AA4" s="844"/>
      <c r="AB4" s="805"/>
      <c r="AC4" s="800" t="s">
        <v>48</v>
      </c>
      <c r="AD4" s="800"/>
      <c r="AE4" s="844"/>
      <c r="AF4" s="819"/>
      <c r="AG4" s="820"/>
      <c r="AH4" s="820"/>
      <c r="AI4" s="820"/>
      <c r="AJ4" s="820"/>
      <c r="AK4" s="820"/>
      <c r="AL4" s="820"/>
      <c r="AM4" s="820"/>
      <c r="AN4" s="820"/>
      <c r="AO4" s="820"/>
      <c r="AP4" s="820"/>
      <c r="AQ4" s="820"/>
      <c r="AR4" s="820"/>
      <c r="AS4" s="820"/>
      <c r="AT4" s="820"/>
      <c r="AU4" s="820"/>
      <c r="AV4" s="820"/>
      <c r="AW4" s="820"/>
      <c r="AX4" s="820"/>
      <c r="AY4" s="820"/>
      <c r="AZ4" s="820"/>
      <c r="BA4" s="820"/>
      <c r="BB4" s="820"/>
      <c r="BC4" s="820"/>
      <c r="BD4" s="820"/>
      <c r="BE4" s="820"/>
      <c r="BF4" s="820"/>
      <c r="BG4" s="820"/>
      <c r="BH4" s="820"/>
      <c r="BI4" s="820"/>
      <c r="BJ4" s="820"/>
      <c r="BK4" s="820"/>
      <c r="BL4" s="820"/>
      <c r="BM4" s="820"/>
      <c r="BN4" s="820"/>
      <c r="BO4" s="820"/>
      <c r="BP4" s="820"/>
      <c r="BQ4" s="820"/>
      <c r="BR4" s="820"/>
      <c r="BS4" s="820"/>
      <c r="BT4" s="820"/>
      <c r="BU4" s="820"/>
      <c r="BV4" s="820"/>
      <c r="BW4" s="820"/>
      <c r="BX4" s="820"/>
      <c r="BY4" s="820"/>
      <c r="BZ4" s="820"/>
      <c r="CA4" s="820"/>
      <c r="CB4" s="820"/>
      <c r="CC4" s="820"/>
      <c r="CD4" s="820"/>
      <c r="CE4" s="820"/>
      <c r="CF4" s="820"/>
      <c r="CG4" s="820"/>
      <c r="CH4" s="820"/>
      <c r="CI4" s="820"/>
    </row>
    <row r="5" spans="1:108" s="437" customFormat="1" ht="99.75" customHeight="1" thickBot="1">
      <c r="A5" s="805"/>
      <c r="B5" s="431" t="s">
        <v>9</v>
      </c>
      <c r="C5" s="432" t="s">
        <v>11</v>
      </c>
      <c r="D5" s="432" t="s">
        <v>36</v>
      </c>
      <c r="E5" s="432" t="s">
        <v>876</v>
      </c>
      <c r="F5" s="431" t="s">
        <v>49</v>
      </c>
      <c r="G5" s="432" t="s">
        <v>1218</v>
      </c>
      <c r="H5" s="432" t="s">
        <v>50</v>
      </c>
      <c r="I5" s="433" t="s">
        <v>1219</v>
      </c>
      <c r="J5" s="431" t="s">
        <v>918</v>
      </c>
      <c r="K5" s="433" t="s">
        <v>919</v>
      </c>
      <c r="L5" s="431" t="s">
        <v>51</v>
      </c>
      <c r="M5" s="432" t="s">
        <v>52</v>
      </c>
      <c r="N5" s="431" t="s">
        <v>917</v>
      </c>
      <c r="O5" s="433" t="s">
        <v>916</v>
      </c>
      <c r="P5" s="434" t="s">
        <v>915</v>
      </c>
      <c r="Q5" s="435" t="s">
        <v>1139</v>
      </c>
      <c r="R5" s="805" t="s">
        <v>188</v>
      </c>
      <c r="S5" s="431" t="s">
        <v>53</v>
      </c>
      <c r="T5" s="432" t="s">
        <v>54</v>
      </c>
      <c r="U5" s="432" t="s">
        <v>55</v>
      </c>
      <c r="V5" s="432" t="s">
        <v>56</v>
      </c>
      <c r="W5" s="433" t="s">
        <v>57</v>
      </c>
      <c r="X5" s="805" t="s">
        <v>1232</v>
      </c>
      <c r="Y5" s="805" t="s">
        <v>1233</v>
      </c>
      <c r="Z5" s="436" t="s">
        <v>58</v>
      </c>
      <c r="AA5" s="436" t="s">
        <v>59</v>
      </c>
      <c r="AB5" s="805" t="s">
        <v>1234</v>
      </c>
      <c r="AC5" s="436" t="s">
        <v>60</v>
      </c>
      <c r="AD5" s="436" t="s">
        <v>61</v>
      </c>
      <c r="AE5" s="436" t="s">
        <v>62</v>
      </c>
      <c r="AF5" s="821"/>
      <c r="AG5" s="821"/>
      <c r="AH5" s="821"/>
      <c r="AI5" s="821"/>
      <c r="AJ5" s="821"/>
      <c r="AK5" s="821"/>
      <c r="AL5" s="821"/>
      <c r="AM5" s="821"/>
      <c r="AN5" s="821"/>
      <c r="AO5" s="821"/>
      <c r="AP5" s="821"/>
      <c r="AQ5" s="821"/>
      <c r="AR5" s="821"/>
      <c r="AS5" s="821"/>
      <c r="AT5" s="821"/>
      <c r="AU5" s="821"/>
      <c r="AV5" s="821"/>
      <c r="AW5" s="821"/>
      <c r="AX5" s="821"/>
      <c r="AY5" s="821"/>
      <c r="AZ5" s="821"/>
      <c r="BA5" s="821"/>
      <c r="BB5" s="821"/>
      <c r="BC5" s="821"/>
      <c r="BD5" s="821"/>
      <c r="BE5" s="821"/>
      <c r="BF5" s="821"/>
      <c r="BG5" s="821"/>
      <c r="BH5" s="821"/>
      <c r="BI5" s="821"/>
      <c r="BJ5" s="821"/>
      <c r="BK5" s="821"/>
      <c r="BL5" s="821"/>
      <c r="BM5" s="821"/>
      <c r="BN5" s="821"/>
      <c r="BO5" s="821"/>
      <c r="BP5" s="821"/>
      <c r="BQ5" s="821"/>
      <c r="BR5" s="821"/>
      <c r="BS5" s="821"/>
      <c r="BT5" s="821"/>
      <c r="BU5" s="821"/>
      <c r="BV5" s="821"/>
      <c r="BW5" s="821"/>
      <c r="BX5" s="821"/>
      <c r="BY5" s="821"/>
      <c r="BZ5" s="821"/>
      <c r="CA5" s="821"/>
      <c r="CB5" s="821"/>
      <c r="CC5" s="821"/>
      <c r="CD5" s="821"/>
      <c r="CE5" s="821"/>
      <c r="CF5" s="821"/>
      <c r="CG5" s="821"/>
      <c r="CH5" s="821"/>
      <c r="CI5" s="821"/>
    </row>
    <row r="6" spans="1:108" s="303" customFormat="1" ht="33.75">
      <c r="A6" s="37"/>
      <c r="B6" s="302" t="s">
        <v>10</v>
      </c>
      <c r="C6" s="301" t="s">
        <v>1326</v>
      </c>
      <c r="D6" s="301" t="s">
        <v>22</v>
      </c>
      <c r="E6" s="305">
        <v>3309.4202638916172</v>
      </c>
      <c r="F6" s="791" t="s">
        <v>65</v>
      </c>
      <c r="G6" s="792">
        <v>0.61494894288925672</v>
      </c>
      <c r="H6" s="301" t="s">
        <v>66</v>
      </c>
      <c r="I6" s="383">
        <v>0.96791276330706777</v>
      </c>
      <c r="J6" s="301" t="s">
        <v>82</v>
      </c>
      <c r="K6" s="301" t="s">
        <v>67</v>
      </c>
      <c r="L6" s="301" t="s">
        <v>13</v>
      </c>
      <c r="M6" s="301" t="s">
        <v>88</v>
      </c>
      <c r="N6" s="308">
        <v>1275.3446821900325</v>
      </c>
      <c r="O6" s="308">
        <v>378.20601053847685</v>
      </c>
      <c r="P6" s="300">
        <v>1187.1559541662537</v>
      </c>
      <c r="Q6" s="300" t="s">
        <v>871</v>
      </c>
      <c r="R6" s="37"/>
      <c r="S6" s="301" t="s">
        <v>68</v>
      </c>
      <c r="T6" s="301" t="s">
        <v>63</v>
      </c>
      <c r="U6" s="299" t="s">
        <v>69</v>
      </c>
      <c r="V6" s="301" t="s">
        <v>69</v>
      </c>
      <c r="W6" s="301" t="s">
        <v>70</v>
      </c>
      <c r="X6" s="37"/>
      <c r="Y6" s="37"/>
      <c r="Z6" s="299" t="s">
        <v>71</v>
      </c>
      <c r="AA6" s="299">
        <v>1</v>
      </c>
      <c r="AB6" s="37"/>
      <c r="AC6" s="300">
        <v>2.1800000000000002</v>
      </c>
      <c r="AD6" s="299" t="s">
        <v>72</v>
      </c>
      <c r="AE6" s="299" t="s">
        <v>73</v>
      </c>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393"/>
      <c r="BS6" s="393"/>
      <c r="BT6" s="393"/>
      <c r="BU6" s="393"/>
      <c r="BV6" s="393"/>
      <c r="BW6" s="393"/>
      <c r="BX6" s="393"/>
      <c r="BY6" s="393"/>
      <c r="BZ6" s="393"/>
      <c r="CA6" s="393"/>
      <c r="CB6" s="393"/>
      <c r="CC6" s="393"/>
      <c r="CD6" s="393"/>
      <c r="CE6" s="393"/>
      <c r="CF6" s="393"/>
      <c r="CG6" s="393"/>
      <c r="CH6" s="393"/>
      <c r="CI6" s="393"/>
      <c r="CJ6" s="390"/>
      <c r="CK6" s="390"/>
      <c r="CL6" s="390"/>
      <c r="CM6" s="390"/>
      <c r="CN6" s="390"/>
      <c r="CO6" s="390"/>
      <c r="CP6" s="390"/>
      <c r="CQ6" s="390"/>
      <c r="CR6" s="390"/>
      <c r="CS6" s="390"/>
      <c r="CT6" s="390"/>
      <c r="CU6" s="390"/>
      <c r="CV6" s="390"/>
      <c r="CW6" s="390"/>
      <c r="CX6" s="390"/>
      <c r="CY6" s="390"/>
      <c r="CZ6" s="390"/>
      <c r="DA6" s="390"/>
      <c r="DB6" s="390"/>
      <c r="DC6" s="390"/>
    </row>
    <row r="7" spans="1:108" s="303" customFormat="1" ht="33.75">
      <c r="A7" s="37"/>
      <c r="B7" s="304" t="s">
        <v>10</v>
      </c>
      <c r="C7" s="301" t="s">
        <v>1326</v>
      </c>
      <c r="D7" s="299" t="s">
        <v>22</v>
      </c>
      <c r="E7" s="305">
        <v>3309.4202638916172</v>
      </c>
      <c r="F7" s="307" t="s">
        <v>65</v>
      </c>
      <c r="G7" s="792">
        <v>0.61494894288925672</v>
      </c>
      <c r="H7" s="299" t="s">
        <v>66</v>
      </c>
      <c r="I7" s="383">
        <v>0.96791276330706777</v>
      </c>
      <c r="J7" s="301" t="s">
        <v>82</v>
      </c>
      <c r="K7" s="299" t="s">
        <v>67</v>
      </c>
      <c r="L7" s="299" t="s">
        <v>14</v>
      </c>
      <c r="M7" s="299" t="s">
        <v>88</v>
      </c>
      <c r="N7" s="309">
        <v>1356.7496619042902</v>
      </c>
      <c r="O7" s="308">
        <v>378.20601053847685</v>
      </c>
      <c r="P7" s="300">
        <v>1288.9121788090754</v>
      </c>
      <c r="Q7" s="300" t="s">
        <v>871</v>
      </c>
      <c r="R7" s="37"/>
      <c r="S7" s="299" t="s">
        <v>44</v>
      </c>
      <c r="T7" s="299" t="s">
        <v>63</v>
      </c>
      <c r="U7" s="299" t="s">
        <v>69</v>
      </c>
      <c r="V7" s="299" t="s">
        <v>69</v>
      </c>
      <c r="W7" s="299" t="s">
        <v>76</v>
      </c>
      <c r="X7" s="37"/>
      <c r="Y7" s="37"/>
      <c r="Z7" s="299" t="s">
        <v>77</v>
      </c>
      <c r="AA7" s="299">
        <v>4</v>
      </c>
      <c r="AB7" s="37"/>
      <c r="AC7" s="300">
        <v>2.1800000000000002</v>
      </c>
      <c r="AD7" s="299" t="s">
        <v>72</v>
      </c>
      <c r="AE7" s="299" t="s">
        <v>64</v>
      </c>
      <c r="AF7" s="393"/>
      <c r="AG7" s="393"/>
      <c r="AH7" s="393"/>
      <c r="AI7" s="393"/>
      <c r="AJ7" s="393"/>
      <c r="AK7" s="393"/>
      <c r="AL7" s="393"/>
      <c r="AM7" s="393"/>
      <c r="AN7" s="393"/>
      <c r="AO7" s="393"/>
      <c r="AP7" s="393"/>
      <c r="AQ7" s="393"/>
      <c r="AR7" s="393"/>
      <c r="AS7" s="393"/>
      <c r="AT7" s="393"/>
      <c r="AU7" s="393"/>
      <c r="AV7" s="393"/>
      <c r="AW7" s="393"/>
      <c r="AX7" s="393"/>
      <c r="AY7" s="393"/>
      <c r="AZ7" s="393"/>
      <c r="BA7" s="393"/>
      <c r="BB7" s="393"/>
      <c r="BC7" s="393"/>
      <c r="BD7" s="393"/>
      <c r="BE7" s="393"/>
      <c r="BF7" s="393"/>
      <c r="BG7" s="393"/>
      <c r="BH7" s="393"/>
      <c r="BI7" s="393"/>
      <c r="BJ7" s="393"/>
      <c r="BK7" s="393"/>
      <c r="BL7" s="393"/>
      <c r="BM7" s="393"/>
      <c r="BN7" s="393"/>
      <c r="BO7" s="393"/>
      <c r="BP7" s="393"/>
      <c r="BQ7" s="393"/>
      <c r="BR7" s="393"/>
      <c r="BS7" s="393"/>
      <c r="BT7" s="393"/>
      <c r="BU7" s="393"/>
      <c r="BV7" s="393"/>
      <c r="BW7" s="393"/>
      <c r="BX7" s="393"/>
      <c r="BY7" s="393"/>
      <c r="BZ7" s="393"/>
      <c r="CA7" s="393"/>
      <c r="CB7" s="393"/>
      <c r="CC7" s="393"/>
      <c r="CD7" s="393"/>
      <c r="CE7" s="393"/>
      <c r="CF7" s="393"/>
      <c r="CG7" s="393"/>
      <c r="CH7" s="393"/>
      <c r="CI7" s="393"/>
      <c r="CJ7" s="390"/>
      <c r="CK7" s="390"/>
      <c r="CL7" s="390"/>
      <c r="CM7" s="390"/>
      <c r="CN7" s="390"/>
      <c r="CO7" s="390"/>
      <c r="CP7" s="390"/>
      <c r="CQ7" s="390"/>
      <c r="CR7" s="390"/>
      <c r="CS7" s="390"/>
      <c r="CT7" s="390"/>
      <c r="CU7" s="390"/>
      <c r="CV7" s="390"/>
      <c r="CW7" s="390"/>
      <c r="CX7" s="390"/>
      <c r="CY7" s="390"/>
      <c r="CZ7" s="390"/>
      <c r="DA7" s="390"/>
      <c r="DB7" s="390"/>
      <c r="DC7" s="390"/>
    </row>
    <row r="8" spans="1:108" s="303" customFormat="1" ht="56.25">
      <c r="A8" s="37"/>
      <c r="B8" s="304" t="s">
        <v>10</v>
      </c>
      <c r="C8" s="301" t="s">
        <v>1326</v>
      </c>
      <c r="D8" s="299" t="s">
        <v>22</v>
      </c>
      <c r="E8" s="305">
        <v>3309.4202638916172</v>
      </c>
      <c r="F8" s="307" t="s">
        <v>27</v>
      </c>
      <c r="G8" s="793">
        <v>0.15216081547975951</v>
      </c>
      <c r="H8" s="299" t="s">
        <v>66</v>
      </c>
      <c r="I8" s="383">
        <v>0.98905998299780551</v>
      </c>
      <c r="J8" s="301" t="s">
        <v>1097</v>
      </c>
      <c r="K8" s="299" t="s">
        <v>66</v>
      </c>
      <c r="L8" s="299" t="s">
        <v>848</v>
      </c>
      <c r="M8" s="299" t="s">
        <v>88</v>
      </c>
      <c r="N8" s="309">
        <v>125.97754456859941</v>
      </c>
      <c r="O8" s="308">
        <v>95.626576599389395</v>
      </c>
      <c r="P8" s="300">
        <v>80.570253779038296</v>
      </c>
      <c r="Q8" s="300">
        <v>95.626576599389395</v>
      </c>
      <c r="R8" s="37"/>
      <c r="S8" s="299" t="s">
        <v>69</v>
      </c>
      <c r="T8" s="299" t="s">
        <v>69</v>
      </c>
      <c r="U8" s="299" t="s">
        <v>69</v>
      </c>
      <c r="V8" s="299" t="s">
        <v>69</v>
      </c>
      <c r="W8" s="299" t="s">
        <v>76</v>
      </c>
      <c r="X8" s="37"/>
      <c r="Y8" s="37"/>
      <c r="Z8" s="299" t="s">
        <v>78</v>
      </c>
      <c r="AA8" s="299" t="s">
        <v>78</v>
      </c>
      <c r="AB8" s="37"/>
      <c r="AC8" s="300">
        <v>2.1800000000000002</v>
      </c>
      <c r="AD8" s="299" t="s">
        <v>72</v>
      </c>
      <c r="AE8" s="299" t="s">
        <v>73</v>
      </c>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c r="CI8" s="393"/>
      <c r="CJ8" s="390"/>
      <c r="CK8" s="390"/>
      <c r="CL8" s="390"/>
      <c r="CM8" s="390"/>
      <c r="CN8" s="390"/>
      <c r="CO8" s="390"/>
      <c r="CP8" s="390"/>
      <c r="CQ8" s="390"/>
      <c r="CR8" s="390"/>
      <c r="CS8" s="390"/>
      <c r="CT8" s="390"/>
      <c r="CU8" s="390"/>
      <c r="CV8" s="390"/>
      <c r="CW8" s="390"/>
      <c r="CX8" s="390"/>
      <c r="CY8" s="390"/>
      <c r="CZ8" s="390"/>
      <c r="DA8" s="390"/>
      <c r="DB8" s="390"/>
      <c r="DC8" s="390"/>
    </row>
    <row r="9" spans="1:108" s="303" customFormat="1" ht="56.25">
      <c r="A9" s="37"/>
      <c r="B9" s="304" t="s">
        <v>10</v>
      </c>
      <c r="C9" s="301" t="s">
        <v>1326</v>
      </c>
      <c r="D9" s="299" t="s">
        <v>22</v>
      </c>
      <c r="E9" s="305">
        <v>3309.4202638916172</v>
      </c>
      <c r="F9" s="307" t="s">
        <v>27</v>
      </c>
      <c r="G9" s="793">
        <v>0.15216081547975951</v>
      </c>
      <c r="H9" s="299" t="s">
        <v>66</v>
      </c>
      <c r="I9" s="383">
        <v>0.98905998299780551</v>
      </c>
      <c r="J9" s="301" t="s">
        <v>1097</v>
      </c>
      <c r="K9" s="299" t="s">
        <v>66</v>
      </c>
      <c r="L9" s="299" t="s">
        <v>15</v>
      </c>
      <c r="M9" s="299" t="s">
        <v>88</v>
      </c>
      <c r="N9" s="309">
        <v>141.66657692476136</v>
      </c>
      <c r="O9" s="308">
        <v>95.626576599389395</v>
      </c>
      <c r="P9" s="300">
        <v>88.123715070823152</v>
      </c>
      <c r="Q9" s="300">
        <v>95.626576599389395</v>
      </c>
      <c r="R9" s="37"/>
      <c r="S9" s="299" t="s">
        <v>44</v>
      </c>
      <c r="T9" s="299" t="s">
        <v>63</v>
      </c>
      <c r="U9" s="299" t="s">
        <v>69</v>
      </c>
      <c r="V9" s="299" t="s">
        <v>69</v>
      </c>
      <c r="W9" s="299" t="s">
        <v>76</v>
      </c>
      <c r="X9" s="37"/>
      <c r="Y9" s="37"/>
      <c r="Z9" s="299" t="s">
        <v>78</v>
      </c>
      <c r="AA9" s="299" t="s">
        <v>78</v>
      </c>
      <c r="AB9" s="37"/>
      <c r="AC9" s="300">
        <v>2.1800000000000002</v>
      </c>
      <c r="AD9" s="299" t="s">
        <v>72</v>
      </c>
      <c r="AE9" s="299" t="s">
        <v>45</v>
      </c>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393"/>
      <c r="CJ9" s="390"/>
      <c r="CK9" s="390"/>
      <c r="CL9" s="390"/>
      <c r="CM9" s="390"/>
      <c r="CN9" s="390"/>
      <c r="CO9" s="390"/>
      <c r="CP9" s="390"/>
      <c r="CQ9" s="390"/>
      <c r="CR9" s="390"/>
      <c r="CS9" s="390"/>
      <c r="CT9" s="390"/>
      <c r="CU9" s="390"/>
      <c r="CV9" s="390"/>
      <c r="CW9" s="390"/>
      <c r="CX9" s="390"/>
      <c r="CY9" s="390"/>
      <c r="CZ9" s="390"/>
      <c r="DA9" s="390"/>
      <c r="DB9" s="390"/>
      <c r="DC9" s="390"/>
    </row>
    <row r="10" spans="1:108" s="303" customFormat="1" ht="33.75">
      <c r="A10" s="37"/>
      <c r="B10" s="304" t="s">
        <v>10</v>
      </c>
      <c r="C10" s="301" t="s">
        <v>1326</v>
      </c>
      <c r="D10" s="299" t="s">
        <v>22</v>
      </c>
      <c r="E10" s="305">
        <v>3309.4202638916172</v>
      </c>
      <c r="F10" s="307" t="s">
        <v>13</v>
      </c>
      <c r="G10" s="793">
        <v>9.7597657036142427E-2</v>
      </c>
      <c r="H10" s="299" t="s">
        <v>66</v>
      </c>
      <c r="I10" s="383">
        <v>0.99097623145175151</v>
      </c>
      <c r="J10" s="301" t="s">
        <v>82</v>
      </c>
      <c r="K10" s="299" t="s">
        <v>67</v>
      </c>
      <c r="L10" s="299" t="s">
        <v>14</v>
      </c>
      <c r="M10" s="299" t="s">
        <v>88</v>
      </c>
      <c r="N10" s="309">
        <v>59.629230259154603</v>
      </c>
      <c r="O10" s="308">
        <v>61.454795882049204</v>
      </c>
      <c r="P10" s="300">
        <v>59.629230259154603</v>
      </c>
      <c r="Q10" s="300" t="s">
        <v>871</v>
      </c>
      <c r="R10" s="37"/>
      <c r="S10" s="299" t="s">
        <v>44</v>
      </c>
      <c r="T10" s="299" t="s">
        <v>63</v>
      </c>
      <c r="U10" s="299" t="s">
        <v>69</v>
      </c>
      <c r="V10" s="299" t="s">
        <v>69</v>
      </c>
      <c r="W10" s="299" t="s">
        <v>76</v>
      </c>
      <c r="X10" s="37"/>
      <c r="Y10" s="37"/>
      <c r="Z10" s="299" t="s">
        <v>78</v>
      </c>
      <c r="AA10" s="299">
        <v>2</v>
      </c>
      <c r="AB10" s="37"/>
      <c r="AC10" s="300">
        <v>2.1800000000000002</v>
      </c>
      <c r="AD10" s="299" t="s">
        <v>72</v>
      </c>
      <c r="AE10" s="299" t="s">
        <v>64</v>
      </c>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393"/>
      <c r="BL10" s="393"/>
      <c r="BM10" s="393"/>
      <c r="BN10" s="393"/>
      <c r="BO10" s="393"/>
      <c r="BP10" s="393"/>
      <c r="BQ10" s="393"/>
      <c r="BR10" s="393"/>
      <c r="BS10" s="393"/>
      <c r="BT10" s="393"/>
      <c r="BU10" s="393"/>
      <c r="BV10" s="393"/>
      <c r="BW10" s="393"/>
      <c r="BX10" s="393"/>
      <c r="BY10" s="393"/>
      <c r="BZ10" s="393"/>
      <c r="CA10" s="393"/>
      <c r="CB10" s="393"/>
      <c r="CC10" s="393"/>
      <c r="CD10" s="393"/>
      <c r="CE10" s="393"/>
      <c r="CF10" s="393"/>
      <c r="CG10" s="393"/>
      <c r="CH10" s="393"/>
      <c r="CI10" s="393"/>
      <c r="CJ10" s="390"/>
      <c r="CK10" s="390"/>
      <c r="CL10" s="390"/>
      <c r="CM10" s="390"/>
      <c r="CN10" s="390"/>
      <c r="CO10" s="390"/>
      <c r="CP10" s="390"/>
      <c r="CQ10" s="390"/>
      <c r="CR10" s="390"/>
      <c r="CS10" s="390"/>
      <c r="CT10" s="390"/>
      <c r="CU10" s="390"/>
      <c r="CV10" s="390"/>
      <c r="CW10" s="390"/>
      <c r="CX10" s="390"/>
      <c r="CY10" s="390"/>
      <c r="CZ10" s="390"/>
      <c r="DA10" s="390"/>
      <c r="DB10" s="390"/>
      <c r="DC10" s="390"/>
    </row>
    <row r="11" spans="1:108" s="303" customFormat="1" ht="33.75">
      <c r="A11" s="37"/>
      <c r="B11" s="304" t="s">
        <v>10</v>
      </c>
      <c r="C11" s="301" t="s">
        <v>1326</v>
      </c>
      <c r="D11" s="299" t="s">
        <v>22</v>
      </c>
      <c r="E11" s="305">
        <v>3309.4202638916172</v>
      </c>
      <c r="F11" s="307" t="s">
        <v>79</v>
      </c>
      <c r="G11" s="793">
        <v>5.9613916853857467E-2</v>
      </c>
      <c r="H11" s="299" t="s">
        <v>66</v>
      </c>
      <c r="I11" s="383">
        <v>0.95442163215725395</v>
      </c>
      <c r="J11" s="307" t="s">
        <v>1284</v>
      </c>
      <c r="K11" s="299" t="s">
        <v>67</v>
      </c>
      <c r="L11" s="299" t="s">
        <v>17</v>
      </c>
      <c r="M11" s="299" t="s">
        <v>88</v>
      </c>
      <c r="N11" s="309">
        <v>131.52500296407061</v>
      </c>
      <c r="O11" s="308">
        <v>36.152728703555312</v>
      </c>
      <c r="P11" s="300">
        <v>124.94875281586708</v>
      </c>
      <c r="Q11" s="300" t="s">
        <v>871</v>
      </c>
      <c r="R11" s="37"/>
      <c r="S11" s="299" t="s">
        <v>44</v>
      </c>
      <c r="T11" s="299" t="s">
        <v>74</v>
      </c>
      <c r="U11" s="299" t="s">
        <v>69</v>
      </c>
      <c r="V11" s="299" t="s">
        <v>69</v>
      </c>
      <c r="W11" s="299" t="s">
        <v>76</v>
      </c>
      <c r="X11" s="37"/>
      <c r="Y11" s="37"/>
      <c r="Z11" s="299" t="s">
        <v>78</v>
      </c>
      <c r="AA11" s="299" t="s">
        <v>78</v>
      </c>
      <c r="AB11" s="37"/>
      <c r="AC11" s="300">
        <v>2.1800000000000002</v>
      </c>
      <c r="AD11" s="299" t="s">
        <v>72</v>
      </c>
      <c r="AE11" s="299" t="s">
        <v>64</v>
      </c>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c r="CA11" s="393"/>
      <c r="CB11" s="393"/>
      <c r="CC11" s="393"/>
      <c r="CD11" s="393"/>
      <c r="CE11" s="393"/>
      <c r="CF11" s="393"/>
      <c r="CG11" s="393"/>
      <c r="CH11" s="393"/>
      <c r="CI11" s="393"/>
      <c r="CJ11" s="390"/>
      <c r="CK11" s="390"/>
      <c r="CL11" s="390"/>
      <c r="CM11" s="390"/>
      <c r="CN11" s="390"/>
      <c r="CO11" s="390"/>
      <c r="CP11" s="390"/>
      <c r="CQ11" s="390"/>
      <c r="CR11" s="390"/>
      <c r="CS11" s="390"/>
      <c r="CT11" s="390"/>
      <c r="CU11" s="390"/>
      <c r="CV11" s="390"/>
      <c r="CW11" s="390"/>
      <c r="CX11" s="390"/>
      <c r="CY11" s="390"/>
      <c r="CZ11" s="390"/>
      <c r="DA11" s="390"/>
      <c r="DB11" s="390"/>
      <c r="DC11" s="390"/>
    </row>
    <row r="12" spans="1:108" s="303" customFormat="1" ht="33.75">
      <c r="A12" s="37"/>
      <c r="B12" s="304" t="s">
        <v>10</v>
      </c>
      <c r="C12" s="301" t="s">
        <v>1326</v>
      </c>
      <c r="D12" s="299" t="s">
        <v>22</v>
      </c>
      <c r="E12" s="305">
        <v>3309.4202638916172</v>
      </c>
      <c r="F12" s="307" t="s">
        <v>79</v>
      </c>
      <c r="G12" s="793">
        <v>5.9613916853857467E-2</v>
      </c>
      <c r="H12" s="299" t="s">
        <v>66</v>
      </c>
      <c r="I12" s="383">
        <v>0.95442163215725395</v>
      </c>
      <c r="J12" s="307" t="s">
        <v>1284</v>
      </c>
      <c r="K12" s="299" t="s">
        <v>67</v>
      </c>
      <c r="L12" s="299" t="s">
        <v>1360</v>
      </c>
      <c r="M12" s="299" t="s">
        <v>88</v>
      </c>
      <c r="N12" s="309">
        <v>123.63350278622639</v>
      </c>
      <c r="O12" s="308">
        <v>36.152728703555312</v>
      </c>
      <c r="P12" s="300">
        <v>115.08437759356178</v>
      </c>
      <c r="Q12" s="300" t="s">
        <v>871</v>
      </c>
      <c r="R12" s="37"/>
      <c r="S12" s="299" t="s">
        <v>68</v>
      </c>
      <c r="T12" s="299" t="s">
        <v>74</v>
      </c>
      <c r="U12" s="299" t="s">
        <v>69</v>
      </c>
      <c r="V12" s="299" t="s">
        <v>69</v>
      </c>
      <c r="W12" s="299" t="s">
        <v>70</v>
      </c>
      <c r="X12" s="37"/>
      <c r="Y12" s="37"/>
      <c r="Z12" s="299" t="s">
        <v>78</v>
      </c>
      <c r="AA12" s="299" t="s">
        <v>78</v>
      </c>
      <c r="AB12" s="37"/>
      <c r="AC12" s="300">
        <v>2.1800000000000002</v>
      </c>
      <c r="AD12" s="299" t="s">
        <v>72</v>
      </c>
      <c r="AE12" s="299" t="s">
        <v>73</v>
      </c>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c r="CA12" s="393"/>
      <c r="CB12" s="393"/>
      <c r="CC12" s="393"/>
      <c r="CD12" s="393"/>
      <c r="CE12" s="393"/>
      <c r="CF12" s="393"/>
      <c r="CG12" s="393"/>
      <c r="CH12" s="393"/>
      <c r="CI12" s="393"/>
      <c r="CJ12" s="390"/>
      <c r="CK12" s="390"/>
      <c r="CL12" s="390"/>
      <c r="CM12" s="390"/>
      <c r="CN12" s="390"/>
      <c r="CO12" s="390"/>
      <c r="CP12" s="390"/>
      <c r="CQ12" s="390"/>
      <c r="CR12" s="390"/>
      <c r="CS12" s="390"/>
      <c r="CT12" s="390"/>
      <c r="CU12" s="390"/>
      <c r="CV12" s="390"/>
      <c r="CW12" s="390"/>
      <c r="CX12" s="390"/>
      <c r="CY12" s="390"/>
      <c r="CZ12" s="390"/>
      <c r="DA12" s="390"/>
      <c r="DB12" s="390"/>
      <c r="DC12" s="390"/>
    </row>
    <row r="13" spans="1:108" s="303" customFormat="1" ht="33.75">
      <c r="A13" s="37"/>
      <c r="B13" s="304" t="s">
        <v>10</v>
      </c>
      <c r="C13" s="301" t="s">
        <v>1326</v>
      </c>
      <c r="D13" s="299" t="s">
        <v>22</v>
      </c>
      <c r="E13" s="305">
        <v>3309.4202638916172</v>
      </c>
      <c r="F13" s="307" t="s">
        <v>81</v>
      </c>
      <c r="G13" s="793">
        <v>3.6223539603964204E-2</v>
      </c>
      <c r="H13" s="299" t="s">
        <v>66</v>
      </c>
      <c r="I13" s="383">
        <v>0.93960197208728269</v>
      </c>
      <c r="J13" s="307" t="s">
        <v>81</v>
      </c>
      <c r="K13" s="299" t="s">
        <v>66</v>
      </c>
      <c r="L13" s="299" t="s">
        <v>16</v>
      </c>
      <c r="M13" s="299" t="s">
        <v>88</v>
      </c>
      <c r="N13" s="309">
        <v>75.923313463651795</v>
      </c>
      <c r="O13" s="308">
        <v>21.626585449116074</v>
      </c>
      <c r="P13" s="300">
        <v>75.923313463651795</v>
      </c>
      <c r="Q13" s="300">
        <v>21.626585449116074</v>
      </c>
      <c r="R13" s="37"/>
      <c r="S13" s="299" t="s">
        <v>44</v>
      </c>
      <c r="T13" s="299" t="s">
        <v>63</v>
      </c>
      <c r="U13" s="299" t="s">
        <v>69</v>
      </c>
      <c r="V13" s="299" t="s">
        <v>69</v>
      </c>
      <c r="W13" s="299" t="s">
        <v>76</v>
      </c>
      <c r="X13" s="37"/>
      <c r="Y13" s="37"/>
      <c r="Z13" s="299" t="s">
        <v>78</v>
      </c>
      <c r="AA13" s="299" t="s">
        <v>78</v>
      </c>
      <c r="AB13" s="37"/>
      <c r="AC13" s="300">
        <v>2.1800000000000002</v>
      </c>
      <c r="AD13" s="299" t="s">
        <v>72</v>
      </c>
      <c r="AE13" s="299" t="s">
        <v>73</v>
      </c>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c r="CA13" s="393"/>
      <c r="CB13" s="393"/>
      <c r="CC13" s="393"/>
      <c r="CD13" s="393"/>
      <c r="CE13" s="393"/>
      <c r="CF13" s="393"/>
      <c r="CG13" s="393"/>
      <c r="CH13" s="393"/>
      <c r="CI13" s="393"/>
      <c r="CJ13" s="390"/>
      <c r="CK13" s="390"/>
      <c r="CL13" s="390"/>
      <c r="CM13" s="390"/>
      <c r="CN13" s="390"/>
      <c r="CO13" s="390"/>
      <c r="CP13" s="390"/>
      <c r="CQ13" s="390"/>
      <c r="CR13" s="390"/>
      <c r="CS13" s="390"/>
      <c r="CT13" s="390"/>
      <c r="CU13" s="390"/>
      <c r="CV13" s="390"/>
      <c r="CW13" s="390"/>
      <c r="CX13" s="390"/>
      <c r="CY13" s="390"/>
      <c r="CZ13" s="390"/>
      <c r="DA13" s="390"/>
      <c r="DB13" s="390"/>
      <c r="DC13" s="390"/>
    </row>
    <row r="14" spans="1:108" s="303" customFormat="1" ht="33.75">
      <c r="A14" s="37"/>
      <c r="B14" s="304" t="s">
        <v>10</v>
      </c>
      <c r="C14" s="301" t="s">
        <v>1326</v>
      </c>
      <c r="D14" s="299" t="s">
        <v>22</v>
      </c>
      <c r="E14" s="305">
        <v>3309.4202638916172</v>
      </c>
      <c r="F14" s="307" t="s">
        <v>81</v>
      </c>
      <c r="G14" s="793">
        <v>3.6223539603964204E-2</v>
      </c>
      <c r="H14" s="299" t="s">
        <v>66</v>
      </c>
      <c r="I14" s="383">
        <v>0.93960197208728269</v>
      </c>
      <c r="J14" s="307" t="s">
        <v>81</v>
      </c>
      <c r="K14" s="299" t="s">
        <v>66</v>
      </c>
      <c r="L14" s="299" t="s">
        <v>1367</v>
      </c>
      <c r="M14" s="299" t="s">
        <v>88</v>
      </c>
      <c r="N14" s="309">
        <v>69.929367663889806</v>
      </c>
      <c r="O14" s="308">
        <v>21.626585449116074</v>
      </c>
      <c r="P14" s="300">
        <v>69.929367663889806</v>
      </c>
      <c r="Q14" s="300">
        <v>21.626585449116074</v>
      </c>
      <c r="R14" s="37"/>
      <c r="S14" s="299" t="s">
        <v>68</v>
      </c>
      <c r="T14" s="299" t="s">
        <v>74</v>
      </c>
      <c r="U14" s="299" t="s">
        <v>69</v>
      </c>
      <c r="V14" s="299" t="s">
        <v>69</v>
      </c>
      <c r="W14" s="299" t="s">
        <v>70</v>
      </c>
      <c r="X14" s="37"/>
      <c r="Y14" s="37"/>
      <c r="Z14" s="299" t="s">
        <v>78</v>
      </c>
      <c r="AA14" s="299" t="s">
        <v>78</v>
      </c>
      <c r="AB14" s="37"/>
      <c r="AC14" s="300">
        <v>2.1800000000000002</v>
      </c>
      <c r="AD14" s="299" t="s">
        <v>72</v>
      </c>
      <c r="AE14" s="299" t="s">
        <v>73</v>
      </c>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c r="CA14" s="393"/>
      <c r="CB14" s="393"/>
      <c r="CC14" s="393"/>
      <c r="CD14" s="393"/>
      <c r="CE14" s="393"/>
      <c r="CF14" s="393"/>
      <c r="CG14" s="393"/>
      <c r="CH14" s="393"/>
      <c r="CI14" s="393"/>
      <c r="CJ14" s="390"/>
      <c r="CK14" s="390"/>
      <c r="CL14" s="390"/>
      <c r="CM14" s="390"/>
      <c r="CN14" s="390"/>
      <c r="CO14" s="390"/>
      <c r="CP14" s="390"/>
      <c r="CQ14" s="390"/>
      <c r="CR14" s="390"/>
      <c r="CS14" s="390"/>
      <c r="CT14" s="390"/>
      <c r="CU14" s="390"/>
      <c r="CV14" s="390"/>
      <c r="CW14" s="390"/>
      <c r="CX14" s="390"/>
      <c r="CY14" s="390"/>
      <c r="CZ14" s="390"/>
      <c r="DA14" s="390"/>
      <c r="DB14" s="390"/>
      <c r="DC14" s="390"/>
    </row>
    <row r="15" spans="1:108" s="303" customFormat="1" ht="33.75">
      <c r="A15" s="37"/>
      <c r="B15" s="304" t="s">
        <v>10</v>
      </c>
      <c r="C15" s="301" t="s">
        <v>1326</v>
      </c>
      <c r="D15" s="299" t="s">
        <v>22</v>
      </c>
      <c r="E15" s="305">
        <v>3309.4202638916172</v>
      </c>
      <c r="F15" s="307" t="s">
        <v>82</v>
      </c>
      <c r="G15" s="793">
        <v>2.4891525462739306E-2</v>
      </c>
      <c r="H15" s="299" t="s">
        <v>66</v>
      </c>
      <c r="I15" s="383">
        <v>0.90806830870899968</v>
      </c>
      <c r="J15" s="301" t="s">
        <v>82</v>
      </c>
      <c r="K15" s="299" t="s">
        <v>67</v>
      </c>
      <c r="L15" s="299" t="s">
        <v>13</v>
      </c>
      <c r="M15" s="299" t="s">
        <v>88</v>
      </c>
      <c r="N15" s="309">
        <v>48.052969279912119</v>
      </c>
      <c r="O15" s="308">
        <v>14.362273165973862</v>
      </c>
      <c r="P15" s="300">
        <v>48.052969279912119</v>
      </c>
      <c r="Q15" s="300" t="s">
        <v>871</v>
      </c>
      <c r="R15" s="37"/>
      <c r="S15" s="299" t="s">
        <v>68</v>
      </c>
      <c r="T15" s="299" t="s">
        <v>63</v>
      </c>
      <c r="U15" s="299" t="s">
        <v>69</v>
      </c>
      <c r="V15" s="299" t="s">
        <v>69</v>
      </c>
      <c r="W15" s="299" t="s">
        <v>70</v>
      </c>
      <c r="X15" s="37"/>
      <c r="Y15" s="37"/>
      <c r="Z15" s="299" t="s">
        <v>78</v>
      </c>
      <c r="AA15" s="299">
        <v>7</v>
      </c>
      <c r="AB15" s="37"/>
      <c r="AC15" s="300">
        <v>2.1800000000000002</v>
      </c>
      <c r="AD15" s="299" t="s">
        <v>72</v>
      </c>
      <c r="AE15" s="299" t="s">
        <v>73</v>
      </c>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c r="CA15" s="393"/>
      <c r="CB15" s="393"/>
      <c r="CC15" s="393"/>
      <c r="CD15" s="393"/>
      <c r="CE15" s="393"/>
      <c r="CF15" s="393"/>
      <c r="CG15" s="393"/>
      <c r="CH15" s="393"/>
      <c r="CI15" s="393"/>
      <c r="CJ15" s="390"/>
      <c r="CK15" s="390"/>
      <c r="CL15" s="390"/>
      <c r="CM15" s="390"/>
      <c r="CN15" s="390"/>
      <c r="CO15" s="390"/>
      <c r="CP15" s="390"/>
      <c r="CQ15" s="390"/>
      <c r="CR15" s="390"/>
      <c r="CS15" s="390"/>
      <c r="CT15" s="390"/>
      <c r="CU15" s="390"/>
      <c r="CV15" s="390"/>
      <c r="CW15" s="390"/>
      <c r="CX15" s="390"/>
      <c r="CY15" s="390"/>
      <c r="CZ15" s="390"/>
      <c r="DA15" s="390"/>
      <c r="DB15" s="390"/>
      <c r="DC15" s="390"/>
    </row>
    <row r="16" spans="1:108" s="303" customFormat="1" ht="33.75">
      <c r="A16" s="37"/>
      <c r="B16" s="304" t="s">
        <v>10</v>
      </c>
      <c r="C16" s="301" t="s">
        <v>1326</v>
      </c>
      <c r="D16" s="299" t="s">
        <v>22</v>
      </c>
      <c r="E16" s="305">
        <v>3309.4202638916172</v>
      </c>
      <c r="F16" s="307" t="s">
        <v>82</v>
      </c>
      <c r="G16" s="793">
        <v>2.4891525462739306E-2</v>
      </c>
      <c r="H16" s="299" t="s">
        <v>66</v>
      </c>
      <c r="I16" s="383">
        <v>0.90806830870899968</v>
      </c>
      <c r="J16" s="301" t="s">
        <v>82</v>
      </c>
      <c r="K16" s="299" t="s">
        <v>67</v>
      </c>
      <c r="L16" s="299" t="s">
        <v>14</v>
      </c>
      <c r="M16" s="299" t="s">
        <v>88</v>
      </c>
      <c r="N16" s="309">
        <v>52.171795218190304</v>
      </c>
      <c r="O16" s="308">
        <v>14.362273165973862</v>
      </c>
      <c r="P16" s="300">
        <v>52.171795218190304</v>
      </c>
      <c r="Q16" s="300" t="s">
        <v>871</v>
      </c>
      <c r="R16" s="37"/>
      <c r="S16" s="299" t="s">
        <v>44</v>
      </c>
      <c r="T16" s="299" t="s">
        <v>63</v>
      </c>
      <c r="U16" s="299" t="s">
        <v>69</v>
      </c>
      <c r="V16" s="299" t="s">
        <v>69</v>
      </c>
      <c r="W16" s="299" t="s">
        <v>76</v>
      </c>
      <c r="X16" s="37"/>
      <c r="Y16" s="37"/>
      <c r="Z16" s="299" t="s">
        <v>78</v>
      </c>
      <c r="AA16" s="299" t="s">
        <v>78</v>
      </c>
      <c r="AB16" s="37"/>
      <c r="AC16" s="300">
        <v>2.1800000000000002</v>
      </c>
      <c r="AD16" s="299" t="s">
        <v>72</v>
      </c>
      <c r="AE16" s="299" t="s">
        <v>73</v>
      </c>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c r="CA16" s="393"/>
      <c r="CB16" s="393"/>
      <c r="CC16" s="393"/>
      <c r="CD16" s="393"/>
      <c r="CE16" s="393"/>
      <c r="CF16" s="393"/>
      <c r="CG16" s="393"/>
      <c r="CH16" s="393"/>
      <c r="CI16" s="393"/>
      <c r="CJ16" s="390"/>
      <c r="CK16" s="390"/>
      <c r="CL16" s="390"/>
      <c r="CM16" s="390"/>
      <c r="CN16" s="390"/>
      <c r="CO16" s="390"/>
      <c r="CP16" s="390"/>
      <c r="CQ16" s="390"/>
      <c r="CR16" s="390"/>
      <c r="CS16" s="390"/>
      <c r="CT16" s="390"/>
      <c r="CU16" s="390"/>
      <c r="CV16" s="390"/>
      <c r="CW16" s="390"/>
      <c r="CX16" s="390"/>
      <c r="CY16" s="390"/>
      <c r="CZ16" s="390"/>
      <c r="DA16" s="390"/>
      <c r="DB16" s="390"/>
      <c r="DC16" s="390"/>
    </row>
    <row r="17" spans="1:107" s="316" customFormat="1" ht="33.75">
      <c r="A17" s="37"/>
      <c r="B17" s="315" t="s">
        <v>10</v>
      </c>
      <c r="C17" s="310" t="s">
        <v>1326</v>
      </c>
      <c r="D17" s="310" t="s">
        <v>21</v>
      </c>
      <c r="E17" s="312">
        <v>4365.0457202778744</v>
      </c>
      <c r="F17" s="313" t="s">
        <v>65</v>
      </c>
      <c r="G17" s="794">
        <v>0.54971491087736157</v>
      </c>
      <c r="H17" s="310" t="s">
        <v>66</v>
      </c>
      <c r="I17" s="382">
        <v>0.83173735899321444</v>
      </c>
      <c r="J17" s="310" t="s">
        <v>82</v>
      </c>
      <c r="K17" s="310" t="s">
        <v>83</v>
      </c>
      <c r="L17" s="310" t="s">
        <v>13</v>
      </c>
      <c r="M17" s="310" t="s">
        <v>88</v>
      </c>
      <c r="N17" s="314">
        <v>1503.7059173015139</v>
      </c>
      <c r="O17" s="314">
        <v>383.1896338801522</v>
      </c>
      <c r="P17" s="311">
        <v>1399.7262528072602</v>
      </c>
      <c r="Q17" s="311" t="s">
        <v>871</v>
      </c>
      <c r="R17" s="37"/>
      <c r="S17" s="310" t="s">
        <v>68</v>
      </c>
      <c r="T17" s="310" t="s">
        <v>63</v>
      </c>
      <c r="U17" s="310" t="s">
        <v>69</v>
      </c>
      <c r="V17" s="310" t="s">
        <v>69</v>
      </c>
      <c r="W17" s="310" t="s">
        <v>70</v>
      </c>
      <c r="X17" s="37"/>
      <c r="Y17" s="37"/>
      <c r="Z17" s="310" t="s">
        <v>78</v>
      </c>
      <c r="AA17" s="310" t="s">
        <v>78</v>
      </c>
      <c r="AB17" s="37"/>
      <c r="AC17" s="311">
        <v>2.1800000000000002</v>
      </c>
      <c r="AD17" s="310" t="s">
        <v>72</v>
      </c>
      <c r="AE17" s="310" t="s">
        <v>73</v>
      </c>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c r="CA17" s="393"/>
      <c r="CB17" s="393"/>
      <c r="CC17" s="393"/>
      <c r="CD17" s="393"/>
      <c r="CE17" s="393"/>
      <c r="CF17" s="393"/>
      <c r="CG17" s="393"/>
      <c r="CH17" s="393"/>
      <c r="CI17" s="393"/>
      <c r="CJ17" s="391"/>
      <c r="CK17" s="391"/>
      <c r="CL17" s="391"/>
      <c r="CM17" s="391"/>
      <c r="CN17" s="391"/>
      <c r="CO17" s="391"/>
      <c r="CP17" s="391"/>
      <c r="CQ17" s="391"/>
      <c r="CR17" s="391"/>
      <c r="CS17" s="391"/>
      <c r="CT17" s="391"/>
      <c r="CU17" s="391"/>
      <c r="CV17" s="391"/>
      <c r="CW17" s="391"/>
      <c r="CX17" s="391"/>
      <c r="CY17" s="391"/>
      <c r="CZ17" s="391"/>
      <c r="DA17" s="391"/>
      <c r="DB17" s="391"/>
      <c r="DC17" s="391"/>
    </row>
    <row r="18" spans="1:107" s="316" customFormat="1" ht="33.75">
      <c r="A18" s="37"/>
      <c r="B18" s="315" t="s">
        <v>10</v>
      </c>
      <c r="C18" s="310" t="s">
        <v>1326</v>
      </c>
      <c r="D18" s="310" t="s">
        <v>21</v>
      </c>
      <c r="E18" s="312">
        <v>4365.0457202778744</v>
      </c>
      <c r="F18" s="313" t="s">
        <v>65</v>
      </c>
      <c r="G18" s="794">
        <v>0.54971491087736157</v>
      </c>
      <c r="H18" s="310" t="s">
        <v>66</v>
      </c>
      <c r="I18" s="382">
        <v>0.83173735899321444</v>
      </c>
      <c r="J18" s="310" t="s">
        <v>82</v>
      </c>
      <c r="K18" s="310" t="s">
        <v>83</v>
      </c>
      <c r="L18" s="310" t="s">
        <v>14</v>
      </c>
      <c r="M18" s="310" t="s">
        <v>88</v>
      </c>
      <c r="N18" s="314">
        <v>1599.6871460654402</v>
      </c>
      <c r="O18" s="314">
        <v>383.1896338801522</v>
      </c>
      <c r="P18" s="311">
        <v>1519.7027887621682</v>
      </c>
      <c r="Q18" s="311" t="s">
        <v>871</v>
      </c>
      <c r="R18" s="37"/>
      <c r="S18" s="310" t="s">
        <v>44</v>
      </c>
      <c r="T18" s="310" t="s">
        <v>63</v>
      </c>
      <c r="U18" s="310" t="s">
        <v>69</v>
      </c>
      <c r="V18" s="310" t="s">
        <v>69</v>
      </c>
      <c r="W18" s="310" t="s">
        <v>76</v>
      </c>
      <c r="X18" s="37"/>
      <c r="Y18" s="37"/>
      <c r="Z18" s="310" t="s">
        <v>78</v>
      </c>
      <c r="AA18" s="310" t="s">
        <v>78</v>
      </c>
      <c r="AB18" s="37"/>
      <c r="AC18" s="311">
        <v>2.1800000000000002</v>
      </c>
      <c r="AD18" s="310" t="s">
        <v>72</v>
      </c>
      <c r="AE18" s="310" t="s">
        <v>73</v>
      </c>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c r="CA18" s="393"/>
      <c r="CB18" s="393"/>
      <c r="CC18" s="393"/>
      <c r="CD18" s="393"/>
      <c r="CE18" s="393"/>
      <c r="CF18" s="393"/>
      <c r="CG18" s="393"/>
      <c r="CH18" s="393"/>
      <c r="CI18" s="393"/>
      <c r="CJ18" s="391"/>
      <c r="CK18" s="391"/>
      <c r="CL18" s="391"/>
      <c r="CM18" s="391"/>
      <c r="CN18" s="391"/>
      <c r="CO18" s="391"/>
      <c r="CP18" s="391"/>
      <c r="CQ18" s="391"/>
      <c r="CR18" s="391"/>
      <c r="CS18" s="391"/>
      <c r="CT18" s="391"/>
      <c r="CU18" s="391"/>
      <c r="CV18" s="391"/>
      <c r="CW18" s="391"/>
      <c r="CX18" s="391"/>
      <c r="CY18" s="391"/>
      <c r="CZ18" s="391"/>
      <c r="DA18" s="391"/>
      <c r="DB18" s="391"/>
      <c r="DC18" s="391"/>
    </row>
    <row r="19" spans="1:107" s="316" customFormat="1" ht="33.75">
      <c r="A19" s="37"/>
      <c r="B19" s="315" t="s">
        <v>10</v>
      </c>
      <c r="C19" s="310" t="s">
        <v>1326</v>
      </c>
      <c r="D19" s="310" t="s">
        <v>21</v>
      </c>
      <c r="E19" s="312">
        <v>4365.0457202778744</v>
      </c>
      <c r="F19" s="313" t="s">
        <v>13</v>
      </c>
      <c r="G19" s="794">
        <v>0.12179507578868444</v>
      </c>
      <c r="H19" s="310" t="s">
        <v>66</v>
      </c>
      <c r="I19" s="382">
        <v>0.97122031669892828</v>
      </c>
      <c r="J19" s="310" t="s">
        <v>82</v>
      </c>
      <c r="K19" s="310" t="s">
        <v>83</v>
      </c>
      <c r="L19" s="310" t="s">
        <v>14</v>
      </c>
      <c r="M19" s="310" t="s">
        <v>88</v>
      </c>
      <c r="N19" s="314">
        <v>98.149121413350727</v>
      </c>
      <c r="O19" s="314">
        <v>99.137397614107897</v>
      </c>
      <c r="P19" s="311">
        <v>98.149121413350727</v>
      </c>
      <c r="Q19" s="311" t="s">
        <v>871</v>
      </c>
      <c r="R19" s="37"/>
      <c r="S19" s="310" t="s">
        <v>44</v>
      </c>
      <c r="T19" s="310" t="s">
        <v>63</v>
      </c>
      <c r="U19" s="310" t="s">
        <v>69</v>
      </c>
      <c r="V19" s="310" t="s">
        <v>69</v>
      </c>
      <c r="W19" s="310" t="s">
        <v>76</v>
      </c>
      <c r="X19" s="37"/>
      <c r="Y19" s="37"/>
      <c r="Z19" s="310" t="s">
        <v>78</v>
      </c>
      <c r="AA19" s="310" t="s">
        <v>78</v>
      </c>
      <c r="AB19" s="37"/>
      <c r="AC19" s="311">
        <v>2.1800000000000002</v>
      </c>
      <c r="AD19" s="310" t="s">
        <v>72</v>
      </c>
      <c r="AE19" s="310" t="s">
        <v>73</v>
      </c>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c r="CA19" s="393"/>
      <c r="CB19" s="393"/>
      <c r="CC19" s="393"/>
      <c r="CD19" s="393"/>
      <c r="CE19" s="393"/>
      <c r="CF19" s="393"/>
      <c r="CG19" s="393"/>
      <c r="CH19" s="393"/>
      <c r="CI19" s="393"/>
      <c r="CJ19" s="391"/>
      <c r="CK19" s="391"/>
      <c r="CL19" s="391"/>
      <c r="CM19" s="391"/>
      <c r="CN19" s="391"/>
      <c r="CO19" s="391"/>
      <c r="CP19" s="391"/>
      <c r="CQ19" s="391"/>
      <c r="CR19" s="391"/>
      <c r="CS19" s="391"/>
      <c r="CT19" s="391"/>
      <c r="CU19" s="391"/>
      <c r="CV19" s="391"/>
      <c r="CW19" s="391"/>
      <c r="CX19" s="391"/>
      <c r="CY19" s="391"/>
      <c r="CZ19" s="391"/>
      <c r="DA19" s="391"/>
      <c r="DB19" s="391"/>
      <c r="DC19" s="391"/>
    </row>
    <row r="20" spans="1:107" s="316" customFormat="1" ht="33.75">
      <c r="A20" s="37"/>
      <c r="B20" s="315" t="s">
        <v>10</v>
      </c>
      <c r="C20" s="310" t="s">
        <v>1326</v>
      </c>
      <c r="D20" s="310" t="s">
        <v>21</v>
      </c>
      <c r="E20" s="312">
        <v>4365.0457202778744</v>
      </c>
      <c r="F20" s="313" t="s">
        <v>82</v>
      </c>
      <c r="G20" s="794">
        <v>3.217924971583911E-2</v>
      </c>
      <c r="H20" s="310" t="s">
        <v>66</v>
      </c>
      <c r="I20" s="382">
        <v>0.56697952405620355</v>
      </c>
      <c r="J20" s="310" t="s">
        <v>82</v>
      </c>
      <c r="K20" s="310" t="s">
        <v>83</v>
      </c>
      <c r="L20" s="310" t="s">
        <v>13</v>
      </c>
      <c r="M20" s="310" t="s">
        <v>88</v>
      </c>
      <c r="N20" s="314">
        <v>81.937272814761286</v>
      </c>
      <c r="O20" s="314">
        <v>15.290909384659747</v>
      </c>
      <c r="P20" s="311">
        <v>81.937272814761286</v>
      </c>
      <c r="Q20" s="311" t="s">
        <v>871</v>
      </c>
      <c r="R20" s="37"/>
      <c r="S20" s="310" t="s">
        <v>68</v>
      </c>
      <c r="T20" s="310" t="s">
        <v>63</v>
      </c>
      <c r="U20" s="310" t="s">
        <v>69</v>
      </c>
      <c r="V20" s="310" t="s">
        <v>69</v>
      </c>
      <c r="W20" s="310" t="s">
        <v>70</v>
      </c>
      <c r="X20" s="37"/>
      <c r="Y20" s="37"/>
      <c r="Z20" s="310" t="s">
        <v>78</v>
      </c>
      <c r="AA20" s="310">
        <v>7</v>
      </c>
      <c r="AB20" s="37"/>
      <c r="AC20" s="311">
        <v>2.1800000000000002</v>
      </c>
      <c r="AD20" s="310" t="s">
        <v>72</v>
      </c>
      <c r="AE20" s="310" t="s">
        <v>73</v>
      </c>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c r="CA20" s="393"/>
      <c r="CB20" s="393"/>
      <c r="CC20" s="393"/>
      <c r="CD20" s="393"/>
      <c r="CE20" s="393"/>
      <c r="CF20" s="393"/>
      <c r="CG20" s="393"/>
      <c r="CH20" s="393"/>
      <c r="CI20" s="393"/>
      <c r="CJ20" s="391"/>
      <c r="CK20" s="391"/>
      <c r="CL20" s="391"/>
      <c r="CM20" s="391"/>
      <c r="CN20" s="391"/>
      <c r="CO20" s="391"/>
      <c r="CP20" s="391"/>
      <c r="CQ20" s="391"/>
      <c r="CR20" s="391"/>
      <c r="CS20" s="391"/>
      <c r="CT20" s="391"/>
      <c r="CU20" s="391"/>
      <c r="CV20" s="391"/>
      <c r="CW20" s="391"/>
      <c r="CX20" s="391"/>
      <c r="CY20" s="391"/>
      <c r="CZ20" s="391"/>
      <c r="DA20" s="391"/>
      <c r="DB20" s="391"/>
      <c r="DC20" s="391"/>
    </row>
    <row r="21" spans="1:107" s="316" customFormat="1" ht="33.75">
      <c r="A21" s="37"/>
      <c r="B21" s="315" t="s">
        <v>10</v>
      </c>
      <c r="C21" s="310" t="s">
        <v>1326</v>
      </c>
      <c r="D21" s="310" t="s">
        <v>21</v>
      </c>
      <c r="E21" s="312">
        <v>4365.0457202778744</v>
      </c>
      <c r="F21" s="313" t="s">
        <v>82</v>
      </c>
      <c r="G21" s="794">
        <v>3.217924971583911E-2</v>
      </c>
      <c r="H21" s="310" t="s">
        <v>66</v>
      </c>
      <c r="I21" s="382">
        <v>0.56697952405620355</v>
      </c>
      <c r="J21" s="310" t="s">
        <v>82</v>
      </c>
      <c r="K21" s="310" t="s">
        <v>83</v>
      </c>
      <c r="L21" s="310" t="s">
        <v>14</v>
      </c>
      <c r="M21" s="310" t="s">
        <v>88</v>
      </c>
      <c r="N21" s="314">
        <v>88.960467627455117</v>
      </c>
      <c r="O21" s="314">
        <v>15.290909384659747</v>
      </c>
      <c r="P21" s="311">
        <v>88.960467627455117</v>
      </c>
      <c r="Q21" s="311" t="s">
        <v>871</v>
      </c>
      <c r="R21" s="37"/>
      <c r="S21" s="310" t="s">
        <v>44</v>
      </c>
      <c r="T21" s="310" t="s">
        <v>63</v>
      </c>
      <c r="U21" s="310" t="s">
        <v>69</v>
      </c>
      <c r="V21" s="310" t="s">
        <v>69</v>
      </c>
      <c r="W21" s="310" t="s">
        <v>76</v>
      </c>
      <c r="X21" s="37"/>
      <c r="Y21" s="37"/>
      <c r="Z21" s="310" t="s">
        <v>78</v>
      </c>
      <c r="AA21" s="310" t="s">
        <v>78</v>
      </c>
      <c r="AB21" s="37"/>
      <c r="AC21" s="311">
        <v>2.1800000000000002</v>
      </c>
      <c r="AD21" s="310" t="s">
        <v>72</v>
      </c>
      <c r="AE21" s="310" t="s">
        <v>73</v>
      </c>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c r="CA21" s="393"/>
      <c r="CB21" s="393"/>
      <c r="CC21" s="393"/>
      <c r="CD21" s="393"/>
      <c r="CE21" s="393"/>
      <c r="CF21" s="393"/>
      <c r="CG21" s="393"/>
      <c r="CH21" s="393"/>
      <c r="CI21" s="393"/>
      <c r="CJ21" s="391"/>
      <c r="CK21" s="391"/>
      <c r="CL21" s="391"/>
      <c r="CM21" s="391"/>
      <c r="CN21" s="391"/>
      <c r="CO21" s="391"/>
      <c r="CP21" s="391"/>
      <c r="CQ21" s="391"/>
      <c r="CR21" s="391"/>
      <c r="CS21" s="391"/>
      <c r="CT21" s="391"/>
      <c r="CU21" s="391"/>
      <c r="CV21" s="391"/>
      <c r="CW21" s="391"/>
      <c r="CX21" s="391"/>
      <c r="CY21" s="391"/>
      <c r="CZ21" s="391"/>
      <c r="DA21" s="391"/>
      <c r="DB21" s="391"/>
      <c r="DC21" s="391"/>
    </row>
    <row r="22" spans="1:107" s="316" customFormat="1" ht="56.25">
      <c r="A22" s="37"/>
      <c r="B22" s="315" t="s">
        <v>10</v>
      </c>
      <c r="C22" s="310" t="s">
        <v>1326</v>
      </c>
      <c r="D22" s="310" t="s">
        <v>21</v>
      </c>
      <c r="E22" s="312">
        <v>4365.0457202778744</v>
      </c>
      <c r="F22" s="313" t="s">
        <v>27</v>
      </c>
      <c r="G22" s="794">
        <v>7.0869457393587729E-2</v>
      </c>
      <c r="H22" s="310" t="s">
        <v>66</v>
      </c>
      <c r="I22" s="382">
        <v>0.99576144146646928</v>
      </c>
      <c r="J22" s="310" t="s">
        <v>1097</v>
      </c>
      <c r="K22" s="310" t="s">
        <v>66</v>
      </c>
      <c r="L22" s="310" t="s">
        <v>848</v>
      </c>
      <c r="M22" s="310" t="s">
        <v>88</v>
      </c>
      <c r="N22" s="314">
        <v>77.390258073349472</v>
      </c>
      <c r="O22" s="314">
        <v>59.143148217924228</v>
      </c>
      <c r="P22" s="311">
        <v>49.495747471087235</v>
      </c>
      <c r="Q22" s="311">
        <v>59.143148217924228</v>
      </c>
      <c r="R22" s="37"/>
      <c r="S22" s="310" t="s">
        <v>69</v>
      </c>
      <c r="T22" s="310" t="s">
        <v>69</v>
      </c>
      <c r="U22" s="310" t="s">
        <v>69</v>
      </c>
      <c r="V22" s="310" t="s">
        <v>69</v>
      </c>
      <c r="W22" s="310" t="s">
        <v>76</v>
      </c>
      <c r="X22" s="37"/>
      <c r="Y22" s="37"/>
      <c r="Z22" s="310" t="s">
        <v>78</v>
      </c>
      <c r="AA22" s="310" t="s">
        <v>78</v>
      </c>
      <c r="AB22" s="37"/>
      <c r="AC22" s="311">
        <v>2.1800000000000002</v>
      </c>
      <c r="AD22" s="310" t="s">
        <v>72</v>
      </c>
      <c r="AE22" s="310" t="s">
        <v>73</v>
      </c>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c r="CA22" s="393"/>
      <c r="CB22" s="393"/>
      <c r="CC22" s="393"/>
      <c r="CD22" s="393"/>
      <c r="CE22" s="393"/>
      <c r="CF22" s="393"/>
      <c r="CG22" s="393"/>
      <c r="CH22" s="393"/>
      <c r="CI22" s="393"/>
      <c r="CJ22" s="391"/>
      <c r="CK22" s="391"/>
      <c r="CL22" s="391"/>
      <c r="CM22" s="391"/>
      <c r="CN22" s="391"/>
      <c r="CO22" s="391"/>
      <c r="CP22" s="391"/>
      <c r="CQ22" s="391"/>
      <c r="CR22" s="391"/>
      <c r="CS22" s="391"/>
      <c r="CT22" s="391"/>
      <c r="CU22" s="391"/>
      <c r="CV22" s="391"/>
      <c r="CW22" s="391"/>
      <c r="CX22" s="391"/>
      <c r="CY22" s="391"/>
      <c r="CZ22" s="391"/>
      <c r="DA22" s="391"/>
      <c r="DB22" s="391"/>
      <c r="DC22" s="391"/>
    </row>
    <row r="23" spans="1:107" s="316" customFormat="1" ht="56.25">
      <c r="A23" s="37"/>
      <c r="B23" s="315" t="s">
        <v>10</v>
      </c>
      <c r="C23" s="310" t="s">
        <v>1326</v>
      </c>
      <c r="D23" s="310" t="s">
        <v>21</v>
      </c>
      <c r="E23" s="312">
        <v>4365.0457202778744</v>
      </c>
      <c r="F23" s="313" t="s">
        <v>27</v>
      </c>
      <c r="G23" s="794">
        <v>7.0869457393587729E-2</v>
      </c>
      <c r="H23" s="310" t="s">
        <v>66</v>
      </c>
      <c r="I23" s="382">
        <v>0.99576144146646928</v>
      </c>
      <c r="J23" s="310" t="s">
        <v>1097</v>
      </c>
      <c r="K23" s="310" t="s">
        <v>66</v>
      </c>
      <c r="L23" s="310" t="s">
        <v>15</v>
      </c>
      <c r="M23" s="310" t="s">
        <v>88</v>
      </c>
      <c r="N23" s="314">
        <v>87.028311165449054</v>
      </c>
      <c r="O23" s="314">
        <v>59.143148217924228</v>
      </c>
      <c r="P23" s="311">
        <v>54.135973796501673</v>
      </c>
      <c r="Q23" s="311">
        <v>59.143148217924228</v>
      </c>
      <c r="R23" s="37"/>
      <c r="S23" s="310" t="s">
        <v>44</v>
      </c>
      <c r="T23" s="310" t="s">
        <v>63</v>
      </c>
      <c r="U23" s="310" t="s">
        <v>69</v>
      </c>
      <c r="V23" s="310" t="s">
        <v>69</v>
      </c>
      <c r="W23" s="310" t="s">
        <v>76</v>
      </c>
      <c r="X23" s="37"/>
      <c r="Y23" s="37"/>
      <c r="Z23" s="310" t="s">
        <v>78</v>
      </c>
      <c r="AA23" s="310" t="s">
        <v>78</v>
      </c>
      <c r="AB23" s="37"/>
      <c r="AC23" s="311">
        <v>2.1800000000000002</v>
      </c>
      <c r="AD23" s="310" t="s">
        <v>72</v>
      </c>
      <c r="AE23" s="310" t="s">
        <v>73</v>
      </c>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c r="CA23" s="393"/>
      <c r="CB23" s="393"/>
      <c r="CC23" s="393"/>
      <c r="CD23" s="393"/>
      <c r="CE23" s="393"/>
      <c r="CF23" s="393"/>
      <c r="CG23" s="393"/>
      <c r="CH23" s="393"/>
      <c r="CI23" s="393"/>
      <c r="CJ23" s="391"/>
      <c r="CK23" s="391"/>
      <c r="CL23" s="391"/>
      <c r="CM23" s="391"/>
      <c r="CN23" s="391"/>
      <c r="CO23" s="391"/>
      <c r="CP23" s="391"/>
      <c r="CQ23" s="391"/>
      <c r="CR23" s="391"/>
      <c r="CS23" s="391"/>
      <c r="CT23" s="391"/>
      <c r="CU23" s="391"/>
      <c r="CV23" s="391"/>
      <c r="CW23" s="391"/>
      <c r="CX23" s="391"/>
      <c r="CY23" s="391"/>
      <c r="CZ23" s="391"/>
      <c r="DA23" s="391"/>
      <c r="DB23" s="391"/>
      <c r="DC23" s="391"/>
    </row>
    <row r="24" spans="1:107" s="316" customFormat="1" ht="33.75">
      <c r="A24" s="37"/>
      <c r="B24" s="315" t="s">
        <v>10</v>
      </c>
      <c r="C24" s="310" t="s">
        <v>1326</v>
      </c>
      <c r="D24" s="310" t="s">
        <v>21</v>
      </c>
      <c r="E24" s="312">
        <v>4365.0457202778744</v>
      </c>
      <c r="F24" s="313" t="s">
        <v>81</v>
      </c>
      <c r="G24" s="794">
        <v>9.6635226804767327E-2</v>
      </c>
      <c r="H24" s="310" t="s">
        <v>66</v>
      </c>
      <c r="I24" s="382">
        <v>0.58869517583389164</v>
      </c>
      <c r="J24" s="313" t="s">
        <v>81</v>
      </c>
      <c r="K24" s="310" t="s">
        <v>66</v>
      </c>
      <c r="L24" s="310" t="s">
        <v>16</v>
      </c>
      <c r="M24" s="310" t="s">
        <v>88</v>
      </c>
      <c r="N24" s="314">
        <v>267.15088268841322</v>
      </c>
      <c r="O24" s="314">
        <v>47.677774239188643</v>
      </c>
      <c r="P24" s="311">
        <v>267.15088268841322</v>
      </c>
      <c r="Q24" s="311">
        <v>47.677774239188643</v>
      </c>
      <c r="R24" s="37"/>
      <c r="S24" s="310" t="s">
        <v>44</v>
      </c>
      <c r="T24" s="310" t="s">
        <v>63</v>
      </c>
      <c r="U24" s="310" t="s">
        <v>69</v>
      </c>
      <c r="V24" s="310" t="s">
        <v>69</v>
      </c>
      <c r="W24" s="310" t="s">
        <v>76</v>
      </c>
      <c r="X24" s="37"/>
      <c r="Y24" s="37"/>
      <c r="Z24" s="310" t="s">
        <v>78</v>
      </c>
      <c r="AA24" s="310" t="s">
        <v>78</v>
      </c>
      <c r="AB24" s="37"/>
      <c r="AC24" s="311">
        <v>2.1800000000000002</v>
      </c>
      <c r="AD24" s="310" t="s">
        <v>72</v>
      </c>
      <c r="AE24" s="310" t="s">
        <v>73</v>
      </c>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c r="CA24" s="393"/>
      <c r="CB24" s="393"/>
      <c r="CC24" s="393"/>
      <c r="CD24" s="393"/>
      <c r="CE24" s="393"/>
      <c r="CF24" s="393"/>
      <c r="CG24" s="393"/>
      <c r="CH24" s="393"/>
      <c r="CI24" s="393"/>
      <c r="CJ24" s="391"/>
      <c r="CK24" s="391"/>
      <c r="CL24" s="391"/>
      <c r="CM24" s="391"/>
      <c r="CN24" s="391"/>
      <c r="CO24" s="391"/>
      <c r="CP24" s="391"/>
      <c r="CQ24" s="391"/>
      <c r="CR24" s="391"/>
      <c r="CS24" s="391"/>
      <c r="CT24" s="391"/>
      <c r="CU24" s="391"/>
      <c r="CV24" s="391"/>
      <c r="CW24" s="391"/>
      <c r="CX24" s="391"/>
      <c r="CY24" s="391"/>
      <c r="CZ24" s="391"/>
      <c r="DA24" s="391"/>
      <c r="DB24" s="391"/>
      <c r="DC24" s="391"/>
    </row>
    <row r="25" spans="1:107" s="316" customFormat="1" ht="33.75">
      <c r="A25" s="37"/>
      <c r="B25" s="315" t="s">
        <v>10</v>
      </c>
      <c r="C25" s="310" t="s">
        <v>1326</v>
      </c>
      <c r="D25" s="310" t="s">
        <v>21</v>
      </c>
      <c r="E25" s="312">
        <v>4365.0457202778744</v>
      </c>
      <c r="F25" s="313" t="s">
        <v>81</v>
      </c>
      <c r="G25" s="794">
        <v>9.6635226804767327E-2</v>
      </c>
      <c r="H25" s="310" t="s">
        <v>66</v>
      </c>
      <c r="I25" s="382">
        <v>0.58869517583389164</v>
      </c>
      <c r="J25" s="313" t="s">
        <v>81</v>
      </c>
      <c r="K25" s="310" t="s">
        <v>66</v>
      </c>
      <c r="L25" s="310" t="s">
        <v>1367</v>
      </c>
      <c r="M25" s="310" t="s">
        <v>88</v>
      </c>
      <c r="N25" s="314">
        <v>246.06002352880165</v>
      </c>
      <c r="O25" s="314">
        <v>47.677774239188643</v>
      </c>
      <c r="P25" s="311">
        <v>246.06002352880165</v>
      </c>
      <c r="Q25" s="311">
        <v>47.677774239188643</v>
      </c>
      <c r="R25" s="37"/>
      <c r="S25" s="310" t="s">
        <v>68</v>
      </c>
      <c r="T25" s="310" t="s">
        <v>74</v>
      </c>
      <c r="U25" s="310" t="s">
        <v>69</v>
      </c>
      <c r="V25" s="310" t="s">
        <v>69</v>
      </c>
      <c r="W25" s="310" t="s">
        <v>70</v>
      </c>
      <c r="X25" s="37"/>
      <c r="Y25" s="37"/>
      <c r="Z25" s="310" t="s">
        <v>78</v>
      </c>
      <c r="AA25" s="310" t="s">
        <v>78</v>
      </c>
      <c r="AB25" s="37"/>
      <c r="AC25" s="311">
        <v>2.1800000000000002</v>
      </c>
      <c r="AD25" s="310" t="s">
        <v>72</v>
      </c>
      <c r="AE25" s="310" t="s">
        <v>73</v>
      </c>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c r="CA25" s="393"/>
      <c r="CB25" s="393"/>
      <c r="CC25" s="393"/>
      <c r="CD25" s="393"/>
      <c r="CE25" s="393"/>
      <c r="CF25" s="393"/>
      <c r="CG25" s="393"/>
      <c r="CH25" s="393"/>
      <c r="CI25" s="393"/>
      <c r="CJ25" s="391"/>
      <c r="CK25" s="391"/>
      <c r="CL25" s="391"/>
      <c r="CM25" s="391"/>
      <c r="CN25" s="391"/>
      <c r="CO25" s="391"/>
      <c r="CP25" s="391"/>
      <c r="CQ25" s="391"/>
      <c r="CR25" s="391"/>
      <c r="CS25" s="391"/>
      <c r="CT25" s="391"/>
      <c r="CU25" s="391"/>
      <c r="CV25" s="391"/>
      <c r="CW25" s="391"/>
      <c r="CX25" s="391"/>
      <c r="CY25" s="391"/>
      <c r="CZ25" s="391"/>
      <c r="DA25" s="391"/>
      <c r="DB25" s="391"/>
      <c r="DC25" s="391"/>
    </row>
    <row r="26" spans="1:107" s="316" customFormat="1" ht="33.75">
      <c r="A26" s="37"/>
      <c r="B26" s="315" t="s">
        <v>10</v>
      </c>
      <c r="C26" s="310" t="s">
        <v>1326</v>
      </c>
      <c r="D26" s="310" t="s">
        <v>21</v>
      </c>
      <c r="E26" s="312">
        <v>4365.0457202778744</v>
      </c>
      <c r="F26" s="313" t="s">
        <v>79</v>
      </c>
      <c r="G26" s="794">
        <v>0.11432595370565281</v>
      </c>
      <c r="H26" s="310" t="s">
        <v>66</v>
      </c>
      <c r="I26" s="382">
        <v>0.75253699191248458</v>
      </c>
      <c r="J26" s="313" t="s">
        <v>1284</v>
      </c>
      <c r="K26" s="310" t="s">
        <v>83</v>
      </c>
      <c r="L26" s="310" t="s">
        <v>17</v>
      </c>
      <c r="M26" s="310" t="s">
        <v>88</v>
      </c>
      <c r="N26" s="314">
        <v>332.69200995969754</v>
      </c>
      <c r="O26" s="314">
        <v>72.104556789616055</v>
      </c>
      <c r="P26" s="311">
        <v>316.05740946171261</v>
      </c>
      <c r="Q26" s="311" t="s">
        <v>871</v>
      </c>
      <c r="R26" s="37"/>
      <c r="S26" s="310" t="s">
        <v>44</v>
      </c>
      <c r="T26" s="310" t="s">
        <v>74</v>
      </c>
      <c r="U26" s="310" t="s">
        <v>69</v>
      </c>
      <c r="V26" s="310" t="s">
        <v>69</v>
      </c>
      <c r="W26" s="310" t="s">
        <v>76</v>
      </c>
      <c r="X26" s="37"/>
      <c r="Y26" s="37"/>
      <c r="Z26" s="310" t="s">
        <v>78</v>
      </c>
      <c r="AA26" s="310" t="s">
        <v>78</v>
      </c>
      <c r="AB26" s="37"/>
      <c r="AC26" s="311">
        <v>2.1800000000000002</v>
      </c>
      <c r="AD26" s="310" t="s">
        <v>72</v>
      </c>
      <c r="AE26" s="310" t="s">
        <v>73</v>
      </c>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c r="CA26" s="393"/>
      <c r="CB26" s="393"/>
      <c r="CC26" s="393"/>
      <c r="CD26" s="393"/>
      <c r="CE26" s="393"/>
      <c r="CF26" s="393"/>
      <c r="CG26" s="393"/>
      <c r="CH26" s="393"/>
      <c r="CI26" s="393"/>
      <c r="CJ26" s="391"/>
      <c r="CK26" s="391"/>
      <c r="CL26" s="391"/>
      <c r="CM26" s="391"/>
      <c r="CN26" s="391"/>
      <c r="CO26" s="391"/>
      <c r="CP26" s="391"/>
      <c r="CQ26" s="391"/>
      <c r="CR26" s="391"/>
      <c r="CS26" s="391"/>
      <c r="CT26" s="391"/>
      <c r="CU26" s="391"/>
      <c r="CV26" s="391"/>
      <c r="CW26" s="391"/>
      <c r="CX26" s="391"/>
      <c r="CY26" s="391"/>
      <c r="CZ26" s="391"/>
      <c r="DA26" s="391"/>
      <c r="DB26" s="391"/>
      <c r="DC26" s="391"/>
    </row>
    <row r="27" spans="1:107" s="316" customFormat="1" ht="33.75">
      <c r="A27" s="37"/>
      <c r="B27" s="315" t="s">
        <v>10</v>
      </c>
      <c r="C27" s="310" t="s">
        <v>1326</v>
      </c>
      <c r="D27" s="310" t="s">
        <v>21</v>
      </c>
      <c r="E27" s="312">
        <v>4365.0457202778744</v>
      </c>
      <c r="F27" s="313" t="s">
        <v>79</v>
      </c>
      <c r="G27" s="794">
        <v>0.11432595370565281</v>
      </c>
      <c r="H27" s="310" t="s">
        <v>66</v>
      </c>
      <c r="I27" s="382">
        <v>0.75253699191248458</v>
      </c>
      <c r="J27" s="313" t="s">
        <v>1284</v>
      </c>
      <c r="K27" s="310" t="s">
        <v>83</v>
      </c>
      <c r="L27" s="310" t="s">
        <v>1360</v>
      </c>
      <c r="M27" s="310" t="s">
        <v>88</v>
      </c>
      <c r="N27" s="314">
        <v>312.73048936211563</v>
      </c>
      <c r="O27" s="314">
        <v>72.104556789616055</v>
      </c>
      <c r="P27" s="311">
        <v>291.10550871473532</v>
      </c>
      <c r="Q27" s="311" t="s">
        <v>871</v>
      </c>
      <c r="R27" s="37"/>
      <c r="S27" s="310" t="s">
        <v>68</v>
      </c>
      <c r="T27" s="310" t="s">
        <v>63</v>
      </c>
      <c r="U27" s="310" t="s">
        <v>69</v>
      </c>
      <c r="V27" s="310" t="s">
        <v>69</v>
      </c>
      <c r="W27" s="310" t="s">
        <v>70</v>
      </c>
      <c r="X27" s="37"/>
      <c r="Y27" s="37"/>
      <c r="Z27" s="310" t="s">
        <v>78</v>
      </c>
      <c r="AA27" s="310" t="s">
        <v>78</v>
      </c>
      <c r="AB27" s="37"/>
      <c r="AC27" s="311">
        <v>2.1800000000000002</v>
      </c>
      <c r="AD27" s="310" t="s">
        <v>72</v>
      </c>
      <c r="AE27" s="310" t="s">
        <v>73</v>
      </c>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c r="CH27" s="393"/>
      <c r="CI27" s="393"/>
      <c r="CJ27" s="391"/>
      <c r="CK27" s="391"/>
      <c r="CL27" s="391"/>
      <c r="CM27" s="391"/>
      <c r="CN27" s="391"/>
      <c r="CO27" s="391"/>
      <c r="CP27" s="391"/>
      <c r="CQ27" s="391"/>
      <c r="CR27" s="391"/>
      <c r="CS27" s="391"/>
      <c r="CT27" s="391"/>
      <c r="CU27" s="391"/>
      <c r="CV27" s="391"/>
      <c r="CW27" s="391"/>
      <c r="CX27" s="391"/>
      <c r="CY27" s="391"/>
      <c r="CZ27" s="391"/>
      <c r="DA27" s="391"/>
      <c r="DB27" s="391"/>
      <c r="DC27" s="391"/>
    </row>
    <row r="28" spans="1:107" s="303" customFormat="1" ht="33.75">
      <c r="A28" s="37"/>
      <c r="B28" s="304" t="s">
        <v>10</v>
      </c>
      <c r="C28" s="299" t="s">
        <v>1326</v>
      </c>
      <c r="D28" s="304" t="s">
        <v>20</v>
      </c>
      <c r="E28" s="306">
        <v>2115.3347415816575</v>
      </c>
      <c r="F28" s="307" t="s">
        <v>82</v>
      </c>
      <c r="G28" s="793">
        <v>0.20302828447077934</v>
      </c>
      <c r="H28" s="299" t="s">
        <v>66</v>
      </c>
      <c r="I28" s="381">
        <v>0.52254601892817343</v>
      </c>
      <c r="J28" s="307" t="s">
        <v>82</v>
      </c>
      <c r="K28" s="299" t="s">
        <v>1362</v>
      </c>
      <c r="L28" s="299" t="s">
        <v>14</v>
      </c>
      <c r="M28" s="299" t="s">
        <v>88</v>
      </c>
      <c r="N28" s="300">
        <v>271.99942965435008</v>
      </c>
      <c r="O28" s="300">
        <v>43.08850432166836</v>
      </c>
      <c r="P28" s="300">
        <v>271.99942965435008</v>
      </c>
      <c r="Q28" s="300" t="s">
        <v>871</v>
      </c>
      <c r="R28" s="37"/>
      <c r="S28" s="299" t="s">
        <v>44</v>
      </c>
      <c r="T28" s="299" t="s">
        <v>63</v>
      </c>
      <c r="U28" s="299" t="s">
        <v>69</v>
      </c>
      <c r="V28" s="299" t="s">
        <v>69</v>
      </c>
      <c r="W28" s="299" t="s">
        <v>1364</v>
      </c>
      <c r="X28" s="37"/>
      <c r="Y28" s="37"/>
      <c r="Z28" s="299" t="s">
        <v>78</v>
      </c>
      <c r="AA28" s="299" t="s">
        <v>78</v>
      </c>
      <c r="AB28" s="37"/>
      <c r="AC28" s="300">
        <v>2.1800000000000002</v>
      </c>
      <c r="AD28" s="299" t="s">
        <v>84</v>
      </c>
      <c r="AE28" s="299" t="s">
        <v>73</v>
      </c>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c r="CA28" s="393"/>
      <c r="CB28" s="393"/>
      <c r="CC28" s="393"/>
      <c r="CD28" s="393"/>
      <c r="CE28" s="393"/>
      <c r="CF28" s="393"/>
      <c r="CG28" s="393"/>
      <c r="CH28" s="393"/>
      <c r="CI28" s="393"/>
      <c r="CJ28" s="390"/>
      <c r="CK28" s="390"/>
      <c r="CL28" s="390"/>
      <c r="CM28" s="390"/>
      <c r="CN28" s="390"/>
      <c r="CO28" s="390"/>
      <c r="CP28" s="390"/>
      <c r="CQ28" s="390"/>
      <c r="CR28" s="390"/>
      <c r="CS28" s="390"/>
      <c r="CT28" s="390"/>
      <c r="CU28" s="390"/>
      <c r="CV28" s="390"/>
      <c r="CW28" s="390"/>
      <c r="CX28" s="390"/>
      <c r="CY28" s="390"/>
      <c r="CZ28" s="390"/>
      <c r="DA28" s="390"/>
      <c r="DB28" s="390"/>
      <c r="DC28" s="390"/>
    </row>
    <row r="29" spans="1:107" s="303" customFormat="1" ht="33.75">
      <c r="A29" s="37"/>
      <c r="B29" s="304" t="s">
        <v>10</v>
      </c>
      <c r="C29" s="299" t="s">
        <v>1326</v>
      </c>
      <c r="D29" s="304" t="s">
        <v>20</v>
      </c>
      <c r="E29" s="306">
        <v>2115.3347415816575</v>
      </c>
      <c r="F29" s="307" t="s">
        <v>82</v>
      </c>
      <c r="G29" s="793">
        <v>0.20302828447077934</v>
      </c>
      <c r="H29" s="299" t="s">
        <v>66</v>
      </c>
      <c r="I29" s="381">
        <v>0.52254601892817343</v>
      </c>
      <c r="J29" s="307" t="s">
        <v>82</v>
      </c>
      <c r="K29" s="299" t="s">
        <v>1362</v>
      </c>
      <c r="L29" s="299" t="s">
        <v>13</v>
      </c>
      <c r="M29" s="299" t="s">
        <v>88</v>
      </c>
      <c r="N29" s="300">
        <v>250.52579047111192</v>
      </c>
      <c r="O29" s="300">
        <v>43.08850432166836</v>
      </c>
      <c r="P29" s="300">
        <v>250.52579047111192</v>
      </c>
      <c r="Q29" s="300" t="s">
        <v>871</v>
      </c>
      <c r="R29" s="37"/>
      <c r="S29" s="299" t="s">
        <v>68</v>
      </c>
      <c r="T29" s="299" t="s">
        <v>63</v>
      </c>
      <c r="U29" s="299" t="s">
        <v>69</v>
      </c>
      <c r="V29" s="299" t="s">
        <v>69</v>
      </c>
      <c r="W29" s="299" t="s">
        <v>70</v>
      </c>
      <c r="X29" s="37"/>
      <c r="Y29" s="37"/>
      <c r="Z29" s="299" t="s">
        <v>78</v>
      </c>
      <c r="AA29" s="299" t="s">
        <v>78</v>
      </c>
      <c r="AB29" s="37"/>
      <c r="AC29" s="300">
        <v>2.1800000000000002</v>
      </c>
      <c r="AD29" s="299" t="s">
        <v>84</v>
      </c>
      <c r="AE29" s="299" t="s">
        <v>73</v>
      </c>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c r="CA29" s="393"/>
      <c r="CB29" s="393"/>
      <c r="CC29" s="393"/>
      <c r="CD29" s="393"/>
      <c r="CE29" s="393"/>
      <c r="CF29" s="393"/>
      <c r="CG29" s="393"/>
      <c r="CH29" s="393"/>
      <c r="CI29" s="393"/>
      <c r="CJ29" s="390"/>
      <c r="CK29" s="390"/>
      <c r="CL29" s="390"/>
      <c r="CM29" s="390"/>
      <c r="CN29" s="390"/>
      <c r="CO29" s="390"/>
      <c r="CP29" s="390"/>
      <c r="CQ29" s="390"/>
      <c r="CR29" s="390"/>
      <c r="CS29" s="390"/>
      <c r="CT29" s="390"/>
      <c r="CU29" s="390"/>
      <c r="CV29" s="390"/>
      <c r="CW29" s="390"/>
      <c r="CX29" s="390"/>
      <c r="CY29" s="390"/>
      <c r="CZ29" s="390"/>
      <c r="DA29" s="390"/>
      <c r="DB29" s="390"/>
      <c r="DC29" s="390"/>
    </row>
    <row r="30" spans="1:107" s="303" customFormat="1" ht="33.75">
      <c r="A30" s="37"/>
      <c r="B30" s="304" t="s">
        <v>10</v>
      </c>
      <c r="C30" s="299" t="s">
        <v>1326</v>
      </c>
      <c r="D30" s="304" t="s">
        <v>20</v>
      </c>
      <c r="E30" s="306">
        <v>2115.3347415816575</v>
      </c>
      <c r="F30" s="307" t="s">
        <v>81</v>
      </c>
      <c r="G30" s="793">
        <v>0.13674984266970341</v>
      </c>
      <c r="H30" s="299" t="s">
        <v>66</v>
      </c>
      <c r="I30" s="381">
        <v>0.54361961048352092</v>
      </c>
      <c r="J30" s="307" t="s">
        <v>82</v>
      </c>
      <c r="K30" s="299" t="s">
        <v>1362</v>
      </c>
      <c r="L30" s="299" t="s">
        <v>16</v>
      </c>
      <c r="M30" s="299" t="s">
        <v>88</v>
      </c>
      <c r="N30" s="300">
        <v>183.20540563319796</v>
      </c>
      <c r="O30" s="300">
        <v>30.192722904897703</v>
      </c>
      <c r="P30" s="300">
        <v>183.20540563319796</v>
      </c>
      <c r="Q30" s="300" t="s">
        <v>871</v>
      </c>
      <c r="R30" s="37"/>
      <c r="S30" s="299" t="s">
        <v>44</v>
      </c>
      <c r="T30" s="299" t="s">
        <v>63</v>
      </c>
      <c r="U30" s="299" t="s">
        <v>69</v>
      </c>
      <c r="V30" s="299" t="s">
        <v>69</v>
      </c>
      <c r="W30" s="299" t="s">
        <v>1364</v>
      </c>
      <c r="X30" s="37"/>
      <c r="Y30" s="37"/>
      <c r="Z30" s="299" t="s">
        <v>78</v>
      </c>
      <c r="AA30" s="299" t="s">
        <v>78</v>
      </c>
      <c r="AB30" s="37"/>
      <c r="AC30" s="300">
        <v>2.1800000000000002</v>
      </c>
      <c r="AD30" s="299" t="s">
        <v>84</v>
      </c>
      <c r="AE30" s="299" t="s">
        <v>73</v>
      </c>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c r="CA30" s="393"/>
      <c r="CB30" s="393"/>
      <c r="CC30" s="393"/>
      <c r="CD30" s="393"/>
      <c r="CE30" s="393"/>
      <c r="CF30" s="393"/>
      <c r="CG30" s="393"/>
      <c r="CH30" s="393"/>
      <c r="CI30" s="393"/>
      <c r="CJ30" s="390"/>
      <c r="CK30" s="390"/>
      <c r="CL30" s="390"/>
      <c r="CM30" s="390"/>
      <c r="CN30" s="390"/>
      <c r="CO30" s="390"/>
      <c r="CP30" s="390"/>
      <c r="CQ30" s="390"/>
      <c r="CR30" s="390"/>
      <c r="CS30" s="390"/>
      <c r="CT30" s="390"/>
      <c r="CU30" s="390"/>
      <c r="CV30" s="390"/>
      <c r="CW30" s="390"/>
      <c r="CX30" s="390"/>
      <c r="CY30" s="390"/>
      <c r="CZ30" s="390"/>
      <c r="DA30" s="390"/>
      <c r="DB30" s="390"/>
      <c r="DC30" s="390"/>
    </row>
    <row r="31" spans="1:107" s="303" customFormat="1" ht="33.75">
      <c r="A31" s="37"/>
      <c r="B31" s="304" t="s">
        <v>10</v>
      </c>
      <c r="C31" s="299" t="s">
        <v>1326</v>
      </c>
      <c r="D31" s="304" t="s">
        <v>20</v>
      </c>
      <c r="E31" s="306">
        <v>2115.3347415816575</v>
      </c>
      <c r="F31" s="307" t="s">
        <v>81</v>
      </c>
      <c r="G31" s="793">
        <v>0.13674984266970341</v>
      </c>
      <c r="H31" s="299" t="s">
        <v>66</v>
      </c>
      <c r="I31" s="381">
        <v>0.54361961048352092</v>
      </c>
      <c r="J31" s="307" t="s">
        <v>82</v>
      </c>
      <c r="K31" s="299" t="s">
        <v>1362</v>
      </c>
      <c r="L31" s="299" t="s">
        <v>1367</v>
      </c>
      <c r="M31" s="299" t="s">
        <v>88</v>
      </c>
      <c r="N31" s="300">
        <v>168.74182097794548</v>
      </c>
      <c r="O31" s="300">
        <v>30.192722904897703</v>
      </c>
      <c r="P31" s="300">
        <v>168.74182097794548</v>
      </c>
      <c r="Q31" s="300" t="s">
        <v>871</v>
      </c>
      <c r="R31" s="37"/>
      <c r="S31" s="299" t="s">
        <v>68</v>
      </c>
      <c r="T31" s="299" t="s">
        <v>74</v>
      </c>
      <c r="U31" s="299" t="s">
        <v>69</v>
      </c>
      <c r="V31" s="299" t="s">
        <v>69</v>
      </c>
      <c r="W31" s="299" t="s">
        <v>70</v>
      </c>
      <c r="X31" s="37"/>
      <c r="Y31" s="37"/>
      <c r="Z31" s="299" t="s">
        <v>78</v>
      </c>
      <c r="AA31" s="299" t="s">
        <v>78</v>
      </c>
      <c r="AB31" s="37"/>
      <c r="AC31" s="300">
        <v>2.1800000000000002</v>
      </c>
      <c r="AD31" s="299" t="s">
        <v>84</v>
      </c>
      <c r="AE31" s="299" t="s">
        <v>73</v>
      </c>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c r="CA31" s="393"/>
      <c r="CB31" s="393"/>
      <c r="CC31" s="393"/>
      <c r="CD31" s="393"/>
      <c r="CE31" s="393"/>
      <c r="CF31" s="393"/>
      <c r="CG31" s="393"/>
      <c r="CH31" s="393"/>
      <c r="CI31" s="393"/>
      <c r="CJ31" s="390"/>
      <c r="CK31" s="390"/>
      <c r="CL31" s="390"/>
      <c r="CM31" s="390"/>
      <c r="CN31" s="390"/>
      <c r="CO31" s="390"/>
      <c r="CP31" s="390"/>
      <c r="CQ31" s="390"/>
      <c r="CR31" s="390"/>
      <c r="CS31" s="390"/>
      <c r="CT31" s="390"/>
      <c r="CU31" s="390"/>
      <c r="CV31" s="390"/>
      <c r="CW31" s="390"/>
      <c r="CX31" s="390"/>
      <c r="CY31" s="390"/>
      <c r="CZ31" s="390"/>
      <c r="DA31" s="390"/>
      <c r="DB31" s="390"/>
      <c r="DC31" s="390"/>
    </row>
    <row r="32" spans="1:107" s="303" customFormat="1" ht="33.75">
      <c r="A32" s="37"/>
      <c r="B32" s="304" t="s">
        <v>10</v>
      </c>
      <c r="C32" s="299" t="s">
        <v>1326</v>
      </c>
      <c r="D32" s="304" t="s">
        <v>20</v>
      </c>
      <c r="E32" s="306">
        <v>2115.3347415816575</v>
      </c>
      <c r="F32" s="307" t="s">
        <v>13</v>
      </c>
      <c r="G32" s="793">
        <v>8.740703310688451E-2</v>
      </c>
      <c r="H32" s="299" t="s">
        <v>66</v>
      </c>
      <c r="I32" s="381">
        <v>0.9134242015753723</v>
      </c>
      <c r="J32" s="307" t="s">
        <v>82</v>
      </c>
      <c r="K32" s="299" t="s">
        <v>1362</v>
      </c>
      <c r="L32" s="299" t="s">
        <v>14</v>
      </c>
      <c r="M32" s="299" t="s">
        <v>88</v>
      </c>
      <c r="N32" s="300">
        <v>34.134486238074636</v>
      </c>
      <c r="O32" s="300">
        <v>32.426436471726809</v>
      </c>
      <c r="P32" s="300">
        <v>34.134486238074636</v>
      </c>
      <c r="Q32" s="300" t="s">
        <v>871</v>
      </c>
      <c r="R32" s="37"/>
      <c r="S32" s="299" t="s">
        <v>44</v>
      </c>
      <c r="T32" s="299" t="s">
        <v>63</v>
      </c>
      <c r="U32" s="299" t="s">
        <v>69</v>
      </c>
      <c r="V32" s="299" t="s">
        <v>69</v>
      </c>
      <c r="W32" s="299" t="s">
        <v>1364</v>
      </c>
      <c r="X32" s="37"/>
      <c r="Y32" s="37"/>
      <c r="Z32" s="299" t="s">
        <v>78</v>
      </c>
      <c r="AA32" s="299" t="s">
        <v>78</v>
      </c>
      <c r="AB32" s="37"/>
      <c r="AC32" s="300">
        <v>2.1800000000000002</v>
      </c>
      <c r="AD32" s="299" t="s">
        <v>84</v>
      </c>
      <c r="AE32" s="299" t="s">
        <v>73</v>
      </c>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c r="CA32" s="393"/>
      <c r="CB32" s="393"/>
      <c r="CC32" s="393"/>
      <c r="CD32" s="393"/>
      <c r="CE32" s="393"/>
      <c r="CF32" s="393"/>
      <c r="CG32" s="393"/>
      <c r="CH32" s="393"/>
      <c r="CI32" s="393"/>
      <c r="CJ32" s="390"/>
      <c r="CK32" s="390"/>
      <c r="CL32" s="390"/>
      <c r="CM32" s="390"/>
      <c r="CN32" s="390"/>
      <c r="CO32" s="390"/>
      <c r="CP32" s="390"/>
      <c r="CQ32" s="390"/>
      <c r="CR32" s="390"/>
      <c r="CS32" s="390"/>
      <c r="CT32" s="390"/>
      <c r="CU32" s="390"/>
      <c r="CV32" s="390"/>
      <c r="CW32" s="390"/>
      <c r="CX32" s="390"/>
      <c r="CY32" s="390"/>
      <c r="CZ32" s="390"/>
      <c r="DA32" s="390"/>
      <c r="DB32" s="390"/>
      <c r="DC32" s="390"/>
    </row>
    <row r="33" spans="1:107" s="303" customFormat="1" ht="56.25">
      <c r="A33" s="37"/>
      <c r="B33" s="304" t="s">
        <v>10</v>
      </c>
      <c r="C33" s="299" t="s">
        <v>1326</v>
      </c>
      <c r="D33" s="304" t="s">
        <v>20</v>
      </c>
      <c r="E33" s="306">
        <v>2115.3347415816575</v>
      </c>
      <c r="F33" s="307" t="s">
        <v>27</v>
      </c>
      <c r="G33" s="793">
        <v>2.3075700539956612E-2</v>
      </c>
      <c r="H33" s="299" t="s">
        <v>66</v>
      </c>
      <c r="I33" s="381">
        <v>0.96280144647984778</v>
      </c>
      <c r="J33" s="307" t="s">
        <v>1097</v>
      </c>
      <c r="K33" s="299" t="s">
        <v>1362</v>
      </c>
      <c r="L33" s="299" t="s">
        <v>15</v>
      </c>
      <c r="M33" s="299" t="s">
        <v>88</v>
      </c>
      <c r="N33" s="300">
        <v>13.732406408342854</v>
      </c>
      <c r="O33" s="300">
        <v>9.0234363514845803</v>
      </c>
      <c r="P33" s="300">
        <v>8.5422454317383458</v>
      </c>
      <c r="Q33" s="300" t="s">
        <v>871</v>
      </c>
      <c r="R33" s="37"/>
      <c r="S33" s="299" t="s">
        <v>44</v>
      </c>
      <c r="T33" s="299" t="s">
        <v>63</v>
      </c>
      <c r="U33" s="299" t="s">
        <v>69</v>
      </c>
      <c r="V33" s="299" t="s">
        <v>69</v>
      </c>
      <c r="W33" s="299" t="s">
        <v>76</v>
      </c>
      <c r="X33" s="37"/>
      <c r="Y33" s="37"/>
      <c r="Z33" s="299" t="s">
        <v>78</v>
      </c>
      <c r="AA33" s="299" t="s">
        <v>78</v>
      </c>
      <c r="AB33" s="37"/>
      <c r="AC33" s="300">
        <v>2.1800000000000002</v>
      </c>
      <c r="AD33" s="299" t="s">
        <v>84</v>
      </c>
      <c r="AE33" s="299" t="s">
        <v>73</v>
      </c>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c r="BS33" s="393"/>
      <c r="BT33" s="393"/>
      <c r="BU33" s="393"/>
      <c r="BV33" s="393"/>
      <c r="BW33" s="393"/>
      <c r="BX33" s="393"/>
      <c r="BY33" s="393"/>
      <c r="BZ33" s="393"/>
      <c r="CA33" s="393"/>
      <c r="CB33" s="393"/>
      <c r="CC33" s="393"/>
      <c r="CD33" s="393"/>
      <c r="CE33" s="393"/>
      <c r="CF33" s="393"/>
      <c r="CG33" s="393"/>
      <c r="CH33" s="393"/>
      <c r="CI33" s="393"/>
      <c r="CJ33" s="390"/>
      <c r="CK33" s="390"/>
      <c r="CL33" s="390"/>
      <c r="CM33" s="390"/>
      <c r="CN33" s="390"/>
      <c r="CO33" s="390"/>
      <c r="CP33" s="390"/>
      <c r="CQ33" s="390"/>
      <c r="CR33" s="390"/>
      <c r="CS33" s="390"/>
      <c r="CT33" s="390"/>
      <c r="CU33" s="390"/>
      <c r="CV33" s="390"/>
      <c r="CW33" s="390"/>
      <c r="CX33" s="390"/>
      <c r="CY33" s="390"/>
      <c r="CZ33" s="390"/>
      <c r="DA33" s="390"/>
      <c r="DB33" s="390"/>
      <c r="DC33" s="390"/>
    </row>
    <row r="34" spans="1:107" s="303" customFormat="1" ht="56.25">
      <c r="A34" s="37"/>
      <c r="B34" s="304" t="s">
        <v>10</v>
      </c>
      <c r="C34" s="299" t="s">
        <v>1326</v>
      </c>
      <c r="D34" s="304" t="s">
        <v>20</v>
      </c>
      <c r="E34" s="306">
        <v>2115.3347415816575</v>
      </c>
      <c r="F34" s="307" t="s">
        <v>27</v>
      </c>
      <c r="G34" s="793">
        <v>2.3075700539956612E-2</v>
      </c>
      <c r="H34" s="299" t="s">
        <v>66</v>
      </c>
      <c r="I34" s="381">
        <v>0.96280144647984778</v>
      </c>
      <c r="J34" s="307" t="s">
        <v>1363</v>
      </c>
      <c r="K34" s="299" t="s">
        <v>1362</v>
      </c>
      <c r="L34" s="299" t="s">
        <v>848</v>
      </c>
      <c r="M34" s="299" t="s">
        <v>88</v>
      </c>
      <c r="N34" s="300">
        <v>12.211594843997085</v>
      </c>
      <c r="O34" s="300">
        <v>9.0234363514845803</v>
      </c>
      <c r="P34" s="300">
        <v>7.8100529661607716</v>
      </c>
      <c r="Q34" s="300" t="s">
        <v>871</v>
      </c>
      <c r="R34" s="37"/>
      <c r="S34" s="299" t="s">
        <v>69</v>
      </c>
      <c r="T34" s="299" t="s">
        <v>69</v>
      </c>
      <c r="U34" s="299" t="s">
        <v>69</v>
      </c>
      <c r="V34" s="299" t="s">
        <v>69</v>
      </c>
      <c r="W34" s="299" t="s">
        <v>76</v>
      </c>
      <c r="X34" s="37"/>
      <c r="Y34" s="37"/>
      <c r="Z34" s="299" t="s">
        <v>78</v>
      </c>
      <c r="AA34" s="299" t="s">
        <v>78</v>
      </c>
      <c r="AB34" s="37"/>
      <c r="AC34" s="300">
        <v>2.1800000000000002</v>
      </c>
      <c r="AD34" s="299" t="s">
        <v>84</v>
      </c>
      <c r="AE34" s="299" t="s">
        <v>73</v>
      </c>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c r="CA34" s="393"/>
      <c r="CB34" s="393"/>
      <c r="CC34" s="393"/>
      <c r="CD34" s="393"/>
      <c r="CE34" s="393"/>
      <c r="CF34" s="393"/>
      <c r="CG34" s="393"/>
      <c r="CH34" s="393"/>
      <c r="CI34" s="393"/>
      <c r="CJ34" s="390"/>
      <c r="CK34" s="390"/>
      <c r="CL34" s="390"/>
      <c r="CM34" s="390"/>
      <c r="CN34" s="390"/>
      <c r="CO34" s="390"/>
      <c r="CP34" s="390"/>
      <c r="CQ34" s="390"/>
      <c r="CR34" s="390"/>
      <c r="CS34" s="390"/>
      <c r="CT34" s="390"/>
      <c r="CU34" s="390"/>
      <c r="CV34" s="390"/>
      <c r="CW34" s="390"/>
      <c r="CX34" s="390"/>
      <c r="CY34" s="390"/>
      <c r="CZ34" s="390"/>
      <c r="DA34" s="390"/>
      <c r="DB34" s="390"/>
      <c r="DC34" s="390"/>
    </row>
    <row r="35" spans="1:107" s="303" customFormat="1" ht="33.75">
      <c r="A35" s="37"/>
      <c r="B35" s="304" t="s">
        <v>10</v>
      </c>
      <c r="C35" s="299" t="s">
        <v>1326</v>
      </c>
      <c r="D35" s="304" t="s">
        <v>20</v>
      </c>
      <c r="E35" s="306">
        <v>2115.3347415816575</v>
      </c>
      <c r="F35" s="307" t="s">
        <v>1325</v>
      </c>
      <c r="G35" s="793">
        <v>2.1096052666367528E-2</v>
      </c>
      <c r="H35" s="299" t="s">
        <v>66</v>
      </c>
      <c r="I35" s="381">
        <v>0.54546868016384609</v>
      </c>
      <c r="J35" s="307" t="s">
        <v>1325</v>
      </c>
      <c r="K35" s="299" t="s">
        <v>1362</v>
      </c>
      <c r="L35" s="299" t="s">
        <v>14</v>
      </c>
      <c r="M35" s="299" t="s">
        <v>88</v>
      </c>
      <c r="N35" s="300">
        <v>19.245459848308336</v>
      </c>
      <c r="O35" s="300">
        <v>4.6735979712171938</v>
      </c>
      <c r="P35" s="300">
        <v>18.000190779390646</v>
      </c>
      <c r="Q35" s="300" t="s">
        <v>871</v>
      </c>
      <c r="R35" s="37"/>
      <c r="S35" s="299" t="s">
        <v>44</v>
      </c>
      <c r="T35" s="299" t="s">
        <v>63</v>
      </c>
      <c r="U35" s="299" t="s">
        <v>69</v>
      </c>
      <c r="V35" s="299" t="s">
        <v>69</v>
      </c>
      <c r="W35" s="299" t="s">
        <v>1364</v>
      </c>
      <c r="X35" s="37"/>
      <c r="Y35" s="37"/>
      <c r="Z35" s="299" t="s">
        <v>78</v>
      </c>
      <c r="AA35" s="299" t="s">
        <v>78</v>
      </c>
      <c r="AB35" s="37"/>
      <c r="AC35" s="300">
        <v>2.1800000000000002</v>
      </c>
      <c r="AD35" s="299" t="s">
        <v>84</v>
      </c>
      <c r="AE35" s="299" t="s">
        <v>73</v>
      </c>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c r="CA35" s="393"/>
      <c r="CB35" s="393"/>
      <c r="CC35" s="393"/>
      <c r="CD35" s="393"/>
      <c r="CE35" s="393"/>
      <c r="CF35" s="393"/>
      <c r="CG35" s="393"/>
      <c r="CH35" s="393"/>
      <c r="CI35" s="393"/>
      <c r="CJ35" s="390"/>
      <c r="CK35" s="390"/>
      <c r="CL35" s="390"/>
      <c r="CM35" s="390"/>
      <c r="CN35" s="390"/>
      <c r="CO35" s="390"/>
      <c r="CP35" s="390"/>
      <c r="CQ35" s="390"/>
      <c r="CR35" s="390"/>
      <c r="CS35" s="390"/>
      <c r="CT35" s="390"/>
      <c r="CU35" s="390"/>
      <c r="CV35" s="390"/>
      <c r="CW35" s="390"/>
      <c r="CX35" s="390"/>
      <c r="CY35" s="390"/>
      <c r="CZ35" s="390"/>
      <c r="DA35" s="390"/>
      <c r="DB35" s="390"/>
      <c r="DC35" s="390"/>
    </row>
    <row r="36" spans="1:107" s="303" customFormat="1" ht="33.75">
      <c r="A36" s="37"/>
      <c r="B36" s="304" t="s">
        <v>10</v>
      </c>
      <c r="C36" s="299" t="s">
        <v>1326</v>
      </c>
      <c r="D36" s="304" t="s">
        <v>20</v>
      </c>
      <c r="E36" s="306">
        <v>2115.3347415816575</v>
      </c>
      <c r="F36" s="307" t="s">
        <v>79</v>
      </c>
      <c r="G36" s="793">
        <v>7.3882835991795778E-2</v>
      </c>
      <c r="H36" s="299" t="s">
        <v>66</v>
      </c>
      <c r="I36" s="381">
        <v>0.9153696217051972</v>
      </c>
      <c r="J36" s="307" t="s">
        <v>1284</v>
      </c>
      <c r="K36" s="299" t="s">
        <v>1362</v>
      </c>
      <c r="L36" s="299" t="s">
        <v>17</v>
      </c>
      <c r="M36" s="299" t="s">
        <v>88</v>
      </c>
      <c r="N36" s="300">
        <v>104.19128652001687</v>
      </c>
      <c r="O36" s="300">
        <v>27.46757909572003</v>
      </c>
      <c r="P36" s="300">
        <v>98.981722194016029</v>
      </c>
      <c r="Q36" s="300" t="s">
        <v>871</v>
      </c>
      <c r="R36" s="37"/>
      <c r="S36" s="299" t="s">
        <v>44</v>
      </c>
      <c r="T36" s="299" t="s">
        <v>63</v>
      </c>
      <c r="U36" s="299" t="s">
        <v>69</v>
      </c>
      <c r="V36" s="299" t="s">
        <v>69</v>
      </c>
      <c r="W36" s="299" t="s">
        <v>1364</v>
      </c>
      <c r="X36" s="37"/>
      <c r="Y36" s="37"/>
      <c r="Z36" s="299" t="s">
        <v>78</v>
      </c>
      <c r="AA36" s="299" t="s">
        <v>78</v>
      </c>
      <c r="AB36" s="37"/>
      <c r="AC36" s="300">
        <v>2.1800000000000002</v>
      </c>
      <c r="AD36" s="299" t="s">
        <v>84</v>
      </c>
      <c r="AE36" s="299" t="s">
        <v>73</v>
      </c>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c r="CA36" s="393"/>
      <c r="CB36" s="393"/>
      <c r="CC36" s="393"/>
      <c r="CD36" s="393"/>
      <c r="CE36" s="393"/>
      <c r="CF36" s="393"/>
      <c r="CG36" s="393"/>
      <c r="CH36" s="393"/>
      <c r="CI36" s="393"/>
      <c r="CJ36" s="390"/>
      <c r="CK36" s="390"/>
      <c r="CL36" s="390"/>
      <c r="CM36" s="390"/>
      <c r="CN36" s="390"/>
      <c r="CO36" s="390"/>
      <c r="CP36" s="390"/>
      <c r="CQ36" s="390"/>
      <c r="CR36" s="390"/>
      <c r="CS36" s="390"/>
      <c r="CT36" s="390"/>
      <c r="CU36" s="390"/>
      <c r="CV36" s="390"/>
      <c r="CW36" s="390"/>
      <c r="CX36" s="390"/>
      <c r="CY36" s="390"/>
      <c r="CZ36" s="390"/>
      <c r="DA36" s="390"/>
      <c r="DB36" s="390"/>
      <c r="DC36" s="390"/>
    </row>
    <row r="37" spans="1:107" s="303" customFormat="1" ht="33.75">
      <c r="A37" s="37"/>
      <c r="B37" s="304" t="s">
        <v>10</v>
      </c>
      <c r="C37" s="299" t="s">
        <v>1326</v>
      </c>
      <c r="D37" s="304" t="s">
        <v>20</v>
      </c>
      <c r="E37" s="306">
        <v>2115.3347415816575</v>
      </c>
      <c r="F37" s="307" t="s">
        <v>79</v>
      </c>
      <c r="G37" s="793">
        <v>7.3882835991795778E-2</v>
      </c>
      <c r="H37" s="299" t="s">
        <v>66</v>
      </c>
      <c r="I37" s="381">
        <v>0.9153696217051972</v>
      </c>
      <c r="J37" s="307" t="s">
        <v>1284</v>
      </c>
      <c r="K37" s="299" t="s">
        <v>1362</v>
      </c>
      <c r="L37" s="299" t="s">
        <v>1360</v>
      </c>
      <c r="M37" s="299" t="s">
        <v>88</v>
      </c>
      <c r="N37" s="300">
        <v>97.939809328815855</v>
      </c>
      <c r="O37" s="300">
        <v>27.46757909572003</v>
      </c>
      <c r="P37" s="300">
        <v>91.167375705014763</v>
      </c>
      <c r="Q37" s="300" t="s">
        <v>871</v>
      </c>
      <c r="R37" s="37"/>
      <c r="S37" s="299" t="s">
        <v>68</v>
      </c>
      <c r="T37" s="299" t="s">
        <v>74</v>
      </c>
      <c r="U37" s="299" t="s">
        <v>69</v>
      </c>
      <c r="V37" s="299" t="s">
        <v>69</v>
      </c>
      <c r="W37" s="299" t="s">
        <v>70</v>
      </c>
      <c r="X37" s="37"/>
      <c r="Y37" s="37"/>
      <c r="Z37" s="299" t="s">
        <v>78</v>
      </c>
      <c r="AA37" s="299" t="s">
        <v>78</v>
      </c>
      <c r="AB37" s="37"/>
      <c r="AC37" s="300">
        <v>2.1800000000000002</v>
      </c>
      <c r="AD37" s="299" t="s">
        <v>84</v>
      </c>
      <c r="AE37" s="299" t="s">
        <v>73</v>
      </c>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c r="CA37" s="393"/>
      <c r="CB37" s="393"/>
      <c r="CC37" s="393"/>
      <c r="CD37" s="393"/>
      <c r="CE37" s="393"/>
      <c r="CF37" s="393"/>
      <c r="CG37" s="393"/>
      <c r="CH37" s="393"/>
      <c r="CI37" s="393"/>
      <c r="CJ37" s="390"/>
      <c r="CK37" s="390"/>
      <c r="CL37" s="390"/>
      <c r="CM37" s="390"/>
      <c r="CN37" s="390"/>
      <c r="CO37" s="390"/>
      <c r="CP37" s="390"/>
      <c r="CQ37" s="390"/>
      <c r="CR37" s="390"/>
      <c r="CS37" s="390"/>
      <c r="CT37" s="390"/>
      <c r="CU37" s="390"/>
      <c r="CV37" s="390"/>
      <c r="CW37" s="390"/>
      <c r="CX37" s="390"/>
      <c r="CY37" s="390"/>
      <c r="CZ37" s="390"/>
      <c r="DA37" s="390"/>
      <c r="DB37" s="390"/>
      <c r="DC37" s="390"/>
    </row>
    <row r="38" spans="1:107" s="303" customFormat="1" ht="33.75">
      <c r="A38" s="37"/>
      <c r="B38" s="304" t="s">
        <v>10</v>
      </c>
      <c r="C38" s="299" t="s">
        <v>1326</v>
      </c>
      <c r="D38" s="304" t="s">
        <v>20</v>
      </c>
      <c r="E38" s="306">
        <v>2115.3347415816575</v>
      </c>
      <c r="F38" s="307" t="s">
        <v>65</v>
      </c>
      <c r="G38" s="793">
        <v>0.43680802095119664</v>
      </c>
      <c r="H38" s="299" t="s">
        <v>66</v>
      </c>
      <c r="I38" s="381">
        <v>0.85342696995334266</v>
      </c>
      <c r="J38" s="307" t="s">
        <v>82</v>
      </c>
      <c r="K38" s="299" t="s">
        <v>1362</v>
      </c>
      <c r="L38" s="299" t="s">
        <v>14</v>
      </c>
      <c r="M38" s="299" t="s">
        <v>88</v>
      </c>
      <c r="N38" s="300">
        <v>615.99678807972987</v>
      </c>
      <c r="O38" s="300">
        <v>151.40398243734009</v>
      </c>
      <c r="P38" s="300">
        <v>585.19694867574333</v>
      </c>
      <c r="Q38" s="300" t="s">
        <v>871</v>
      </c>
      <c r="R38" s="37"/>
      <c r="S38" s="299" t="s">
        <v>44</v>
      </c>
      <c r="T38" s="299" t="s">
        <v>63</v>
      </c>
      <c r="U38" s="299" t="s">
        <v>69</v>
      </c>
      <c r="V38" s="299" t="s">
        <v>69</v>
      </c>
      <c r="W38" s="299" t="s">
        <v>1364</v>
      </c>
      <c r="X38" s="37"/>
      <c r="Y38" s="37"/>
      <c r="Z38" s="299" t="s">
        <v>78</v>
      </c>
      <c r="AA38" s="299" t="s">
        <v>78</v>
      </c>
      <c r="AB38" s="37"/>
      <c r="AC38" s="300">
        <v>2.1800000000000002</v>
      </c>
      <c r="AD38" s="299" t="s">
        <v>84</v>
      </c>
      <c r="AE38" s="299" t="s">
        <v>73</v>
      </c>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c r="CA38" s="393"/>
      <c r="CB38" s="393"/>
      <c r="CC38" s="393"/>
      <c r="CD38" s="393"/>
      <c r="CE38" s="393"/>
      <c r="CF38" s="393"/>
      <c r="CG38" s="393"/>
      <c r="CH38" s="393"/>
      <c r="CI38" s="393"/>
      <c r="CJ38" s="390"/>
      <c r="CK38" s="390"/>
      <c r="CL38" s="390"/>
      <c r="CM38" s="390"/>
      <c r="CN38" s="390"/>
      <c r="CO38" s="390"/>
      <c r="CP38" s="390"/>
      <c r="CQ38" s="390"/>
      <c r="CR38" s="390"/>
      <c r="CS38" s="390"/>
      <c r="CT38" s="390"/>
      <c r="CU38" s="390"/>
      <c r="CV38" s="390"/>
      <c r="CW38" s="390"/>
      <c r="CX38" s="390"/>
      <c r="CY38" s="390"/>
      <c r="CZ38" s="390"/>
      <c r="DA38" s="390"/>
      <c r="DB38" s="390"/>
      <c r="DC38" s="390"/>
    </row>
    <row r="39" spans="1:107" s="303" customFormat="1" ht="33.75">
      <c r="A39" s="37"/>
      <c r="B39" s="304" t="s">
        <v>10</v>
      </c>
      <c r="C39" s="299" t="s">
        <v>1326</v>
      </c>
      <c r="D39" s="304" t="s">
        <v>20</v>
      </c>
      <c r="E39" s="306">
        <v>2115.3347415816575</v>
      </c>
      <c r="F39" s="307" t="s">
        <v>65</v>
      </c>
      <c r="G39" s="793">
        <v>0.43680802095119664</v>
      </c>
      <c r="H39" s="299" t="s">
        <v>66</v>
      </c>
      <c r="I39" s="381">
        <v>0.85342696995334266</v>
      </c>
      <c r="J39" s="307" t="s">
        <v>82</v>
      </c>
      <c r="K39" s="299" t="s">
        <v>1362</v>
      </c>
      <c r="L39" s="299" t="s">
        <v>13</v>
      </c>
      <c r="M39" s="299" t="s">
        <v>88</v>
      </c>
      <c r="N39" s="300">
        <v>579.03698079494609</v>
      </c>
      <c r="O39" s="300">
        <v>151.40398243734009</v>
      </c>
      <c r="P39" s="300">
        <v>538.99718956976358</v>
      </c>
      <c r="Q39" s="300" t="s">
        <v>871</v>
      </c>
      <c r="R39" s="37"/>
      <c r="S39" s="299" t="s">
        <v>68</v>
      </c>
      <c r="T39" s="299" t="s">
        <v>63</v>
      </c>
      <c r="U39" s="299" t="s">
        <v>69</v>
      </c>
      <c r="V39" s="299" t="s">
        <v>69</v>
      </c>
      <c r="W39" s="299" t="s">
        <v>70</v>
      </c>
      <c r="X39" s="37"/>
      <c r="Y39" s="37"/>
      <c r="Z39" s="299" t="s">
        <v>78</v>
      </c>
      <c r="AA39" s="299" t="s">
        <v>78</v>
      </c>
      <c r="AB39" s="37"/>
      <c r="AC39" s="300">
        <v>2.1800000000000002</v>
      </c>
      <c r="AD39" s="299" t="s">
        <v>84</v>
      </c>
      <c r="AE39" s="299" t="s">
        <v>73</v>
      </c>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c r="CA39" s="393"/>
      <c r="CB39" s="393"/>
      <c r="CC39" s="393"/>
      <c r="CD39" s="393"/>
      <c r="CE39" s="393"/>
      <c r="CF39" s="393"/>
      <c r="CG39" s="393"/>
      <c r="CH39" s="393"/>
      <c r="CI39" s="393"/>
      <c r="CJ39" s="390"/>
      <c r="CK39" s="390"/>
      <c r="CL39" s="390"/>
      <c r="CM39" s="390"/>
      <c r="CN39" s="390"/>
      <c r="CO39" s="390"/>
      <c r="CP39" s="390"/>
      <c r="CQ39" s="390"/>
      <c r="CR39" s="390"/>
      <c r="CS39" s="390"/>
      <c r="CT39" s="390"/>
      <c r="CU39" s="390"/>
      <c r="CV39" s="390"/>
      <c r="CW39" s="390"/>
      <c r="CX39" s="390"/>
      <c r="CY39" s="390"/>
      <c r="CZ39" s="390"/>
      <c r="DA39" s="390"/>
      <c r="DB39" s="390"/>
      <c r="DC39" s="390"/>
    </row>
    <row r="40" spans="1:107" s="337" customFormat="1" ht="24">
      <c r="A40" s="37"/>
      <c r="B40" s="560" t="s">
        <v>23</v>
      </c>
      <c r="C40" s="542" t="s">
        <v>1266</v>
      </c>
      <c r="D40" s="543" t="s">
        <v>1148</v>
      </c>
      <c r="E40" s="561">
        <v>144.19587705503386</v>
      </c>
      <c r="F40" s="540" t="s">
        <v>26</v>
      </c>
      <c r="G40" s="541">
        <v>0.37172635885826721</v>
      </c>
      <c r="H40" s="540" t="s">
        <v>873</v>
      </c>
      <c r="I40" s="562">
        <v>1</v>
      </c>
      <c r="J40" s="540" t="s">
        <v>1004</v>
      </c>
      <c r="K40" s="540" t="s">
        <v>873</v>
      </c>
      <c r="L40" s="540" t="s">
        <v>1053</v>
      </c>
      <c r="M40" s="540" t="s">
        <v>873</v>
      </c>
      <c r="N40" s="563">
        <v>42.345112588633263</v>
      </c>
      <c r="O40" s="563" t="s">
        <v>871</v>
      </c>
      <c r="P40" s="563">
        <v>37.520985838029468</v>
      </c>
      <c r="Q40" s="563" t="s">
        <v>871</v>
      </c>
      <c r="R40" s="37"/>
      <c r="S40" s="540" t="s">
        <v>44</v>
      </c>
      <c r="T40" s="540" t="s">
        <v>69</v>
      </c>
      <c r="U40" s="540" t="s">
        <v>69</v>
      </c>
      <c r="V40" s="540" t="s">
        <v>69</v>
      </c>
      <c r="W40" s="540" t="s">
        <v>87</v>
      </c>
      <c r="X40" s="37"/>
      <c r="Y40" s="37"/>
      <c r="Z40" s="540" t="s">
        <v>78</v>
      </c>
      <c r="AA40" s="540" t="s">
        <v>78</v>
      </c>
      <c r="AB40" s="37"/>
      <c r="AC40" s="811">
        <v>24</v>
      </c>
      <c r="AD40" s="542" t="s">
        <v>72</v>
      </c>
      <c r="AE40" s="542" t="s">
        <v>73</v>
      </c>
      <c r="AF40" s="822"/>
      <c r="AG40" s="822"/>
      <c r="AH40" s="822"/>
      <c r="AI40" s="822"/>
      <c r="AJ40" s="822"/>
      <c r="AK40" s="822"/>
      <c r="AL40" s="822"/>
      <c r="AM40" s="822"/>
      <c r="AN40" s="822"/>
      <c r="AO40" s="822"/>
      <c r="AP40" s="822"/>
      <c r="AQ40" s="822"/>
      <c r="AR40" s="822"/>
      <c r="AS40" s="822"/>
      <c r="AT40" s="822"/>
      <c r="AU40" s="822"/>
      <c r="AV40" s="822"/>
      <c r="AW40" s="822"/>
      <c r="AX40" s="822"/>
      <c r="AY40" s="822"/>
      <c r="AZ40" s="822"/>
      <c r="BA40" s="822"/>
      <c r="BB40" s="822"/>
      <c r="BC40" s="822"/>
      <c r="BD40" s="822"/>
      <c r="BE40" s="822"/>
      <c r="BF40" s="822"/>
      <c r="BG40" s="822"/>
      <c r="BH40" s="822"/>
      <c r="BI40" s="822"/>
      <c r="BJ40" s="822"/>
      <c r="BK40" s="822"/>
      <c r="BL40" s="822"/>
      <c r="BM40" s="822"/>
      <c r="BN40" s="822"/>
      <c r="BO40" s="822"/>
      <c r="BP40" s="822"/>
      <c r="BQ40" s="822"/>
      <c r="BR40" s="822"/>
      <c r="BS40" s="822"/>
      <c r="BT40" s="822"/>
      <c r="BU40" s="822"/>
      <c r="BV40" s="822"/>
      <c r="BW40" s="822"/>
      <c r="BX40" s="822"/>
      <c r="BY40" s="822"/>
      <c r="BZ40" s="822"/>
      <c r="CA40" s="822"/>
      <c r="CB40" s="822"/>
      <c r="CC40" s="822"/>
      <c r="CD40" s="822"/>
      <c r="CE40" s="822"/>
      <c r="CF40" s="822"/>
      <c r="CG40" s="822"/>
      <c r="CH40" s="822"/>
      <c r="CI40" s="822"/>
      <c r="CJ40" s="392"/>
      <c r="CK40" s="392"/>
      <c r="CL40" s="392"/>
      <c r="CM40" s="392"/>
      <c r="CN40" s="392"/>
      <c r="CO40" s="392"/>
      <c r="CP40" s="392"/>
      <c r="CQ40" s="392"/>
      <c r="CR40" s="392"/>
      <c r="CS40" s="392"/>
      <c r="CT40" s="392"/>
      <c r="CU40" s="392"/>
      <c r="CV40" s="392"/>
      <c r="CW40" s="392"/>
      <c r="CX40" s="392"/>
      <c r="CY40" s="392"/>
      <c r="CZ40" s="392"/>
      <c r="DA40" s="392"/>
      <c r="DB40" s="392"/>
      <c r="DC40" s="392"/>
    </row>
    <row r="41" spans="1:107" s="337" customFormat="1" ht="24">
      <c r="A41" s="37"/>
      <c r="B41" s="560" t="s">
        <v>23</v>
      </c>
      <c r="C41" s="542" t="s">
        <v>1266</v>
      </c>
      <c r="D41" s="543" t="s">
        <v>1148</v>
      </c>
      <c r="E41" s="561">
        <v>144.19587705503386</v>
      </c>
      <c r="F41" s="540" t="s">
        <v>95</v>
      </c>
      <c r="G41" s="541">
        <v>0.60758213806776118</v>
      </c>
      <c r="H41" s="540" t="s">
        <v>873</v>
      </c>
      <c r="I41" s="562">
        <v>1</v>
      </c>
      <c r="J41" s="540" t="s">
        <v>1004</v>
      </c>
      <c r="K41" s="540" t="s">
        <v>873</v>
      </c>
      <c r="L41" s="540" t="s">
        <v>1053</v>
      </c>
      <c r="M41" s="540" t="s">
        <v>873</v>
      </c>
      <c r="N41" s="563">
        <v>61.327587497157452</v>
      </c>
      <c r="O41" s="563" t="s">
        <v>871</v>
      </c>
      <c r="P41" s="563">
        <v>61.327587497157452</v>
      </c>
      <c r="Q41" s="563" t="s">
        <v>871</v>
      </c>
      <c r="R41" s="37"/>
      <c r="S41" s="540" t="s">
        <v>44</v>
      </c>
      <c r="T41" s="540" t="s">
        <v>69</v>
      </c>
      <c r="U41" s="540" t="s">
        <v>69</v>
      </c>
      <c r="V41" s="540" t="s">
        <v>69</v>
      </c>
      <c r="W41" s="540" t="s">
        <v>87</v>
      </c>
      <c r="X41" s="37"/>
      <c r="Y41" s="37"/>
      <c r="Z41" s="540" t="s">
        <v>78</v>
      </c>
      <c r="AA41" s="540" t="s">
        <v>78</v>
      </c>
      <c r="AB41" s="37"/>
      <c r="AC41" s="811">
        <v>24</v>
      </c>
      <c r="AD41" s="540" t="s">
        <v>72</v>
      </c>
      <c r="AE41" s="542" t="s">
        <v>73</v>
      </c>
      <c r="AF41" s="822"/>
      <c r="AG41" s="822"/>
      <c r="AH41" s="822"/>
      <c r="AI41" s="822"/>
      <c r="AJ41" s="822"/>
      <c r="AK41" s="822"/>
      <c r="AL41" s="822"/>
      <c r="AM41" s="822"/>
      <c r="AN41" s="822"/>
      <c r="AO41" s="822"/>
      <c r="AP41" s="822"/>
      <c r="AQ41" s="822"/>
      <c r="AR41" s="822"/>
      <c r="AS41" s="822"/>
      <c r="AT41" s="822"/>
      <c r="AU41" s="822"/>
      <c r="AV41" s="822"/>
      <c r="AW41" s="822"/>
      <c r="AX41" s="822"/>
      <c r="AY41" s="822"/>
      <c r="AZ41" s="822"/>
      <c r="BA41" s="822"/>
      <c r="BB41" s="822"/>
      <c r="BC41" s="822"/>
      <c r="BD41" s="822"/>
      <c r="BE41" s="822"/>
      <c r="BF41" s="822"/>
      <c r="BG41" s="822"/>
      <c r="BH41" s="822"/>
      <c r="BI41" s="822"/>
      <c r="BJ41" s="822"/>
      <c r="BK41" s="822"/>
      <c r="BL41" s="822"/>
      <c r="BM41" s="822"/>
      <c r="BN41" s="822"/>
      <c r="BO41" s="822"/>
      <c r="BP41" s="822"/>
      <c r="BQ41" s="822"/>
      <c r="BR41" s="822"/>
      <c r="BS41" s="822"/>
      <c r="BT41" s="822"/>
      <c r="BU41" s="822"/>
      <c r="BV41" s="822"/>
      <c r="BW41" s="822"/>
      <c r="BX41" s="822"/>
      <c r="BY41" s="822"/>
      <c r="BZ41" s="822"/>
      <c r="CA41" s="822"/>
      <c r="CB41" s="822"/>
      <c r="CC41" s="822"/>
      <c r="CD41" s="822"/>
      <c r="CE41" s="822"/>
      <c r="CF41" s="822"/>
      <c r="CG41" s="822"/>
      <c r="CH41" s="822"/>
      <c r="CI41" s="822"/>
      <c r="CJ41" s="392"/>
      <c r="CK41" s="392"/>
      <c r="CL41" s="392"/>
      <c r="CM41" s="392"/>
      <c r="CN41" s="392"/>
      <c r="CO41" s="392"/>
      <c r="CP41" s="392"/>
      <c r="CQ41" s="392"/>
      <c r="CR41" s="392"/>
      <c r="CS41" s="392"/>
      <c r="CT41" s="392"/>
      <c r="CU41" s="392"/>
      <c r="CV41" s="392"/>
      <c r="CW41" s="392"/>
      <c r="CX41" s="392"/>
      <c r="CY41" s="392"/>
      <c r="CZ41" s="392"/>
      <c r="DA41" s="392"/>
      <c r="DB41" s="392"/>
      <c r="DC41" s="392"/>
    </row>
    <row r="42" spans="1:107" s="337" customFormat="1" ht="56.25">
      <c r="A42" s="37"/>
      <c r="B42" s="573" t="s">
        <v>23</v>
      </c>
      <c r="C42" s="574" t="s">
        <v>1266</v>
      </c>
      <c r="D42" s="575" t="s">
        <v>1267</v>
      </c>
      <c r="E42" s="576">
        <v>3778.4809172207592</v>
      </c>
      <c r="F42" s="577" t="s">
        <v>27</v>
      </c>
      <c r="G42" s="578">
        <v>0.68473703818659359</v>
      </c>
      <c r="H42" s="574" t="s">
        <v>1269</v>
      </c>
      <c r="I42" s="579">
        <v>0.87687389681802685</v>
      </c>
      <c r="J42" s="577" t="s">
        <v>1097</v>
      </c>
      <c r="K42" s="577" t="s">
        <v>1051</v>
      </c>
      <c r="L42" s="577" t="s">
        <v>960</v>
      </c>
      <c r="M42" s="577" t="s">
        <v>88</v>
      </c>
      <c r="N42" s="580">
        <v>382.11926135664839</v>
      </c>
      <c r="O42" s="580">
        <v>435.59152748153934</v>
      </c>
      <c r="P42" s="580">
        <v>331.17002650909518</v>
      </c>
      <c r="Q42" s="580" t="s">
        <v>871</v>
      </c>
      <c r="R42" s="37"/>
      <c r="S42" s="577" t="s">
        <v>69</v>
      </c>
      <c r="T42" s="577" t="s">
        <v>69</v>
      </c>
      <c r="U42" s="577" t="s">
        <v>69</v>
      </c>
      <c r="V42" s="577" t="s">
        <v>69</v>
      </c>
      <c r="W42" s="577" t="s">
        <v>76</v>
      </c>
      <c r="X42" s="37"/>
      <c r="Y42" s="37"/>
      <c r="Z42" s="577" t="s">
        <v>78</v>
      </c>
      <c r="AA42" s="577" t="s">
        <v>78</v>
      </c>
      <c r="AB42" s="37"/>
      <c r="AC42" s="810">
        <v>7.1068493150684935</v>
      </c>
      <c r="AD42" s="577" t="s">
        <v>72</v>
      </c>
      <c r="AE42" s="574" t="s">
        <v>73</v>
      </c>
      <c r="AF42" s="822"/>
      <c r="AG42" s="822"/>
      <c r="AH42" s="822"/>
      <c r="AI42" s="822"/>
      <c r="AJ42" s="822"/>
      <c r="AK42" s="822"/>
      <c r="AL42" s="822"/>
      <c r="AM42" s="822"/>
      <c r="AN42" s="822"/>
      <c r="AO42" s="822"/>
      <c r="AP42" s="822"/>
      <c r="AQ42" s="822"/>
      <c r="AR42" s="822"/>
      <c r="AS42" s="822"/>
      <c r="AT42" s="822"/>
      <c r="AU42" s="822"/>
      <c r="AV42" s="822"/>
      <c r="AW42" s="822"/>
      <c r="AX42" s="822"/>
      <c r="AY42" s="822"/>
      <c r="AZ42" s="822"/>
      <c r="BA42" s="822"/>
      <c r="BB42" s="822"/>
      <c r="BC42" s="822"/>
      <c r="BD42" s="822"/>
      <c r="BE42" s="822"/>
      <c r="BF42" s="822"/>
      <c r="BG42" s="822"/>
      <c r="BH42" s="822"/>
      <c r="BI42" s="822"/>
      <c r="BJ42" s="822"/>
      <c r="BK42" s="822"/>
      <c r="BL42" s="822"/>
      <c r="BM42" s="822"/>
      <c r="BN42" s="822"/>
      <c r="BO42" s="822"/>
      <c r="BP42" s="822"/>
      <c r="BQ42" s="822"/>
      <c r="BR42" s="822"/>
      <c r="BS42" s="822"/>
      <c r="BT42" s="822"/>
      <c r="BU42" s="822"/>
      <c r="BV42" s="822"/>
      <c r="BW42" s="822"/>
      <c r="BX42" s="822"/>
      <c r="BY42" s="822"/>
      <c r="BZ42" s="822"/>
      <c r="CA42" s="822"/>
      <c r="CB42" s="822"/>
      <c r="CC42" s="822"/>
      <c r="CD42" s="822"/>
      <c r="CE42" s="822"/>
      <c r="CF42" s="822"/>
      <c r="CG42" s="822"/>
      <c r="CH42" s="822"/>
      <c r="CI42" s="822"/>
      <c r="CJ42" s="392"/>
      <c r="CK42" s="392"/>
      <c r="CL42" s="392"/>
      <c r="CM42" s="392"/>
      <c r="CN42" s="392"/>
      <c r="CO42" s="392"/>
      <c r="CP42" s="392"/>
      <c r="CQ42" s="392"/>
      <c r="CR42" s="392"/>
      <c r="CS42" s="392"/>
      <c r="CT42" s="392"/>
      <c r="CU42" s="392"/>
      <c r="CV42" s="392"/>
      <c r="CW42" s="392"/>
      <c r="CX42" s="392"/>
      <c r="CY42" s="392"/>
      <c r="CZ42" s="392"/>
      <c r="DA42" s="392"/>
      <c r="DB42" s="392"/>
      <c r="DC42" s="392"/>
    </row>
    <row r="43" spans="1:107" s="337" customFormat="1" ht="56.25">
      <c r="A43" s="37"/>
      <c r="B43" s="573" t="s">
        <v>23</v>
      </c>
      <c r="C43" s="574" t="s">
        <v>1266</v>
      </c>
      <c r="D43" s="575" t="s">
        <v>1267</v>
      </c>
      <c r="E43" s="576">
        <v>3778.4809172207592</v>
      </c>
      <c r="F43" s="577" t="s">
        <v>27</v>
      </c>
      <c r="G43" s="578">
        <v>0.68473703818659359</v>
      </c>
      <c r="H43" s="574" t="s">
        <v>1269</v>
      </c>
      <c r="I43" s="579">
        <v>0.87687389681802685</v>
      </c>
      <c r="J43" s="577" t="s">
        <v>1097</v>
      </c>
      <c r="K43" s="577" t="s">
        <v>1051</v>
      </c>
      <c r="L43" s="577" t="s">
        <v>15</v>
      </c>
      <c r="M43" s="577" t="s">
        <v>88</v>
      </c>
      <c r="N43" s="580">
        <v>529.77347990666283</v>
      </c>
      <c r="O43" s="580">
        <v>435.59152748153934</v>
      </c>
      <c r="P43" s="580">
        <v>452.77152061790366</v>
      </c>
      <c r="Q43" s="580" t="s">
        <v>871</v>
      </c>
      <c r="R43" s="37"/>
      <c r="S43" s="577" t="s">
        <v>44</v>
      </c>
      <c r="T43" s="574" t="s">
        <v>63</v>
      </c>
      <c r="U43" s="577" t="s">
        <v>69</v>
      </c>
      <c r="V43" s="577" t="s">
        <v>69</v>
      </c>
      <c r="W43" s="577" t="s">
        <v>76</v>
      </c>
      <c r="X43" s="37"/>
      <c r="Y43" s="37"/>
      <c r="Z43" s="577" t="s">
        <v>78</v>
      </c>
      <c r="AA43" s="577" t="s">
        <v>78</v>
      </c>
      <c r="AB43" s="37"/>
      <c r="AC43" s="810">
        <v>7.1068493150684935</v>
      </c>
      <c r="AD43" s="577" t="s">
        <v>72</v>
      </c>
      <c r="AE43" s="574" t="s">
        <v>73</v>
      </c>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822"/>
      <c r="BK43" s="822"/>
      <c r="BL43" s="822"/>
      <c r="BM43" s="822"/>
      <c r="BN43" s="822"/>
      <c r="BO43" s="822"/>
      <c r="BP43" s="822"/>
      <c r="BQ43" s="822"/>
      <c r="BR43" s="822"/>
      <c r="BS43" s="822"/>
      <c r="BT43" s="822"/>
      <c r="BU43" s="822"/>
      <c r="BV43" s="822"/>
      <c r="BW43" s="822"/>
      <c r="BX43" s="822"/>
      <c r="BY43" s="822"/>
      <c r="BZ43" s="822"/>
      <c r="CA43" s="822"/>
      <c r="CB43" s="822"/>
      <c r="CC43" s="822"/>
      <c r="CD43" s="822"/>
      <c r="CE43" s="822"/>
      <c r="CF43" s="822"/>
      <c r="CG43" s="822"/>
      <c r="CH43" s="822"/>
      <c r="CI43" s="822"/>
      <c r="CJ43" s="392"/>
      <c r="CK43" s="392"/>
      <c r="CL43" s="392"/>
      <c r="CM43" s="392"/>
      <c r="CN43" s="392"/>
      <c r="CO43" s="392"/>
      <c r="CP43" s="392"/>
      <c r="CQ43" s="392"/>
      <c r="CR43" s="392"/>
      <c r="CS43" s="392"/>
      <c r="CT43" s="392"/>
      <c r="CU43" s="392"/>
      <c r="CV43" s="392"/>
      <c r="CW43" s="392"/>
      <c r="CX43" s="392"/>
      <c r="CY43" s="392"/>
      <c r="CZ43" s="392"/>
      <c r="DA43" s="392"/>
      <c r="DB43" s="392"/>
      <c r="DC43" s="392"/>
    </row>
    <row r="44" spans="1:107" s="337" customFormat="1" ht="56.25">
      <c r="A44" s="37"/>
      <c r="B44" s="573" t="s">
        <v>23</v>
      </c>
      <c r="C44" s="574" t="s">
        <v>1266</v>
      </c>
      <c r="D44" s="575" t="s">
        <v>1267</v>
      </c>
      <c r="E44" s="576">
        <v>3778.4809172207592</v>
      </c>
      <c r="F44" s="577" t="s">
        <v>27</v>
      </c>
      <c r="G44" s="578">
        <v>0.68473703818659359</v>
      </c>
      <c r="H44" s="574" t="s">
        <v>1269</v>
      </c>
      <c r="I44" s="579">
        <v>0.87687389681802685</v>
      </c>
      <c r="J44" s="577" t="s">
        <v>1097</v>
      </c>
      <c r="K44" s="577" t="s">
        <v>1051</v>
      </c>
      <c r="L44" s="577" t="s">
        <v>960</v>
      </c>
      <c r="M44" s="577" t="s">
        <v>90</v>
      </c>
      <c r="N44" s="580">
        <v>382.11926135664839</v>
      </c>
      <c r="O44" s="580">
        <v>508.19011539512934</v>
      </c>
      <c r="P44" s="580">
        <v>331.17002650909518</v>
      </c>
      <c r="Q44" s="580" t="s">
        <v>1109</v>
      </c>
      <c r="R44" s="37"/>
      <c r="S44" s="577" t="s">
        <v>69</v>
      </c>
      <c r="T44" s="577" t="s">
        <v>69</v>
      </c>
      <c r="U44" s="577" t="s">
        <v>69</v>
      </c>
      <c r="V44" s="577" t="s">
        <v>69</v>
      </c>
      <c r="W44" s="577" t="s">
        <v>76</v>
      </c>
      <c r="X44" s="37"/>
      <c r="Y44" s="37"/>
      <c r="Z44" s="577" t="s">
        <v>78</v>
      </c>
      <c r="AA44" s="577" t="s">
        <v>78</v>
      </c>
      <c r="AB44" s="37"/>
      <c r="AC44" s="810">
        <v>7.1068493150684935</v>
      </c>
      <c r="AD44" s="577" t="s">
        <v>72</v>
      </c>
      <c r="AE44" s="574" t="s">
        <v>73</v>
      </c>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822"/>
      <c r="BK44" s="822"/>
      <c r="BL44" s="822"/>
      <c r="BM44" s="822"/>
      <c r="BN44" s="822"/>
      <c r="BO44" s="822"/>
      <c r="BP44" s="822"/>
      <c r="BQ44" s="822"/>
      <c r="BR44" s="822"/>
      <c r="BS44" s="822"/>
      <c r="BT44" s="822"/>
      <c r="BU44" s="822"/>
      <c r="BV44" s="822"/>
      <c r="BW44" s="822"/>
      <c r="BX44" s="822"/>
      <c r="BY44" s="822"/>
      <c r="BZ44" s="822"/>
      <c r="CA44" s="822"/>
      <c r="CB44" s="822"/>
      <c r="CC44" s="822"/>
      <c r="CD44" s="822"/>
      <c r="CE44" s="822"/>
      <c r="CF44" s="822"/>
      <c r="CG44" s="822"/>
      <c r="CH44" s="822"/>
      <c r="CI44" s="822"/>
      <c r="CJ44" s="392"/>
      <c r="CK44" s="392"/>
      <c r="CL44" s="392"/>
      <c r="CM44" s="392"/>
      <c r="CN44" s="392"/>
      <c r="CO44" s="392"/>
      <c r="CP44" s="392"/>
      <c r="CQ44" s="392"/>
      <c r="CR44" s="392"/>
      <c r="CS44" s="392"/>
      <c r="CT44" s="392"/>
      <c r="CU44" s="392"/>
      <c r="CV44" s="392"/>
      <c r="CW44" s="392"/>
      <c r="CX44" s="392"/>
      <c r="CY44" s="392"/>
      <c r="CZ44" s="392"/>
      <c r="DA44" s="392"/>
      <c r="DB44" s="392"/>
      <c r="DC44" s="392"/>
    </row>
    <row r="45" spans="1:107" s="337" customFormat="1" ht="56.25">
      <c r="A45" s="37"/>
      <c r="B45" s="573" t="s">
        <v>23</v>
      </c>
      <c r="C45" s="574" t="s">
        <v>1266</v>
      </c>
      <c r="D45" s="575" t="s">
        <v>1267</v>
      </c>
      <c r="E45" s="576">
        <v>3778.4809172207592</v>
      </c>
      <c r="F45" s="577" t="s">
        <v>27</v>
      </c>
      <c r="G45" s="578">
        <v>0.68473703818659359</v>
      </c>
      <c r="H45" s="574" t="s">
        <v>1269</v>
      </c>
      <c r="I45" s="579">
        <v>0.87687389681802685</v>
      </c>
      <c r="J45" s="577" t="s">
        <v>1097</v>
      </c>
      <c r="K45" s="577" t="s">
        <v>1051</v>
      </c>
      <c r="L45" s="577" t="s">
        <v>15</v>
      </c>
      <c r="M45" s="577" t="s">
        <v>90</v>
      </c>
      <c r="N45" s="580">
        <v>529.77347990666283</v>
      </c>
      <c r="O45" s="580">
        <v>508.19011539512934</v>
      </c>
      <c r="P45" s="580">
        <v>452.77152061790366</v>
      </c>
      <c r="Q45" s="580" t="s">
        <v>1109</v>
      </c>
      <c r="R45" s="37"/>
      <c r="S45" s="577" t="s">
        <v>44</v>
      </c>
      <c r="T45" s="574" t="s">
        <v>63</v>
      </c>
      <c r="U45" s="577" t="s">
        <v>69</v>
      </c>
      <c r="V45" s="577" t="s">
        <v>69</v>
      </c>
      <c r="W45" s="577" t="s">
        <v>76</v>
      </c>
      <c r="X45" s="37"/>
      <c r="Y45" s="37"/>
      <c r="Z45" s="577" t="s">
        <v>78</v>
      </c>
      <c r="AA45" s="577" t="s">
        <v>78</v>
      </c>
      <c r="AB45" s="37"/>
      <c r="AC45" s="810">
        <v>7.1068493150684935</v>
      </c>
      <c r="AD45" s="577" t="s">
        <v>72</v>
      </c>
      <c r="AE45" s="574" t="s">
        <v>73</v>
      </c>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822"/>
      <c r="BK45" s="822"/>
      <c r="BL45" s="822"/>
      <c r="BM45" s="822"/>
      <c r="BN45" s="822"/>
      <c r="BO45" s="822"/>
      <c r="BP45" s="822"/>
      <c r="BQ45" s="822"/>
      <c r="BR45" s="822"/>
      <c r="BS45" s="822"/>
      <c r="BT45" s="822"/>
      <c r="BU45" s="822"/>
      <c r="BV45" s="822"/>
      <c r="BW45" s="822"/>
      <c r="BX45" s="822"/>
      <c r="BY45" s="822"/>
      <c r="BZ45" s="822"/>
      <c r="CA45" s="822"/>
      <c r="CB45" s="822"/>
      <c r="CC45" s="822"/>
      <c r="CD45" s="822"/>
      <c r="CE45" s="822"/>
      <c r="CF45" s="822"/>
      <c r="CG45" s="822"/>
      <c r="CH45" s="822"/>
      <c r="CI45" s="822"/>
      <c r="CJ45" s="392"/>
      <c r="CK45" s="392"/>
      <c r="CL45" s="392"/>
      <c r="CM45" s="392"/>
      <c r="CN45" s="392"/>
      <c r="CO45" s="392"/>
      <c r="CP45" s="392"/>
      <c r="CQ45" s="392"/>
      <c r="CR45" s="392"/>
      <c r="CS45" s="392"/>
      <c r="CT45" s="392"/>
      <c r="CU45" s="392"/>
      <c r="CV45" s="392"/>
      <c r="CW45" s="392"/>
      <c r="CX45" s="392"/>
      <c r="CY45" s="392"/>
      <c r="CZ45" s="392"/>
      <c r="DA45" s="392"/>
      <c r="DB45" s="392"/>
      <c r="DC45" s="392"/>
    </row>
    <row r="46" spans="1:107" s="337" customFormat="1" ht="56.25">
      <c r="A46" s="37"/>
      <c r="B46" s="573" t="s">
        <v>23</v>
      </c>
      <c r="C46" s="574" t="s">
        <v>1266</v>
      </c>
      <c r="D46" s="575" t="s">
        <v>1267</v>
      </c>
      <c r="E46" s="576">
        <v>3778.4809172207592</v>
      </c>
      <c r="F46" s="577" t="s">
        <v>27</v>
      </c>
      <c r="G46" s="578">
        <v>0.68473703818659359</v>
      </c>
      <c r="H46" s="574" t="s">
        <v>1269</v>
      </c>
      <c r="I46" s="579">
        <v>0.87687389681802685</v>
      </c>
      <c r="J46" s="577" t="s">
        <v>1097</v>
      </c>
      <c r="K46" s="577" t="s">
        <v>1051</v>
      </c>
      <c r="L46" s="577" t="s">
        <v>960</v>
      </c>
      <c r="M46" s="577" t="s">
        <v>92</v>
      </c>
      <c r="N46" s="580">
        <v>382.11926135664839</v>
      </c>
      <c r="O46" s="580">
        <v>653.38729122230916</v>
      </c>
      <c r="P46" s="580">
        <v>331.17002650909518</v>
      </c>
      <c r="Q46" s="580">
        <v>217.79576374076967</v>
      </c>
      <c r="R46" s="37"/>
      <c r="S46" s="577" t="s">
        <v>69</v>
      </c>
      <c r="T46" s="577" t="s">
        <v>69</v>
      </c>
      <c r="U46" s="577" t="s">
        <v>69</v>
      </c>
      <c r="V46" s="577" t="s">
        <v>69</v>
      </c>
      <c r="W46" s="577" t="s">
        <v>76</v>
      </c>
      <c r="X46" s="37"/>
      <c r="Y46" s="37"/>
      <c r="Z46" s="577" t="s">
        <v>78</v>
      </c>
      <c r="AA46" s="577" t="s">
        <v>78</v>
      </c>
      <c r="AB46" s="37"/>
      <c r="AC46" s="810">
        <v>7.1068493150684935</v>
      </c>
      <c r="AD46" s="577" t="s">
        <v>72</v>
      </c>
      <c r="AE46" s="574" t="s">
        <v>73</v>
      </c>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822"/>
      <c r="BK46" s="822"/>
      <c r="BL46" s="822"/>
      <c r="BM46" s="822"/>
      <c r="BN46" s="822"/>
      <c r="BO46" s="822"/>
      <c r="BP46" s="822"/>
      <c r="BQ46" s="822"/>
      <c r="BR46" s="822"/>
      <c r="BS46" s="822"/>
      <c r="BT46" s="822"/>
      <c r="BU46" s="822"/>
      <c r="BV46" s="822"/>
      <c r="BW46" s="822"/>
      <c r="BX46" s="822"/>
      <c r="BY46" s="822"/>
      <c r="BZ46" s="822"/>
      <c r="CA46" s="822"/>
      <c r="CB46" s="822"/>
      <c r="CC46" s="822"/>
      <c r="CD46" s="822"/>
      <c r="CE46" s="822"/>
      <c r="CF46" s="822"/>
      <c r="CG46" s="822"/>
      <c r="CH46" s="822"/>
      <c r="CI46" s="822"/>
      <c r="CJ46" s="392"/>
      <c r="CK46" s="392"/>
      <c r="CL46" s="392"/>
      <c r="CM46" s="392"/>
      <c r="CN46" s="392"/>
      <c r="CO46" s="392"/>
      <c r="CP46" s="392"/>
      <c r="CQ46" s="392"/>
      <c r="CR46" s="392"/>
      <c r="CS46" s="392"/>
      <c r="CT46" s="392"/>
      <c r="CU46" s="392"/>
      <c r="CV46" s="392"/>
      <c r="CW46" s="392"/>
      <c r="CX46" s="392"/>
      <c r="CY46" s="392"/>
      <c r="CZ46" s="392"/>
      <c r="DA46" s="392"/>
      <c r="DB46" s="392"/>
      <c r="DC46" s="392"/>
    </row>
    <row r="47" spans="1:107" s="337" customFormat="1" ht="56.25">
      <c r="A47" s="37"/>
      <c r="B47" s="573" t="s">
        <v>23</v>
      </c>
      <c r="C47" s="574" t="s">
        <v>1266</v>
      </c>
      <c r="D47" s="575" t="s">
        <v>1267</v>
      </c>
      <c r="E47" s="576">
        <v>3778.4809172207592</v>
      </c>
      <c r="F47" s="577" t="s">
        <v>27</v>
      </c>
      <c r="G47" s="578">
        <v>0.68473703818659359</v>
      </c>
      <c r="H47" s="574" t="s">
        <v>1269</v>
      </c>
      <c r="I47" s="579">
        <v>0.87687389681802685</v>
      </c>
      <c r="J47" s="577" t="s">
        <v>1097</v>
      </c>
      <c r="K47" s="577" t="s">
        <v>1051</v>
      </c>
      <c r="L47" s="577" t="s">
        <v>15</v>
      </c>
      <c r="M47" s="577" t="s">
        <v>92</v>
      </c>
      <c r="N47" s="580">
        <v>529.77347990666283</v>
      </c>
      <c r="O47" s="580">
        <v>653.38729122230916</v>
      </c>
      <c r="P47" s="580">
        <v>452.77152061790366</v>
      </c>
      <c r="Q47" s="580">
        <v>217.79576374076967</v>
      </c>
      <c r="R47" s="37"/>
      <c r="S47" s="577" t="s">
        <v>44</v>
      </c>
      <c r="T47" s="574" t="s">
        <v>63</v>
      </c>
      <c r="U47" s="577" t="s">
        <v>69</v>
      </c>
      <c r="V47" s="577" t="s">
        <v>69</v>
      </c>
      <c r="W47" s="577" t="s">
        <v>76</v>
      </c>
      <c r="X47" s="37"/>
      <c r="Y47" s="37"/>
      <c r="Z47" s="577" t="s">
        <v>78</v>
      </c>
      <c r="AA47" s="577" t="s">
        <v>78</v>
      </c>
      <c r="AB47" s="37"/>
      <c r="AC47" s="810">
        <v>7.1068493150684935</v>
      </c>
      <c r="AD47" s="577" t="s">
        <v>72</v>
      </c>
      <c r="AE47" s="574" t="s">
        <v>73</v>
      </c>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822"/>
      <c r="BK47" s="822"/>
      <c r="BL47" s="822"/>
      <c r="BM47" s="822"/>
      <c r="BN47" s="822"/>
      <c r="BO47" s="822"/>
      <c r="BP47" s="822"/>
      <c r="BQ47" s="822"/>
      <c r="BR47" s="822"/>
      <c r="BS47" s="822"/>
      <c r="BT47" s="822"/>
      <c r="BU47" s="822"/>
      <c r="BV47" s="822"/>
      <c r="BW47" s="822"/>
      <c r="BX47" s="822"/>
      <c r="BY47" s="822"/>
      <c r="BZ47" s="822"/>
      <c r="CA47" s="822"/>
      <c r="CB47" s="822"/>
      <c r="CC47" s="822"/>
      <c r="CD47" s="822"/>
      <c r="CE47" s="822"/>
      <c r="CF47" s="822"/>
      <c r="CG47" s="822"/>
      <c r="CH47" s="822"/>
      <c r="CI47" s="822"/>
      <c r="CJ47" s="392"/>
      <c r="CK47" s="392"/>
      <c r="CL47" s="392"/>
      <c r="CM47" s="392"/>
      <c r="CN47" s="392"/>
      <c r="CO47" s="392"/>
      <c r="CP47" s="392"/>
      <c r="CQ47" s="392"/>
      <c r="CR47" s="392"/>
      <c r="CS47" s="392"/>
      <c r="CT47" s="392"/>
      <c r="CU47" s="392"/>
      <c r="CV47" s="392"/>
      <c r="CW47" s="392"/>
      <c r="CX47" s="392"/>
      <c r="CY47" s="392"/>
      <c r="CZ47" s="392"/>
      <c r="DA47" s="392"/>
      <c r="DB47" s="392"/>
      <c r="DC47" s="392"/>
    </row>
    <row r="48" spans="1:107" s="337" customFormat="1" ht="33.75">
      <c r="A48" s="37"/>
      <c r="B48" s="573" t="s">
        <v>23</v>
      </c>
      <c r="C48" s="574" t="s">
        <v>1266</v>
      </c>
      <c r="D48" s="575" t="s">
        <v>1267</v>
      </c>
      <c r="E48" s="576">
        <v>3778.4809172207592</v>
      </c>
      <c r="F48" s="577" t="s">
        <v>24</v>
      </c>
      <c r="G48" s="578">
        <v>0.20929606454378483</v>
      </c>
      <c r="H48" s="574" t="s">
        <v>1269</v>
      </c>
      <c r="I48" s="579">
        <v>0.91250770827753969</v>
      </c>
      <c r="J48" s="577" t="s">
        <v>25</v>
      </c>
      <c r="K48" s="577" t="s">
        <v>1051</v>
      </c>
      <c r="L48" s="577" t="s">
        <v>95</v>
      </c>
      <c r="M48" s="577" t="s">
        <v>88</v>
      </c>
      <c r="N48" s="580">
        <v>145.99775740210993</v>
      </c>
      <c r="O48" s="580">
        <v>138.55304218148589</v>
      </c>
      <c r="P48" s="580">
        <v>145.99775740210993</v>
      </c>
      <c r="Q48" s="580" t="s">
        <v>871</v>
      </c>
      <c r="R48" s="37"/>
      <c r="S48" s="574" t="s">
        <v>44</v>
      </c>
      <c r="T48" s="574" t="s">
        <v>63</v>
      </c>
      <c r="U48" s="574" t="s">
        <v>69</v>
      </c>
      <c r="V48" s="574" t="s">
        <v>69</v>
      </c>
      <c r="W48" s="574" t="s">
        <v>76</v>
      </c>
      <c r="X48" s="37"/>
      <c r="Y48" s="37"/>
      <c r="Z48" s="577" t="s">
        <v>78</v>
      </c>
      <c r="AA48" s="577" t="s">
        <v>78</v>
      </c>
      <c r="AB48" s="37"/>
      <c r="AC48" s="810">
        <v>7.1068493150684935</v>
      </c>
      <c r="AD48" s="577" t="s">
        <v>72</v>
      </c>
      <c r="AE48" s="574" t="s">
        <v>73</v>
      </c>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822"/>
      <c r="BK48" s="822"/>
      <c r="BL48" s="822"/>
      <c r="BM48" s="822"/>
      <c r="BN48" s="822"/>
      <c r="BO48" s="822"/>
      <c r="BP48" s="822"/>
      <c r="BQ48" s="822"/>
      <c r="BR48" s="822"/>
      <c r="BS48" s="822"/>
      <c r="BT48" s="822"/>
      <c r="BU48" s="822"/>
      <c r="BV48" s="822"/>
      <c r="BW48" s="822"/>
      <c r="BX48" s="822"/>
      <c r="BY48" s="822"/>
      <c r="BZ48" s="822"/>
      <c r="CA48" s="822"/>
      <c r="CB48" s="822"/>
      <c r="CC48" s="822"/>
      <c r="CD48" s="822"/>
      <c r="CE48" s="822"/>
      <c r="CF48" s="822"/>
      <c r="CG48" s="822"/>
      <c r="CH48" s="822"/>
      <c r="CI48" s="822"/>
      <c r="CJ48" s="392"/>
      <c r="CK48" s="392"/>
      <c r="CL48" s="392"/>
      <c r="CM48" s="392"/>
      <c r="CN48" s="392"/>
      <c r="CO48" s="392"/>
      <c r="CP48" s="392"/>
      <c r="CQ48" s="392"/>
      <c r="CR48" s="392"/>
      <c r="CS48" s="392"/>
      <c r="CT48" s="392"/>
      <c r="CU48" s="392"/>
      <c r="CV48" s="392"/>
      <c r="CW48" s="392"/>
      <c r="CX48" s="392"/>
      <c r="CY48" s="392"/>
      <c r="CZ48" s="392"/>
      <c r="DA48" s="392"/>
      <c r="DB48" s="392"/>
      <c r="DC48" s="392"/>
    </row>
    <row r="49" spans="1:107" s="337" customFormat="1" ht="33.75">
      <c r="A49" s="37"/>
      <c r="B49" s="573" t="s">
        <v>23</v>
      </c>
      <c r="C49" s="574" t="s">
        <v>1266</v>
      </c>
      <c r="D49" s="575" t="s">
        <v>1267</v>
      </c>
      <c r="E49" s="576">
        <v>3778.4809172207592</v>
      </c>
      <c r="F49" s="577" t="s">
        <v>24</v>
      </c>
      <c r="G49" s="578">
        <v>0.20929606454378483</v>
      </c>
      <c r="H49" s="574" t="s">
        <v>1269</v>
      </c>
      <c r="I49" s="579">
        <v>0.91250770827753969</v>
      </c>
      <c r="J49" s="577" t="s">
        <v>25</v>
      </c>
      <c r="K49" s="577" t="s">
        <v>1051</v>
      </c>
      <c r="L49" s="577" t="s">
        <v>95</v>
      </c>
      <c r="M49" s="577" t="s">
        <v>90</v>
      </c>
      <c r="N49" s="580">
        <v>145.99775740210993</v>
      </c>
      <c r="O49" s="580">
        <v>161.64521587840025</v>
      </c>
      <c r="P49" s="580">
        <v>145.99775740210993</v>
      </c>
      <c r="Q49" s="580" t="s">
        <v>1109</v>
      </c>
      <c r="R49" s="37"/>
      <c r="S49" s="574" t="s">
        <v>44</v>
      </c>
      <c r="T49" s="574" t="s">
        <v>63</v>
      </c>
      <c r="U49" s="574" t="s">
        <v>69</v>
      </c>
      <c r="V49" s="574" t="s">
        <v>69</v>
      </c>
      <c r="W49" s="574" t="s">
        <v>76</v>
      </c>
      <c r="X49" s="37"/>
      <c r="Y49" s="37"/>
      <c r="Z49" s="577" t="s">
        <v>78</v>
      </c>
      <c r="AA49" s="577" t="s">
        <v>78</v>
      </c>
      <c r="AB49" s="37"/>
      <c r="AC49" s="810">
        <v>7.1068493150684935</v>
      </c>
      <c r="AD49" s="577" t="s">
        <v>72</v>
      </c>
      <c r="AE49" s="574" t="s">
        <v>73</v>
      </c>
      <c r="AF49" s="822"/>
      <c r="AG49" s="822"/>
      <c r="AH49" s="822"/>
      <c r="AI49" s="822"/>
      <c r="AJ49" s="822"/>
      <c r="AK49" s="822"/>
      <c r="AL49" s="822"/>
      <c r="AM49" s="822"/>
      <c r="AN49" s="822"/>
      <c r="AO49" s="822"/>
      <c r="AP49" s="822"/>
      <c r="AQ49" s="822"/>
      <c r="AR49" s="822"/>
      <c r="AS49" s="822"/>
      <c r="AT49" s="822"/>
      <c r="AU49" s="822"/>
      <c r="AV49" s="822"/>
      <c r="AW49" s="822"/>
      <c r="AX49" s="822"/>
      <c r="AY49" s="822"/>
      <c r="AZ49" s="822"/>
      <c r="BA49" s="822"/>
      <c r="BB49" s="822"/>
      <c r="BC49" s="822"/>
      <c r="BD49" s="822"/>
      <c r="BE49" s="822"/>
      <c r="BF49" s="822"/>
      <c r="BG49" s="822"/>
      <c r="BH49" s="822"/>
      <c r="BI49" s="822"/>
      <c r="BJ49" s="822"/>
      <c r="BK49" s="822"/>
      <c r="BL49" s="822"/>
      <c r="BM49" s="822"/>
      <c r="BN49" s="822"/>
      <c r="BO49" s="822"/>
      <c r="BP49" s="822"/>
      <c r="BQ49" s="822"/>
      <c r="BR49" s="822"/>
      <c r="BS49" s="822"/>
      <c r="BT49" s="822"/>
      <c r="BU49" s="822"/>
      <c r="BV49" s="822"/>
      <c r="BW49" s="822"/>
      <c r="BX49" s="822"/>
      <c r="BY49" s="822"/>
      <c r="BZ49" s="822"/>
      <c r="CA49" s="822"/>
      <c r="CB49" s="822"/>
      <c r="CC49" s="822"/>
      <c r="CD49" s="822"/>
      <c r="CE49" s="822"/>
      <c r="CF49" s="822"/>
      <c r="CG49" s="822"/>
      <c r="CH49" s="822"/>
      <c r="CI49" s="822"/>
      <c r="CJ49" s="392"/>
      <c r="CK49" s="392"/>
      <c r="CL49" s="392"/>
      <c r="CM49" s="392"/>
      <c r="CN49" s="392"/>
      <c r="CO49" s="392"/>
      <c r="CP49" s="392"/>
      <c r="CQ49" s="392"/>
      <c r="CR49" s="392"/>
      <c r="CS49" s="392"/>
      <c r="CT49" s="392"/>
      <c r="CU49" s="392"/>
      <c r="CV49" s="392"/>
      <c r="CW49" s="392"/>
      <c r="CX49" s="392"/>
      <c r="CY49" s="392"/>
      <c r="CZ49" s="392"/>
      <c r="DA49" s="392"/>
      <c r="DB49" s="392"/>
      <c r="DC49" s="392"/>
    </row>
    <row r="50" spans="1:107" s="337" customFormat="1" ht="33.75">
      <c r="A50" s="37"/>
      <c r="B50" s="573" t="s">
        <v>23</v>
      </c>
      <c r="C50" s="574" t="s">
        <v>1266</v>
      </c>
      <c r="D50" s="575" t="s">
        <v>1267</v>
      </c>
      <c r="E50" s="576">
        <v>3778.4809172207592</v>
      </c>
      <c r="F50" s="577" t="s">
        <v>24</v>
      </c>
      <c r="G50" s="578">
        <v>0.20929606454378483</v>
      </c>
      <c r="H50" s="574" t="s">
        <v>1269</v>
      </c>
      <c r="I50" s="579">
        <v>0.91250770827753969</v>
      </c>
      <c r="J50" s="577" t="s">
        <v>25</v>
      </c>
      <c r="K50" s="577" t="s">
        <v>1051</v>
      </c>
      <c r="L50" s="577" t="s">
        <v>95</v>
      </c>
      <c r="M50" s="577" t="s">
        <v>92</v>
      </c>
      <c r="N50" s="580">
        <v>145.99775740210993</v>
      </c>
      <c r="O50" s="580">
        <v>207.82956327222885</v>
      </c>
      <c r="P50" s="580">
        <v>145.99775740210993</v>
      </c>
      <c r="Q50" s="580">
        <v>69.276521090742946</v>
      </c>
      <c r="R50" s="37"/>
      <c r="S50" s="574" t="s">
        <v>44</v>
      </c>
      <c r="T50" s="574" t="s">
        <v>63</v>
      </c>
      <c r="U50" s="574" t="s">
        <v>69</v>
      </c>
      <c r="V50" s="574" t="s">
        <v>69</v>
      </c>
      <c r="W50" s="574" t="s">
        <v>76</v>
      </c>
      <c r="X50" s="37"/>
      <c r="Y50" s="37"/>
      <c r="Z50" s="577" t="s">
        <v>78</v>
      </c>
      <c r="AA50" s="577" t="s">
        <v>78</v>
      </c>
      <c r="AB50" s="37"/>
      <c r="AC50" s="810">
        <v>7.1068493150684935</v>
      </c>
      <c r="AD50" s="577" t="s">
        <v>72</v>
      </c>
      <c r="AE50" s="574" t="s">
        <v>73</v>
      </c>
      <c r="AF50" s="822"/>
      <c r="AG50" s="822"/>
      <c r="AH50" s="822"/>
      <c r="AI50" s="822"/>
      <c r="AJ50" s="822"/>
      <c r="AK50" s="822"/>
      <c r="AL50" s="822"/>
      <c r="AM50" s="822"/>
      <c r="AN50" s="822"/>
      <c r="AO50" s="822"/>
      <c r="AP50" s="822"/>
      <c r="AQ50" s="822"/>
      <c r="AR50" s="822"/>
      <c r="AS50" s="822"/>
      <c r="AT50" s="822"/>
      <c r="AU50" s="822"/>
      <c r="AV50" s="822"/>
      <c r="AW50" s="822"/>
      <c r="AX50" s="822"/>
      <c r="AY50" s="822"/>
      <c r="AZ50" s="822"/>
      <c r="BA50" s="822"/>
      <c r="BB50" s="822"/>
      <c r="BC50" s="822"/>
      <c r="BD50" s="822"/>
      <c r="BE50" s="822"/>
      <c r="BF50" s="822"/>
      <c r="BG50" s="822"/>
      <c r="BH50" s="822"/>
      <c r="BI50" s="822"/>
      <c r="BJ50" s="822"/>
      <c r="BK50" s="822"/>
      <c r="BL50" s="822"/>
      <c r="BM50" s="822"/>
      <c r="BN50" s="822"/>
      <c r="BO50" s="822"/>
      <c r="BP50" s="822"/>
      <c r="BQ50" s="822"/>
      <c r="BR50" s="822"/>
      <c r="BS50" s="822"/>
      <c r="BT50" s="822"/>
      <c r="BU50" s="822"/>
      <c r="BV50" s="822"/>
      <c r="BW50" s="822"/>
      <c r="BX50" s="822"/>
      <c r="BY50" s="822"/>
      <c r="BZ50" s="822"/>
      <c r="CA50" s="822"/>
      <c r="CB50" s="822"/>
      <c r="CC50" s="822"/>
      <c r="CD50" s="822"/>
      <c r="CE50" s="822"/>
      <c r="CF50" s="822"/>
      <c r="CG50" s="822"/>
      <c r="CH50" s="822"/>
      <c r="CI50" s="822"/>
      <c r="CJ50" s="392"/>
      <c r="CK50" s="392"/>
      <c r="CL50" s="392"/>
      <c r="CM50" s="392"/>
      <c r="CN50" s="392"/>
      <c r="CO50" s="392"/>
      <c r="CP50" s="392"/>
      <c r="CQ50" s="392"/>
      <c r="CR50" s="392"/>
      <c r="CS50" s="392"/>
      <c r="CT50" s="392"/>
      <c r="CU50" s="392"/>
      <c r="CV50" s="392"/>
      <c r="CW50" s="392"/>
      <c r="CX50" s="392"/>
      <c r="CY50" s="392"/>
      <c r="CZ50" s="392"/>
      <c r="DA50" s="392"/>
      <c r="DB50" s="392"/>
      <c r="DC50" s="392"/>
    </row>
    <row r="51" spans="1:107" s="337" customFormat="1" ht="56.25">
      <c r="A51" s="37"/>
      <c r="B51" s="581" t="s">
        <v>23</v>
      </c>
      <c r="C51" s="582" t="s">
        <v>1266</v>
      </c>
      <c r="D51" s="583" t="s">
        <v>1268</v>
      </c>
      <c r="E51" s="584">
        <v>417.69372083632197</v>
      </c>
      <c r="F51" s="585" t="s">
        <v>27</v>
      </c>
      <c r="G51" s="586">
        <v>0.68473703818659359</v>
      </c>
      <c r="H51" s="585" t="s">
        <v>873</v>
      </c>
      <c r="I51" s="587">
        <v>0.87687389681802685</v>
      </c>
      <c r="J51" s="585" t="s">
        <v>1097</v>
      </c>
      <c r="K51" s="585" t="s">
        <v>1003</v>
      </c>
      <c r="L51" s="585" t="s">
        <v>960</v>
      </c>
      <c r="M51" s="585" t="s">
        <v>88</v>
      </c>
      <c r="N51" s="588">
        <v>42.241530280556454</v>
      </c>
      <c r="O51" s="588">
        <v>48.15264384406867</v>
      </c>
      <c r="P51" s="588">
        <v>36.609326243148921</v>
      </c>
      <c r="Q51" s="588" t="s">
        <v>871</v>
      </c>
      <c r="R51" s="37"/>
      <c r="S51" s="585" t="s">
        <v>69</v>
      </c>
      <c r="T51" s="585" t="s">
        <v>69</v>
      </c>
      <c r="U51" s="585" t="s">
        <v>69</v>
      </c>
      <c r="V51" s="585" t="s">
        <v>69</v>
      </c>
      <c r="W51" s="585" t="s">
        <v>76</v>
      </c>
      <c r="X51" s="37"/>
      <c r="Y51" s="37"/>
      <c r="Z51" s="582" t="s">
        <v>78</v>
      </c>
      <c r="AA51" s="582" t="s">
        <v>78</v>
      </c>
      <c r="AB51" s="37"/>
      <c r="AC51" s="685">
        <v>7.1068493150684935</v>
      </c>
      <c r="AD51" s="582" t="s">
        <v>72</v>
      </c>
      <c r="AE51" s="582" t="s">
        <v>73</v>
      </c>
      <c r="AF51" s="822"/>
      <c r="AG51" s="822"/>
      <c r="AH51" s="822"/>
      <c r="AI51" s="822"/>
      <c r="AJ51" s="822"/>
      <c r="AK51" s="822"/>
      <c r="AL51" s="822"/>
      <c r="AM51" s="822"/>
      <c r="AN51" s="822"/>
      <c r="AO51" s="822"/>
      <c r="AP51" s="822"/>
      <c r="AQ51" s="822"/>
      <c r="AR51" s="822"/>
      <c r="AS51" s="822"/>
      <c r="AT51" s="822"/>
      <c r="AU51" s="822"/>
      <c r="AV51" s="822"/>
      <c r="AW51" s="822"/>
      <c r="AX51" s="822"/>
      <c r="AY51" s="822"/>
      <c r="AZ51" s="822"/>
      <c r="BA51" s="822"/>
      <c r="BB51" s="822"/>
      <c r="BC51" s="822"/>
      <c r="BD51" s="822"/>
      <c r="BE51" s="822"/>
      <c r="BF51" s="822"/>
      <c r="BG51" s="822"/>
      <c r="BH51" s="822"/>
      <c r="BI51" s="822"/>
      <c r="BJ51" s="822"/>
      <c r="BK51" s="822"/>
      <c r="BL51" s="822"/>
      <c r="BM51" s="822"/>
      <c r="BN51" s="822"/>
      <c r="BO51" s="822"/>
      <c r="BP51" s="822"/>
      <c r="BQ51" s="822"/>
      <c r="BR51" s="822"/>
      <c r="BS51" s="822"/>
      <c r="BT51" s="822"/>
      <c r="BU51" s="822"/>
      <c r="BV51" s="822"/>
      <c r="BW51" s="822"/>
      <c r="BX51" s="822"/>
      <c r="BY51" s="822"/>
      <c r="BZ51" s="822"/>
      <c r="CA51" s="822"/>
      <c r="CB51" s="822"/>
      <c r="CC51" s="822"/>
      <c r="CD51" s="822"/>
      <c r="CE51" s="822"/>
      <c r="CF51" s="822"/>
      <c r="CG51" s="822"/>
      <c r="CH51" s="822"/>
      <c r="CI51" s="822"/>
      <c r="CJ51" s="392"/>
      <c r="CK51" s="392"/>
      <c r="CL51" s="392"/>
      <c r="CM51" s="392"/>
      <c r="CN51" s="392"/>
      <c r="CO51" s="392"/>
      <c r="CP51" s="392"/>
      <c r="CQ51" s="392"/>
      <c r="CR51" s="392"/>
      <c r="CS51" s="392"/>
      <c r="CT51" s="392"/>
      <c r="CU51" s="392"/>
      <c r="CV51" s="392"/>
      <c r="CW51" s="392"/>
      <c r="CX51" s="392"/>
      <c r="CY51" s="392"/>
      <c r="CZ51" s="392"/>
      <c r="DA51" s="392"/>
      <c r="DB51" s="392"/>
      <c r="DC51" s="392"/>
    </row>
    <row r="52" spans="1:107" s="337" customFormat="1" ht="56.25">
      <c r="A52" s="37"/>
      <c r="B52" s="581" t="s">
        <v>23</v>
      </c>
      <c r="C52" s="582" t="s">
        <v>1266</v>
      </c>
      <c r="D52" s="583" t="s">
        <v>1268</v>
      </c>
      <c r="E52" s="584">
        <v>417.69372083632197</v>
      </c>
      <c r="F52" s="585" t="s">
        <v>27</v>
      </c>
      <c r="G52" s="586">
        <v>0.68473703818659359</v>
      </c>
      <c r="H52" s="585" t="s">
        <v>873</v>
      </c>
      <c r="I52" s="587">
        <v>0.87687389681802685</v>
      </c>
      <c r="J52" s="585" t="s">
        <v>1097</v>
      </c>
      <c r="K52" s="585" t="s">
        <v>1003</v>
      </c>
      <c r="L52" s="585" t="s">
        <v>15</v>
      </c>
      <c r="M52" s="585" t="s">
        <v>88</v>
      </c>
      <c r="N52" s="588">
        <v>58.564026356227821</v>
      </c>
      <c r="O52" s="588">
        <v>48.15264384406867</v>
      </c>
      <c r="P52" s="588">
        <v>50.05181322305517</v>
      </c>
      <c r="Q52" s="588" t="s">
        <v>871</v>
      </c>
      <c r="R52" s="37"/>
      <c r="S52" s="585" t="s">
        <v>44</v>
      </c>
      <c r="T52" s="585" t="s">
        <v>75</v>
      </c>
      <c r="U52" s="585" t="s">
        <v>69</v>
      </c>
      <c r="V52" s="585" t="s">
        <v>69</v>
      </c>
      <c r="W52" s="585" t="s">
        <v>76</v>
      </c>
      <c r="X52" s="37"/>
      <c r="Y52" s="37"/>
      <c r="Z52" s="582" t="s">
        <v>78</v>
      </c>
      <c r="AA52" s="582" t="s">
        <v>78</v>
      </c>
      <c r="AB52" s="37"/>
      <c r="AC52" s="685">
        <v>7.1068493150684935</v>
      </c>
      <c r="AD52" s="582" t="s">
        <v>72</v>
      </c>
      <c r="AE52" s="582" t="s">
        <v>73</v>
      </c>
      <c r="AF52" s="822"/>
      <c r="AG52" s="822"/>
      <c r="AH52" s="822"/>
      <c r="AI52" s="822"/>
      <c r="AJ52" s="822"/>
      <c r="AK52" s="822"/>
      <c r="AL52" s="822"/>
      <c r="AM52" s="822"/>
      <c r="AN52" s="822"/>
      <c r="AO52" s="822"/>
      <c r="AP52" s="822"/>
      <c r="AQ52" s="822"/>
      <c r="AR52" s="822"/>
      <c r="AS52" s="822"/>
      <c r="AT52" s="822"/>
      <c r="AU52" s="822"/>
      <c r="AV52" s="822"/>
      <c r="AW52" s="822"/>
      <c r="AX52" s="822"/>
      <c r="AY52" s="822"/>
      <c r="AZ52" s="822"/>
      <c r="BA52" s="822"/>
      <c r="BB52" s="822"/>
      <c r="BC52" s="822"/>
      <c r="BD52" s="822"/>
      <c r="BE52" s="822"/>
      <c r="BF52" s="822"/>
      <c r="BG52" s="822"/>
      <c r="BH52" s="822"/>
      <c r="BI52" s="822"/>
      <c r="BJ52" s="822"/>
      <c r="BK52" s="822"/>
      <c r="BL52" s="822"/>
      <c r="BM52" s="822"/>
      <c r="BN52" s="822"/>
      <c r="BO52" s="822"/>
      <c r="BP52" s="822"/>
      <c r="BQ52" s="822"/>
      <c r="BR52" s="822"/>
      <c r="BS52" s="822"/>
      <c r="BT52" s="822"/>
      <c r="BU52" s="822"/>
      <c r="BV52" s="822"/>
      <c r="BW52" s="822"/>
      <c r="BX52" s="822"/>
      <c r="BY52" s="822"/>
      <c r="BZ52" s="822"/>
      <c r="CA52" s="822"/>
      <c r="CB52" s="822"/>
      <c r="CC52" s="822"/>
      <c r="CD52" s="822"/>
      <c r="CE52" s="822"/>
      <c r="CF52" s="822"/>
      <c r="CG52" s="822"/>
      <c r="CH52" s="822"/>
      <c r="CI52" s="822"/>
      <c r="CJ52" s="392"/>
      <c r="CK52" s="392"/>
      <c r="CL52" s="392"/>
      <c r="CM52" s="392"/>
      <c r="CN52" s="392"/>
      <c r="CO52" s="392"/>
      <c r="CP52" s="392"/>
      <c r="CQ52" s="392"/>
      <c r="CR52" s="392"/>
      <c r="CS52" s="392"/>
      <c r="CT52" s="392"/>
      <c r="CU52" s="392"/>
      <c r="CV52" s="392"/>
      <c r="CW52" s="392"/>
      <c r="CX52" s="392"/>
      <c r="CY52" s="392"/>
      <c r="CZ52" s="392"/>
      <c r="DA52" s="392"/>
      <c r="DB52" s="392"/>
      <c r="DC52" s="392"/>
    </row>
    <row r="53" spans="1:107" s="337" customFormat="1" ht="56.25">
      <c r="A53" s="37"/>
      <c r="B53" s="581" t="s">
        <v>23</v>
      </c>
      <c r="C53" s="582" t="s">
        <v>1266</v>
      </c>
      <c r="D53" s="583" t="s">
        <v>1268</v>
      </c>
      <c r="E53" s="584">
        <v>417.69372083632197</v>
      </c>
      <c r="F53" s="585" t="s">
        <v>27</v>
      </c>
      <c r="G53" s="586">
        <v>0.68473703818659359</v>
      </c>
      <c r="H53" s="585" t="s">
        <v>873</v>
      </c>
      <c r="I53" s="587">
        <v>0.87687389681802685</v>
      </c>
      <c r="J53" s="585" t="s">
        <v>1097</v>
      </c>
      <c r="K53" s="585" t="s">
        <v>1003</v>
      </c>
      <c r="L53" s="585" t="s">
        <v>960</v>
      </c>
      <c r="M53" s="585" t="s">
        <v>90</v>
      </c>
      <c r="N53" s="588">
        <v>42.241530280556454</v>
      </c>
      <c r="O53" s="588">
        <v>56.178084484746798</v>
      </c>
      <c r="P53" s="588">
        <v>36.609326243148921</v>
      </c>
      <c r="Q53" s="588" t="s">
        <v>1109</v>
      </c>
      <c r="R53" s="37"/>
      <c r="S53" s="585" t="s">
        <v>69</v>
      </c>
      <c r="T53" s="585" t="s">
        <v>69</v>
      </c>
      <c r="U53" s="585" t="s">
        <v>69</v>
      </c>
      <c r="V53" s="585" t="s">
        <v>69</v>
      </c>
      <c r="W53" s="585" t="s">
        <v>76</v>
      </c>
      <c r="X53" s="37"/>
      <c r="Y53" s="37"/>
      <c r="Z53" s="582" t="s">
        <v>78</v>
      </c>
      <c r="AA53" s="582" t="s">
        <v>78</v>
      </c>
      <c r="AB53" s="37"/>
      <c r="AC53" s="685">
        <v>7.1068493150684935</v>
      </c>
      <c r="AD53" s="582" t="s">
        <v>72</v>
      </c>
      <c r="AE53" s="582" t="s">
        <v>73</v>
      </c>
      <c r="AF53" s="822"/>
      <c r="AG53" s="822"/>
      <c r="AH53" s="822"/>
      <c r="AI53" s="822"/>
      <c r="AJ53" s="822"/>
      <c r="AK53" s="822"/>
      <c r="AL53" s="822"/>
      <c r="AM53" s="822"/>
      <c r="AN53" s="822"/>
      <c r="AO53" s="822"/>
      <c r="AP53" s="822"/>
      <c r="AQ53" s="822"/>
      <c r="AR53" s="822"/>
      <c r="AS53" s="822"/>
      <c r="AT53" s="822"/>
      <c r="AU53" s="822"/>
      <c r="AV53" s="822"/>
      <c r="AW53" s="822"/>
      <c r="AX53" s="822"/>
      <c r="AY53" s="822"/>
      <c r="AZ53" s="822"/>
      <c r="BA53" s="822"/>
      <c r="BB53" s="822"/>
      <c r="BC53" s="822"/>
      <c r="BD53" s="822"/>
      <c r="BE53" s="822"/>
      <c r="BF53" s="822"/>
      <c r="BG53" s="822"/>
      <c r="BH53" s="822"/>
      <c r="BI53" s="822"/>
      <c r="BJ53" s="822"/>
      <c r="BK53" s="822"/>
      <c r="BL53" s="822"/>
      <c r="BM53" s="822"/>
      <c r="BN53" s="822"/>
      <c r="BO53" s="822"/>
      <c r="BP53" s="822"/>
      <c r="BQ53" s="822"/>
      <c r="BR53" s="822"/>
      <c r="BS53" s="822"/>
      <c r="BT53" s="822"/>
      <c r="BU53" s="822"/>
      <c r="BV53" s="822"/>
      <c r="BW53" s="822"/>
      <c r="BX53" s="822"/>
      <c r="BY53" s="822"/>
      <c r="BZ53" s="822"/>
      <c r="CA53" s="822"/>
      <c r="CB53" s="822"/>
      <c r="CC53" s="822"/>
      <c r="CD53" s="822"/>
      <c r="CE53" s="822"/>
      <c r="CF53" s="822"/>
      <c r="CG53" s="822"/>
      <c r="CH53" s="822"/>
      <c r="CI53" s="822"/>
      <c r="CJ53" s="392"/>
      <c r="CK53" s="392"/>
      <c r="CL53" s="392"/>
      <c r="CM53" s="392"/>
      <c r="CN53" s="392"/>
      <c r="CO53" s="392"/>
      <c r="CP53" s="392"/>
      <c r="CQ53" s="392"/>
      <c r="CR53" s="392"/>
      <c r="CS53" s="392"/>
      <c r="CT53" s="392"/>
      <c r="CU53" s="392"/>
      <c r="CV53" s="392"/>
      <c r="CW53" s="392"/>
      <c r="CX53" s="392"/>
      <c r="CY53" s="392"/>
      <c r="CZ53" s="392"/>
      <c r="DA53" s="392"/>
      <c r="DB53" s="392"/>
      <c r="DC53" s="392"/>
    </row>
    <row r="54" spans="1:107" s="337" customFormat="1" ht="56.25">
      <c r="A54" s="37"/>
      <c r="B54" s="581" t="s">
        <v>23</v>
      </c>
      <c r="C54" s="582" t="s">
        <v>1266</v>
      </c>
      <c r="D54" s="583" t="s">
        <v>1268</v>
      </c>
      <c r="E54" s="584">
        <v>417.69372083632197</v>
      </c>
      <c r="F54" s="585" t="s">
        <v>27</v>
      </c>
      <c r="G54" s="586">
        <v>0.68473703818659359</v>
      </c>
      <c r="H54" s="585" t="s">
        <v>873</v>
      </c>
      <c r="I54" s="587">
        <v>0.87687389681802685</v>
      </c>
      <c r="J54" s="585" t="s">
        <v>1097</v>
      </c>
      <c r="K54" s="585" t="s">
        <v>1003</v>
      </c>
      <c r="L54" s="585" t="s">
        <v>15</v>
      </c>
      <c r="M54" s="585" t="s">
        <v>90</v>
      </c>
      <c r="N54" s="588">
        <v>58.564026356227821</v>
      </c>
      <c r="O54" s="588">
        <v>56.178084484746798</v>
      </c>
      <c r="P54" s="588">
        <v>50.05181322305517</v>
      </c>
      <c r="Q54" s="588" t="s">
        <v>1109</v>
      </c>
      <c r="R54" s="37"/>
      <c r="S54" s="585" t="s">
        <v>44</v>
      </c>
      <c r="T54" s="585" t="s">
        <v>75</v>
      </c>
      <c r="U54" s="585" t="s">
        <v>69</v>
      </c>
      <c r="V54" s="585" t="s">
        <v>69</v>
      </c>
      <c r="W54" s="585" t="s">
        <v>76</v>
      </c>
      <c r="X54" s="37"/>
      <c r="Y54" s="37"/>
      <c r="Z54" s="582" t="s">
        <v>78</v>
      </c>
      <c r="AA54" s="582" t="s">
        <v>78</v>
      </c>
      <c r="AB54" s="37"/>
      <c r="AC54" s="685">
        <v>7.1068493150684935</v>
      </c>
      <c r="AD54" s="582" t="s">
        <v>72</v>
      </c>
      <c r="AE54" s="582" t="s">
        <v>73</v>
      </c>
      <c r="AF54" s="822"/>
      <c r="AG54" s="822"/>
      <c r="AH54" s="822"/>
      <c r="AI54" s="822"/>
      <c r="AJ54" s="822"/>
      <c r="AK54" s="822"/>
      <c r="AL54" s="822"/>
      <c r="AM54" s="822"/>
      <c r="AN54" s="822"/>
      <c r="AO54" s="822"/>
      <c r="AP54" s="822"/>
      <c r="AQ54" s="822"/>
      <c r="AR54" s="822"/>
      <c r="AS54" s="822"/>
      <c r="AT54" s="822"/>
      <c r="AU54" s="822"/>
      <c r="AV54" s="822"/>
      <c r="AW54" s="822"/>
      <c r="AX54" s="822"/>
      <c r="AY54" s="822"/>
      <c r="AZ54" s="822"/>
      <c r="BA54" s="822"/>
      <c r="BB54" s="822"/>
      <c r="BC54" s="822"/>
      <c r="BD54" s="822"/>
      <c r="BE54" s="822"/>
      <c r="BF54" s="822"/>
      <c r="BG54" s="822"/>
      <c r="BH54" s="822"/>
      <c r="BI54" s="822"/>
      <c r="BJ54" s="822"/>
      <c r="BK54" s="822"/>
      <c r="BL54" s="822"/>
      <c r="BM54" s="822"/>
      <c r="BN54" s="822"/>
      <c r="BO54" s="822"/>
      <c r="BP54" s="822"/>
      <c r="BQ54" s="822"/>
      <c r="BR54" s="822"/>
      <c r="BS54" s="822"/>
      <c r="BT54" s="822"/>
      <c r="BU54" s="822"/>
      <c r="BV54" s="822"/>
      <c r="BW54" s="822"/>
      <c r="BX54" s="822"/>
      <c r="BY54" s="822"/>
      <c r="BZ54" s="822"/>
      <c r="CA54" s="822"/>
      <c r="CB54" s="822"/>
      <c r="CC54" s="822"/>
      <c r="CD54" s="822"/>
      <c r="CE54" s="822"/>
      <c r="CF54" s="822"/>
      <c r="CG54" s="822"/>
      <c r="CH54" s="822"/>
      <c r="CI54" s="822"/>
      <c r="CJ54" s="392"/>
      <c r="CK54" s="392"/>
      <c r="CL54" s="392"/>
      <c r="CM54" s="392"/>
      <c r="CN54" s="392"/>
      <c r="CO54" s="392"/>
      <c r="CP54" s="392"/>
      <c r="CQ54" s="392"/>
      <c r="CR54" s="392"/>
      <c r="CS54" s="392"/>
      <c r="CT54" s="392"/>
      <c r="CU54" s="392"/>
      <c r="CV54" s="392"/>
      <c r="CW54" s="392"/>
      <c r="CX54" s="392"/>
      <c r="CY54" s="392"/>
      <c r="CZ54" s="392"/>
      <c r="DA54" s="392"/>
      <c r="DB54" s="392"/>
      <c r="DC54" s="392"/>
    </row>
    <row r="55" spans="1:107" s="337" customFormat="1" ht="56.25">
      <c r="A55" s="37"/>
      <c r="B55" s="581" t="s">
        <v>23</v>
      </c>
      <c r="C55" s="582" t="s">
        <v>1266</v>
      </c>
      <c r="D55" s="583" t="s">
        <v>1268</v>
      </c>
      <c r="E55" s="584">
        <v>417.69372083632197</v>
      </c>
      <c r="F55" s="585" t="s">
        <v>27</v>
      </c>
      <c r="G55" s="586">
        <v>0.68473703818659359</v>
      </c>
      <c r="H55" s="585" t="s">
        <v>873</v>
      </c>
      <c r="I55" s="587">
        <v>0.87687389681802685</v>
      </c>
      <c r="J55" s="585" t="s">
        <v>1097</v>
      </c>
      <c r="K55" s="585" t="s">
        <v>1003</v>
      </c>
      <c r="L55" s="585" t="s">
        <v>960</v>
      </c>
      <c r="M55" s="585" t="s">
        <v>92</v>
      </c>
      <c r="N55" s="588">
        <v>42.241530280556454</v>
      </c>
      <c r="O55" s="588">
        <v>72.228965766103016</v>
      </c>
      <c r="P55" s="588">
        <v>36.609326243148921</v>
      </c>
      <c r="Q55" s="588">
        <v>24.076321922034335</v>
      </c>
      <c r="R55" s="37"/>
      <c r="S55" s="585" t="s">
        <v>69</v>
      </c>
      <c r="T55" s="585" t="s">
        <v>69</v>
      </c>
      <c r="U55" s="585" t="s">
        <v>69</v>
      </c>
      <c r="V55" s="585" t="s">
        <v>69</v>
      </c>
      <c r="W55" s="585" t="s">
        <v>76</v>
      </c>
      <c r="X55" s="37"/>
      <c r="Y55" s="37"/>
      <c r="Z55" s="582" t="s">
        <v>78</v>
      </c>
      <c r="AA55" s="582" t="s">
        <v>78</v>
      </c>
      <c r="AB55" s="37"/>
      <c r="AC55" s="685">
        <v>7.1068493150684935</v>
      </c>
      <c r="AD55" s="582" t="s">
        <v>72</v>
      </c>
      <c r="AE55" s="582" t="s">
        <v>73</v>
      </c>
      <c r="AF55" s="822"/>
      <c r="AG55" s="822"/>
      <c r="AH55" s="822"/>
      <c r="AI55" s="822"/>
      <c r="AJ55" s="822"/>
      <c r="AK55" s="822"/>
      <c r="AL55" s="822"/>
      <c r="AM55" s="822"/>
      <c r="AN55" s="822"/>
      <c r="AO55" s="822"/>
      <c r="AP55" s="822"/>
      <c r="AQ55" s="822"/>
      <c r="AR55" s="822"/>
      <c r="AS55" s="822"/>
      <c r="AT55" s="822"/>
      <c r="AU55" s="822"/>
      <c r="AV55" s="822"/>
      <c r="AW55" s="822"/>
      <c r="AX55" s="822"/>
      <c r="AY55" s="822"/>
      <c r="AZ55" s="822"/>
      <c r="BA55" s="822"/>
      <c r="BB55" s="822"/>
      <c r="BC55" s="822"/>
      <c r="BD55" s="822"/>
      <c r="BE55" s="822"/>
      <c r="BF55" s="822"/>
      <c r="BG55" s="822"/>
      <c r="BH55" s="822"/>
      <c r="BI55" s="822"/>
      <c r="BJ55" s="822"/>
      <c r="BK55" s="822"/>
      <c r="BL55" s="822"/>
      <c r="BM55" s="822"/>
      <c r="BN55" s="822"/>
      <c r="BO55" s="822"/>
      <c r="BP55" s="822"/>
      <c r="BQ55" s="822"/>
      <c r="BR55" s="822"/>
      <c r="BS55" s="822"/>
      <c r="BT55" s="822"/>
      <c r="BU55" s="822"/>
      <c r="BV55" s="822"/>
      <c r="BW55" s="822"/>
      <c r="BX55" s="822"/>
      <c r="BY55" s="822"/>
      <c r="BZ55" s="822"/>
      <c r="CA55" s="822"/>
      <c r="CB55" s="822"/>
      <c r="CC55" s="822"/>
      <c r="CD55" s="822"/>
      <c r="CE55" s="822"/>
      <c r="CF55" s="822"/>
      <c r="CG55" s="822"/>
      <c r="CH55" s="822"/>
      <c r="CI55" s="822"/>
      <c r="CJ55" s="392"/>
      <c r="CK55" s="392"/>
      <c r="CL55" s="392"/>
      <c r="CM55" s="392"/>
      <c r="CN55" s="392"/>
      <c r="CO55" s="392"/>
      <c r="CP55" s="392"/>
      <c r="CQ55" s="392"/>
      <c r="CR55" s="392"/>
      <c r="CS55" s="392"/>
      <c r="CT55" s="392"/>
      <c r="CU55" s="392"/>
      <c r="CV55" s="392"/>
      <c r="CW55" s="392"/>
      <c r="CX55" s="392"/>
      <c r="CY55" s="392"/>
      <c r="CZ55" s="392"/>
      <c r="DA55" s="392"/>
      <c r="DB55" s="392"/>
      <c r="DC55" s="392"/>
    </row>
    <row r="56" spans="1:107" s="337" customFormat="1" ht="56.25">
      <c r="A56" s="37"/>
      <c r="B56" s="581" t="s">
        <v>23</v>
      </c>
      <c r="C56" s="582" t="s">
        <v>1266</v>
      </c>
      <c r="D56" s="583" t="s">
        <v>1268</v>
      </c>
      <c r="E56" s="584">
        <v>417.69372083632197</v>
      </c>
      <c r="F56" s="585" t="s">
        <v>27</v>
      </c>
      <c r="G56" s="586">
        <v>0.68473703818659359</v>
      </c>
      <c r="H56" s="585" t="s">
        <v>873</v>
      </c>
      <c r="I56" s="587">
        <v>0.87687389681802685</v>
      </c>
      <c r="J56" s="585" t="s">
        <v>1097</v>
      </c>
      <c r="K56" s="585" t="s">
        <v>1003</v>
      </c>
      <c r="L56" s="585" t="s">
        <v>15</v>
      </c>
      <c r="M56" s="585" t="s">
        <v>92</v>
      </c>
      <c r="N56" s="588">
        <v>58.564026356227821</v>
      </c>
      <c r="O56" s="588">
        <v>72.228965766103016</v>
      </c>
      <c r="P56" s="588">
        <v>50.05181322305517</v>
      </c>
      <c r="Q56" s="588">
        <v>24.076321922034335</v>
      </c>
      <c r="R56" s="37"/>
      <c r="S56" s="585" t="s">
        <v>44</v>
      </c>
      <c r="T56" s="585" t="s">
        <v>75</v>
      </c>
      <c r="U56" s="585" t="s">
        <v>69</v>
      </c>
      <c r="V56" s="585" t="s">
        <v>69</v>
      </c>
      <c r="W56" s="585" t="s">
        <v>76</v>
      </c>
      <c r="X56" s="37"/>
      <c r="Y56" s="37"/>
      <c r="Z56" s="582" t="s">
        <v>78</v>
      </c>
      <c r="AA56" s="582" t="s">
        <v>78</v>
      </c>
      <c r="AB56" s="37"/>
      <c r="AC56" s="685">
        <v>7.1068493150684935</v>
      </c>
      <c r="AD56" s="582" t="s">
        <v>72</v>
      </c>
      <c r="AE56" s="582" t="s">
        <v>73</v>
      </c>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BF56" s="822"/>
      <c r="BG56" s="822"/>
      <c r="BH56" s="822"/>
      <c r="BI56" s="822"/>
      <c r="BJ56" s="822"/>
      <c r="BK56" s="822"/>
      <c r="BL56" s="822"/>
      <c r="BM56" s="822"/>
      <c r="BN56" s="822"/>
      <c r="BO56" s="822"/>
      <c r="BP56" s="822"/>
      <c r="BQ56" s="822"/>
      <c r="BR56" s="822"/>
      <c r="BS56" s="822"/>
      <c r="BT56" s="822"/>
      <c r="BU56" s="822"/>
      <c r="BV56" s="822"/>
      <c r="BW56" s="822"/>
      <c r="BX56" s="822"/>
      <c r="BY56" s="822"/>
      <c r="BZ56" s="822"/>
      <c r="CA56" s="822"/>
      <c r="CB56" s="822"/>
      <c r="CC56" s="822"/>
      <c r="CD56" s="822"/>
      <c r="CE56" s="822"/>
      <c r="CF56" s="822"/>
      <c r="CG56" s="822"/>
      <c r="CH56" s="822"/>
      <c r="CI56" s="822"/>
      <c r="CJ56" s="392"/>
      <c r="CK56" s="392"/>
      <c r="CL56" s="392"/>
      <c r="CM56" s="392"/>
      <c r="CN56" s="392"/>
      <c r="CO56" s="392"/>
      <c r="CP56" s="392"/>
      <c r="CQ56" s="392"/>
      <c r="CR56" s="392"/>
      <c r="CS56" s="392"/>
      <c r="CT56" s="392"/>
      <c r="CU56" s="392"/>
      <c r="CV56" s="392"/>
      <c r="CW56" s="392"/>
      <c r="CX56" s="392"/>
      <c r="CY56" s="392"/>
      <c r="CZ56" s="392"/>
      <c r="DA56" s="392"/>
      <c r="DB56" s="392"/>
      <c r="DC56" s="392"/>
    </row>
    <row r="57" spans="1:107" s="337" customFormat="1" ht="24">
      <c r="A57" s="37"/>
      <c r="B57" s="581" t="s">
        <v>23</v>
      </c>
      <c r="C57" s="582" t="s">
        <v>1266</v>
      </c>
      <c r="D57" s="583" t="s">
        <v>1268</v>
      </c>
      <c r="E57" s="584">
        <v>417.69372083632197</v>
      </c>
      <c r="F57" s="585" t="s">
        <v>24</v>
      </c>
      <c r="G57" s="586">
        <v>0.20929606454378483</v>
      </c>
      <c r="H57" s="585" t="s">
        <v>873</v>
      </c>
      <c r="I57" s="587">
        <v>0.91250770827753969</v>
      </c>
      <c r="J57" s="585" t="s">
        <v>25</v>
      </c>
      <c r="K57" s="585" t="s">
        <v>1003</v>
      </c>
      <c r="L57" s="585" t="s">
        <v>95</v>
      </c>
      <c r="M57" s="585" t="s">
        <v>88</v>
      </c>
      <c r="N57" s="588">
        <v>16.139381899512461</v>
      </c>
      <c r="O57" s="588">
        <v>15.316402805745726</v>
      </c>
      <c r="P57" s="588">
        <v>16.139381899512461</v>
      </c>
      <c r="Q57" s="588" t="s">
        <v>871</v>
      </c>
      <c r="R57" s="37"/>
      <c r="S57" s="582" t="s">
        <v>44</v>
      </c>
      <c r="T57" s="582" t="s">
        <v>63</v>
      </c>
      <c r="U57" s="582" t="s">
        <v>69</v>
      </c>
      <c r="V57" s="582" t="s">
        <v>69</v>
      </c>
      <c r="W57" s="582" t="s">
        <v>76</v>
      </c>
      <c r="X57" s="37"/>
      <c r="Y57" s="37"/>
      <c r="Z57" s="582" t="s">
        <v>78</v>
      </c>
      <c r="AA57" s="582" t="s">
        <v>78</v>
      </c>
      <c r="AB57" s="37"/>
      <c r="AC57" s="685">
        <v>7.1068493150684935</v>
      </c>
      <c r="AD57" s="582" t="s">
        <v>72</v>
      </c>
      <c r="AE57" s="582" t="s">
        <v>73</v>
      </c>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822"/>
      <c r="BC57" s="822"/>
      <c r="BD57" s="822"/>
      <c r="BE57" s="822"/>
      <c r="BF57" s="822"/>
      <c r="BG57" s="822"/>
      <c r="BH57" s="822"/>
      <c r="BI57" s="822"/>
      <c r="BJ57" s="822"/>
      <c r="BK57" s="822"/>
      <c r="BL57" s="822"/>
      <c r="BM57" s="822"/>
      <c r="BN57" s="822"/>
      <c r="BO57" s="822"/>
      <c r="BP57" s="822"/>
      <c r="BQ57" s="822"/>
      <c r="BR57" s="822"/>
      <c r="BS57" s="822"/>
      <c r="BT57" s="822"/>
      <c r="BU57" s="822"/>
      <c r="BV57" s="822"/>
      <c r="BW57" s="822"/>
      <c r="BX57" s="822"/>
      <c r="BY57" s="822"/>
      <c r="BZ57" s="822"/>
      <c r="CA57" s="822"/>
      <c r="CB57" s="822"/>
      <c r="CC57" s="822"/>
      <c r="CD57" s="822"/>
      <c r="CE57" s="822"/>
      <c r="CF57" s="822"/>
      <c r="CG57" s="822"/>
      <c r="CH57" s="822"/>
      <c r="CI57" s="822"/>
      <c r="CJ57" s="392"/>
      <c r="CK57" s="392"/>
      <c r="CL57" s="392"/>
      <c r="CM57" s="392"/>
      <c r="CN57" s="392"/>
      <c r="CO57" s="392"/>
      <c r="CP57" s="392"/>
      <c r="CQ57" s="392"/>
      <c r="CR57" s="392"/>
      <c r="CS57" s="392"/>
      <c r="CT57" s="392"/>
      <c r="CU57" s="392"/>
      <c r="CV57" s="392"/>
      <c r="CW57" s="392"/>
      <c r="CX57" s="392"/>
      <c r="CY57" s="392"/>
      <c r="CZ57" s="392"/>
      <c r="DA57" s="392"/>
      <c r="DB57" s="392"/>
      <c r="DC57" s="392"/>
    </row>
    <row r="58" spans="1:107" s="337" customFormat="1" ht="24">
      <c r="A58" s="37"/>
      <c r="B58" s="581" t="s">
        <v>23</v>
      </c>
      <c r="C58" s="582" t="s">
        <v>1266</v>
      </c>
      <c r="D58" s="583" t="s">
        <v>1268</v>
      </c>
      <c r="E58" s="584">
        <v>417.69372083632197</v>
      </c>
      <c r="F58" s="585" t="s">
        <v>24</v>
      </c>
      <c r="G58" s="586">
        <v>0.20929606454378483</v>
      </c>
      <c r="H58" s="585" t="s">
        <v>873</v>
      </c>
      <c r="I58" s="587">
        <v>0.91250770827753969</v>
      </c>
      <c r="J58" s="585" t="s">
        <v>25</v>
      </c>
      <c r="K58" s="585" t="s">
        <v>1003</v>
      </c>
      <c r="L58" s="585" t="s">
        <v>95</v>
      </c>
      <c r="M58" s="585" t="s">
        <v>90</v>
      </c>
      <c r="N58" s="588">
        <v>16.139381899512461</v>
      </c>
      <c r="O58" s="588">
        <v>17.869136606703346</v>
      </c>
      <c r="P58" s="588">
        <v>16.139381899512461</v>
      </c>
      <c r="Q58" s="588" t="s">
        <v>1109</v>
      </c>
      <c r="R58" s="37"/>
      <c r="S58" s="582" t="s">
        <v>44</v>
      </c>
      <c r="T58" s="582" t="s">
        <v>63</v>
      </c>
      <c r="U58" s="582" t="s">
        <v>69</v>
      </c>
      <c r="V58" s="582" t="s">
        <v>69</v>
      </c>
      <c r="W58" s="582" t="s">
        <v>76</v>
      </c>
      <c r="X58" s="37"/>
      <c r="Y58" s="37"/>
      <c r="Z58" s="582" t="s">
        <v>78</v>
      </c>
      <c r="AA58" s="582" t="s">
        <v>78</v>
      </c>
      <c r="AB58" s="37"/>
      <c r="AC58" s="685">
        <v>7.1068493150684935</v>
      </c>
      <c r="AD58" s="582" t="s">
        <v>72</v>
      </c>
      <c r="AE58" s="582" t="s">
        <v>73</v>
      </c>
      <c r="AF58" s="822"/>
      <c r="AG58" s="822"/>
      <c r="AH58" s="822"/>
      <c r="AI58" s="822"/>
      <c r="AJ58" s="822"/>
      <c r="AK58" s="822"/>
      <c r="AL58" s="822"/>
      <c r="AM58" s="822"/>
      <c r="AN58" s="822"/>
      <c r="AO58" s="822"/>
      <c r="AP58" s="822"/>
      <c r="AQ58" s="822"/>
      <c r="AR58" s="822"/>
      <c r="AS58" s="822"/>
      <c r="AT58" s="822"/>
      <c r="AU58" s="822"/>
      <c r="AV58" s="822"/>
      <c r="AW58" s="822"/>
      <c r="AX58" s="822"/>
      <c r="AY58" s="822"/>
      <c r="AZ58" s="822"/>
      <c r="BA58" s="822"/>
      <c r="BB58" s="822"/>
      <c r="BC58" s="822"/>
      <c r="BD58" s="822"/>
      <c r="BE58" s="822"/>
      <c r="BF58" s="822"/>
      <c r="BG58" s="822"/>
      <c r="BH58" s="822"/>
      <c r="BI58" s="822"/>
      <c r="BJ58" s="822"/>
      <c r="BK58" s="822"/>
      <c r="BL58" s="822"/>
      <c r="BM58" s="822"/>
      <c r="BN58" s="822"/>
      <c r="BO58" s="822"/>
      <c r="BP58" s="822"/>
      <c r="BQ58" s="822"/>
      <c r="BR58" s="822"/>
      <c r="BS58" s="822"/>
      <c r="BT58" s="822"/>
      <c r="BU58" s="822"/>
      <c r="BV58" s="822"/>
      <c r="BW58" s="822"/>
      <c r="BX58" s="822"/>
      <c r="BY58" s="822"/>
      <c r="BZ58" s="822"/>
      <c r="CA58" s="822"/>
      <c r="CB58" s="822"/>
      <c r="CC58" s="822"/>
      <c r="CD58" s="822"/>
      <c r="CE58" s="822"/>
      <c r="CF58" s="822"/>
      <c r="CG58" s="822"/>
      <c r="CH58" s="822"/>
      <c r="CI58" s="822"/>
      <c r="CJ58" s="392"/>
      <c r="CK58" s="392"/>
      <c r="CL58" s="392"/>
      <c r="CM58" s="392"/>
      <c r="CN58" s="392"/>
      <c r="CO58" s="392"/>
      <c r="CP58" s="392"/>
      <c r="CQ58" s="392"/>
      <c r="CR58" s="392"/>
      <c r="CS58" s="392"/>
      <c r="CT58" s="392"/>
      <c r="CU58" s="392"/>
      <c r="CV58" s="392"/>
      <c r="CW58" s="392"/>
      <c r="CX58" s="392"/>
      <c r="CY58" s="392"/>
      <c r="CZ58" s="392"/>
      <c r="DA58" s="392"/>
      <c r="DB58" s="392"/>
      <c r="DC58" s="392"/>
    </row>
    <row r="59" spans="1:107" s="337" customFormat="1" ht="24">
      <c r="A59" s="37"/>
      <c r="B59" s="581" t="s">
        <v>23</v>
      </c>
      <c r="C59" s="582" t="s">
        <v>1266</v>
      </c>
      <c r="D59" s="583" t="s">
        <v>1268</v>
      </c>
      <c r="E59" s="584">
        <v>417.69372083632197</v>
      </c>
      <c r="F59" s="585" t="s">
        <v>24</v>
      </c>
      <c r="G59" s="586">
        <v>0.20929606454378483</v>
      </c>
      <c r="H59" s="585" t="s">
        <v>873</v>
      </c>
      <c r="I59" s="587">
        <v>0.91250770827753969</v>
      </c>
      <c r="J59" s="585" t="s">
        <v>25</v>
      </c>
      <c r="K59" s="585" t="s">
        <v>1003</v>
      </c>
      <c r="L59" s="585" t="s">
        <v>95</v>
      </c>
      <c r="M59" s="585" t="s">
        <v>92</v>
      </c>
      <c r="N59" s="588">
        <v>16.139381899512461</v>
      </c>
      <c r="O59" s="588">
        <v>22.974604208618583</v>
      </c>
      <c r="P59" s="588">
        <v>16.139381899512461</v>
      </c>
      <c r="Q59" s="588">
        <v>7.6582014028728631</v>
      </c>
      <c r="R59" s="37"/>
      <c r="S59" s="582" t="s">
        <v>44</v>
      </c>
      <c r="T59" s="582" t="s">
        <v>63</v>
      </c>
      <c r="U59" s="582" t="s">
        <v>69</v>
      </c>
      <c r="V59" s="582" t="s">
        <v>69</v>
      </c>
      <c r="W59" s="582" t="s">
        <v>76</v>
      </c>
      <c r="X59" s="37"/>
      <c r="Y59" s="37"/>
      <c r="Z59" s="582" t="s">
        <v>78</v>
      </c>
      <c r="AA59" s="582" t="s">
        <v>78</v>
      </c>
      <c r="AB59" s="37"/>
      <c r="AC59" s="685">
        <v>7.1068493150684935</v>
      </c>
      <c r="AD59" s="582" t="s">
        <v>72</v>
      </c>
      <c r="AE59" s="582" t="s">
        <v>73</v>
      </c>
      <c r="AF59" s="822"/>
      <c r="AG59" s="822"/>
      <c r="AH59" s="822"/>
      <c r="AI59" s="822"/>
      <c r="AJ59" s="822"/>
      <c r="AK59" s="822"/>
      <c r="AL59" s="822"/>
      <c r="AM59" s="822"/>
      <c r="AN59" s="822"/>
      <c r="AO59" s="822"/>
      <c r="AP59" s="822"/>
      <c r="AQ59" s="822"/>
      <c r="AR59" s="822"/>
      <c r="AS59" s="822"/>
      <c r="AT59" s="822"/>
      <c r="AU59" s="822"/>
      <c r="AV59" s="822"/>
      <c r="AW59" s="822"/>
      <c r="AX59" s="822"/>
      <c r="AY59" s="822"/>
      <c r="AZ59" s="822"/>
      <c r="BA59" s="822"/>
      <c r="BB59" s="822"/>
      <c r="BC59" s="822"/>
      <c r="BD59" s="822"/>
      <c r="BE59" s="822"/>
      <c r="BF59" s="822"/>
      <c r="BG59" s="822"/>
      <c r="BH59" s="822"/>
      <c r="BI59" s="822"/>
      <c r="BJ59" s="822"/>
      <c r="BK59" s="822"/>
      <c r="BL59" s="822"/>
      <c r="BM59" s="822"/>
      <c r="BN59" s="822"/>
      <c r="BO59" s="822"/>
      <c r="BP59" s="822"/>
      <c r="BQ59" s="822"/>
      <c r="BR59" s="822"/>
      <c r="BS59" s="822"/>
      <c r="BT59" s="822"/>
      <c r="BU59" s="822"/>
      <c r="BV59" s="822"/>
      <c r="BW59" s="822"/>
      <c r="BX59" s="822"/>
      <c r="BY59" s="822"/>
      <c r="BZ59" s="822"/>
      <c r="CA59" s="822"/>
      <c r="CB59" s="822"/>
      <c r="CC59" s="822"/>
      <c r="CD59" s="822"/>
      <c r="CE59" s="822"/>
      <c r="CF59" s="822"/>
      <c r="CG59" s="822"/>
      <c r="CH59" s="822"/>
      <c r="CI59" s="822"/>
      <c r="CJ59" s="392"/>
      <c r="CK59" s="392"/>
      <c r="CL59" s="392"/>
      <c r="CM59" s="392"/>
      <c r="CN59" s="392"/>
      <c r="CO59" s="392"/>
      <c r="CP59" s="392"/>
      <c r="CQ59" s="392"/>
      <c r="CR59" s="392"/>
      <c r="CS59" s="392"/>
      <c r="CT59" s="392"/>
      <c r="CU59" s="392"/>
      <c r="CV59" s="392"/>
      <c r="CW59" s="392"/>
      <c r="CX59" s="392"/>
      <c r="CY59" s="392"/>
      <c r="CZ59" s="392"/>
      <c r="DA59" s="392"/>
      <c r="DB59" s="392"/>
      <c r="DC59" s="392"/>
    </row>
    <row r="60" spans="1:107" s="337" customFormat="1" ht="56.25">
      <c r="A60" s="37"/>
      <c r="B60" s="591" t="s">
        <v>23</v>
      </c>
      <c r="C60" s="592" t="s">
        <v>181</v>
      </c>
      <c r="D60" s="593" t="s">
        <v>1220</v>
      </c>
      <c r="E60" s="594">
        <v>4282.1979731819274</v>
      </c>
      <c r="F60" s="592" t="s">
        <v>27</v>
      </c>
      <c r="G60" s="595">
        <v>0.97831874716616496</v>
      </c>
      <c r="H60" s="592" t="s">
        <v>66</v>
      </c>
      <c r="I60" s="596">
        <v>0.78814331624736522</v>
      </c>
      <c r="J60" s="592" t="s">
        <v>1097</v>
      </c>
      <c r="K60" s="592" t="s">
        <v>1012</v>
      </c>
      <c r="L60" s="592" t="s">
        <v>960</v>
      </c>
      <c r="M60" s="592" t="s">
        <v>88</v>
      </c>
      <c r="N60" s="597">
        <v>618.73544215249262</v>
      </c>
      <c r="O60" s="597">
        <v>581.11887554893224</v>
      </c>
      <c r="P60" s="597">
        <v>536.23738319882671</v>
      </c>
      <c r="Q60" s="597">
        <v>52.828988686266534</v>
      </c>
      <c r="R60" s="37"/>
      <c r="S60" s="592" t="s">
        <v>69</v>
      </c>
      <c r="T60" s="592" t="s">
        <v>69</v>
      </c>
      <c r="U60" s="592" t="s">
        <v>69</v>
      </c>
      <c r="V60" s="592" t="s">
        <v>69</v>
      </c>
      <c r="W60" s="592" t="s">
        <v>76</v>
      </c>
      <c r="X60" s="37"/>
      <c r="Y60" s="37"/>
      <c r="Z60" s="592" t="s">
        <v>78</v>
      </c>
      <c r="AA60" s="592" t="s">
        <v>78</v>
      </c>
      <c r="AB60" s="37"/>
      <c r="AC60" s="679">
        <v>7.2356164383561641</v>
      </c>
      <c r="AD60" s="592" t="s">
        <v>72</v>
      </c>
      <c r="AE60" s="598" t="s">
        <v>73</v>
      </c>
      <c r="AF60" s="822"/>
      <c r="AG60" s="822"/>
      <c r="AH60" s="822"/>
      <c r="AI60" s="822"/>
      <c r="AJ60" s="822"/>
      <c r="AK60" s="822"/>
      <c r="AL60" s="822"/>
      <c r="AM60" s="822"/>
      <c r="AN60" s="822"/>
      <c r="AO60" s="822"/>
      <c r="AP60" s="822"/>
      <c r="AQ60" s="822"/>
      <c r="AR60" s="822"/>
      <c r="AS60" s="822"/>
      <c r="AT60" s="822"/>
      <c r="AU60" s="822"/>
      <c r="AV60" s="822"/>
      <c r="AW60" s="822"/>
      <c r="AX60" s="822"/>
      <c r="AY60" s="822"/>
      <c r="AZ60" s="822"/>
      <c r="BA60" s="822"/>
      <c r="BB60" s="822"/>
      <c r="BC60" s="822"/>
      <c r="BD60" s="822"/>
      <c r="BE60" s="822"/>
      <c r="BF60" s="822"/>
      <c r="BG60" s="822"/>
      <c r="BH60" s="822"/>
      <c r="BI60" s="822"/>
      <c r="BJ60" s="822"/>
      <c r="BK60" s="822"/>
      <c r="BL60" s="822"/>
      <c r="BM60" s="822"/>
      <c r="BN60" s="822"/>
      <c r="BO60" s="822"/>
      <c r="BP60" s="822"/>
      <c r="BQ60" s="822"/>
      <c r="BR60" s="822"/>
      <c r="BS60" s="822"/>
      <c r="BT60" s="822"/>
      <c r="BU60" s="822"/>
      <c r="BV60" s="822"/>
      <c r="BW60" s="822"/>
      <c r="BX60" s="822"/>
      <c r="BY60" s="822"/>
      <c r="BZ60" s="822"/>
      <c r="CA60" s="822"/>
      <c r="CB60" s="822"/>
      <c r="CC60" s="822"/>
      <c r="CD60" s="822"/>
      <c r="CE60" s="822"/>
      <c r="CF60" s="822"/>
      <c r="CG60" s="822"/>
      <c r="CH60" s="822"/>
      <c r="CI60" s="822"/>
      <c r="CJ60" s="392"/>
      <c r="CK60" s="392"/>
      <c r="CL60" s="392"/>
      <c r="CM60" s="392"/>
      <c r="CN60" s="392"/>
      <c r="CO60" s="392"/>
      <c r="CP60" s="392"/>
      <c r="CQ60" s="392"/>
      <c r="CR60" s="392"/>
      <c r="CS60" s="392"/>
      <c r="CT60" s="392"/>
      <c r="CU60" s="392"/>
      <c r="CV60" s="392"/>
      <c r="CW60" s="392"/>
      <c r="CX60" s="392"/>
      <c r="CY60" s="392"/>
      <c r="CZ60" s="392"/>
      <c r="DA60" s="392"/>
      <c r="DB60" s="392"/>
      <c r="DC60" s="392"/>
    </row>
    <row r="61" spans="1:107" s="337" customFormat="1" ht="56.25">
      <c r="A61" s="37"/>
      <c r="B61" s="591" t="s">
        <v>23</v>
      </c>
      <c r="C61" s="592" t="s">
        <v>181</v>
      </c>
      <c r="D61" s="593" t="s">
        <v>1220</v>
      </c>
      <c r="E61" s="594">
        <v>4282.1979731819274</v>
      </c>
      <c r="F61" s="592" t="s">
        <v>27</v>
      </c>
      <c r="G61" s="595">
        <v>0.97831874716616496</v>
      </c>
      <c r="H61" s="592" t="s">
        <v>66</v>
      </c>
      <c r="I61" s="596">
        <v>0.78814331624736522</v>
      </c>
      <c r="J61" s="592" t="s">
        <v>1097</v>
      </c>
      <c r="K61" s="592" t="s">
        <v>1012</v>
      </c>
      <c r="L61" s="592" t="s">
        <v>960</v>
      </c>
      <c r="M61" s="592" t="s">
        <v>90</v>
      </c>
      <c r="N61" s="597">
        <v>618.73544215249262</v>
      </c>
      <c r="O61" s="597">
        <v>713.19134726459868</v>
      </c>
      <c r="P61" s="597">
        <v>536.23738319882671</v>
      </c>
      <c r="Q61" s="597">
        <v>184.90146040193301</v>
      </c>
      <c r="R61" s="37"/>
      <c r="S61" s="592" t="s">
        <v>69</v>
      </c>
      <c r="T61" s="592" t="s">
        <v>69</v>
      </c>
      <c r="U61" s="592" t="s">
        <v>69</v>
      </c>
      <c r="V61" s="592" t="s">
        <v>69</v>
      </c>
      <c r="W61" s="592" t="s">
        <v>76</v>
      </c>
      <c r="X61" s="37"/>
      <c r="Y61" s="37"/>
      <c r="Z61" s="592" t="s">
        <v>78</v>
      </c>
      <c r="AA61" s="592" t="s">
        <v>78</v>
      </c>
      <c r="AB61" s="37"/>
      <c r="AC61" s="679">
        <v>7.2356164383561641</v>
      </c>
      <c r="AD61" s="592" t="s">
        <v>72</v>
      </c>
      <c r="AE61" s="598" t="s">
        <v>73</v>
      </c>
      <c r="AF61" s="822"/>
      <c r="AG61" s="822"/>
      <c r="AH61" s="822"/>
      <c r="AI61" s="822"/>
      <c r="AJ61" s="822"/>
      <c r="AK61" s="822"/>
      <c r="AL61" s="822"/>
      <c r="AM61" s="822"/>
      <c r="AN61" s="822"/>
      <c r="AO61" s="822"/>
      <c r="AP61" s="822"/>
      <c r="AQ61" s="822"/>
      <c r="AR61" s="822"/>
      <c r="AS61" s="822"/>
      <c r="AT61" s="822"/>
      <c r="AU61" s="822"/>
      <c r="AV61" s="822"/>
      <c r="AW61" s="822"/>
      <c r="AX61" s="822"/>
      <c r="AY61" s="822"/>
      <c r="AZ61" s="822"/>
      <c r="BA61" s="822"/>
      <c r="BB61" s="822"/>
      <c r="BC61" s="822"/>
      <c r="BD61" s="822"/>
      <c r="BE61" s="822"/>
      <c r="BF61" s="822"/>
      <c r="BG61" s="822"/>
      <c r="BH61" s="822"/>
      <c r="BI61" s="822"/>
      <c r="BJ61" s="822"/>
      <c r="BK61" s="822"/>
      <c r="BL61" s="822"/>
      <c r="BM61" s="822"/>
      <c r="BN61" s="822"/>
      <c r="BO61" s="822"/>
      <c r="BP61" s="822"/>
      <c r="BQ61" s="822"/>
      <c r="BR61" s="822"/>
      <c r="BS61" s="822"/>
      <c r="BT61" s="822"/>
      <c r="BU61" s="822"/>
      <c r="BV61" s="822"/>
      <c r="BW61" s="822"/>
      <c r="BX61" s="822"/>
      <c r="BY61" s="822"/>
      <c r="BZ61" s="822"/>
      <c r="CA61" s="822"/>
      <c r="CB61" s="822"/>
      <c r="CC61" s="822"/>
      <c r="CD61" s="822"/>
      <c r="CE61" s="822"/>
      <c r="CF61" s="822"/>
      <c r="CG61" s="822"/>
      <c r="CH61" s="822"/>
      <c r="CI61" s="822"/>
      <c r="CJ61" s="392"/>
      <c r="CK61" s="392"/>
      <c r="CL61" s="392"/>
      <c r="CM61" s="392"/>
      <c r="CN61" s="392"/>
      <c r="CO61" s="392"/>
      <c r="CP61" s="392"/>
      <c r="CQ61" s="392"/>
      <c r="CR61" s="392"/>
      <c r="CS61" s="392"/>
      <c r="CT61" s="392"/>
      <c r="CU61" s="392"/>
      <c r="CV61" s="392"/>
      <c r="CW61" s="392"/>
      <c r="CX61" s="392"/>
      <c r="CY61" s="392"/>
      <c r="CZ61" s="392"/>
      <c r="DA61" s="392"/>
      <c r="DB61" s="392"/>
      <c r="DC61" s="392"/>
    </row>
    <row r="62" spans="1:107" s="337" customFormat="1" ht="56.25">
      <c r="A62" s="37"/>
      <c r="B62" s="591" t="s">
        <v>23</v>
      </c>
      <c r="C62" s="592" t="s">
        <v>181</v>
      </c>
      <c r="D62" s="593" t="s">
        <v>1220</v>
      </c>
      <c r="E62" s="594">
        <v>4282.1979731819274</v>
      </c>
      <c r="F62" s="592" t="s">
        <v>27</v>
      </c>
      <c r="G62" s="595">
        <v>0.97831874716616496</v>
      </c>
      <c r="H62" s="592" t="s">
        <v>66</v>
      </c>
      <c r="I62" s="596">
        <v>0.78814331624736522</v>
      </c>
      <c r="J62" s="592" t="s">
        <v>1097</v>
      </c>
      <c r="K62" s="592" t="s">
        <v>1012</v>
      </c>
      <c r="L62" s="592" t="s">
        <v>960</v>
      </c>
      <c r="M62" s="592" t="s">
        <v>91</v>
      </c>
      <c r="N62" s="597">
        <v>618.73544215249262</v>
      </c>
      <c r="O62" s="597">
        <v>924.50730200966484</v>
      </c>
      <c r="P62" s="597">
        <v>536.23738319882671</v>
      </c>
      <c r="Q62" s="597">
        <v>396.21741514699914</v>
      </c>
      <c r="R62" s="37"/>
      <c r="S62" s="592" t="s">
        <v>69</v>
      </c>
      <c r="T62" s="592" t="s">
        <v>69</v>
      </c>
      <c r="U62" s="592" t="s">
        <v>69</v>
      </c>
      <c r="V62" s="592" t="s">
        <v>69</v>
      </c>
      <c r="W62" s="592" t="s">
        <v>76</v>
      </c>
      <c r="X62" s="37"/>
      <c r="Y62" s="37"/>
      <c r="Z62" s="592" t="s">
        <v>78</v>
      </c>
      <c r="AA62" s="592" t="s">
        <v>78</v>
      </c>
      <c r="AB62" s="37"/>
      <c r="AC62" s="679">
        <v>7.2356164383561641</v>
      </c>
      <c r="AD62" s="592" t="s">
        <v>72</v>
      </c>
      <c r="AE62" s="598" t="s">
        <v>73</v>
      </c>
      <c r="AF62" s="822"/>
      <c r="AG62" s="822"/>
      <c r="AH62" s="822"/>
      <c r="AI62" s="822"/>
      <c r="AJ62" s="822"/>
      <c r="AK62" s="822"/>
      <c r="AL62" s="822"/>
      <c r="AM62" s="822"/>
      <c r="AN62" s="822"/>
      <c r="AO62" s="822"/>
      <c r="AP62" s="822"/>
      <c r="AQ62" s="822"/>
      <c r="AR62" s="822"/>
      <c r="AS62" s="822"/>
      <c r="AT62" s="822"/>
      <c r="AU62" s="822"/>
      <c r="AV62" s="822"/>
      <c r="AW62" s="822"/>
      <c r="AX62" s="822"/>
      <c r="AY62" s="822"/>
      <c r="AZ62" s="822"/>
      <c r="BA62" s="822"/>
      <c r="BB62" s="822"/>
      <c r="BC62" s="822"/>
      <c r="BD62" s="822"/>
      <c r="BE62" s="822"/>
      <c r="BF62" s="822"/>
      <c r="BG62" s="822"/>
      <c r="BH62" s="822"/>
      <c r="BI62" s="822"/>
      <c r="BJ62" s="822"/>
      <c r="BK62" s="822"/>
      <c r="BL62" s="822"/>
      <c r="BM62" s="822"/>
      <c r="BN62" s="822"/>
      <c r="BO62" s="822"/>
      <c r="BP62" s="822"/>
      <c r="BQ62" s="822"/>
      <c r="BR62" s="822"/>
      <c r="BS62" s="822"/>
      <c r="BT62" s="822"/>
      <c r="BU62" s="822"/>
      <c r="BV62" s="822"/>
      <c r="BW62" s="822"/>
      <c r="BX62" s="822"/>
      <c r="BY62" s="822"/>
      <c r="BZ62" s="822"/>
      <c r="CA62" s="822"/>
      <c r="CB62" s="822"/>
      <c r="CC62" s="822"/>
      <c r="CD62" s="822"/>
      <c r="CE62" s="822"/>
      <c r="CF62" s="822"/>
      <c r="CG62" s="822"/>
      <c r="CH62" s="822"/>
      <c r="CI62" s="822"/>
      <c r="CJ62" s="392"/>
      <c r="CK62" s="392"/>
      <c r="CL62" s="392"/>
      <c r="CM62" s="392"/>
      <c r="CN62" s="392"/>
      <c r="CO62" s="392"/>
      <c r="CP62" s="392"/>
      <c r="CQ62" s="392"/>
      <c r="CR62" s="392"/>
      <c r="CS62" s="392"/>
      <c r="CT62" s="392"/>
      <c r="CU62" s="392"/>
      <c r="CV62" s="392"/>
      <c r="CW62" s="392"/>
      <c r="CX62" s="392"/>
      <c r="CY62" s="392"/>
      <c r="CZ62" s="392"/>
      <c r="DA62" s="392"/>
      <c r="DB62" s="392"/>
      <c r="DC62" s="392"/>
    </row>
    <row r="63" spans="1:107" s="337" customFormat="1" ht="56.25">
      <c r="A63" s="37"/>
      <c r="B63" s="591" t="s">
        <v>23</v>
      </c>
      <c r="C63" s="592" t="s">
        <v>181</v>
      </c>
      <c r="D63" s="593" t="s">
        <v>1220</v>
      </c>
      <c r="E63" s="594">
        <v>4282.1979731819274</v>
      </c>
      <c r="F63" s="592" t="s">
        <v>27</v>
      </c>
      <c r="G63" s="595">
        <v>0.97831874716616496</v>
      </c>
      <c r="H63" s="592" t="s">
        <v>66</v>
      </c>
      <c r="I63" s="596">
        <v>0.78814331624736522</v>
      </c>
      <c r="J63" s="592" t="s">
        <v>1097</v>
      </c>
      <c r="K63" s="592" t="s">
        <v>1012</v>
      </c>
      <c r="L63" s="592" t="s">
        <v>960</v>
      </c>
      <c r="M63" s="592" t="s">
        <v>92</v>
      </c>
      <c r="N63" s="597">
        <v>618.73544215249262</v>
      </c>
      <c r="O63" s="597">
        <v>950.9217963527982</v>
      </c>
      <c r="P63" s="597">
        <v>536.23738319882671</v>
      </c>
      <c r="Q63" s="597">
        <v>422.63190949013244</v>
      </c>
      <c r="R63" s="37"/>
      <c r="S63" s="592" t="s">
        <v>69</v>
      </c>
      <c r="T63" s="592" t="s">
        <v>69</v>
      </c>
      <c r="U63" s="592" t="s">
        <v>69</v>
      </c>
      <c r="V63" s="592" t="s">
        <v>69</v>
      </c>
      <c r="W63" s="592" t="s">
        <v>76</v>
      </c>
      <c r="X63" s="37"/>
      <c r="Y63" s="37"/>
      <c r="Z63" s="592" t="s">
        <v>78</v>
      </c>
      <c r="AA63" s="592" t="s">
        <v>78</v>
      </c>
      <c r="AB63" s="37"/>
      <c r="AC63" s="679">
        <v>7.2356164383561641</v>
      </c>
      <c r="AD63" s="592" t="s">
        <v>72</v>
      </c>
      <c r="AE63" s="598" t="s">
        <v>73</v>
      </c>
      <c r="AF63" s="822"/>
      <c r="AG63" s="822"/>
      <c r="AH63" s="822"/>
      <c r="AI63" s="822"/>
      <c r="AJ63" s="822"/>
      <c r="AK63" s="822"/>
      <c r="AL63" s="822"/>
      <c r="AM63" s="822"/>
      <c r="AN63" s="822"/>
      <c r="AO63" s="822"/>
      <c r="AP63" s="822"/>
      <c r="AQ63" s="822"/>
      <c r="AR63" s="822"/>
      <c r="AS63" s="822"/>
      <c r="AT63" s="822"/>
      <c r="AU63" s="822"/>
      <c r="AV63" s="822"/>
      <c r="AW63" s="822"/>
      <c r="AX63" s="822"/>
      <c r="AY63" s="822"/>
      <c r="AZ63" s="822"/>
      <c r="BA63" s="822"/>
      <c r="BB63" s="822"/>
      <c r="BC63" s="822"/>
      <c r="BD63" s="822"/>
      <c r="BE63" s="822"/>
      <c r="BF63" s="822"/>
      <c r="BG63" s="822"/>
      <c r="BH63" s="822"/>
      <c r="BI63" s="822"/>
      <c r="BJ63" s="822"/>
      <c r="BK63" s="822"/>
      <c r="BL63" s="822"/>
      <c r="BM63" s="822"/>
      <c r="BN63" s="822"/>
      <c r="BO63" s="822"/>
      <c r="BP63" s="822"/>
      <c r="BQ63" s="822"/>
      <c r="BR63" s="822"/>
      <c r="BS63" s="822"/>
      <c r="BT63" s="822"/>
      <c r="BU63" s="822"/>
      <c r="BV63" s="822"/>
      <c r="BW63" s="822"/>
      <c r="BX63" s="822"/>
      <c r="BY63" s="822"/>
      <c r="BZ63" s="822"/>
      <c r="CA63" s="822"/>
      <c r="CB63" s="822"/>
      <c r="CC63" s="822"/>
      <c r="CD63" s="822"/>
      <c r="CE63" s="822"/>
      <c r="CF63" s="822"/>
      <c r="CG63" s="822"/>
      <c r="CH63" s="822"/>
      <c r="CI63" s="822"/>
      <c r="CJ63" s="392"/>
      <c r="CK63" s="392"/>
      <c r="CL63" s="392"/>
      <c r="CM63" s="392"/>
      <c r="CN63" s="392"/>
      <c r="CO63" s="392"/>
      <c r="CP63" s="392"/>
      <c r="CQ63" s="392"/>
      <c r="CR63" s="392"/>
      <c r="CS63" s="392"/>
      <c r="CT63" s="392"/>
      <c r="CU63" s="392"/>
      <c r="CV63" s="392"/>
      <c r="CW63" s="392"/>
      <c r="CX63" s="392"/>
      <c r="CY63" s="392"/>
      <c r="CZ63" s="392"/>
      <c r="DA63" s="392"/>
      <c r="DB63" s="392"/>
      <c r="DC63" s="392"/>
    </row>
    <row r="64" spans="1:107" s="337" customFormat="1" ht="56.25">
      <c r="A64" s="37"/>
      <c r="B64" s="591" t="s">
        <v>23</v>
      </c>
      <c r="C64" s="592" t="s">
        <v>181</v>
      </c>
      <c r="D64" s="593" t="s">
        <v>1220</v>
      </c>
      <c r="E64" s="594">
        <v>4282.1979731819274</v>
      </c>
      <c r="F64" s="592" t="s">
        <v>27</v>
      </c>
      <c r="G64" s="595">
        <v>0.97831874716616496</v>
      </c>
      <c r="H64" s="592" t="s">
        <v>66</v>
      </c>
      <c r="I64" s="596">
        <v>0.78814331624736522</v>
      </c>
      <c r="J64" s="592" t="s">
        <v>1097</v>
      </c>
      <c r="K64" s="592" t="s">
        <v>1012</v>
      </c>
      <c r="L64" s="592" t="s">
        <v>960</v>
      </c>
      <c r="M64" s="592" t="s">
        <v>93</v>
      </c>
      <c r="N64" s="597">
        <v>618.73544215249262</v>
      </c>
      <c r="O64" s="597">
        <v>1056.5797737253315</v>
      </c>
      <c r="P64" s="597">
        <v>536.23738319882671</v>
      </c>
      <c r="Q64" s="597">
        <v>528.28988686266575</v>
      </c>
      <c r="R64" s="37"/>
      <c r="S64" s="592" t="s">
        <v>69</v>
      </c>
      <c r="T64" s="592" t="s">
        <v>69</v>
      </c>
      <c r="U64" s="598" t="s">
        <v>44</v>
      </c>
      <c r="V64" s="598" t="s">
        <v>75</v>
      </c>
      <c r="W64" s="592" t="s">
        <v>76</v>
      </c>
      <c r="X64" s="37"/>
      <c r="Y64" s="37"/>
      <c r="Z64" s="592" t="s">
        <v>78</v>
      </c>
      <c r="AA64" s="592" t="s">
        <v>78</v>
      </c>
      <c r="AB64" s="37"/>
      <c r="AC64" s="679">
        <v>7.2356164383561641</v>
      </c>
      <c r="AD64" s="592" t="s">
        <v>72</v>
      </c>
      <c r="AE64" s="598" t="s">
        <v>73</v>
      </c>
      <c r="AF64" s="822"/>
      <c r="AG64" s="822"/>
      <c r="AH64" s="822"/>
      <c r="AI64" s="822"/>
      <c r="AJ64" s="822"/>
      <c r="AK64" s="822"/>
      <c r="AL64" s="822"/>
      <c r="AM64" s="822"/>
      <c r="AN64" s="822"/>
      <c r="AO64" s="822"/>
      <c r="AP64" s="822"/>
      <c r="AQ64" s="822"/>
      <c r="AR64" s="822"/>
      <c r="AS64" s="822"/>
      <c r="AT64" s="822"/>
      <c r="AU64" s="822"/>
      <c r="AV64" s="822"/>
      <c r="AW64" s="822"/>
      <c r="AX64" s="822"/>
      <c r="AY64" s="822"/>
      <c r="AZ64" s="822"/>
      <c r="BA64" s="822"/>
      <c r="BB64" s="822"/>
      <c r="BC64" s="822"/>
      <c r="BD64" s="822"/>
      <c r="BE64" s="822"/>
      <c r="BF64" s="822"/>
      <c r="BG64" s="822"/>
      <c r="BH64" s="822"/>
      <c r="BI64" s="822"/>
      <c r="BJ64" s="822"/>
      <c r="BK64" s="822"/>
      <c r="BL64" s="822"/>
      <c r="BM64" s="822"/>
      <c r="BN64" s="822"/>
      <c r="BO64" s="822"/>
      <c r="BP64" s="822"/>
      <c r="BQ64" s="822"/>
      <c r="BR64" s="822"/>
      <c r="BS64" s="822"/>
      <c r="BT64" s="822"/>
      <c r="BU64" s="822"/>
      <c r="BV64" s="822"/>
      <c r="BW64" s="822"/>
      <c r="BX64" s="822"/>
      <c r="BY64" s="822"/>
      <c r="BZ64" s="822"/>
      <c r="CA64" s="822"/>
      <c r="CB64" s="822"/>
      <c r="CC64" s="822"/>
      <c r="CD64" s="822"/>
      <c r="CE64" s="822"/>
      <c r="CF64" s="822"/>
      <c r="CG64" s="822"/>
      <c r="CH64" s="822"/>
      <c r="CI64" s="822"/>
      <c r="CJ64" s="392"/>
      <c r="CK64" s="392"/>
      <c r="CL64" s="392"/>
      <c r="CM64" s="392"/>
      <c r="CN64" s="392"/>
      <c r="CO64" s="392"/>
      <c r="CP64" s="392"/>
      <c r="CQ64" s="392"/>
      <c r="CR64" s="392"/>
      <c r="CS64" s="392"/>
      <c r="CT64" s="392"/>
      <c r="CU64" s="392"/>
      <c r="CV64" s="392"/>
      <c r="CW64" s="392"/>
      <c r="CX64" s="392"/>
      <c r="CY64" s="392"/>
      <c r="CZ64" s="392"/>
      <c r="DA64" s="392"/>
      <c r="DB64" s="392"/>
      <c r="DC64" s="392"/>
    </row>
    <row r="65" spans="1:107" s="337" customFormat="1" ht="56.25">
      <c r="A65" s="37"/>
      <c r="B65" s="591" t="s">
        <v>23</v>
      </c>
      <c r="C65" s="592" t="s">
        <v>181</v>
      </c>
      <c r="D65" s="593" t="s">
        <v>1220</v>
      </c>
      <c r="E65" s="594">
        <v>4282.1979731819274</v>
      </c>
      <c r="F65" s="592" t="s">
        <v>27</v>
      </c>
      <c r="G65" s="595">
        <v>0.97831874716616496</v>
      </c>
      <c r="H65" s="592" t="s">
        <v>66</v>
      </c>
      <c r="I65" s="596">
        <v>0.78814331624736522</v>
      </c>
      <c r="J65" s="592" t="s">
        <v>1097</v>
      </c>
      <c r="K65" s="592" t="s">
        <v>1012</v>
      </c>
      <c r="L65" s="592" t="s">
        <v>15</v>
      </c>
      <c r="M65" s="592" t="s">
        <v>88</v>
      </c>
      <c r="N65" s="597">
        <v>857.82021865883769</v>
      </c>
      <c r="O65" s="597">
        <v>581.11887554893224</v>
      </c>
      <c r="P65" s="597">
        <v>733.13704734214616</v>
      </c>
      <c r="Q65" s="597">
        <v>52.828988686266534</v>
      </c>
      <c r="R65" s="37"/>
      <c r="S65" s="592" t="s">
        <v>44</v>
      </c>
      <c r="T65" s="598" t="s">
        <v>63</v>
      </c>
      <c r="U65" s="592" t="s">
        <v>69</v>
      </c>
      <c r="V65" s="592" t="s">
        <v>69</v>
      </c>
      <c r="W65" s="592" t="s">
        <v>76</v>
      </c>
      <c r="X65" s="37"/>
      <c r="Y65" s="37"/>
      <c r="Z65" s="592" t="s">
        <v>78</v>
      </c>
      <c r="AA65" s="592" t="s">
        <v>78</v>
      </c>
      <c r="AB65" s="37"/>
      <c r="AC65" s="679">
        <v>7.2356164383561641</v>
      </c>
      <c r="AD65" s="592" t="s">
        <v>72</v>
      </c>
      <c r="AE65" s="598" t="s">
        <v>73</v>
      </c>
      <c r="AF65" s="822"/>
      <c r="AG65" s="822"/>
      <c r="AH65" s="822"/>
      <c r="AI65" s="822"/>
      <c r="AJ65" s="822"/>
      <c r="AK65" s="822"/>
      <c r="AL65" s="822"/>
      <c r="AM65" s="822"/>
      <c r="AN65" s="822"/>
      <c r="AO65" s="822"/>
      <c r="AP65" s="822"/>
      <c r="AQ65" s="822"/>
      <c r="AR65" s="822"/>
      <c r="AS65" s="822"/>
      <c r="AT65" s="822"/>
      <c r="AU65" s="822"/>
      <c r="AV65" s="822"/>
      <c r="AW65" s="822"/>
      <c r="AX65" s="822"/>
      <c r="AY65" s="822"/>
      <c r="AZ65" s="822"/>
      <c r="BA65" s="822"/>
      <c r="BB65" s="822"/>
      <c r="BC65" s="822"/>
      <c r="BD65" s="822"/>
      <c r="BE65" s="822"/>
      <c r="BF65" s="822"/>
      <c r="BG65" s="822"/>
      <c r="BH65" s="822"/>
      <c r="BI65" s="822"/>
      <c r="BJ65" s="822"/>
      <c r="BK65" s="822"/>
      <c r="BL65" s="822"/>
      <c r="BM65" s="822"/>
      <c r="BN65" s="822"/>
      <c r="BO65" s="822"/>
      <c r="BP65" s="822"/>
      <c r="BQ65" s="822"/>
      <c r="BR65" s="822"/>
      <c r="BS65" s="822"/>
      <c r="BT65" s="822"/>
      <c r="BU65" s="822"/>
      <c r="BV65" s="822"/>
      <c r="BW65" s="822"/>
      <c r="BX65" s="822"/>
      <c r="BY65" s="822"/>
      <c r="BZ65" s="822"/>
      <c r="CA65" s="822"/>
      <c r="CB65" s="822"/>
      <c r="CC65" s="822"/>
      <c r="CD65" s="822"/>
      <c r="CE65" s="822"/>
      <c r="CF65" s="822"/>
      <c r="CG65" s="822"/>
      <c r="CH65" s="822"/>
      <c r="CI65" s="822"/>
      <c r="CJ65" s="392"/>
      <c r="CK65" s="392"/>
      <c r="CL65" s="392"/>
      <c r="CM65" s="392"/>
      <c r="CN65" s="392"/>
      <c r="CO65" s="392"/>
      <c r="CP65" s="392"/>
      <c r="CQ65" s="392"/>
      <c r="CR65" s="392"/>
      <c r="CS65" s="392"/>
      <c r="CT65" s="392"/>
      <c r="CU65" s="392"/>
      <c r="CV65" s="392"/>
      <c r="CW65" s="392"/>
      <c r="CX65" s="392"/>
      <c r="CY65" s="392"/>
      <c r="CZ65" s="392"/>
      <c r="DA65" s="392"/>
      <c r="DB65" s="392"/>
      <c r="DC65" s="392"/>
    </row>
    <row r="66" spans="1:107" s="337" customFormat="1" ht="56.25">
      <c r="A66" s="37"/>
      <c r="B66" s="591" t="s">
        <v>23</v>
      </c>
      <c r="C66" s="592" t="s">
        <v>181</v>
      </c>
      <c r="D66" s="593" t="s">
        <v>1220</v>
      </c>
      <c r="E66" s="594">
        <v>4282.1979731819274</v>
      </c>
      <c r="F66" s="592" t="s">
        <v>27</v>
      </c>
      <c r="G66" s="595">
        <v>0.97831874716616496</v>
      </c>
      <c r="H66" s="592" t="s">
        <v>66</v>
      </c>
      <c r="I66" s="596">
        <v>0.78814331624736522</v>
      </c>
      <c r="J66" s="592" t="s">
        <v>1097</v>
      </c>
      <c r="K66" s="592" t="s">
        <v>1012</v>
      </c>
      <c r="L66" s="592" t="s">
        <v>15</v>
      </c>
      <c r="M66" s="592" t="s">
        <v>90</v>
      </c>
      <c r="N66" s="597">
        <v>857.82021865883769</v>
      </c>
      <c r="O66" s="597">
        <v>713.19134726459868</v>
      </c>
      <c r="P66" s="597">
        <v>733.13704734214616</v>
      </c>
      <c r="Q66" s="597">
        <v>184.90146040193301</v>
      </c>
      <c r="R66" s="37"/>
      <c r="S66" s="592" t="s">
        <v>44</v>
      </c>
      <c r="T66" s="598" t="s">
        <v>63</v>
      </c>
      <c r="U66" s="592" t="s">
        <v>69</v>
      </c>
      <c r="V66" s="592" t="s">
        <v>69</v>
      </c>
      <c r="W66" s="592" t="s">
        <v>76</v>
      </c>
      <c r="X66" s="37"/>
      <c r="Y66" s="37"/>
      <c r="Z66" s="592" t="s">
        <v>78</v>
      </c>
      <c r="AA66" s="592" t="s">
        <v>78</v>
      </c>
      <c r="AB66" s="37"/>
      <c r="AC66" s="679">
        <v>7.2356164383561641</v>
      </c>
      <c r="AD66" s="592" t="s">
        <v>72</v>
      </c>
      <c r="AE66" s="598" t="s">
        <v>73</v>
      </c>
      <c r="AF66" s="822"/>
      <c r="AG66" s="822"/>
      <c r="AH66" s="822"/>
      <c r="AI66" s="822"/>
      <c r="AJ66" s="822"/>
      <c r="AK66" s="822"/>
      <c r="AL66" s="822"/>
      <c r="AM66" s="822"/>
      <c r="AN66" s="822"/>
      <c r="AO66" s="822"/>
      <c r="AP66" s="822"/>
      <c r="AQ66" s="822"/>
      <c r="AR66" s="822"/>
      <c r="AS66" s="822"/>
      <c r="AT66" s="822"/>
      <c r="AU66" s="822"/>
      <c r="AV66" s="822"/>
      <c r="AW66" s="822"/>
      <c r="AX66" s="822"/>
      <c r="AY66" s="822"/>
      <c r="AZ66" s="822"/>
      <c r="BA66" s="822"/>
      <c r="BB66" s="822"/>
      <c r="BC66" s="822"/>
      <c r="BD66" s="822"/>
      <c r="BE66" s="822"/>
      <c r="BF66" s="822"/>
      <c r="BG66" s="822"/>
      <c r="BH66" s="822"/>
      <c r="BI66" s="822"/>
      <c r="BJ66" s="822"/>
      <c r="BK66" s="822"/>
      <c r="BL66" s="822"/>
      <c r="BM66" s="822"/>
      <c r="BN66" s="822"/>
      <c r="BO66" s="822"/>
      <c r="BP66" s="822"/>
      <c r="BQ66" s="822"/>
      <c r="BR66" s="822"/>
      <c r="BS66" s="822"/>
      <c r="BT66" s="822"/>
      <c r="BU66" s="822"/>
      <c r="BV66" s="822"/>
      <c r="BW66" s="822"/>
      <c r="BX66" s="822"/>
      <c r="BY66" s="822"/>
      <c r="BZ66" s="822"/>
      <c r="CA66" s="822"/>
      <c r="CB66" s="822"/>
      <c r="CC66" s="822"/>
      <c r="CD66" s="822"/>
      <c r="CE66" s="822"/>
      <c r="CF66" s="822"/>
      <c r="CG66" s="822"/>
      <c r="CH66" s="822"/>
      <c r="CI66" s="822"/>
      <c r="CJ66" s="392"/>
      <c r="CK66" s="392"/>
      <c r="CL66" s="392"/>
      <c r="CM66" s="392"/>
      <c r="CN66" s="392"/>
      <c r="CO66" s="392"/>
      <c r="CP66" s="392"/>
      <c r="CQ66" s="392"/>
      <c r="CR66" s="392"/>
      <c r="CS66" s="392"/>
      <c r="CT66" s="392"/>
      <c r="CU66" s="392"/>
      <c r="CV66" s="392"/>
      <c r="CW66" s="392"/>
      <c r="CX66" s="392"/>
      <c r="CY66" s="392"/>
      <c r="CZ66" s="392"/>
      <c r="DA66" s="392"/>
      <c r="DB66" s="392"/>
      <c r="DC66" s="392"/>
    </row>
    <row r="67" spans="1:107" s="337" customFormat="1" ht="56.25">
      <c r="A67" s="37"/>
      <c r="B67" s="591" t="s">
        <v>23</v>
      </c>
      <c r="C67" s="592" t="s">
        <v>181</v>
      </c>
      <c r="D67" s="593" t="s">
        <v>1220</v>
      </c>
      <c r="E67" s="594">
        <v>4282.1979731819274</v>
      </c>
      <c r="F67" s="592" t="s">
        <v>27</v>
      </c>
      <c r="G67" s="595">
        <v>0.97831874716616496</v>
      </c>
      <c r="H67" s="592" t="s">
        <v>66</v>
      </c>
      <c r="I67" s="596">
        <v>0.78814331624736522</v>
      </c>
      <c r="J67" s="592" t="s">
        <v>1097</v>
      </c>
      <c r="K67" s="592" t="s">
        <v>1012</v>
      </c>
      <c r="L67" s="592" t="s">
        <v>15</v>
      </c>
      <c r="M67" s="592" t="s">
        <v>91</v>
      </c>
      <c r="N67" s="597">
        <v>857.82021865883769</v>
      </c>
      <c r="O67" s="597">
        <v>924.50730200966484</v>
      </c>
      <c r="P67" s="597">
        <v>733.13704734214616</v>
      </c>
      <c r="Q67" s="597">
        <v>396.21741514699914</v>
      </c>
      <c r="R67" s="37"/>
      <c r="S67" s="592" t="s">
        <v>44</v>
      </c>
      <c r="T67" s="598" t="s">
        <v>63</v>
      </c>
      <c r="U67" s="592" t="s">
        <v>69</v>
      </c>
      <c r="V67" s="592" t="s">
        <v>69</v>
      </c>
      <c r="W67" s="592" t="s">
        <v>76</v>
      </c>
      <c r="X67" s="37"/>
      <c r="Y67" s="37"/>
      <c r="Z67" s="592" t="s">
        <v>78</v>
      </c>
      <c r="AA67" s="592" t="s">
        <v>78</v>
      </c>
      <c r="AB67" s="37"/>
      <c r="AC67" s="679">
        <v>7.2356164383561641</v>
      </c>
      <c r="AD67" s="592" t="s">
        <v>72</v>
      </c>
      <c r="AE67" s="598" t="s">
        <v>73</v>
      </c>
      <c r="AF67" s="822"/>
      <c r="AG67" s="822"/>
      <c r="AH67" s="822"/>
      <c r="AI67" s="822"/>
      <c r="AJ67" s="822"/>
      <c r="AK67" s="822"/>
      <c r="AL67" s="822"/>
      <c r="AM67" s="822"/>
      <c r="AN67" s="822"/>
      <c r="AO67" s="822"/>
      <c r="AP67" s="822"/>
      <c r="AQ67" s="822"/>
      <c r="AR67" s="822"/>
      <c r="AS67" s="822"/>
      <c r="AT67" s="822"/>
      <c r="AU67" s="822"/>
      <c r="AV67" s="822"/>
      <c r="AW67" s="822"/>
      <c r="AX67" s="822"/>
      <c r="AY67" s="822"/>
      <c r="AZ67" s="822"/>
      <c r="BA67" s="822"/>
      <c r="BB67" s="822"/>
      <c r="BC67" s="822"/>
      <c r="BD67" s="822"/>
      <c r="BE67" s="822"/>
      <c r="BF67" s="822"/>
      <c r="BG67" s="822"/>
      <c r="BH67" s="822"/>
      <c r="BI67" s="822"/>
      <c r="BJ67" s="822"/>
      <c r="BK67" s="822"/>
      <c r="BL67" s="822"/>
      <c r="BM67" s="822"/>
      <c r="BN67" s="822"/>
      <c r="BO67" s="822"/>
      <c r="BP67" s="822"/>
      <c r="BQ67" s="822"/>
      <c r="BR67" s="822"/>
      <c r="BS67" s="822"/>
      <c r="BT67" s="822"/>
      <c r="BU67" s="822"/>
      <c r="BV67" s="822"/>
      <c r="BW67" s="822"/>
      <c r="BX67" s="822"/>
      <c r="BY67" s="822"/>
      <c r="BZ67" s="822"/>
      <c r="CA67" s="822"/>
      <c r="CB67" s="822"/>
      <c r="CC67" s="822"/>
      <c r="CD67" s="822"/>
      <c r="CE67" s="822"/>
      <c r="CF67" s="822"/>
      <c r="CG67" s="822"/>
      <c r="CH67" s="822"/>
      <c r="CI67" s="822"/>
      <c r="CJ67" s="392"/>
      <c r="CK67" s="392"/>
      <c r="CL67" s="392"/>
      <c r="CM67" s="392"/>
      <c r="CN67" s="392"/>
      <c r="CO67" s="392"/>
      <c r="CP67" s="392"/>
      <c r="CQ67" s="392"/>
      <c r="CR67" s="392"/>
      <c r="CS67" s="392"/>
      <c r="CT67" s="392"/>
      <c r="CU67" s="392"/>
      <c r="CV67" s="392"/>
      <c r="CW67" s="392"/>
      <c r="CX67" s="392"/>
      <c r="CY67" s="392"/>
      <c r="CZ67" s="392"/>
      <c r="DA67" s="392"/>
      <c r="DB67" s="392"/>
      <c r="DC67" s="392"/>
    </row>
    <row r="68" spans="1:107" s="337" customFormat="1" ht="56.25">
      <c r="A68" s="37"/>
      <c r="B68" s="591" t="s">
        <v>23</v>
      </c>
      <c r="C68" s="592" t="s">
        <v>181</v>
      </c>
      <c r="D68" s="593" t="s">
        <v>1220</v>
      </c>
      <c r="E68" s="594">
        <v>4282.1979731819274</v>
      </c>
      <c r="F68" s="592" t="s">
        <v>27</v>
      </c>
      <c r="G68" s="595">
        <v>0.97831874716616496</v>
      </c>
      <c r="H68" s="592" t="s">
        <v>66</v>
      </c>
      <c r="I68" s="596">
        <v>0.78814331624736522</v>
      </c>
      <c r="J68" s="592" t="s">
        <v>1097</v>
      </c>
      <c r="K68" s="592" t="s">
        <v>1012</v>
      </c>
      <c r="L68" s="592" t="s">
        <v>15</v>
      </c>
      <c r="M68" s="592" t="s">
        <v>92</v>
      </c>
      <c r="N68" s="597">
        <v>857.82021865883769</v>
      </c>
      <c r="O68" s="597">
        <v>950.9217963527982</v>
      </c>
      <c r="P68" s="597">
        <v>733.13704734214616</v>
      </c>
      <c r="Q68" s="597">
        <v>422.63190949013244</v>
      </c>
      <c r="R68" s="37"/>
      <c r="S68" s="592" t="s">
        <v>44</v>
      </c>
      <c r="T68" s="598" t="s">
        <v>63</v>
      </c>
      <c r="U68" s="592" t="s">
        <v>69</v>
      </c>
      <c r="V68" s="592" t="s">
        <v>69</v>
      </c>
      <c r="W68" s="592" t="s">
        <v>76</v>
      </c>
      <c r="X68" s="37"/>
      <c r="Y68" s="37"/>
      <c r="Z68" s="592" t="s">
        <v>78</v>
      </c>
      <c r="AA68" s="592" t="s">
        <v>78</v>
      </c>
      <c r="AB68" s="37"/>
      <c r="AC68" s="679">
        <v>7.2356164383561641</v>
      </c>
      <c r="AD68" s="592" t="s">
        <v>72</v>
      </c>
      <c r="AE68" s="598" t="s">
        <v>73</v>
      </c>
      <c r="AF68" s="822"/>
      <c r="AG68" s="822"/>
      <c r="AH68" s="822"/>
      <c r="AI68" s="822"/>
      <c r="AJ68" s="822"/>
      <c r="AK68" s="822"/>
      <c r="AL68" s="822"/>
      <c r="AM68" s="822"/>
      <c r="AN68" s="822"/>
      <c r="AO68" s="822"/>
      <c r="AP68" s="822"/>
      <c r="AQ68" s="822"/>
      <c r="AR68" s="822"/>
      <c r="AS68" s="822"/>
      <c r="AT68" s="822"/>
      <c r="AU68" s="822"/>
      <c r="AV68" s="822"/>
      <c r="AW68" s="822"/>
      <c r="AX68" s="822"/>
      <c r="AY68" s="822"/>
      <c r="AZ68" s="822"/>
      <c r="BA68" s="822"/>
      <c r="BB68" s="822"/>
      <c r="BC68" s="822"/>
      <c r="BD68" s="822"/>
      <c r="BE68" s="822"/>
      <c r="BF68" s="822"/>
      <c r="BG68" s="822"/>
      <c r="BH68" s="822"/>
      <c r="BI68" s="822"/>
      <c r="BJ68" s="822"/>
      <c r="BK68" s="822"/>
      <c r="BL68" s="822"/>
      <c r="BM68" s="822"/>
      <c r="BN68" s="822"/>
      <c r="BO68" s="822"/>
      <c r="BP68" s="822"/>
      <c r="BQ68" s="822"/>
      <c r="BR68" s="822"/>
      <c r="BS68" s="822"/>
      <c r="BT68" s="822"/>
      <c r="BU68" s="822"/>
      <c r="BV68" s="822"/>
      <c r="BW68" s="822"/>
      <c r="BX68" s="822"/>
      <c r="BY68" s="822"/>
      <c r="BZ68" s="822"/>
      <c r="CA68" s="822"/>
      <c r="CB68" s="822"/>
      <c r="CC68" s="822"/>
      <c r="CD68" s="822"/>
      <c r="CE68" s="822"/>
      <c r="CF68" s="822"/>
      <c r="CG68" s="822"/>
      <c r="CH68" s="822"/>
      <c r="CI68" s="822"/>
      <c r="CJ68" s="392"/>
      <c r="CK68" s="392"/>
      <c r="CL68" s="392"/>
      <c r="CM68" s="392"/>
      <c r="CN68" s="392"/>
      <c r="CO68" s="392"/>
      <c r="CP68" s="392"/>
      <c r="CQ68" s="392"/>
      <c r="CR68" s="392"/>
      <c r="CS68" s="392"/>
      <c r="CT68" s="392"/>
      <c r="CU68" s="392"/>
      <c r="CV68" s="392"/>
      <c r="CW68" s="392"/>
      <c r="CX68" s="392"/>
      <c r="CY68" s="392"/>
      <c r="CZ68" s="392"/>
      <c r="DA68" s="392"/>
      <c r="DB68" s="392"/>
      <c r="DC68" s="392"/>
    </row>
    <row r="69" spans="1:107" s="337" customFormat="1" ht="56.25">
      <c r="A69" s="37"/>
      <c r="B69" s="591" t="s">
        <v>23</v>
      </c>
      <c r="C69" s="592" t="s">
        <v>181</v>
      </c>
      <c r="D69" s="593" t="s">
        <v>1220</v>
      </c>
      <c r="E69" s="594">
        <v>4282.1979731819274</v>
      </c>
      <c r="F69" s="592" t="s">
        <v>27</v>
      </c>
      <c r="G69" s="595">
        <v>0.97831874716616496</v>
      </c>
      <c r="H69" s="592" t="s">
        <v>66</v>
      </c>
      <c r="I69" s="596">
        <v>0.78814331624736522</v>
      </c>
      <c r="J69" s="592" t="s">
        <v>1097</v>
      </c>
      <c r="K69" s="592" t="s">
        <v>1012</v>
      </c>
      <c r="L69" s="592" t="s">
        <v>15</v>
      </c>
      <c r="M69" s="592" t="s">
        <v>93</v>
      </c>
      <c r="N69" s="597">
        <v>857.82021865883769</v>
      </c>
      <c r="O69" s="597">
        <v>1056.5797737253315</v>
      </c>
      <c r="P69" s="597">
        <v>733.13704734214616</v>
      </c>
      <c r="Q69" s="597">
        <v>528.28988686266575</v>
      </c>
      <c r="R69" s="37"/>
      <c r="S69" s="592" t="s">
        <v>44</v>
      </c>
      <c r="T69" s="598" t="s">
        <v>63</v>
      </c>
      <c r="U69" s="598" t="s">
        <v>44</v>
      </c>
      <c r="V69" s="598" t="s">
        <v>75</v>
      </c>
      <c r="W69" s="592" t="s">
        <v>76</v>
      </c>
      <c r="X69" s="37"/>
      <c r="Y69" s="37"/>
      <c r="Z69" s="592" t="s">
        <v>78</v>
      </c>
      <c r="AA69" s="592" t="s">
        <v>78</v>
      </c>
      <c r="AB69" s="37"/>
      <c r="AC69" s="679">
        <v>7.2356164383561641</v>
      </c>
      <c r="AD69" s="592" t="s">
        <v>72</v>
      </c>
      <c r="AE69" s="598" t="s">
        <v>73</v>
      </c>
      <c r="AF69" s="822"/>
      <c r="AG69" s="822"/>
      <c r="AH69" s="822"/>
      <c r="AI69" s="822"/>
      <c r="AJ69" s="822"/>
      <c r="AK69" s="822"/>
      <c r="AL69" s="822"/>
      <c r="AM69" s="822"/>
      <c r="AN69" s="822"/>
      <c r="AO69" s="822"/>
      <c r="AP69" s="822"/>
      <c r="AQ69" s="822"/>
      <c r="AR69" s="822"/>
      <c r="AS69" s="822"/>
      <c r="AT69" s="822"/>
      <c r="AU69" s="822"/>
      <c r="AV69" s="822"/>
      <c r="AW69" s="822"/>
      <c r="AX69" s="822"/>
      <c r="AY69" s="822"/>
      <c r="AZ69" s="822"/>
      <c r="BA69" s="822"/>
      <c r="BB69" s="822"/>
      <c r="BC69" s="822"/>
      <c r="BD69" s="822"/>
      <c r="BE69" s="822"/>
      <c r="BF69" s="822"/>
      <c r="BG69" s="822"/>
      <c r="BH69" s="822"/>
      <c r="BI69" s="822"/>
      <c r="BJ69" s="822"/>
      <c r="BK69" s="822"/>
      <c r="BL69" s="822"/>
      <c r="BM69" s="822"/>
      <c r="BN69" s="822"/>
      <c r="BO69" s="822"/>
      <c r="BP69" s="822"/>
      <c r="BQ69" s="822"/>
      <c r="BR69" s="822"/>
      <c r="BS69" s="822"/>
      <c r="BT69" s="822"/>
      <c r="BU69" s="822"/>
      <c r="BV69" s="822"/>
      <c r="BW69" s="822"/>
      <c r="BX69" s="822"/>
      <c r="BY69" s="822"/>
      <c r="BZ69" s="822"/>
      <c r="CA69" s="822"/>
      <c r="CB69" s="822"/>
      <c r="CC69" s="822"/>
      <c r="CD69" s="822"/>
      <c r="CE69" s="822"/>
      <c r="CF69" s="822"/>
      <c r="CG69" s="822"/>
      <c r="CH69" s="822"/>
      <c r="CI69" s="822"/>
      <c r="CJ69" s="392"/>
      <c r="CK69" s="392"/>
      <c r="CL69" s="392"/>
      <c r="CM69" s="392"/>
      <c r="CN69" s="392"/>
      <c r="CO69" s="392"/>
      <c r="CP69" s="392"/>
      <c r="CQ69" s="392"/>
      <c r="CR69" s="392"/>
      <c r="CS69" s="392"/>
      <c r="CT69" s="392"/>
      <c r="CU69" s="392"/>
      <c r="CV69" s="392"/>
      <c r="CW69" s="392"/>
      <c r="CX69" s="392"/>
      <c r="CY69" s="392"/>
      <c r="CZ69" s="392"/>
      <c r="DA69" s="392"/>
      <c r="DB69" s="392"/>
      <c r="DC69" s="392"/>
    </row>
    <row r="70" spans="1:107" s="337" customFormat="1" ht="56.25">
      <c r="A70" s="37"/>
      <c r="B70" s="604" t="s">
        <v>23</v>
      </c>
      <c r="C70" s="605" t="s">
        <v>181</v>
      </c>
      <c r="D70" s="606" t="s">
        <v>97</v>
      </c>
      <c r="E70" s="607">
        <v>594.25379854162532</v>
      </c>
      <c r="F70" s="605" t="s">
        <v>27</v>
      </c>
      <c r="G70" s="608">
        <v>0.19425684096182766</v>
      </c>
      <c r="H70" s="605" t="s">
        <v>66</v>
      </c>
      <c r="I70" s="609">
        <v>1</v>
      </c>
      <c r="J70" s="605" t="s">
        <v>1097</v>
      </c>
      <c r="K70" s="610" t="s">
        <v>1052</v>
      </c>
      <c r="L70" s="605" t="s">
        <v>15</v>
      </c>
      <c r="M70" s="610" t="s">
        <v>88</v>
      </c>
      <c r="N70" s="611">
        <v>23.637277248920416</v>
      </c>
      <c r="O70" s="611">
        <v>20.317064351630197</v>
      </c>
      <c r="P70" s="611">
        <v>20.201626485995934</v>
      </c>
      <c r="Q70" s="611">
        <v>15.699549726259697</v>
      </c>
      <c r="R70" s="37"/>
      <c r="S70" s="605" t="s">
        <v>44</v>
      </c>
      <c r="T70" s="610" t="s">
        <v>63</v>
      </c>
      <c r="U70" s="605" t="s">
        <v>69</v>
      </c>
      <c r="V70" s="605" t="s">
        <v>69</v>
      </c>
      <c r="W70" s="605" t="s">
        <v>76</v>
      </c>
      <c r="X70" s="37"/>
      <c r="Y70" s="37"/>
      <c r="Z70" s="605" t="s">
        <v>78</v>
      </c>
      <c r="AA70" s="605" t="s">
        <v>78</v>
      </c>
      <c r="AB70" s="37"/>
      <c r="AC70" s="681">
        <v>7.2356164383561641</v>
      </c>
      <c r="AD70" s="605" t="s">
        <v>72</v>
      </c>
      <c r="AE70" s="610" t="s">
        <v>73</v>
      </c>
      <c r="AF70" s="822"/>
      <c r="AG70" s="822"/>
      <c r="AH70" s="822"/>
      <c r="AI70" s="822"/>
      <c r="AJ70" s="822"/>
      <c r="AK70" s="822"/>
      <c r="AL70" s="822"/>
      <c r="AM70" s="822"/>
      <c r="AN70" s="822"/>
      <c r="AO70" s="822"/>
      <c r="AP70" s="822"/>
      <c r="AQ70" s="822"/>
      <c r="AR70" s="822"/>
      <c r="AS70" s="822"/>
      <c r="AT70" s="822"/>
      <c r="AU70" s="822"/>
      <c r="AV70" s="822"/>
      <c r="AW70" s="822"/>
      <c r="AX70" s="822"/>
      <c r="AY70" s="822"/>
      <c r="AZ70" s="822"/>
      <c r="BA70" s="822"/>
      <c r="BB70" s="822"/>
      <c r="BC70" s="822"/>
      <c r="BD70" s="822"/>
      <c r="BE70" s="822"/>
      <c r="BF70" s="822"/>
      <c r="BG70" s="822"/>
      <c r="BH70" s="822"/>
      <c r="BI70" s="822"/>
      <c r="BJ70" s="822"/>
      <c r="BK70" s="822"/>
      <c r="BL70" s="822"/>
      <c r="BM70" s="822"/>
      <c r="BN70" s="822"/>
      <c r="BO70" s="822"/>
      <c r="BP70" s="822"/>
      <c r="BQ70" s="822"/>
      <c r="BR70" s="822"/>
      <c r="BS70" s="822"/>
      <c r="BT70" s="822"/>
      <c r="BU70" s="822"/>
      <c r="BV70" s="822"/>
      <c r="BW70" s="822"/>
      <c r="BX70" s="822"/>
      <c r="BY70" s="822"/>
      <c r="BZ70" s="822"/>
      <c r="CA70" s="822"/>
      <c r="CB70" s="822"/>
      <c r="CC70" s="822"/>
      <c r="CD70" s="822"/>
      <c r="CE70" s="822"/>
      <c r="CF70" s="822"/>
      <c r="CG70" s="822"/>
      <c r="CH70" s="822"/>
      <c r="CI70" s="822"/>
      <c r="CJ70" s="392"/>
      <c r="CK70" s="392"/>
      <c r="CL70" s="392"/>
      <c r="CM70" s="392"/>
      <c r="CN70" s="392"/>
      <c r="CO70" s="392"/>
      <c r="CP70" s="392"/>
      <c r="CQ70" s="392"/>
      <c r="CR70" s="392"/>
      <c r="CS70" s="392"/>
      <c r="CT70" s="392"/>
      <c r="CU70" s="392"/>
      <c r="CV70" s="392"/>
      <c r="CW70" s="392"/>
      <c r="CX70" s="392"/>
      <c r="CY70" s="392"/>
      <c r="CZ70" s="392"/>
      <c r="DA70" s="392"/>
      <c r="DB70" s="392"/>
      <c r="DC70" s="392"/>
    </row>
    <row r="71" spans="1:107" s="337" customFormat="1" ht="56.25">
      <c r="A71" s="37"/>
      <c r="B71" s="604" t="s">
        <v>23</v>
      </c>
      <c r="C71" s="605" t="s">
        <v>181</v>
      </c>
      <c r="D71" s="606" t="s">
        <v>97</v>
      </c>
      <c r="E71" s="607">
        <v>594.25379854162532</v>
      </c>
      <c r="F71" s="605" t="s">
        <v>27</v>
      </c>
      <c r="G71" s="608">
        <v>0.19425684096182766</v>
      </c>
      <c r="H71" s="605" t="s">
        <v>66</v>
      </c>
      <c r="I71" s="609">
        <v>1</v>
      </c>
      <c r="J71" s="605" t="s">
        <v>1097</v>
      </c>
      <c r="K71" s="610" t="s">
        <v>1052</v>
      </c>
      <c r="L71" s="605" t="s">
        <v>15</v>
      </c>
      <c r="M71" s="610" t="s">
        <v>90</v>
      </c>
      <c r="N71" s="611">
        <v>23.637277248920416</v>
      </c>
      <c r="O71" s="611">
        <v>24.934578977000697</v>
      </c>
      <c r="P71" s="611">
        <v>20.201626485995934</v>
      </c>
      <c r="Q71" s="611">
        <v>20.317064351630201</v>
      </c>
      <c r="R71" s="37"/>
      <c r="S71" s="605" t="s">
        <v>44</v>
      </c>
      <c r="T71" s="610" t="s">
        <v>63</v>
      </c>
      <c r="U71" s="605" t="s">
        <v>69</v>
      </c>
      <c r="V71" s="605" t="s">
        <v>69</v>
      </c>
      <c r="W71" s="605" t="s">
        <v>76</v>
      </c>
      <c r="X71" s="37"/>
      <c r="Y71" s="37"/>
      <c r="Z71" s="605" t="s">
        <v>78</v>
      </c>
      <c r="AA71" s="605" t="s">
        <v>78</v>
      </c>
      <c r="AB71" s="37"/>
      <c r="AC71" s="681">
        <v>7.2356164383561641</v>
      </c>
      <c r="AD71" s="605" t="s">
        <v>72</v>
      </c>
      <c r="AE71" s="610" t="s">
        <v>73</v>
      </c>
      <c r="AF71" s="822"/>
      <c r="AG71" s="822"/>
      <c r="AH71" s="822"/>
      <c r="AI71" s="822"/>
      <c r="AJ71" s="822"/>
      <c r="AK71" s="822"/>
      <c r="AL71" s="822"/>
      <c r="AM71" s="822"/>
      <c r="AN71" s="822"/>
      <c r="AO71" s="822"/>
      <c r="AP71" s="822"/>
      <c r="AQ71" s="822"/>
      <c r="AR71" s="822"/>
      <c r="AS71" s="822"/>
      <c r="AT71" s="822"/>
      <c r="AU71" s="822"/>
      <c r="AV71" s="822"/>
      <c r="AW71" s="822"/>
      <c r="AX71" s="822"/>
      <c r="AY71" s="822"/>
      <c r="AZ71" s="822"/>
      <c r="BA71" s="822"/>
      <c r="BB71" s="822"/>
      <c r="BC71" s="822"/>
      <c r="BD71" s="822"/>
      <c r="BE71" s="822"/>
      <c r="BF71" s="822"/>
      <c r="BG71" s="822"/>
      <c r="BH71" s="822"/>
      <c r="BI71" s="822"/>
      <c r="BJ71" s="822"/>
      <c r="BK71" s="822"/>
      <c r="BL71" s="822"/>
      <c r="BM71" s="822"/>
      <c r="BN71" s="822"/>
      <c r="BO71" s="822"/>
      <c r="BP71" s="822"/>
      <c r="BQ71" s="822"/>
      <c r="BR71" s="822"/>
      <c r="BS71" s="822"/>
      <c r="BT71" s="822"/>
      <c r="BU71" s="822"/>
      <c r="BV71" s="822"/>
      <c r="BW71" s="822"/>
      <c r="BX71" s="822"/>
      <c r="BY71" s="822"/>
      <c r="BZ71" s="822"/>
      <c r="CA71" s="822"/>
      <c r="CB71" s="822"/>
      <c r="CC71" s="822"/>
      <c r="CD71" s="822"/>
      <c r="CE71" s="822"/>
      <c r="CF71" s="822"/>
      <c r="CG71" s="822"/>
      <c r="CH71" s="822"/>
      <c r="CI71" s="822"/>
      <c r="CJ71" s="392"/>
      <c r="CK71" s="392"/>
      <c r="CL71" s="392"/>
      <c r="CM71" s="392"/>
      <c r="CN71" s="392"/>
      <c r="CO71" s="392"/>
      <c r="CP71" s="392"/>
      <c r="CQ71" s="392"/>
      <c r="CR71" s="392"/>
      <c r="CS71" s="392"/>
      <c r="CT71" s="392"/>
      <c r="CU71" s="392"/>
      <c r="CV71" s="392"/>
      <c r="CW71" s="392"/>
      <c r="CX71" s="392"/>
      <c r="CY71" s="392"/>
      <c r="CZ71" s="392"/>
      <c r="DA71" s="392"/>
      <c r="DB71" s="392"/>
      <c r="DC71" s="392"/>
    </row>
    <row r="72" spans="1:107" s="337" customFormat="1" ht="56.25">
      <c r="A72" s="37"/>
      <c r="B72" s="604" t="s">
        <v>23</v>
      </c>
      <c r="C72" s="605" t="s">
        <v>181</v>
      </c>
      <c r="D72" s="606" t="s">
        <v>97</v>
      </c>
      <c r="E72" s="607">
        <v>594.25379854162532</v>
      </c>
      <c r="F72" s="605" t="s">
        <v>27</v>
      </c>
      <c r="G72" s="608">
        <v>0.19425684096182766</v>
      </c>
      <c r="H72" s="605" t="s">
        <v>66</v>
      </c>
      <c r="I72" s="609">
        <v>1</v>
      </c>
      <c r="J72" s="605" t="s">
        <v>1097</v>
      </c>
      <c r="K72" s="610" t="s">
        <v>1052</v>
      </c>
      <c r="L72" s="605" t="s">
        <v>15</v>
      </c>
      <c r="M72" s="610" t="s">
        <v>91</v>
      </c>
      <c r="N72" s="611">
        <v>23.637277248920416</v>
      </c>
      <c r="O72" s="611">
        <v>32.322602377593498</v>
      </c>
      <c r="P72" s="611">
        <v>20.201626485995934</v>
      </c>
      <c r="Q72" s="611">
        <v>27.705087752222994</v>
      </c>
      <c r="R72" s="37"/>
      <c r="S72" s="605" t="s">
        <v>44</v>
      </c>
      <c r="T72" s="610" t="s">
        <v>63</v>
      </c>
      <c r="U72" s="605" t="s">
        <v>69</v>
      </c>
      <c r="V72" s="605" t="s">
        <v>69</v>
      </c>
      <c r="W72" s="605" t="s">
        <v>76</v>
      </c>
      <c r="X72" s="37"/>
      <c r="Y72" s="37"/>
      <c r="Z72" s="605" t="s">
        <v>78</v>
      </c>
      <c r="AA72" s="605" t="s">
        <v>78</v>
      </c>
      <c r="AB72" s="37"/>
      <c r="AC72" s="681">
        <v>7.2356164383561641</v>
      </c>
      <c r="AD72" s="605" t="s">
        <v>72</v>
      </c>
      <c r="AE72" s="610" t="s">
        <v>73</v>
      </c>
      <c r="AF72" s="822"/>
      <c r="AG72" s="822"/>
      <c r="AH72" s="822"/>
      <c r="AI72" s="822"/>
      <c r="AJ72" s="822"/>
      <c r="AK72" s="822"/>
      <c r="AL72" s="822"/>
      <c r="AM72" s="822"/>
      <c r="AN72" s="822"/>
      <c r="AO72" s="822"/>
      <c r="AP72" s="822"/>
      <c r="AQ72" s="822"/>
      <c r="AR72" s="822"/>
      <c r="AS72" s="822"/>
      <c r="AT72" s="822"/>
      <c r="AU72" s="822"/>
      <c r="AV72" s="822"/>
      <c r="AW72" s="822"/>
      <c r="AX72" s="822"/>
      <c r="AY72" s="822"/>
      <c r="AZ72" s="822"/>
      <c r="BA72" s="822"/>
      <c r="BB72" s="822"/>
      <c r="BC72" s="822"/>
      <c r="BD72" s="822"/>
      <c r="BE72" s="822"/>
      <c r="BF72" s="822"/>
      <c r="BG72" s="822"/>
      <c r="BH72" s="822"/>
      <c r="BI72" s="822"/>
      <c r="BJ72" s="822"/>
      <c r="BK72" s="822"/>
      <c r="BL72" s="822"/>
      <c r="BM72" s="822"/>
      <c r="BN72" s="822"/>
      <c r="BO72" s="822"/>
      <c r="BP72" s="822"/>
      <c r="BQ72" s="822"/>
      <c r="BR72" s="822"/>
      <c r="BS72" s="822"/>
      <c r="BT72" s="822"/>
      <c r="BU72" s="822"/>
      <c r="BV72" s="822"/>
      <c r="BW72" s="822"/>
      <c r="BX72" s="822"/>
      <c r="BY72" s="822"/>
      <c r="BZ72" s="822"/>
      <c r="CA72" s="822"/>
      <c r="CB72" s="822"/>
      <c r="CC72" s="822"/>
      <c r="CD72" s="822"/>
      <c r="CE72" s="822"/>
      <c r="CF72" s="822"/>
      <c r="CG72" s="822"/>
      <c r="CH72" s="822"/>
      <c r="CI72" s="822"/>
      <c r="CJ72" s="392"/>
      <c r="CK72" s="392"/>
      <c r="CL72" s="392"/>
      <c r="CM72" s="392"/>
      <c r="CN72" s="392"/>
      <c r="CO72" s="392"/>
      <c r="CP72" s="392"/>
      <c r="CQ72" s="392"/>
      <c r="CR72" s="392"/>
      <c r="CS72" s="392"/>
      <c r="CT72" s="392"/>
      <c r="CU72" s="392"/>
      <c r="CV72" s="392"/>
      <c r="CW72" s="392"/>
      <c r="CX72" s="392"/>
      <c r="CY72" s="392"/>
      <c r="CZ72" s="392"/>
      <c r="DA72" s="392"/>
      <c r="DB72" s="392"/>
      <c r="DC72" s="392"/>
    </row>
    <row r="73" spans="1:107" s="337" customFormat="1" ht="56.25">
      <c r="A73" s="37"/>
      <c r="B73" s="604" t="s">
        <v>23</v>
      </c>
      <c r="C73" s="605" t="s">
        <v>181</v>
      </c>
      <c r="D73" s="606" t="s">
        <v>97</v>
      </c>
      <c r="E73" s="607">
        <v>594.25379854162532</v>
      </c>
      <c r="F73" s="605" t="s">
        <v>27</v>
      </c>
      <c r="G73" s="608">
        <v>0.19425684096182766</v>
      </c>
      <c r="H73" s="605" t="s">
        <v>66</v>
      </c>
      <c r="I73" s="609">
        <v>1</v>
      </c>
      <c r="J73" s="605" t="s">
        <v>1097</v>
      </c>
      <c r="K73" s="610" t="s">
        <v>1052</v>
      </c>
      <c r="L73" s="605" t="s">
        <v>15</v>
      </c>
      <c r="M73" s="610" t="s">
        <v>92</v>
      </c>
      <c r="N73" s="611">
        <v>23.637277248920416</v>
      </c>
      <c r="O73" s="611">
        <v>33.246105302667594</v>
      </c>
      <c r="P73" s="611">
        <v>20.201626485995934</v>
      </c>
      <c r="Q73" s="611">
        <v>28.628590677297097</v>
      </c>
      <c r="R73" s="37"/>
      <c r="S73" s="605" t="s">
        <v>44</v>
      </c>
      <c r="T73" s="610" t="s">
        <v>63</v>
      </c>
      <c r="U73" s="605" t="s">
        <v>69</v>
      </c>
      <c r="V73" s="605" t="s">
        <v>69</v>
      </c>
      <c r="W73" s="605" t="s">
        <v>76</v>
      </c>
      <c r="X73" s="37"/>
      <c r="Y73" s="37"/>
      <c r="Z73" s="605" t="s">
        <v>78</v>
      </c>
      <c r="AA73" s="605" t="s">
        <v>78</v>
      </c>
      <c r="AB73" s="37"/>
      <c r="AC73" s="681">
        <v>7.2356164383561641</v>
      </c>
      <c r="AD73" s="605" t="s">
        <v>72</v>
      </c>
      <c r="AE73" s="610" t="s">
        <v>73</v>
      </c>
      <c r="AF73" s="822"/>
      <c r="AG73" s="822"/>
      <c r="AH73" s="822"/>
      <c r="AI73" s="822"/>
      <c r="AJ73" s="822"/>
      <c r="AK73" s="822"/>
      <c r="AL73" s="822"/>
      <c r="AM73" s="822"/>
      <c r="AN73" s="822"/>
      <c r="AO73" s="822"/>
      <c r="AP73" s="822"/>
      <c r="AQ73" s="822"/>
      <c r="AR73" s="822"/>
      <c r="AS73" s="822"/>
      <c r="AT73" s="822"/>
      <c r="AU73" s="822"/>
      <c r="AV73" s="822"/>
      <c r="AW73" s="822"/>
      <c r="AX73" s="822"/>
      <c r="AY73" s="822"/>
      <c r="AZ73" s="822"/>
      <c r="BA73" s="822"/>
      <c r="BB73" s="822"/>
      <c r="BC73" s="822"/>
      <c r="BD73" s="822"/>
      <c r="BE73" s="822"/>
      <c r="BF73" s="822"/>
      <c r="BG73" s="822"/>
      <c r="BH73" s="822"/>
      <c r="BI73" s="822"/>
      <c r="BJ73" s="822"/>
      <c r="BK73" s="822"/>
      <c r="BL73" s="822"/>
      <c r="BM73" s="822"/>
      <c r="BN73" s="822"/>
      <c r="BO73" s="822"/>
      <c r="BP73" s="822"/>
      <c r="BQ73" s="822"/>
      <c r="BR73" s="822"/>
      <c r="BS73" s="822"/>
      <c r="BT73" s="822"/>
      <c r="BU73" s="822"/>
      <c r="BV73" s="822"/>
      <c r="BW73" s="822"/>
      <c r="BX73" s="822"/>
      <c r="BY73" s="822"/>
      <c r="BZ73" s="822"/>
      <c r="CA73" s="822"/>
      <c r="CB73" s="822"/>
      <c r="CC73" s="822"/>
      <c r="CD73" s="822"/>
      <c r="CE73" s="822"/>
      <c r="CF73" s="822"/>
      <c r="CG73" s="822"/>
      <c r="CH73" s="822"/>
      <c r="CI73" s="822"/>
      <c r="CJ73" s="392"/>
      <c r="CK73" s="392"/>
      <c r="CL73" s="392"/>
      <c r="CM73" s="392"/>
      <c r="CN73" s="392"/>
      <c r="CO73" s="392"/>
      <c r="CP73" s="392"/>
      <c r="CQ73" s="392"/>
      <c r="CR73" s="392"/>
      <c r="CS73" s="392"/>
      <c r="CT73" s="392"/>
      <c r="CU73" s="392"/>
      <c r="CV73" s="392"/>
      <c r="CW73" s="392"/>
      <c r="CX73" s="392"/>
      <c r="CY73" s="392"/>
      <c r="CZ73" s="392"/>
      <c r="DA73" s="392"/>
      <c r="DB73" s="392"/>
      <c r="DC73" s="392"/>
    </row>
    <row r="74" spans="1:107" s="337" customFormat="1" ht="56.25">
      <c r="A74" s="37"/>
      <c r="B74" s="604" t="s">
        <v>23</v>
      </c>
      <c r="C74" s="605" t="s">
        <v>181</v>
      </c>
      <c r="D74" s="606" t="s">
        <v>97</v>
      </c>
      <c r="E74" s="607">
        <v>594.25379854162532</v>
      </c>
      <c r="F74" s="605" t="s">
        <v>27</v>
      </c>
      <c r="G74" s="608">
        <v>0.19425684096182766</v>
      </c>
      <c r="H74" s="605" t="s">
        <v>66</v>
      </c>
      <c r="I74" s="609">
        <v>1</v>
      </c>
      <c r="J74" s="605" t="s">
        <v>1097</v>
      </c>
      <c r="K74" s="610" t="s">
        <v>1052</v>
      </c>
      <c r="L74" s="605" t="s">
        <v>15</v>
      </c>
      <c r="M74" s="612" t="s">
        <v>93</v>
      </c>
      <c r="N74" s="611">
        <v>23.637277248920416</v>
      </c>
      <c r="O74" s="613">
        <v>36.940117002963994</v>
      </c>
      <c r="P74" s="611">
        <v>20.201626485995934</v>
      </c>
      <c r="Q74" s="611">
        <v>32.322602377593498</v>
      </c>
      <c r="R74" s="37"/>
      <c r="S74" s="605" t="s">
        <v>44</v>
      </c>
      <c r="T74" s="610" t="s">
        <v>63</v>
      </c>
      <c r="U74" s="610" t="s">
        <v>44</v>
      </c>
      <c r="V74" s="610" t="s">
        <v>75</v>
      </c>
      <c r="W74" s="605" t="s">
        <v>76</v>
      </c>
      <c r="X74" s="37"/>
      <c r="Y74" s="37"/>
      <c r="Z74" s="605" t="s">
        <v>78</v>
      </c>
      <c r="AA74" s="605" t="s">
        <v>78</v>
      </c>
      <c r="AB74" s="37"/>
      <c r="AC74" s="681">
        <v>7.2356164383561641</v>
      </c>
      <c r="AD74" s="605" t="s">
        <v>72</v>
      </c>
      <c r="AE74" s="610" t="s">
        <v>73</v>
      </c>
      <c r="AF74" s="822"/>
      <c r="AG74" s="822"/>
      <c r="AH74" s="822"/>
      <c r="AI74" s="822"/>
      <c r="AJ74" s="822"/>
      <c r="AK74" s="822"/>
      <c r="AL74" s="822"/>
      <c r="AM74" s="822"/>
      <c r="AN74" s="822"/>
      <c r="AO74" s="822"/>
      <c r="AP74" s="822"/>
      <c r="AQ74" s="822"/>
      <c r="AR74" s="822"/>
      <c r="AS74" s="822"/>
      <c r="AT74" s="822"/>
      <c r="AU74" s="822"/>
      <c r="AV74" s="822"/>
      <c r="AW74" s="822"/>
      <c r="AX74" s="822"/>
      <c r="AY74" s="822"/>
      <c r="AZ74" s="822"/>
      <c r="BA74" s="822"/>
      <c r="BB74" s="822"/>
      <c r="BC74" s="822"/>
      <c r="BD74" s="822"/>
      <c r="BE74" s="822"/>
      <c r="BF74" s="822"/>
      <c r="BG74" s="822"/>
      <c r="BH74" s="822"/>
      <c r="BI74" s="822"/>
      <c r="BJ74" s="822"/>
      <c r="BK74" s="822"/>
      <c r="BL74" s="822"/>
      <c r="BM74" s="822"/>
      <c r="BN74" s="822"/>
      <c r="BO74" s="822"/>
      <c r="BP74" s="822"/>
      <c r="BQ74" s="822"/>
      <c r="BR74" s="822"/>
      <c r="BS74" s="822"/>
      <c r="BT74" s="822"/>
      <c r="BU74" s="822"/>
      <c r="BV74" s="822"/>
      <c r="BW74" s="822"/>
      <c r="BX74" s="822"/>
      <c r="BY74" s="822"/>
      <c r="BZ74" s="822"/>
      <c r="CA74" s="822"/>
      <c r="CB74" s="822"/>
      <c r="CC74" s="822"/>
      <c r="CD74" s="822"/>
      <c r="CE74" s="822"/>
      <c r="CF74" s="822"/>
      <c r="CG74" s="822"/>
      <c r="CH74" s="822"/>
      <c r="CI74" s="822"/>
      <c r="CJ74" s="392"/>
      <c r="CK74" s="392"/>
      <c r="CL74" s="392"/>
      <c r="CM74" s="392"/>
      <c r="CN74" s="392"/>
      <c r="CO74" s="392"/>
      <c r="CP74" s="392"/>
      <c r="CQ74" s="392"/>
      <c r="CR74" s="392"/>
      <c r="CS74" s="392"/>
      <c r="CT74" s="392"/>
      <c r="CU74" s="392"/>
      <c r="CV74" s="392"/>
      <c r="CW74" s="392"/>
      <c r="CX74" s="392"/>
      <c r="CY74" s="392"/>
      <c r="CZ74" s="392"/>
      <c r="DA74" s="392"/>
      <c r="DB74" s="392"/>
      <c r="DC74" s="392"/>
    </row>
    <row r="75" spans="1:107" s="337" customFormat="1" ht="56.25">
      <c r="A75" s="37"/>
      <c r="B75" s="604" t="s">
        <v>23</v>
      </c>
      <c r="C75" s="605" t="s">
        <v>181</v>
      </c>
      <c r="D75" s="606" t="s">
        <v>97</v>
      </c>
      <c r="E75" s="607">
        <v>594.25379854162532</v>
      </c>
      <c r="F75" s="605" t="s">
        <v>27</v>
      </c>
      <c r="G75" s="608">
        <v>0.19425684096182766</v>
      </c>
      <c r="H75" s="605" t="s">
        <v>66</v>
      </c>
      <c r="I75" s="609">
        <v>1</v>
      </c>
      <c r="J75" s="605" t="s">
        <v>1097</v>
      </c>
      <c r="K75" s="610" t="s">
        <v>1052</v>
      </c>
      <c r="L75" s="605" t="s">
        <v>960</v>
      </c>
      <c r="M75" s="610" t="s">
        <v>88</v>
      </c>
      <c r="N75" s="614">
        <v>17.049284770598771</v>
      </c>
      <c r="O75" s="614">
        <v>20.317064351630197</v>
      </c>
      <c r="P75" s="614">
        <v>14.776046801185595</v>
      </c>
      <c r="Q75" s="614">
        <v>15.699549726259697</v>
      </c>
      <c r="R75" s="37"/>
      <c r="S75" s="605" t="s">
        <v>69</v>
      </c>
      <c r="T75" s="605" t="s">
        <v>69</v>
      </c>
      <c r="U75" s="605" t="s">
        <v>69</v>
      </c>
      <c r="V75" s="605" t="s">
        <v>69</v>
      </c>
      <c r="W75" s="605" t="s">
        <v>76</v>
      </c>
      <c r="X75" s="37"/>
      <c r="Y75" s="37"/>
      <c r="Z75" s="605" t="s">
        <v>78</v>
      </c>
      <c r="AA75" s="605" t="s">
        <v>78</v>
      </c>
      <c r="AB75" s="37"/>
      <c r="AC75" s="681">
        <v>7.2356164383561641</v>
      </c>
      <c r="AD75" s="605" t="s">
        <v>72</v>
      </c>
      <c r="AE75" s="610" t="s">
        <v>73</v>
      </c>
      <c r="AF75" s="822"/>
      <c r="AG75" s="822"/>
      <c r="AH75" s="822"/>
      <c r="AI75" s="822"/>
      <c r="AJ75" s="822"/>
      <c r="AK75" s="822"/>
      <c r="AL75" s="822"/>
      <c r="AM75" s="822"/>
      <c r="AN75" s="822"/>
      <c r="AO75" s="822"/>
      <c r="AP75" s="822"/>
      <c r="AQ75" s="822"/>
      <c r="AR75" s="822"/>
      <c r="AS75" s="822"/>
      <c r="AT75" s="822"/>
      <c r="AU75" s="822"/>
      <c r="AV75" s="822"/>
      <c r="AW75" s="822"/>
      <c r="AX75" s="822"/>
      <c r="AY75" s="822"/>
      <c r="AZ75" s="822"/>
      <c r="BA75" s="822"/>
      <c r="BB75" s="822"/>
      <c r="BC75" s="822"/>
      <c r="BD75" s="822"/>
      <c r="BE75" s="822"/>
      <c r="BF75" s="822"/>
      <c r="BG75" s="822"/>
      <c r="BH75" s="822"/>
      <c r="BI75" s="822"/>
      <c r="BJ75" s="822"/>
      <c r="BK75" s="822"/>
      <c r="BL75" s="822"/>
      <c r="BM75" s="822"/>
      <c r="BN75" s="822"/>
      <c r="BO75" s="822"/>
      <c r="BP75" s="822"/>
      <c r="BQ75" s="822"/>
      <c r="BR75" s="822"/>
      <c r="BS75" s="822"/>
      <c r="BT75" s="822"/>
      <c r="BU75" s="822"/>
      <c r="BV75" s="822"/>
      <c r="BW75" s="822"/>
      <c r="BX75" s="822"/>
      <c r="BY75" s="822"/>
      <c r="BZ75" s="822"/>
      <c r="CA75" s="822"/>
      <c r="CB75" s="822"/>
      <c r="CC75" s="822"/>
      <c r="CD75" s="822"/>
      <c r="CE75" s="822"/>
      <c r="CF75" s="822"/>
      <c r="CG75" s="822"/>
      <c r="CH75" s="822"/>
      <c r="CI75" s="822"/>
      <c r="CJ75" s="392"/>
      <c r="CK75" s="392"/>
      <c r="CL75" s="392"/>
      <c r="CM75" s="392"/>
      <c r="CN75" s="392"/>
      <c r="CO75" s="392"/>
      <c r="CP75" s="392"/>
      <c r="CQ75" s="392"/>
      <c r="CR75" s="392"/>
      <c r="CS75" s="392"/>
      <c r="CT75" s="392"/>
      <c r="CU75" s="392"/>
      <c r="CV75" s="392"/>
      <c r="CW75" s="392"/>
      <c r="CX75" s="392"/>
      <c r="CY75" s="392"/>
      <c r="CZ75" s="392"/>
      <c r="DA75" s="392"/>
      <c r="DB75" s="392"/>
      <c r="DC75" s="392"/>
    </row>
    <row r="76" spans="1:107" s="337" customFormat="1" ht="56.25">
      <c r="A76" s="37"/>
      <c r="B76" s="604" t="s">
        <v>23</v>
      </c>
      <c r="C76" s="605" t="s">
        <v>181</v>
      </c>
      <c r="D76" s="606" t="s">
        <v>97</v>
      </c>
      <c r="E76" s="607">
        <v>594.25379854162532</v>
      </c>
      <c r="F76" s="605" t="s">
        <v>27</v>
      </c>
      <c r="G76" s="608">
        <v>0.19425684096182766</v>
      </c>
      <c r="H76" s="605" t="s">
        <v>66</v>
      </c>
      <c r="I76" s="609">
        <v>1</v>
      </c>
      <c r="J76" s="605" t="s">
        <v>1097</v>
      </c>
      <c r="K76" s="610" t="s">
        <v>1052</v>
      </c>
      <c r="L76" s="605" t="s">
        <v>960</v>
      </c>
      <c r="M76" s="610" t="s">
        <v>90</v>
      </c>
      <c r="N76" s="614">
        <v>17.049284770598771</v>
      </c>
      <c r="O76" s="614">
        <v>24.934578977000697</v>
      </c>
      <c r="P76" s="614">
        <v>14.776046801185595</v>
      </c>
      <c r="Q76" s="614">
        <v>20.317064351630201</v>
      </c>
      <c r="R76" s="37"/>
      <c r="S76" s="605" t="s">
        <v>69</v>
      </c>
      <c r="T76" s="605" t="s">
        <v>69</v>
      </c>
      <c r="U76" s="605" t="s">
        <v>69</v>
      </c>
      <c r="V76" s="605" t="s">
        <v>69</v>
      </c>
      <c r="W76" s="605" t="s">
        <v>76</v>
      </c>
      <c r="X76" s="37"/>
      <c r="Y76" s="37"/>
      <c r="Z76" s="605" t="s">
        <v>78</v>
      </c>
      <c r="AA76" s="605" t="s">
        <v>78</v>
      </c>
      <c r="AB76" s="37"/>
      <c r="AC76" s="681">
        <v>7.2356164383561641</v>
      </c>
      <c r="AD76" s="605" t="s">
        <v>72</v>
      </c>
      <c r="AE76" s="610" t="s">
        <v>73</v>
      </c>
      <c r="AF76" s="822"/>
      <c r="AG76" s="822"/>
      <c r="AH76" s="822"/>
      <c r="AI76" s="822"/>
      <c r="AJ76" s="822"/>
      <c r="AK76" s="822"/>
      <c r="AL76" s="822"/>
      <c r="AM76" s="822"/>
      <c r="AN76" s="822"/>
      <c r="AO76" s="822"/>
      <c r="AP76" s="822"/>
      <c r="AQ76" s="822"/>
      <c r="AR76" s="822"/>
      <c r="AS76" s="822"/>
      <c r="AT76" s="822"/>
      <c r="AU76" s="822"/>
      <c r="AV76" s="822"/>
      <c r="AW76" s="822"/>
      <c r="AX76" s="822"/>
      <c r="AY76" s="822"/>
      <c r="AZ76" s="822"/>
      <c r="BA76" s="822"/>
      <c r="BB76" s="822"/>
      <c r="BC76" s="822"/>
      <c r="BD76" s="822"/>
      <c r="BE76" s="822"/>
      <c r="BF76" s="822"/>
      <c r="BG76" s="822"/>
      <c r="BH76" s="822"/>
      <c r="BI76" s="822"/>
      <c r="BJ76" s="822"/>
      <c r="BK76" s="822"/>
      <c r="BL76" s="822"/>
      <c r="BM76" s="822"/>
      <c r="BN76" s="822"/>
      <c r="BO76" s="822"/>
      <c r="BP76" s="822"/>
      <c r="BQ76" s="822"/>
      <c r="BR76" s="822"/>
      <c r="BS76" s="822"/>
      <c r="BT76" s="822"/>
      <c r="BU76" s="822"/>
      <c r="BV76" s="822"/>
      <c r="BW76" s="822"/>
      <c r="BX76" s="822"/>
      <c r="BY76" s="822"/>
      <c r="BZ76" s="822"/>
      <c r="CA76" s="822"/>
      <c r="CB76" s="822"/>
      <c r="CC76" s="822"/>
      <c r="CD76" s="822"/>
      <c r="CE76" s="822"/>
      <c r="CF76" s="822"/>
      <c r="CG76" s="822"/>
      <c r="CH76" s="822"/>
      <c r="CI76" s="822"/>
      <c r="CJ76" s="392"/>
      <c r="CK76" s="392"/>
      <c r="CL76" s="392"/>
      <c r="CM76" s="392"/>
      <c r="CN76" s="392"/>
      <c r="CO76" s="392"/>
      <c r="CP76" s="392"/>
      <c r="CQ76" s="392"/>
      <c r="CR76" s="392"/>
      <c r="CS76" s="392"/>
      <c r="CT76" s="392"/>
      <c r="CU76" s="392"/>
      <c r="CV76" s="392"/>
      <c r="CW76" s="392"/>
      <c r="CX76" s="392"/>
      <c r="CY76" s="392"/>
      <c r="CZ76" s="392"/>
      <c r="DA76" s="392"/>
      <c r="DB76" s="392"/>
      <c r="DC76" s="392"/>
    </row>
    <row r="77" spans="1:107" s="337" customFormat="1" ht="56.25">
      <c r="A77" s="37"/>
      <c r="B77" s="604" t="s">
        <v>23</v>
      </c>
      <c r="C77" s="605" t="s">
        <v>181</v>
      </c>
      <c r="D77" s="606" t="s">
        <v>97</v>
      </c>
      <c r="E77" s="607">
        <v>594.25379854162532</v>
      </c>
      <c r="F77" s="605" t="s">
        <v>27</v>
      </c>
      <c r="G77" s="608">
        <v>0.19425684096182766</v>
      </c>
      <c r="H77" s="605" t="s">
        <v>66</v>
      </c>
      <c r="I77" s="609">
        <v>1</v>
      </c>
      <c r="J77" s="605" t="s">
        <v>1097</v>
      </c>
      <c r="K77" s="610" t="s">
        <v>1052</v>
      </c>
      <c r="L77" s="605" t="s">
        <v>960</v>
      </c>
      <c r="M77" s="610" t="s">
        <v>91</v>
      </c>
      <c r="N77" s="614">
        <v>17.049284770598771</v>
      </c>
      <c r="O77" s="614">
        <v>32.322602377593498</v>
      </c>
      <c r="P77" s="614">
        <v>14.776046801185595</v>
      </c>
      <c r="Q77" s="614">
        <v>27.705087752222994</v>
      </c>
      <c r="R77" s="37"/>
      <c r="S77" s="605" t="s">
        <v>69</v>
      </c>
      <c r="T77" s="605" t="s">
        <v>69</v>
      </c>
      <c r="U77" s="605" t="s">
        <v>69</v>
      </c>
      <c r="V77" s="605" t="s">
        <v>69</v>
      </c>
      <c r="W77" s="605" t="s">
        <v>76</v>
      </c>
      <c r="X77" s="37"/>
      <c r="Y77" s="37"/>
      <c r="Z77" s="605" t="s">
        <v>78</v>
      </c>
      <c r="AA77" s="605" t="s">
        <v>78</v>
      </c>
      <c r="AB77" s="37"/>
      <c r="AC77" s="681">
        <v>7.2356164383561641</v>
      </c>
      <c r="AD77" s="605" t="s">
        <v>72</v>
      </c>
      <c r="AE77" s="610" t="s">
        <v>73</v>
      </c>
      <c r="AF77" s="822"/>
      <c r="AG77" s="822"/>
      <c r="AH77" s="822"/>
      <c r="AI77" s="822"/>
      <c r="AJ77" s="822"/>
      <c r="AK77" s="822"/>
      <c r="AL77" s="822"/>
      <c r="AM77" s="822"/>
      <c r="AN77" s="822"/>
      <c r="AO77" s="822"/>
      <c r="AP77" s="822"/>
      <c r="AQ77" s="822"/>
      <c r="AR77" s="822"/>
      <c r="AS77" s="822"/>
      <c r="AT77" s="822"/>
      <c r="AU77" s="822"/>
      <c r="AV77" s="822"/>
      <c r="AW77" s="822"/>
      <c r="AX77" s="822"/>
      <c r="AY77" s="822"/>
      <c r="AZ77" s="822"/>
      <c r="BA77" s="822"/>
      <c r="BB77" s="822"/>
      <c r="BC77" s="822"/>
      <c r="BD77" s="822"/>
      <c r="BE77" s="822"/>
      <c r="BF77" s="822"/>
      <c r="BG77" s="822"/>
      <c r="BH77" s="822"/>
      <c r="BI77" s="822"/>
      <c r="BJ77" s="822"/>
      <c r="BK77" s="822"/>
      <c r="BL77" s="822"/>
      <c r="BM77" s="822"/>
      <c r="BN77" s="822"/>
      <c r="BO77" s="822"/>
      <c r="BP77" s="822"/>
      <c r="BQ77" s="822"/>
      <c r="BR77" s="822"/>
      <c r="BS77" s="822"/>
      <c r="BT77" s="822"/>
      <c r="BU77" s="822"/>
      <c r="BV77" s="822"/>
      <c r="BW77" s="822"/>
      <c r="BX77" s="822"/>
      <c r="BY77" s="822"/>
      <c r="BZ77" s="822"/>
      <c r="CA77" s="822"/>
      <c r="CB77" s="822"/>
      <c r="CC77" s="822"/>
      <c r="CD77" s="822"/>
      <c r="CE77" s="822"/>
      <c r="CF77" s="822"/>
      <c r="CG77" s="822"/>
      <c r="CH77" s="822"/>
      <c r="CI77" s="822"/>
      <c r="CJ77" s="392"/>
      <c r="CK77" s="392"/>
      <c r="CL77" s="392"/>
      <c r="CM77" s="392"/>
      <c r="CN77" s="392"/>
      <c r="CO77" s="392"/>
      <c r="CP77" s="392"/>
      <c r="CQ77" s="392"/>
      <c r="CR77" s="392"/>
      <c r="CS77" s="392"/>
      <c r="CT77" s="392"/>
      <c r="CU77" s="392"/>
      <c r="CV77" s="392"/>
      <c r="CW77" s="392"/>
      <c r="CX77" s="392"/>
      <c r="CY77" s="392"/>
      <c r="CZ77" s="392"/>
      <c r="DA77" s="392"/>
      <c r="DB77" s="392"/>
      <c r="DC77" s="392"/>
    </row>
    <row r="78" spans="1:107" s="337" customFormat="1" ht="56.25">
      <c r="A78" s="37"/>
      <c r="B78" s="604" t="s">
        <v>23</v>
      </c>
      <c r="C78" s="605" t="s">
        <v>181</v>
      </c>
      <c r="D78" s="606" t="s">
        <v>97</v>
      </c>
      <c r="E78" s="607">
        <v>594.25379854162532</v>
      </c>
      <c r="F78" s="605" t="s">
        <v>27</v>
      </c>
      <c r="G78" s="608">
        <v>0.19425684096182766</v>
      </c>
      <c r="H78" s="605" t="s">
        <v>66</v>
      </c>
      <c r="I78" s="609">
        <v>1</v>
      </c>
      <c r="J78" s="605" t="s">
        <v>1097</v>
      </c>
      <c r="K78" s="610" t="s">
        <v>1052</v>
      </c>
      <c r="L78" s="605" t="s">
        <v>960</v>
      </c>
      <c r="M78" s="610" t="s">
        <v>92</v>
      </c>
      <c r="N78" s="614">
        <v>17.049284770598771</v>
      </c>
      <c r="O78" s="614">
        <v>33.246105302667594</v>
      </c>
      <c r="P78" s="614">
        <v>14.776046801185595</v>
      </c>
      <c r="Q78" s="614">
        <v>28.628590677297097</v>
      </c>
      <c r="R78" s="37"/>
      <c r="S78" s="605" t="s">
        <v>69</v>
      </c>
      <c r="T78" s="605" t="s">
        <v>69</v>
      </c>
      <c r="U78" s="605" t="s">
        <v>69</v>
      </c>
      <c r="V78" s="605" t="s">
        <v>69</v>
      </c>
      <c r="W78" s="605" t="s">
        <v>76</v>
      </c>
      <c r="X78" s="37"/>
      <c r="Y78" s="37"/>
      <c r="Z78" s="605" t="s">
        <v>78</v>
      </c>
      <c r="AA78" s="605" t="s">
        <v>78</v>
      </c>
      <c r="AB78" s="37"/>
      <c r="AC78" s="681">
        <v>7.2356164383561641</v>
      </c>
      <c r="AD78" s="605" t="s">
        <v>72</v>
      </c>
      <c r="AE78" s="610" t="s">
        <v>73</v>
      </c>
      <c r="AF78" s="822"/>
      <c r="AG78" s="822"/>
      <c r="AH78" s="822"/>
      <c r="AI78" s="822"/>
      <c r="AJ78" s="822"/>
      <c r="AK78" s="822"/>
      <c r="AL78" s="822"/>
      <c r="AM78" s="822"/>
      <c r="AN78" s="822"/>
      <c r="AO78" s="822"/>
      <c r="AP78" s="822"/>
      <c r="AQ78" s="822"/>
      <c r="AR78" s="822"/>
      <c r="AS78" s="822"/>
      <c r="AT78" s="822"/>
      <c r="AU78" s="822"/>
      <c r="AV78" s="822"/>
      <c r="AW78" s="822"/>
      <c r="AX78" s="822"/>
      <c r="AY78" s="822"/>
      <c r="AZ78" s="822"/>
      <c r="BA78" s="822"/>
      <c r="BB78" s="822"/>
      <c r="BC78" s="822"/>
      <c r="BD78" s="822"/>
      <c r="BE78" s="822"/>
      <c r="BF78" s="822"/>
      <c r="BG78" s="822"/>
      <c r="BH78" s="822"/>
      <c r="BI78" s="822"/>
      <c r="BJ78" s="822"/>
      <c r="BK78" s="822"/>
      <c r="BL78" s="822"/>
      <c r="BM78" s="822"/>
      <c r="BN78" s="822"/>
      <c r="BO78" s="822"/>
      <c r="BP78" s="822"/>
      <c r="BQ78" s="822"/>
      <c r="BR78" s="822"/>
      <c r="BS78" s="822"/>
      <c r="BT78" s="822"/>
      <c r="BU78" s="822"/>
      <c r="BV78" s="822"/>
      <c r="BW78" s="822"/>
      <c r="BX78" s="822"/>
      <c r="BY78" s="822"/>
      <c r="BZ78" s="822"/>
      <c r="CA78" s="822"/>
      <c r="CB78" s="822"/>
      <c r="CC78" s="822"/>
      <c r="CD78" s="822"/>
      <c r="CE78" s="822"/>
      <c r="CF78" s="822"/>
      <c r="CG78" s="822"/>
      <c r="CH78" s="822"/>
      <c r="CI78" s="822"/>
      <c r="CJ78" s="392"/>
      <c r="CK78" s="392"/>
      <c r="CL78" s="392"/>
      <c r="CM78" s="392"/>
      <c r="CN78" s="392"/>
      <c r="CO78" s="392"/>
      <c r="CP78" s="392"/>
      <c r="CQ78" s="392"/>
      <c r="CR78" s="392"/>
      <c r="CS78" s="392"/>
      <c r="CT78" s="392"/>
      <c r="CU78" s="392"/>
      <c r="CV78" s="392"/>
      <c r="CW78" s="392"/>
      <c r="CX78" s="392"/>
      <c r="CY78" s="392"/>
      <c r="CZ78" s="392"/>
      <c r="DA78" s="392"/>
      <c r="DB78" s="392"/>
      <c r="DC78" s="392"/>
    </row>
    <row r="79" spans="1:107" s="337" customFormat="1" ht="56.25">
      <c r="A79" s="37"/>
      <c r="B79" s="604" t="s">
        <v>23</v>
      </c>
      <c r="C79" s="605" t="s">
        <v>181</v>
      </c>
      <c r="D79" s="606" t="s">
        <v>97</v>
      </c>
      <c r="E79" s="607">
        <v>594.25379854162532</v>
      </c>
      <c r="F79" s="605" t="s">
        <v>27</v>
      </c>
      <c r="G79" s="608">
        <v>0.19425684096182766</v>
      </c>
      <c r="H79" s="605" t="s">
        <v>66</v>
      </c>
      <c r="I79" s="609">
        <v>1</v>
      </c>
      <c r="J79" s="605" t="s">
        <v>1097</v>
      </c>
      <c r="K79" s="610" t="s">
        <v>1052</v>
      </c>
      <c r="L79" s="605" t="s">
        <v>960</v>
      </c>
      <c r="M79" s="612" t="s">
        <v>93</v>
      </c>
      <c r="N79" s="614">
        <v>17.049284770598771</v>
      </c>
      <c r="O79" s="614">
        <v>36.940117002963994</v>
      </c>
      <c r="P79" s="614">
        <v>14.776046801185595</v>
      </c>
      <c r="Q79" s="614">
        <v>32.322602377593498</v>
      </c>
      <c r="R79" s="37"/>
      <c r="S79" s="605" t="s">
        <v>69</v>
      </c>
      <c r="T79" s="605" t="s">
        <v>69</v>
      </c>
      <c r="U79" s="610" t="s">
        <v>44</v>
      </c>
      <c r="V79" s="610" t="s">
        <v>75</v>
      </c>
      <c r="W79" s="605" t="s">
        <v>76</v>
      </c>
      <c r="X79" s="37"/>
      <c r="Y79" s="37"/>
      <c r="Z79" s="605" t="s">
        <v>78</v>
      </c>
      <c r="AA79" s="605" t="s">
        <v>78</v>
      </c>
      <c r="AB79" s="37"/>
      <c r="AC79" s="681">
        <v>7.2356164383561641</v>
      </c>
      <c r="AD79" s="605" t="s">
        <v>72</v>
      </c>
      <c r="AE79" s="610" t="s">
        <v>73</v>
      </c>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822"/>
      <c r="BK79" s="822"/>
      <c r="BL79" s="822"/>
      <c r="BM79" s="822"/>
      <c r="BN79" s="822"/>
      <c r="BO79" s="822"/>
      <c r="BP79" s="822"/>
      <c r="BQ79" s="822"/>
      <c r="BR79" s="822"/>
      <c r="BS79" s="822"/>
      <c r="BT79" s="822"/>
      <c r="BU79" s="822"/>
      <c r="BV79" s="822"/>
      <c r="BW79" s="822"/>
      <c r="BX79" s="822"/>
      <c r="BY79" s="822"/>
      <c r="BZ79" s="822"/>
      <c r="CA79" s="822"/>
      <c r="CB79" s="822"/>
      <c r="CC79" s="822"/>
      <c r="CD79" s="822"/>
      <c r="CE79" s="822"/>
      <c r="CF79" s="822"/>
      <c r="CG79" s="822"/>
      <c r="CH79" s="822"/>
      <c r="CI79" s="822"/>
      <c r="CJ79" s="392"/>
      <c r="CK79" s="392"/>
      <c r="CL79" s="392"/>
      <c r="CM79" s="392"/>
      <c r="CN79" s="392"/>
      <c r="CO79" s="392"/>
      <c r="CP79" s="392"/>
      <c r="CQ79" s="392"/>
      <c r="CR79" s="392"/>
      <c r="CS79" s="392"/>
      <c r="CT79" s="392"/>
      <c r="CU79" s="392"/>
      <c r="CV79" s="392"/>
      <c r="CW79" s="392"/>
      <c r="CX79" s="392"/>
      <c r="CY79" s="392"/>
      <c r="CZ79" s="392"/>
      <c r="DA79" s="392"/>
      <c r="DB79" s="392"/>
      <c r="DC79" s="392"/>
    </row>
    <row r="80" spans="1:107" s="337" customFormat="1" ht="24">
      <c r="A80" s="37"/>
      <c r="B80" s="604" t="s">
        <v>23</v>
      </c>
      <c r="C80" s="605" t="s">
        <v>181</v>
      </c>
      <c r="D80" s="606" t="s">
        <v>97</v>
      </c>
      <c r="E80" s="607">
        <v>594.25379854162532</v>
      </c>
      <c r="F80" s="605" t="s">
        <v>24</v>
      </c>
      <c r="G80" s="608">
        <v>0.14364620675929671</v>
      </c>
      <c r="H80" s="605" t="s">
        <v>66</v>
      </c>
      <c r="I80" s="609">
        <v>0.98097503900836736</v>
      </c>
      <c r="J80" s="610" t="s">
        <v>25</v>
      </c>
      <c r="K80" s="610" t="s">
        <v>1052</v>
      </c>
      <c r="L80" s="610" t="s">
        <v>99</v>
      </c>
      <c r="M80" s="610" t="s">
        <v>88</v>
      </c>
      <c r="N80" s="611">
        <v>15.759194586979897</v>
      </c>
      <c r="O80" s="611">
        <v>14.737938953550247</v>
      </c>
      <c r="P80" s="611">
        <v>15.759194586979897</v>
      </c>
      <c r="Q80" s="611">
        <v>11.388407373197918</v>
      </c>
      <c r="R80" s="37"/>
      <c r="S80" s="605" t="s">
        <v>44</v>
      </c>
      <c r="T80" s="610" t="s">
        <v>63</v>
      </c>
      <c r="U80" s="605" t="s">
        <v>69</v>
      </c>
      <c r="V80" s="605" t="s">
        <v>69</v>
      </c>
      <c r="W80" s="605" t="s">
        <v>76</v>
      </c>
      <c r="X80" s="37"/>
      <c r="Y80" s="37"/>
      <c r="Z80" s="605" t="s">
        <v>78</v>
      </c>
      <c r="AA80" s="605" t="s">
        <v>78</v>
      </c>
      <c r="AB80" s="37"/>
      <c r="AC80" s="681">
        <v>7.2356164383561641</v>
      </c>
      <c r="AD80" s="605" t="s">
        <v>72</v>
      </c>
      <c r="AE80" s="610" t="s">
        <v>73</v>
      </c>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822"/>
      <c r="BK80" s="822"/>
      <c r="BL80" s="822"/>
      <c r="BM80" s="822"/>
      <c r="BN80" s="822"/>
      <c r="BO80" s="822"/>
      <c r="BP80" s="822"/>
      <c r="BQ80" s="822"/>
      <c r="BR80" s="822"/>
      <c r="BS80" s="822"/>
      <c r="BT80" s="822"/>
      <c r="BU80" s="822"/>
      <c r="BV80" s="822"/>
      <c r="BW80" s="822"/>
      <c r="BX80" s="822"/>
      <c r="BY80" s="822"/>
      <c r="BZ80" s="822"/>
      <c r="CA80" s="822"/>
      <c r="CB80" s="822"/>
      <c r="CC80" s="822"/>
      <c r="CD80" s="822"/>
      <c r="CE80" s="822"/>
      <c r="CF80" s="822"/>
      <c r="CG80" s="822"/>
      <c r="CH80" s="822"/>
      <c r="CI80" s="822"/>
      <c r="CJ80" s="392"/>
      <c r="CK80" s="392"/>
      <c r="CL80" s="392"/>
      <c r="CM80" s="392"/>
      <c r="CN80" s="392"/>
      <c r="CO80" s="392"/>
      <c r="CP80" s="392"/>
      <c r="CQ80" s="392"/>
      <c r="CR80" s="392"/>
      <c r="CS80" s="392"/>
      <c r="CT80" s="392"/>
      <c r="CU80" s="392"/>
      <c r="CV80" s="392"/>
      <c r="CW80" s="392"/>
      <c r="CX80" s="392"/>
      <c r="CY80" s="392"/>
      <c r="CZ80" s="392"/>
      <c r="DA80" s="392"/>
      <c r="DB80" s="392"/>
      <c r="DC80" s="392"/>
    </row>
    <row r="81" spans="1:107" s="337" customFormat="1" ht="24">
      <c r="A81" s="37"/>
      <c r="B81" s="604" t="s">
        <v>23</v>
      </c>
      <c r="C81" s="605" t="s">
        <v>181</v>
      </c>
      <c r="D81" s="606" t="s">
        <v>97</v>
      </c>
      <c r="E81" s="607">
        <v>594.25379854162532</v>
      </c>
      <c r="F81" s="605" t="s">
        <v>24</v>
      </c>
      <c r="G81" s="608">
        <v>0.14364620675929671</v>
      </c>
      <c r="H81" s="605" t="s">
        <v>66</v>
      </c>
      <c r="I81" s="609">
        <v>0.98097503900836736</v>
      </c>
      <c r="J81" s="610" t="s">
        <v>25</v>
      </c>
      <c r="K81" s="610" t="s">
        <v>1052</v>
      </c>
      <c r="L81" s="610" t="s">
        <v>99</v>
      </c>
      <c r="M81" s="610" t="s">
        <v>90</v>
      </c>
      <c r="N81" s="611">
        <v>15.759194586979897</v>
      </c>
      <c r="O81" s="611">
        <v>18.087470533902579</v>
      </c>
      <c r="P81" s="611">
        <v>15.759194586979897</v>
      </c>
      <c r="Q81" s="611">
        <v>14.73793895355025</v>
      </c>
      <c r="R81" s="37"/>
      <c r="S81" s="605" t="s">
        <v>44</v>
      </c>
      <c r="T81" s="610" t="s">
        <v>63</v>
      </c>
      <c r="U81" s="605" t="s">
        <v>69</v>
      </c>
      <c r="V81" s="605" t="s">
        <v>69</v>
      </c>
      <c r="W81" s="605" t="s">
        <v>76</v>
      </c>
      <c r="X81" s="37"/>
      <c r="Y81" s="37"/>
      <c r="Z81" s="605" t="s">
        <v>78</v>
      </c>
      <c r="AA81" s="605" t="s">
        <v>78</v>
      </c>
      <c r="AB81" s="37"/>
      <c r="AC81" s="681">
        <v>7.2356164383561641</v>
      </c>
      <c r="AD81" s="605" t="s">
        <v>72</v>
      </c>
      <c r="AE81" s="610" t="s">
        <v>73</v>
      </c>
      <c r="AF81" s="822"/>
      <c r="AG81" s="822"/>
      <c r="AH81" s="822"/>
      <c r="AI81" s="822"/>
      <c r="AJ81" s="822"/>
      <c r="AK81" s="822"/>
      <c r="AL81" s="822"/>
      <c r="AM81" s="822"/>
      <c r="AN81" s="822"/>
      <c r="AO81" s="822"/>
      <c r="AP81" s="822"/>
      <c r="AQ81" s="822"/>
      <c r="AR81" s="822"/>
      <c r="AS81" s="822"/>
      <c r="AT81" s="822"/>
      <c r="AU81" s="822"/>
      <c r="AV81" s="822"/>
      <c r="AW81" s="822"/>
      <c r="AX81" s="822"/>
      <c r="AY81" s="822"/>
      <c r="AZ81" s="822"/>
      <c r="BA81" s="822"/>
      <c r="BB81" s="822"/>
      <c r="BC81" s="822"/>
      <c r="BD81" s="822"/>
      <c r="BE81" s="822"/>
      <c r="BF81" s="822"/>
      <c r="BG81" s="822"/>
      <c r="BH81" s="822"/>
      <c r="BI81" s="822"/>
      <c r="BJ81" s="822"/>
      <c r="BK81" s="822"/>
      <c r="BL81" s="822"/>
      <c r="BM81" s="822"/>
      <c r="BN81" s="822"/>
      <c r="BO81" s="822"/>
      <c r="BP81" s="822"/>
      <c r="BQ81" s="822"/>
      <c r="BR81" s="822"/>
      <c r="BS81" s="822"/>
      <c r="BT81" s="822"/>
      <c r="BU81" s="822"/>
      <c r="BV81" s="822"/>
      <c r="BW81" s="822"/>
      <c r="BX81" s="822"/>
      <c r="BY81" s="822"/>
      <c r="BZ81" s="822"/>
      <c r="CA81" s="822"/>
      <c r="CB81" s="822"/>
      <c r="CC81" s="822"/>
      <c r="CD81" s="822"/>
      <c r="CE81" s="822"/>
      <c r="CF81" s="822"/>
      <c r="CG81" s="822"/>
      <c r="CH81" s="822"/>
      <c r="CI81" s="822"/>
      <c r="CJ81" s="392"/>
      <c r="CK81" s="392"/>
      <c r="CL81" s="392"/>
      <c r="CM81" s="392"/>
      <c r="CN81" s="392"/>
      <c r="CO81" s="392"/>
      <c r="CP81" s="392"/>
      <c r="CQ81" s="392"/>
      <c r="CR81" s="392"/>
      <c r="CS81" s="392"/>
      <c r="CT81" s="392"/>
      <c r="CU81" s="392"/>
      <c r="CV81" s="392"/>
      <c r="CW81" s="392"/>
      <c r="CX81" s="392"/>
      <c r="CY81" s="392"/>
      <c r="CZ81" s="392"/>
      <c r="DA81" s="392"/>
      <c r="DB81" s="392"/>
      <c r="DC81" s="392"/>
    </row>
    <row r="82" spans="1:107" s="337" customFormat="1" ht="24">
      <c r="A82" s="37"/>
      <c r="B82" s="604" t="s">
        <v>23</v>
      </c>
      <c r="C82" s="605" t="s">
        <v>181</v>
      </c>
      <c r="D82" s="606" t="s">
        <v>97</v>
      </c>
      <c r="E82" s="607">
        <v>594.25379854162532</v>
      </c>
      <c r="F82" s="605" t="s">
        <v>24</v>
      </c>
      <c r="G82" s="608">
        <v>0.14364620675929671</v>
      </c>
      <c r="H82" s="605" t="s">
        <v>66</v>
      </c>
      <c r="I82" s="609">
        <v>0.98097503900836736</v>
      </c>
      <c r="J82" s="610" t="s">
        <v>25</v>
      </c>
      <c r="K82" s="610" t="s">
        <v>1052</v>
      </c>
      <c r="L82" s="610" t="s">
        <v>99</v>
      </c>
      <c r="M82" s="610" t="s">
        <v>91</v>
      </c>
      <c r="N82" s="611">
        <v>15.759194586979897</v>
      </c>
      <c r="O82" s="611">
        <v>23.446721062466299</v>
      </c>
      <c r="P82" s="611">
        <v>15.759194586979897</v>
      </c>
      <c r="Q82" s="611">
        <v>20.097189482113972</v>
      </c>
      <c r="R82" s="37"/>
      <c r="S82" s="605" t="s">
        <v>44</v>
      </c>
      <c r="T82" s="610" t="s">
        <v>63</v>
      </c>
      <c r="U82" s="605" t="s">
        <v>69</v>
      </c>
      <c r="V82" s="605" t="s">
        <v>69</v>
      </c>
      <c r="W82" s="605" t="s">
        <v>76</v>
      </c>
      <c r="X82" s="37"/>
      <c r="Y82" s="37"/>
      <c r="Z82" s="605" t="s">
        <v>78</v>
      </c>
      <c r="AA82" s="605" t="s">
        <v>78</v>
      </c>
      <c r="AB82" s="37"/>
      <c r="AC82" s="681">
        <v>7.2356164383561641</v>
      </c>
      <c r="AD82" s="605" t="s">
        <v>72</v>
      </c>
      <c r="AE82" s="610" t="s">
        <v>73</v>
      </c>
      <c r="AF82" s="822"/>
      <c r="AG82" s="822"/>
      <c r="AH82" s="822"/>
      <c r="AI82" s="822"/>
      <c r="AJ82" s="822"/>
      <c r="AK82" s="822"/>
      <c r="AL82" s="822"/>
      <c r="AM82" s="822"/>
      <c r="AN82" s="822"/>
      <c r="AO82" s="822"/>
      <c r="AP82" s="822"/>
      <c r="AQ82" s="822"/>
      <c r="AR82" s="822"/>
      <c r="AS82" s="822"/>
      <c r="AT82" s="822"/>
      <c r="AU82" s="822"/>
      <c r="AV82" s="822"/>
      <c r="AW82" s="822"/>
      <c r="AX82" s="822"/>
      <c r="AY82" s="822"/>
      <c r="AZ82" s="822"/>
      <c r="BA82" s="822"/>
      <c r="BB82" s="822"/>
      <c r="BC82" s="822"/>
      <c r="BD82" s="822"/>
      <c r="BE82" s="822"/>
      <c r="BF82" s="822"/>
      <c r="BG82" s="822"/>
      <c r="BH82" s="822"/>
      <c r="BI82" s="822"/>
      <c r="BJ82" s="822"/>
      <c r="BK82" s="822"/>
      <c r="BL82" s="822"/>
      <c r="BM82" s="822"/>
      <c r="BN82" s="822"/>
      <c r="BO82" s="822"/>
      <c r="BP82" s="822"/>
      <c r="BQ82" s="822"/>
      <c r="BR82" s="822"/>
      <c r="BS82" s="822"/>
      <c r="BT82" s="822"/>
      <c r="BU82" s="822"/>
      <c r="BV82" s="822"/>
      <c r="BW82" s="822"/>
      <c r="BX82" s="822"/>
      <c r="BY82" s="822"/>
      <c r="BZ82" s="822"/>
      <c r="CA82" s="822"/>
      <c r="CB82" s="822"/>
      <c r="CC82" s="822"/>
      <c r="CD82" s="822"/>
      <c r="CE82" s="822"/>
      <c r="CF82" s="822"/>
      <c r="CG82" s="822"/>
      <c r="CH82" s="822"/>
      <c r="CI82" s="822"/>
      <c r="CJ82" s="392"/>
      <c r="CK82" s="392"/>
      <c r="CL82" s="392"/>
      <c r="CM82" s="392"/>
      <c r="CN82" s="392"/>
      <c r="CO82" s="392"/>
      <c r="CP82" s="392"/>
      <c r="CQ82" s="392"/>
      <c r="CR82" s="392"/>
      <c r="CS82" s="392"/>
      <c r="CT82" s="392"/>
      <c r="CU82" s="392"/>
      <c r="CV82" s="392"/>
      <c r="CW82" s="392"/>
      <c r="CX82" s="392"/>
      <c r="CY82" s="392"/>
      <c r="CZ82" s="392"/>
      <c r="DA82" s="392"/>
      <c r="DB82" s="392"/>
      <c r="DC82" s="392"/>
    </row>
    <row r="83" spans="1:107" s="337" customFormat="1" ht="24">
      <c r="A83" s="37"/>
      <c r="B83" s="604" t="s">
        <v>23</v>
      </c>
      <c r="C83" s="605" t="s">
        <v>181</v>
      </c>
      <c r="D83" s="606" t="s">
        <v>97</v>
      </c>
      <c r="E83" s="607">
        <v>594.25379854162532</v>
      </c>
      <c r="F83" s="605" t="s">
        <v>24</v>
      </c>
      <c r="G83" s="608">
        <v>0.14364620675929671</v>
      </c>
      <c r="H83" s="605" t="s">
        <v>66</v>
      </c>
      <c r="I83" s="609">
        <v>0.98097503900836736</v>
      </c>
      <c r="J83" s="610" t="s">
        <v>25</v>
      </c>
      <c r="K83" s="610" t="s">
        <v>1052</v>
      </c>
      <c r="L83" s="610" t="s">
        <v>99</v>
      </c>
      <c r="M83" s="610" t="s">
        <v>92</v>
      </c>
      <c r="N83" s="611">
        <v>15.759194586979897</v>
      </c>
      <c r="O83" s="611" t="s">
        <v>870</v>
      </c>
      <c r="P83" s="611">
        <v>15.759194586979897</v>
      </c>
      <c r="Q83" s="611" t="s">
        <v>870</v>
      </c>
      <c r="R83" s="37"/>
      <c r="S83" s="605" t="s">
        <v>44</v>
      </c>
      <c r="T83" s="610" t="s">
        <v>63</v>
      </c>
      <c r="U83" s="610" t="s">
        <v>870</v>
      </c>
      <c r="V83" s="610" t="s">
        <v>870</v>
      </c>
      <c r="W83" s="610" t="s">
        <v>76</v>
      </c>
      <c r="X83" s="37"/>
      <c r="Y83" s="37"/>
      <c r="Z83" s="605" t="s">
        <v>78</v>
      </c>
      <c r="AA83" s="605" t="s">
        <v>78</v>
      </c>
      <c r="AB83" s="37"/>
      <c r="AC83" s="681">
        <v>7.2356164383561641</v>
      </c>
      <c r="AD83" s="605" t="s">
        <v>72</v>
      </c>
      <c r="AE83" s="610" t="s">
        <v>73</v>
      </c>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822"/>
      <c r="BK83" s="822"/>
      <c r="BL83" s="822"/>
      <c r="BM83" s="822"/>
      <c r="BN83" s="822"/>
      <c r="BO83" s="822"/>
      <c r="BP83" s="822"/>
      <c r="BQ83" s="822"/>
      <c r="BR83" s="822"/>
      <c r="BS83" s="822"/>
      <c r="BT83" s="822"/>
      <c r="BU83" s="822"/>
      <c r="BV83" s="822"/>
      <c r="BW83" s="822"/>
      <c r="BX83" s="822"/>
      <c r="BY83" s="822"/>
      <c r="BZ83" s="822"/>
      <c r="CA83" s="822"/>
      <c r="CB83" s="822"/>
      <c r="CC83" s="822"/>
      <c r="CD83" s="822"/>
      <c r="CE83" s="822"/>
      <c r="CF83" s="822"/>
      <c r="CG83" s="822"/>
      <c r="CH83" s="822"/>
      <c r="CI83" s="822"/>
      <c r="CJ83" s="392"/>
      <c r="CK83" s="392"/>
      <c r="CL83" s="392"/>
      <c r="CM83" s="392"/>
      <c r="CN83" s="392"/>
      <c r="CO83" s="392"/>
      <c r="CP83" s="392"/>
      <c r="CQ83" s="392"/>
      <c r="CR83" s="392"/>
      <c r="CS83" s="392"/>
      <c r="CT83" s="392"/>
      <c r="CU83" s="392"/>
      <c r="CV83" s="392"/>
      <c r="CW83" s="392"/>
      <c r="CX83" s="392"/>
      <c r="CY83" s="392"/>
      <c r="CZ83" s="392"/>
      <c r="DA83" s="392"/>
      <c r="DB83" s="392"/>
      <c r="DC83" s="392"/>
    </row>
    <row r="84" spans="1:107" s="337" customFormat="1" ht="24">
      <c r="A84" s="37"/>
      <c r="B84" s="604" t="s">
        <v>23</v>
      </c>
      <c r="C84" s="605" t="s">
        <v>181</v>
      </c>
      <c r="D84" s="606" t="s">
        <v>97</v>
      </c>
      <c r="E84" s="607">
        <v>594.25379854162532</v>
      </c>
      <c r="F84" s="605" t="s">
        <v>24</v>
      </c>
      <c r="G84" s="608">
        <v>0.14364620675929671</v>
      </c>
      <c r="H84" s="605" t="s">
        <v>66</v>
      </c>
      <c r="I84" s="609">
        <v>0.98097503900836736</v>
      </c>
      <c r="J84" s="610" t="s">
        <v>25</v>
      </c>
      <c r="K84" s="610" t="s">
        <v>1052</v>
      </c>
      <c r="L84" s="612" t="s">
        <v>99</v>
      </c>
      <c r="M84" s="612" t="s">
        <v>93</v>
      </c>
      <c r="N84" s="611">
        <v>15.759194586979897</v>
      </c>
      <c r="O84" s="613">
        <v>26.796252642818629</v>
      </c>
      <c r="P84" s="611">
        <v>15.759194586979897</v>
      </c>
      <c r="Q84" s="611">
        <v>23.446721062466302</v>
      </c>
      <c r="R84" s="37"/>
      <c r="S84" s="605" t="s">
        <v>44</v>
      </c>
      <c r="T84" s="610" t="s">
        <v>63</v>
      </c>
      <c r="U84" s="610" t="s">
        <v>44</v>
      </c>
      <c r="V84" s="610" t="s">
        <v>75</v>
      </c>
      <c r="W84" s="605" t="s">
        <v>76</v>
      </c>
      <c r="X84" s="37"/>
      <c r="Y84" s="37"/>
      <c r="Z84" s="605" t="s">
        <v>78</v>
      </c>
      <c r="AA84" s="605" t="s">
        <v>78</v>
      </c>
      <c r="AB84" s="37"/>
      <c r="AC84" s="681">
        <v>7.2356164383561641</v>
      </c>
      <c r="AD84" s="605" t="s">
        <v>72</v>
      </c>
      <c r="AE84" s="610" t="s">
        <v>73</v>
      </c>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822"/>
      <c r="BK84" s="822"/>
      <c r="BL84" s="822"/>
      <c r="BM84" s="822"/>
      <c r="BN84" s="822"/>
      <c r="BO84" s="822"/>
      <c r="BP84" s="822"/>
      <c r="BQ84" s="822"/>
      <c r="BR84" s="822"/>
      <c r="BS84" s="822"/>
      <c r="BT84" s="822"/>
      <c r="BU84" s="822"/>
      <c r="BV84" s="822"/>
      <c r="BW84" s="822"/>
      <c r="BX84" s="822"/>
      <c r="BY84" s="822"/>
      <c r="BZ84" s="822"/>
      <c r="CA84" s="822"/>
      <c r="CB84" s="822"/>
      <c r="CC84" s="822"/>
      <c r="CD84" s="822"/>
      <c r="CE84" s="822"/>
      <c r="CF84" s="822"/>
      <c r="CG84" s="822"/>
      <c r="CH84" s="822"/>
      <c r="CI84" s="822"/>
      <c r="CJ84" s="392"/>
      <c r="CK84" s="392"/>
      <c r="CL84" s="392"/>
      <c r="CM84" s="392"/>
      <c r="CN84" s="392"/>
      <c r="CO84" s="392"/>
      <c r="CP84" s="392"/>
      <c r="CQ84" s="392"/>
      <c r="CR84" s="392"/>
      <c r="CS84" s="392"/>
      <c r="CT84" s="392"/>
      <c r="CU84" s="392"/>
      <c r="CV84" s="392"/>
      <c r="CW84" s="392"/>
      <c r="CX84" s="392"/>
      <c r="CY84" s="392"/>
      <c r="CZ84" s="392"/>
      <c r="DA84" s="392"/>
      <c r="DB84" s="392"/>
      <c r="DC84" s="392"/>
    </row>
    <row r="85" spans="1:107" s="337" customFormat="1" ht="24">
      <c r="A85" s="37"/>
      <c r="B85" s="604" t="s">
        <v>23</v>
      </c>
      <c r="C85" s="605" t="s">
        <v>181</v>
      </c>
      <c r="D85" s="606" t="s">
        <v>97</v>
      </c>
      <c r="E85" s="607">
        <v>594.25379854162532</v>
      </c>
      <c r="F85" s="605" t="s">
        <v>26</v>
      </c>
      <c r="G85" s="608">
        <v>0.63115519641773232</v>
      </c>
      <c r="H85" s="605" t="s">
        <v>66</v>
      </c>
      <c r="I85" s="609">
        <v>1</v>
      </c>
      <c r="J85" s="610" t="s">
        <v>25</v>
      </c>
      <c r="K85" s="610" t="s">
        <v>1052</v>
      </c>
      <c r="L85" s="610" t="s">
        <v>99</v>
      </c>
      <c r="M85" s="610" t="s">
        <v>88</v>
      </c>
      <c r="N85" s="611">
        <v>250.04424862701541</v>
      </c>
      <c r="O85" s="611">
        <v>66.011681637532064</v>
      </c>
      <c r="P85" s="611">
        <v>237.54203619566462</v>
      </c>
      <c r="Q85" s="611">
        <v>51.009026719911134</v>
      </c>
      <c r="R85" s="37"/>
      <c r="S85" s="605" t="s">
        <v>44</v>
      </c>
      <c r="T85" s="610" t="s">
        <v>63</v>
      </c>
      <c r="U85" s="605" t="s">
        <v>69</v>
      </c>
      <c r="V85" s="605" t="s">
        <v>69</v>
      </c>
      <c r="W85" s="605" t="s">
        <v>76</v>
      </c>
      <c r="X85" s="37"/>
      <c r="Y85" s="37"/>
      <c r="Z85" s="605" t="s">
        <v>78</v>
      </c>
      <c r="AA85" s="605" t="s">
        <v>78</v>
      </c>
      <c r="AB85" s="37"/>
      <c r="AC85" s="681">
        <v>7.2356164383561641</v>
      </c>
      <c r="AD85" s="605" t="s">
        <v>72</v>
      </c>
      <c r="AE85" s="610" t="s">
        <v>73</v>
      </c>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822"/>
      <c r="BK85" s="822"/>
      <c r="BL85" s="822"/>
      <c r="BM85" s="822"/>
      <c r="BN85" s="822"/>
      <c r="BO85" s="822"/>
      <c r="BP85" s="822"/>
      <c r="BQ85" s="822"/>
      <c r="BR85" s="822"/>
      <c r="BS85" s="822"/>
      <c r="BT85" s="822"/>
      <c r="BU85" s="822"/>
      <c r="BV85" s="822"/>
      <c r="BW85" s="822"/>
      <c r="BX85" s="822"/>
      <c r="BY85" s="822"/>
      <c r="BZ85" s="822"/>
      <c r="CA85" s="822"/>
      <c r="CB85" s="822"/>
      <c r="CC85" s="822"/>
      <c r="CD85" s="822"/>
      <c r="CE85" s="822"/>
      <c r="CF85" s="822"/>
      <c r="CG85" s="822"/>
      <c r="CH85" s="822"/>
      <c r="CI85" s="822"/>
      <c r="CJ85" s="392"/>
      <c r="CK85" s="392"/>
      <c r="CL85" s="392"/>
      <c r="CM85" s="392"/>
      <c r="CN85" s="392"/>
      <c r="CO85" s="392"/>
      <c r="CP85" s="392"/>
      <c r="CQ85" s="392"/>
      <c r="CR85" s="392"/>
      <c r="CS85" s="392"/>
      <c r="CT85" s="392"/>
      <c r="CU85" s="392"/>
      <c r="CV85" s="392"/>
      <c r="CW85" s="392"/>
      <c r="CX85" s="392"/>
      <c r="CY85" s="392"/>
      <c r="CZ85" s="392"/>
      <c r="DA85" s="392"/>
      <c r="DB85" s="392"/>
      <c r="DC85" s="392"/>
    </row>
    <row r="86" spans="1:107" s="337" customFormat="1" ht="24">
      <c r="A86" s="37"/>
      <c r="B86" s="604" t="s">
        <v>23</v>
      </c>
      <c r="C86" s="605" t="s">
        <v>181</v>
      </c>
      <c r="D86" s="606" t="s">
        <v>97</v>
      </c>
      <c r="E86" s="607">
        <v>594.25379854162532</v>
      </c>
      <c r="F86" s="605" t="s">
        <v>26</v>
      </c>
      <c r="G86" s="608">
        <v>0.63115519641773232</v>
      </c>
      <c r="H86" s="605" t="s">
        <v>66</v>
      </c>
      <c r="I86" s="609">
        <v>1</v>
      </c>
      <c r="J86" s="610" t="s">
        <v>25</v>
      </c>
      <c r="K86" s="610" t="s">
        <v>1052</v>
      </c>
      <c r="L86" s="610" t="s">
        <v>99</v>
      </c>
      <c r="M86" s="610" t="s">
        <v>90</v>
      </c>
      <c r="N86" s="611">
        <v>250.04424862701541</v>
      </c>
      <c r="O86" s="611">
        <v>81.014336555152994</v>
      </c>
      <c r="P86" s="611">
        <v>237.54203619566462</v>
      </c>
      <c r="Q86" s="611">
        <v>66.011681637532078</v>
      </c>
      <c r="R86" s="37"/>
      <c r="S86" s="605" t="s">
        <v>44</v>
      </c>
      <c r="T86" s="610" t="s">
        <v>63</v>
      </c>
      <c r="U86" s="605" t="s">
        <v>69</v>
      </c>
      <c r="V86" s="605" t="s">
        <v>69</v>
      </c>
      <c r="W86" s="605" t="s">
        <v>76</v>
      </c>
      <c r="X86" s="37"/>
      <c r="Y86" s="37"/>
      <c r="Z86" s="605" t="s">
        <v>78</v>
      </c>
      <c r="AA86" s="605" t="s">
        <v>78</v>
      </c>
      <c r="AB86" s="37"/>
      <c r="AC86" s="681">
        <v>7.2356164383561641</v>
      </c>
      <c r="AD86" s="605" t="s">
        <v>72</v>
      </c>
      <c r="AE86" s="610" t="s">
        <v>73</v>
      </c>
      <c r="AF86" s="822"/>
      <c r="AG86" s="822"/>
      <c r="AH86" s="822"/>
      <c r="AI86" s="822"/>
      <c r="AJ86" s="822"/>
      <c r="AK86" s="822"/>
      <c r="AL86" s="822"/>
      <c r="AM86" s="822"/>
      <c r="AN86" s="822"/>
      <c r="AO86" s="822"/>
      <c r="AP86" s="822"/>
      <c r="AQ86" s="822"/>
      <c r="AR86" s="822"/>
      <c r="AS86" s="822"/>
      <c r="AT86" s="822"/>
      <c r="AU86" s="822"/>
      <c r="AV86" s="822"/>
      <c r="AW86" s="822"/>
      <c r="AX86" s="822"/>
      <c r="AY86" s="822"/>
      <c r="AZ86" s="822"/>
      <c r="BA86" s="822"/>
      <c r="BB86" s="822"/>
      <c r="BC86" s="822"/>
      <c r="BD86" s="822"/>
      <c r="BE86" s="822"/>
      <c r="BF86" s="822"/>
      <c r="BG86" s="822"/>
      <c r="BH86" s="822"/>
      <c r="BI86" s="822"/>
      <c r="BJ86" s="822"/>
      <c r="BK86" s="822"/>
      <c r="BL86" s="822"/>
      <c r="BM86" s="822"/>
      <c r="BN86" s="822"/>
      <c r="BO86" s="822"/>
      <c r="BP86" s="822"/>
      <c r="BQ86" s="822"/>
      <c r="BR86" s="822"/>
      <c r="BS86" s="822"/>
      <c r="BT86" s="822"/>
      <c r="BU86" s="822"/>
      <c r="BV86" s="822"/>
      <c r="BW86" s="822"/>
      <c r="BX86" s="822"/>
      <c r="BY86" s="822"/>
      <c r="BZ86" s="822"/>
      <c r="CA86" s="822"/>
      <c r="CB86" s="822"/>
      <c r="CC86" s="822"/>
      <c r="CD86" s="822"/>
      <c r="CE86" s="822"/>
      <c r="CF86" s="822"/>
      <c r="CG86" s="822"/>
      <c r="CH86" s="822"/>
      <c r="CI86" s="822"/>
      <c r="CJ86" s="392"/>
      <c r="CK86" s="392"/>
      <c r="CL86" s="392"/>
      <c r="CM86" s="392"/>
      <c r="CN86" s="392"/>
      <c r="CO86" s="392"/>
      <c r="CP86" s="392"/>
      <c r="CQ86" s="392"/>
      <c r="CR86" s="392"/>
      <c r="CS86" s="392"/>
      <c r="CT86" s="392"/>
      <c r="CU86" s="392"/>
      <c r="CV86" s="392"/>
      <c r="CW86" s="392"/>
      <c r="CX86" s="392"/>
      <c r="CY86" s="392"/>
      <c r="CZ86" s="392"/>
      <c r="DA86" s="392"/>
      <c r="DB86" s="392"/>
      <c r="DC86" s="392"/>
    </row>
    <row r="87" spans="1:107" s="337" customFormat="1" ht="24">
      <c r="A87" s="37"/>
      <c r="B87" s="604" t="s">
        <v>23</v>
      </c>
      <c r="C87" s="605" t="s">
        <v>181</v>
      </c>
      <c r="D87" s="606" t="s">
        <v>97</v>
      </c>
      <c r="E87" s="607">
        <v>594.25379854162532</v>
      </c>
      <c r="F87" s="605" t="s">
        <v>26</v>
      </c>
      <c r="G87" s="608">
        <v>0.63115519641773232</v>
      </c>
      <c r="H87" s="605" t="s">
        <v>66</v>
      </c>
      <c r="I87" s="609">
        <v>1</v>
      </c>
      <c r="J87" s="610" t="s">
        <v>25</v>
      </c>
      <c r="K87" s="610" t="s">
        <v>1052</v>
      </c>
      <c r="L87" s="610" t="s">
        <v>99</v>
      </c>
      <c r="M87" s="610" t="s">
        <v>91</v>
      </c>
      <c r="N87" s="611">
        <v>250.04424862701541</v>
      </c>
      <c r="O87" s="611">
        <v>105.01858442334647</v>
      </c>
      <c r="P87" s="611">
        <v>237.54203619566462</v>
      </c>
      <c r="Q87" s="611">
        <v>90.015929505725538</v>
      </c>
      <c r="R87" s="37"/>
      <c r="S87" s="605" t="s">
        <v>44</v>
      </c>
      <c r="T87" s="610" t="s">
        <v>63</v>
      </c>
      <c r="U87" s="605" t="s">
        <v>69</v>
      </c>
      <c r="V87" s="605" t="s">
        <v>69</v>
      </c>
      <c r="W87" s="605" t="s">
        <v>76</v>
      </c>
      <c r="X87" s="37"/>
      <c r="Y87" s="37"/>
      <c r="Z87" s="605" t="s">
        <v>78</v>
      </c>
      <c r="AA87" s="605" t="s">
        <v>78</v>
      </c>
      <c r="AB87" s="37"/>
      <c r="AC87" s="681">
        <v>7.2356164383561641</v>
      </c>
      <c r="AD87" s="605" t="s">
        <v>72</v>
      </c>
      <c r="AE87" s="610" t="s">
        <v>73</v>
      </c>
      <c r="AF87" s="822"/>
      <c r="AG87" s="822"/>
      <c r="AH87" s="822"/>
      <c r="AI87" s="822"/>
      <c r="AJ87" s="822"/>
      <c r="AK87" s="822"/>
      <c r="AL87" s="822"/>
      <c r="AM87" s="822"/>
      <c r="AN87" s="822"/>
      <c r="AO87" s="822"/>
      <c r="AP87" s="822"/>
      <c r="AQ87" s="822"/>
      <c r="AR87" s="822"/>
      <c r="AS87" s="822"/>
      <c r="AT87" s="822"/>
      <c r="AU87" s="822"/>
      <c r="AV87" s="822"/>
      <c r="AW87" s="822"/>
      <c r="AX87" s="822"/>
      <c r="AY87" s="822"/>
      <c r="AZ87" s="822"/>
      <c r="BA87" s="822"/>
      <c r="BB87" s="822"/>
      <c r="BC87" s="822"/>
      <c r="BD87" s="822"/>
      <c r="BE87" s="822"/>
      <c r="BF87" s="822"/>
      <c r="BG87" s="822"/>
      <c r="BH87" s="822"/>
      <c r="BI87" s="822"/>
      <c r="BJ87" s="822"/>
      <c r="BK87" s="822"/>
      <c r="BL87" s="822"/>
      <c r="BM87" s="822"/>
      <c r="BN87" s="822"/>
      <c r="BO87" s="822"/>
      <c r="BP87" s="822"/>
      <c r="BQ87" s="822"/>
      <c r="BR87" s="822"/>
      <c r="BS87" s="822"/>
      <c r="BT87" s="822"/>
      <c r="BU87" s="822"/>
      <c r="BV87" s="822"/>
      <c r="BW87" s="822"/>
      <c r="BX87" s="822"/>
      <c r="BY87" s="822"/>
      <c r="BZ87" s="822"/>
      <c r="CA87" s="822"/>
      <c r="CB87" s="822"/>
      <c r="CC87" s="822"/>
      <c r="CD87" s="822"/>
      <c r="CE87" s="822"/>
      <c r="CF87" s="822"/>
      <c r="CG87" s="822"/>
      <c r="CH87" s="822"/>
      <c r="CI87" s="822"/>
      <c r="CJ87" s="392"/>
      <c r="CK87" s="392"/>
      <c r="CL87" s="392"/>
      <c r="CM87" s="392"/>
      <c r="CN87" s="392"/>
      <c r="CO87" s="392"/>
      <c r="CP87" s="392"/>
      <c r="CQ87" s="392"/>
      <c r="CR87" s="392"/>
      <c r="CS87" s="392"/>
      <c r="CT87" s="392"/>
      <c r="CU87" s="392"/>
      <c r="CV87" s="392"/>
      <c r="CW87" s="392"/>
      <c r="CX87" s="392"/>
      <c r="CY87" s="392"/>
      <c r="CZ87" s="392"/>
      <c r="DA87" s="392"/>
      <c r="DB87" s="392"/>
      <c r="DC87" s="392"/>
    </row>
    <row r="88" spans="1:107" s="337" customFormat="1" ht="24">
      <c r="A88" s="37"/>
      <c r="B88" s="604" t="s">
        <v>23</v>
      </c>
      <c r="C88" s="605" t="s">
        <v>181</v>
      </c>
      <c r="D88" s="606" t="s">
        <v>97</v>
      </c>
      <c r="E88" s="607">
        <v>594.25379854162532</v>
      </c>
      <c r="F88" s="605" t="s">
        <v>26</v>
      </c>
      <c r="G88" s="608">
        <v>0.63115519641773232</v>
      </c>
      <c r="H88" s="605" t="s">
        <v>66</v>
      </c>
      <c r="I88" s="609">
        <v>1</v>
      </c>
      <c r="J88" s="610" t="s">
        <v>25</v>
      </c>
      <c r="K88" s="610" t="s">
        <v>1052</v>
      </c>
      <c r="L88" s="610" t="s">
        <v>99</v>
      </c>
      <c r="M88" s="610" t="s">
        <v>92</v>
      </c>
      <c r="N88" s="611">
        <v>250.04424862701541</v>
      </c>
      <c r="O88" s="611" t="s">
        <v>870</v>
      </c>
      <c r="P88" s="611">
        <v>237.54203619566462</v>
      </c>
      <c r="Q88" s="611" t="s">
        <v>870</v>
      </c>
      <c r="R88" s="37"/>
      <c r="S88" s="605" t="s">
        <v>44</v>
      </c>
      <c r="T88" s="610" t="s">
        <v>63</v>
      </c>
      <c r="U88" s="610" t="s">
        <v>870</v>
      </c>
      <c r="V88" s="610" t="s">
        <v>870</v>
      </c>
      <c r="W88" s="610" t="s">
        <v>76</v>
      </c>
      <c r="X88" s="37"/>
      <c r="Y88" s="37"/>
      <c r="Z88" s="605" t="s">
        <v>78</v>
      </c>
      <c r="AA88" s="605" t="s">
        <v>78</v>
      </c>
      <c r="AB88" s="37"/>
      <c r="AC88" s="681">
        <v>7.2356164383561641</v>
      </c>
      <c r="AD88" s="605" t="s">
        <v>72</v>
      </c>
      <c r="AE88" s="610" t="s">
        <v>73</v>
      </c>
      <c r="AF88" s="822"/>
      <c r="AG88" s="822"/>
      <c r="AH88" s="822"/>
      <c r="AI88" s="822"/>
      <c r="AJ88" s="822"/>
      <c r="AK88" s="822"/>
      <c r="AL88" s="822"/>
      <c r="AM88" s="822"/>
      <c r="AN88" s="822"/>
      <c r="AO88" s="822"/>
      <c r="AP88" s="822"/>
      <c r="AQ88" s="822"/>
      <c r="AR88" s="822"/>
      <c r="AS88" s="822"/>
      <c r="AT88" s="822"/>
      <c r="AU88" s="822"/>
      <c r="AV88" s="822"/>
      <c r="AW88" s="822"/>
      <c r="AX88" s="822"/>
      <c r="AY88" s="822"/>
      <c r="AZ88" s="822"/>
      <c r="BA88" s="822"/>
      <c r="BB88" s="822"/>
      <c r="BC88" s="822"/>
      <c r="BD88" s="822"/>
      <c r="BE88" s="822"/>
      <c r="BF88" s="822"/>
      <c r="BG88" s="822"/>
      <c r="BH88" s="822"/>
      <c r="BI88" s="822"/>
      <c r="BJ88" s="822"/>
      <c r="BK88" s="822"/>
      <c r="BL88" s="822"/>
      <c r="BM88" s="822"/>
      <c r="BN88" s="822"/>
      <c r="BO88" s="822"/>
      <c r="BP88" s="822"/>
      <c r="BQ88" s="822"/>
      <c r="BR88" s="822"/>
      <c r="BS88" s="822"/>
      <c r="BT88" s="822"/>
      <c r="BU88" s="822"/>
      <c r="BV88" s="822"/>
      <c r="BW88" s="822"/>
      <c r="BX88" s="822"/>
      <c r="BY88" s="822"/>
      <c r="BZ88" s="822"/>
      <c r="CA88" s="822"/>
      <c r="CB88" s="822"/>
      <c r="CC88" s="822"/>
      <c r="CD88" s="822"/>
      <c r="CE88" s="822"/>
      <c r="CF88" s="822"/>
      <c r="CG88" s="822"/>
      <c r="CH88" s="822"/>
      <c r="CI88" s="822"/>
      <c r="CJ88" s="392"/>
      <c r="CK88" s="392"/>
      <c r="CL88" s="392"/>
      <c r="CM88" s="392"/>
      <c r="CN88" s="392"/>
      <c r="CO88" s="392"/>
      <c r="CP88" s="392"/>
      <c r="CQ88" s="392"/>
      <c r="CR88" s="392"/>
      <c r="CS88" s="392"/>
      <c r="CT88" s="392"/>
      <c r="CU88" s="392"/>
      <c r="CV88" s="392"/>
      <c r="CW88" s="392"/>
      <c r="CX88" s="392"/>
      <c r="CY88" s="392"/>
      <c r="CZ88" s="392"/>
      <c r="DA88" s="392"/>
      <c r="DB88" s="392"/>
      <c r="DC88" s="392"/>
    </row>
    <row r="89" spans="1:107" s="337" customFormat="1" ht="24">
      <c r="A89" s="37"/>
      <c r="B89" s="604" t="s">
        <v>23</v>
      </c>
      <c r="C89" s="605" t="s">
        <v>181</v>
      </c>
      <c r="D89" s="606" t="s">
        <v>97</v>
      </c>
      <c r="E89" s="607">
        <v>594.25379854162532</v>
      </c>
      <c r="F89" s="605" t="s">
        <v>26</v>
      </c>
      <c r="G89" s="608">
        <v>0.63115519641773232</v>
      </c>
      <c r="H89" s="605" t="s">
        <v>66</v>
      </c>
      <c r="I89" s="609">
        <v>1</v>
      </c>
      <c r="J89" s="610" t="s">
        <v>25</v>
      </c>
      <c r="K89" s="610" t="s">
        <v>1052</v>
      </c>
      <c r="L89" s="612" t="s">
        <v>99</v>
      </c>
      <c r="M89" s="612" t="s">
        <v>93</v>
      </c>
      <c r="N89" s="611">
        <v>250.04424862701541</v>
      </c>
      <c r="O89" s="613">
        <v>120.0212393409674</v>
      </c>
      <c r="P89" s="611">
        <v>237.54203619566462</v>
      </c>
      <c r="Q89" s="611">
        <v>105.01858442334647</v>
      </c>
      <c r="R89" s="37"/>
      <c r="S89" s="605" t="s">
        <v>44</v>
      </c>
      <c r="T89" s="610" t="s">
        <v>63</v>
      </c>
      <c r="U89" s="610" t="s">
        <v>44</v>
      </c>
      <c r="V89" s="610" t="s">
        <v>75</v>
      </c>
      <c r="W89" s="605" t="s">
        <v>76</v>
      </c>
      <c r="X89" s="37"/>
      <c r="Y89" s="37"/>
      <c r="Z89" s="605" t="s">
        <v>78</v>
      </c>
      <c r="AA89" s="605" t="s">
        <v>78</v>
      </c>
      <c r="AB89" s="37"/>
      <c r="AC89" s="681">
        <v>7.2356164383561641</v>
      </c>
      <c r="AD89" s="605" t="s">
        <v>72</v>
      </c>
      <c r="AE89" s="610" t="s">
        <v>73</v>
      </c>
      <c r="AF89" s="822"/>
      <c r="AG89" s="822"/>
      <c r="AH89" s="822"/>
      <c r="AI89" s="822"/>
      <c r="AJ89" s="822"/>
      <c r="AK89" s="822"/>
      <c r="AL89" s="822"/>
      <c r="AM89" s="822"/>
      <c r="AN89" s="822"/>
      <c r="AO89" s="822"/>
      <c r="AP89" s="822"/>
      <c r="AQ89" s="822"/>
      <c r="AR89" s="822"/>
      <c r="AS89" s="822"/>
      <c r="AT89" s="822"/>
      <c r="AU89" s="822"/>
      <c r="AV89" s="822"/>
      <c r="AW89" s="822"/>
      <c r="AX89" s="822"/>
      <c r="AY89" s="822"/>
      <c r="AZ89" s="822"/>
      <c r="BA89" s="822"/>
      <c r="BB89" s="822"/>
      <c r="BC89" s="822"/>
      <c r="BD89" s="822"/>
      <c r="BE89" s="822"/>
      <c r="BF89" s="822"/>
      <c r="BG89" s="822"/>
      <c r="BH89" s="822"/>
      <c r="BI89" s="822"/>
      <c r="BJ89" s="822"/>
      <c r="BK89" s="822"/>
      <c r="BL89" s="822"/>
      <c r="BM89" s="822"/>
      <c r="BN89" s="822"/>
      <c r="BO89" s="822"/>
      <c r="BP89" s="822"/>
      <c r="BQ89" s="822"/>
      <c r="BR89" s="822"/>
      <c r="BS89" s="822"/>
      <c r="BT89" s="822"/>
      <c r="BU89" s="822"/>
      <c r="BV89" s="822"/>
      <c r="BW89" s="822"/>
      <c r="BX89" s="822"/>
      <c r="BY89" s="822"/>
      <c r="BZ89" s="822"/>
      <c r="CA89" s="822"/>
      <c r="CB89" s="822"/>
      <c r="CC89" s="822"/>
      <c r="CD89" s="822"/>
      <c r="CE89" s="822"/>
      <c r="CF89" s="822"/>
      <c r="CG89" s="822"/>
      <c r="CH89" s="822"/>
      <c r="CI89" s="822"/>
      <c r="CJ89" s="392"/>
      <c r="CK89" s="392"/>
      <c r="CL89" s="392"/>
      <c r="CM89" s="392"/>
      <c r="CN89" s="392"/>
      <c r="CO89" s="392"/>
      <c r="CP89" s="392"/>
      <c r="CQ89" s="392"/>
      <c r="CR89" s="392"/>
      <c r="CS89" s="392"/>
      <c r="CT89" s="392"/>
      <c r="CU89" s="392"/>
      <c r="CV89" s="392"/>
      <c r="CW89" s="392"/>
      <c r="CX89" s="392"/>
      <c r="CY89" s="392"/>
      <c r="CZ89" s="392"/>
      <c r="DA89" s="392"/>
      <c r="DB89" s="392"/>
      <c r="DC89" s="392"/>
    </row>
    <row r="90" spans="1:107" s="337" customFormat="1" ht="24">
      <c r="A90" s="37"/>
      <c r="B90" s="616" t="s">
        <v>23</v>
      </c>
      <c r="C90" s="617" t="s">
        <v>181</v>
      </c>
      <c r="D90" s="618" t="s">
        <v>1147</v>
      </c>
      <c r="E90" s="619">
        <v>193.8338570350366</v>
      </c>
      <c r="F90" s="617" t="s">
        <v>846</v>
      </c>
      <c r="G90" s="620">
        <v>0.3709864630099019</v>
      </c>
      <c r="H90" s="617" t="s">
        <v>66</v>
      </c>
      <c r="I90" s="621">
        <v>0.99903230780260144</v>
      </c>
      <c r="J90" s="622" t="s">
        <v>25</v>
      </c>
      <c r="K90" s="622" t="s">
        <v>1012</v>
      </c>
      <c r="L90" s="623" t="s">
        <v>94</v>
      </c>
      <c r="M90" s="623" t="s">
        <v>88</v>
      </c>
      <c r="N90" s="624">
        <v>45.542833454230305</v>
      </c>
      <c r="O90" s="625">
        <v>12.643866495313048</v>
      </c>
      <c r="P90" s="624">
        <v>45.542833454230305</v>
      </c>
      <c r="Q90" s="624">
        <v>1.1494424086648221</v>
      </c>
      <c r="R90" s="37"/>
      <c r="S90" s="617" t="s">
        <v>44</v>
      </c>
      <c r="T90" s="622" t="s">
        <v>63</v>
      </c>
      <c r="U90" s="617" t="s">
        <v>69</v>
      </c>
      <c r="V90" s="617" t="s">
        <v>69</v>
      </c>
      <c r="W90" s="617" t="s">
        <v>76</v>
      </c>
      <c r="X90" s="37"/>
      <c r="Y90" s="37"/>
      <c r="Z90" s="617" t="s">
        <v>78</v>
      </c>
      <c r="AA90" s="617" t="s">
        <v>78</v>
      </c>
      <c r="AB90" s="37"/>
      <c r="AC90" s="812">
        <v>7.2356164383561641</v>
      </c>
      <c r="AD90" s="617" t="s">
        <v>72</v>
      </c>
      <c r="AE90" s="622" t="s">
        <v>73</v>
      </c>
      <c r="AF90" s="822"/>
      <c r="AG90" s="822"/>
      <c r="AH90" s="822"/>
      <c r="AI90" s="822"/>
      <c r="AJ90" s="822"/>
      <c r="AK90" s="822"/>
      <c r="AL90" s="822"/>
      <c r="AM90" s="822"/>
      <c r="AN90" s="822"/>
      <c r="AO90" s="822"/>
      <c r="AP90" s="822"/>
      <c r="AQ90" s="822"/>
      <c r="AR90" s="822"/>
      <c r="AS90" s="822"/>
      <c r="AT90" s="822"/>
      <c r="AU90" s="822"/>
      <c r="AV90" s="822"/>
      <c r="AW90" s="822"/>
      <c r="AX90" s="822"/>
      <c r="AY90" s="822"/>
      <c r="AZ90" s="822"/>
      <c r="BA90" s="822"/>
      <c r="BB90" s="822"/>
      <c r="BC90" s="822"/>
      <c r="BD90" s="822"/>
      <c r="BE90" s="822"/>
      <c r="BF90" s="822"/>
      <c r="BG90" s="822"/>
      <c r="BH90" s="822"/>
      <c r="BI90" s="822"/>
      <c r="BJ90" s="822"/>
      <c r="BK90" s="822"/>
      <c r="BL90" s="822"/>
      <c r="BM90" s="822"/>
      <c r="BN90" s="822"/>
      <c r="BO90" s="822"/>
      <c r="BP90" s="822"/>
      <c r="BQ90" s="822"/>
      <c r="BR90" s="822"/>
      <c r="BS90" s="822"/>
      <c r="BT90" s="822"/>
      <c r="BU90" s="822"/>
      <c r="BV90" s="822"/>
      <c r="BW90" s="822"/>
      <c r="BX90" s="822"/>
      <c r="BY90" s="822"/>
      <c r="BZ90" s="822"/>
      <c r="CA90" s="822"/>
      <c r="CB90" s="822"/>
      <c r="CC90" s="822"/>
      <c r="CD90" s="822"/>
      <c r="CE90" s="822"/>
      <c r="CF90" s="822"/>
      <c r="CG90" s="822"/>
      <c r="CH90" s="822"/>
      <c r="CI90" s="822"/>
      <c r="CJ90" s="392"/>
      <c r="CK90" s="392"/>
      <c r="CL90" s="392"/>
      <c r="CM90" s="392"/>
      <c r="CN90" s="392"/>
      <c r="CO90" s="392"/>
      <c r="CP90" s="392"/>
      <c r="CQ90" s="392"/>
      <c r="CR90" s="392"/>
      <c r="CS90" s="392"/>
      <c r="CT90" s="392"/>
      <c r="CU90" s="392"/>
      <c r="CV90" s="392"/>
      <c r="CW90" s="392"/>
      <c r="CX90" s="392"/>
      <c r="CY90" s="392"/>
      <c r="CZ90" s="392"/>
      <c r="DA90" s="392"/>
      <c r="DB90" s="392"/>
      <c r="DC90" s="392"/>
    </row>
    <row r="91" spans="1:107" s="337" customFormat="1" ht="24">
      <c r="A91" s="37"/>
      <c r="B91" s="616" t="s">
        <v>23</v>
      </c>
      <c r="C91" s="617" t="s">
        <v>181</v>
      </c>
      <c r="D91" s="618" t="s">
        <v>1147</v>
      </c>
      <c r="E91" s="619">
        <v>193.8338570350366</v>
      </c>
      <c r="F91" s="617" t="s">
        <v>846</v>
      </c>
      <c r="G91" s="620">
        <v>0.3709864630099019</v>
      </c>
      <c r="H91" s="617" t="s">
        <v>66</v>
      </c>
      <c r="I91" s="621">
        <v>0.99903230780260144</v>
      </c>
      <c r="J91" s="622" t="s">
        <v>25</v>
      </c>
      <c r="K91" s="622" t="s">
        <v>1012</v>
      </c>
      <c r="L91" s="623" t="s">
        <v>94</v>
      </c>
      <c r="M91" s="623" t="s">
        <v>90</v>
      </c>
      <c r="N91" s="624">
        <v>45.542833454230305</v>
      </c>
      <c r="O91" s="625">
        <v>15.517472516975108</v>
      </c>
      <c r="P91" s="624">
        <v>45.542833454230305</v>
      </c>
      <c r="Q91" s="624">
        <v>4.0230484303268792</v>
      </c>
      <c r="R91" s="37"/>
      <c r="S91" s="617" t="s">
        <v>44</v>
      </c>
      <c r="T91" s="622" t="s">
        <v>63</v>
      </c>
      <c r="U91" s="617" t="s">
        <v>69</v>
      </c>
      <c r="V91" s="617" t="s">
        <v>69</v>
      </c>
      <c r="W91" s="617" t="s">
        <v>76</v>
      </c>
      <c r="X91" s="37"/>
      <c r="Y91" s="37"/>
      <c r="Z91" s="617" t="s">
        <v>78</v>
      </c>
      <c r="AA91" s="617" t="s">
        <v>78</v>
      </c>
      <c r="AB91" s="37"/>
      <c r="AC91" s="812">
        <v>7.2356164383561641</v>
      </c>
      <c r="AD91" s="617" t="s">
        <v>72</v>
      </c>
      <c r="AE91" s="622" t="s">
        <v>73</v>
      </c>
      <c r="AF91" s="822"/>
      <c r="AG91" s="822"/>
      <c r="AH91" s="822"/>
      <c r="AI91" s="822"/>
      <c r="AJ91" s="822"/>
      <c r="AK91" s="822"/>
      <c r="AL91" s="822"/>
      <c r="AM91" s="822"/>
      <c r="AN91" s="822"/>
      <c r="AO91" s="822"/>
      <c r="AP91" s="822"/>
      <c r="AQ91" s="822"/>
      <c r="AR91" s="822"/>
      <c r="AS91" s="822"/>
      <c r="AT91" s="822"/>
      <c r="AU91" s="822"/>
      <c r="AV91" s="822"/>
      <c r="AW91" s="822"/>
      <c r="AX91" s="822"/>
      <c r="AY91" s="822"/>
      <c r="AZ91" s="822"/>
      <c r="BA91" s="822"/>
      <c r="BB91" s="822"/>
      <c r="BC91" s="822"/>
      <c r="BD91" s="822"/>
      <c r="BE91" s="822"/>
      <c r="BF91" s="822"/>
      <c r="BG91" s="822"/>
      <c r="BH91" s="822"/>
      <c r="BI91" s="822"/>
      <c r="BJ91" s="822"/>
      <c r="BK91" s="822"/>
      <c r="BL91" s="822"/>
      <c r="BM91" s="822"/>
      <c r="BN91" s="822"/>
      <c r="BO91" s="822"/>
      <c r="BP91" s="822"/>
      <c r="BQ91" s="822"/>
      <c r="BR91" s="822"/>
      <c r="BS91" s="822"/>
      <c r="BT91" s="822"/>
      <c r="BU91" s="822"/>
      <c r="BV91" s="822"/>
      <c r="BW91" s="822"/>
      <c r="BX91" s="822"/>
      <c r="BY91" s="822"/>
      <c r="BZ91" s="822"/>
      <c r="CA91" s="822"/>
      <c r="CB91" s="822"/>
      <c r="CC91" s="822"/>
      <c r="CD91" s="822"/>
      <c r="CE91" s="822"/>
      <c r="CF91" s="822"/>
      <c r="CG91" s="822"/>
      <c r="CH91" s="822"/>
      <c r="CI91" s="822"/>
      <c r="CJ91" s="392"/>
      <c r="CK91" s="392"/>
      <c r="CL91" s="392"/>
      <c r="CM91" s="392"/>
      <c r="CN91" s="392"/>
      <c r="CO91" s="392"/>
      <c r="CP91" s="392"/>
      <c r="CQ91" s="392"/>
      <c r="CR91" s="392"/>
      <c r="CS91" s="392"/>
      <c r="CT91" s="392"/>
      <c r="CU91" s="392"/>
      <c r="CV91" s="392"/>
      <c r="CW91" s="392"/>
      <c r="CX91" s="392"/>
      <c r="CY91" s="392"/>
      <c r="CZ91" s="392"/>
      <c r="DA91" s="392"/>
      <c r="DB91" s="392"/>
      <c r="DC91" s="392"/>
    </row>
    <row r="92" spans="1:107" s="337" customFormat="1" ht="24">
      <c r="A92" s="37"/>
      <c r="B92" s="616" t="s">
        <v>23</v>
      </c>
      <c r="C92" s="617" t="s">
        <v>181</v>
      </c>
      <c r="D92" s="618" t="s">
        <v>1147</v>
      </c>
      <c r="E92" s="619">
        <v>193.8338570350366</v>
      </c>
      <c r="F92" s="617" t="s">
        <v>846</v>
      </c>
      <c r="G92" s="620">
        <v>0.3709864630099019</v>
      </c>
      <c r="H92" s="617" t="s">
        <v>66</v>
      </c>
      <c r="I92" s="621">
        <v>0.99903230780260144</v>
      </c>
      <c r="J92" s="622" t="s">
        <v>25</v>
      </c>
      <c r="K92" s="622" t="s">
        <v>1012</v>
      </c>
      <c r="L92" s="623" t="s">
        <v>94</v>
      </c>
      <c r="M92" s="623" t="s">
        <v>91</v>
      </c>
      <c r="N92" s="624">
        <v>45.542833454230305</v>
      </c>
      <c r="O92" s="625">
        <v>20.115242151634394</v>
      </c>
      <c r="P92" s="624">
        <v>45.542833454230305</v>
      </c>
      <c r="Q92" s="624">
        <v>8.6208180649861674</v>
      </c>
      <c r="R92" s="37"/>
      <c r="S92" s="617" t="s">
        <v>44</v>
      </c>
      <c r="T92" s="622" t="s">
        <v>63</v>
      </c>
      <c r="U92" s="617" t="s">
        <v>69</v>
      </c>
      <c r="V92" s="617" t="s">
        <v>69</v>
      </c>
      <c r="W92" s="617" t="s">
        <v>76</v>
      </c>
      <c r="X92" s="37"/>
      <c r="Y92" s="37"/>
      <c r="Z92" s="617" t="s">
        <v>78</v>
      </c>
      <c r="AA92" s="617" t="s">
        <v>78</v>
      </c>
      <c r="AB92" s="37"/>
      <c r="AC92" s="812">
        <v>7.2356164383561641</v>
      </c>
      <c r="AD92" s="617" t="s">
        <v>72</v>
      </c>
      <c r="AE92" s="622" t="s">
        <v>73</v>
      </c>
      <c r="AF92" s="822"/>
      <c r="AG92" s="822"/>
      <c r="AH92" s="822"/>
      <c r="AI92" s="822"/>
      <c r="AJ92" s="822"/>
      <c r="AK92" s="822"/>
      <c r="AL92" s="822"/>
      <c r="AM92" s="822"/>
      <c r="AN92" s="822"/>
      <c r="AO92" s="822"/>
      <c r="AP92" s="822"/>
      <c r="AQ92" s="822"/>
      <c r="AR92" s="822"/>
      <c r="AS92" s="822"/>
      <c r="AT92" s="822"/>
      <c r="AU92" s="822"/>
      <c r="AV92" s="822"/>
      <c r="AW92" s="822"/>
      <c r="AX92" s="822"/>
      <c r="AY92" s="822"/>
      <c r="AZ92" s="822"/>
      <c r="BA92" s="822"/>
      <c r="BB92" s="822"/>
      <c r="BC92" s="822"/>
      <c r="BD92" s="822"/>
      <c r="BE92" s="822"/>
      <c r="BF92" s="822"/>
      <c r="BG92" s="822"/>
      <c r="BH92" s="822"/>
      <c r="BI92" s="822"/>
      <c r="BJ92" s="822"/>
      <c r="BK92" s="822"/>
      <c r="BL92" s="822"/>
      <c r="BM92" s="822"/>
      <c r="BN92" s="822"/>
      <c r="BO92" s="822"/>
      <c r="BP92" s="822"/>
      <c r="BQ92" s="822"/>
      <c r="BR92" s="822"/>
      <c r="BS92" s="822"/>
      <c r="BT92" s="822"/>
      <c r="BU92" s="822"/>
      <c r="BV92" s="822"/>
      <c r="BW92" s="822"/>
      <c r="BX92" s="822"/>
      <c r="BY92" s="822"/>
      <c r="BZ92" s="822"/>
      <c r="CA92" s="822"/>
      <c r="CB92" s="822"/>
      <c r="CC92" s="822"/>
      <c r="CD92" s="822"/>
      <c r="CE92" s="822"/>
      <c r="CF92" s="822"/>
      <c r="CG92" s="822"/>
      <c r="CH92" s="822"/>
      <c r="CI92" s="822"/>
      <c r="CJ92" s="392"/>
      <c r="CK92" s="392"/>
      <c r="CL92" s="392"/>
      <c r="CM92" s="392"/>
      <c r="CN92" s="392"/>
      <c r="CO92" s="392"/>
      <c r="CP92" s="392"/>
      <c r="CQ92" s="392"/>
      <c r="CR92" s="392"/>
      <c r="CS92" s="392"/>
      <c r="CT92" s="392"/>
      <c r="CU92" s="392"/>
      <c r="CV92" s="392"/>
      <c r="CW92" s="392"/>
      <c r="CX92" s="392"/>
      <c r="CY92" s="392"/>
      <c r="CZ92" s="392"/>
      <c r="DA92" s="392"/>
      <c r="DB92" s="392"/>
      <c r="DC92" s="392"/>
    </row>
    <row r="93" spans="1:107" s="337" customFormat="1" ht="24">
      <c r="A93" s="37"/>
      <c r="B93" s="616" t="s">
        <v>23</v>
      </c>
      <c r="C93" s="617" t="s">
        <v>181</v>
      </c>
      <c r="D93" s="618" t="s">
        <v>1147</v>
      </c>
      <c r="E93" s="619">
        <v>193.8338570350366</v>
      </c>
      <c r="F93" s="617" t="s">
        <v>846</v>
      </c>
      <c r="G93" s="620">
        <v>0.3709864630099019</v>
      </c>
      <c r="H93" s="617" t="s">
        <v>66</v>
      </c>
      <c r="I93" s="621">
        <v>0.99903230780260144</v>
      </c>
      <c r="J93" s="622" t="s">
        <v>25</v>
      </c>
      <c r="K93" s="622" t="s">
        <v>1012</v>
      </c>
      <c r="L93" s="623" t="s">
        <v>94</v>
      </c>
      <c r="M93" s="623" t="s">
        <v>92</v>
      </c>
      <c r="N93" s="624">
        <v>45.542833454230305</v>
      </c>
      <c r="O93" s="625">
        <v>20.689963355966807</v>
      </c>
      <c r="P93" s="624">
        <v>45.542833454230305</v>
      </c>
      <c r="Q93" s="624">
        <v>9.19553926931858</v>
      </c>
      <c r="R93" s="37"/>
      <c r="S93" s="617" t="s">
        <v>44</v>
      </c>
      <c r="T93" s="622" t="s">
        <v>63</v>
      </c>
      <c r="U93" s="617" t="s">
        <v>69</v>
      </c>
      <c r="V93" s="617" t="s">
        <v>69</v>
      </c>
      <c r="W93" s="617" t="s">
        <v>76</v>
      </c>
      <c r="X93" s="37"/>
      <c r="Y93" s="37"/>
      <c r="Z93" s="617" t="s">
        <v>78</v>
      </c>
      <c r="AA93" s="617" t="s">
        <v>78</v>
      </c>
      <c r="AB93" s="37"/>
      <c r="AC93" s="812">
        <v>7.2356164383561641</v>
      </c>
      <c r="AD93" s="617" t="s">
        <v>72</v>
      </c>
      <c r="AE93" s="622" t="s">
        <v>73</v>
      </c>
      <c r="AF93" s="822"/>
      <c r="AG93" s="822"/>
      <c r="AH93" s="822"/>
      <c r="AI93" s="822"/>
      <c r="AJ93" s="822"/>
      <c r="AK93" s="822"/>
      <c r="AL93" s="822"/>
      <c r="AM93" s="822"/>
      <c r="AN93" s="822"/>
      <c r="AO93" s="822"/>
      <c r="AP93" s="822"/>
      <c r="AQ93" s="822"/>
      <c r="AR93" s="822"/>
      <c r="AS93" s="822"/>
      <c r="AT93" s="822"/>
      <c r="AU93" s="822"/>
      <c r="AV93" s="822"/>
      <c r="AW93" s="822"/>
      <c r="AX93" s="822"/>
      <c r="AY93" s="822"/>
      <c r="AZ93" s="822"/>
      <c r="BA93" s="822"/>
      <c r="BB93" s="822"/>
      <c r="BC93" s="822"/>
      <c r="BD93" s="822"/>
      <c r="BE93" s="822"/>
      <c r="BF93" s="822"/>
      <c r="BG93" s="822"/>
      <c r="BH93" s="822"/>
      <c r="BI93" s="822"/>
      <c r="BJ93" s="822"/>
      <c r="BK93" s="822"/>
      <c r="BL93" s="822"/>
      <c r="BM93" s="822"/>
      <c r="BN93" s="822"/>
      <c r="BO93" s="822"/>
      <c r="BP93" s="822"/>
      <c r="BQ93" s="822"/>
      <c r="BR93" s="822"/>
      <c r="BS93" s="822"/>
      <c r="BT93" s="822"/>
      <c r="BU93" s="822"/>
      <c r="BV93" s="822"/>
      <c r="BW93" s="822"/>
      <c r="BX93" s="822"/>
      <c r="BY93" s="822"/>
      <c r="BZ93" s="822"/>
      <c r="CA93" s="822"/>
      <c r="CB93" s="822"/>
      <c r="CC93" s="822"/>
      <c r="CD93" s="822"/>
      <c r="CE93" s="822"/>
      <c r="CF93" s="822"/>
      <c r="CG93" s="822"/>
      <c r="CH93" s="822"/>
      <c r="CI93" s="822"/>
      <c r="CJ93" s="392"/>
      <c r="CK93" s="392"/>
      <c r="CL93" s="392"/>
      <c r="CM93" s="392"/>
      <c r="CN93" s="392"/>
      <c r="CO93" s="392"/>
      <c r="CP93" s="392"/>
      <c r="CQ93" s="392"/>
      <c r="CR93" s="392"/>
      <c r="CS93" s="392"/>
      <c r="CT93" s="392"/>
      <c r="CU93" s="392"/>
      <c r="CV93" s="392"/>
      <c r="CW93" s="392"/>
      <c r="CX93" s="392"/>
      <c r="CY93" s="392"/>
      <c r="CZ93" s="392"/>
      <c r="DA93" s="392"/>
      <c r="DB93" s="392"/>
      <c r="DC93" s="392"/>
    </row>
    <row r="94" spans="1:107" s="337" customFormat="1" ht="24">
      <c r="A94" s="37"/>
      <c r="B94" s="616" t="s">
        <v>23</v>
      </c>
      <c r="C94" s="617" t="s">
        <v>181</v>
      </c>
      <c r="D94" s="618" t="s">
        <v>1147</v>
      </c>
      <c r="E94" s="619">
        <v>193.8338570350366</v>
      </c>
      <c r="F94" s="617" t="s">
        <v>846</v>
      </c>
      <c r="G94" s="620">
        <v>0.3709864630099019</v>
      </c>
      <c r="H94" s="617" t="s">
        <v>66</v>
      </c>
      <c r="I94" s="621">
        <v>0.99903230780260144</v>
      </c>
      <c r="J94" s="622" t="s">
        <v>25</v>
      </c>
      <c r="K94" s="622" t="s">
        <v>1012</v>
      </c>
      <c r="L94" s="623" t="s">
        <v>94</v>
      </c>
      <c r="M94" s="623" t="s">
        <v>93</v>
      </c>
      <c r="N94" s="624">
        <v>45.542833454230305</v>
      </c>
      <c r="O94" s="625">
        <v>22.988848173296457</v>
      </c>
      <c r="P94" s="624">
        <v>45.542833454230305</v>
      </c>
      <c r="Q94" s="624">
        <v>11.494424086648229</v>
      </c>
      <c r="R94" s="37"/>
      <c r="S94" s="617" t="s">
        <v>44</v>
      </c>
      <c r="T94" s="622" t="s">
        <v>63</v>
      </c>
      <c r="U94" s="622" t="s">
        <v>44</v>
      </c>
      <c r="V94" s="622" t="s">
        <v>75</v>
      </c>
      <c r="W94" s="617" t="s">
        <v>76</v>
      </c>
      <c r="X94" s="37"/>
      <c r="Y94" s="37"/>
      <c r="Z94" s="617" t="s">
        <v>78</v>
      </c>
      <c r="AA94" s="617" t="s">
        <v>78</v>
      </c>
      <c r="AB94" s="37"/>
      <c r="AC94" s="812">
        <v>7.2356164383561641</v>
      </c>
      <c r="AD94" s="617" t="s">
        <v>72</v>
      </c>
      <c r="AE94" s="622" t="s">
        <v>73</v>
      </c>
      <c r="AF94" s="822"/>
      <c r="AG94" s="822"/>
      <c r="AH94" s="822"/>
      <c r="AI94" s="822"/>
      <c r="AJ94" s="822"/>
      <c r="AK94" s="822"/>
      <c r="AL94" s="822"/>
      <c r="AM94" s="822"/>
      <c r="AN94" s="822"/>
      <c r="AO94" s="822"/>
      <c r="AP94" s="822"/>
      <c r="AQ94" s="822"/>
      <c r="AR94" s="822"/>
      <c r="AS94" s="822"/>
      <c r="AT94" s="822"/>
      <c r="AU94" s="822"/>
      <c r="AV94" s="822"/>
      <c r="AW94" s="822"/>
      <c r="AX94" s="822"/>
      <c r="AY94" s="822"/>
      <c r="AZ94" s="822"/>
      <c r="BA94" s="822"/>
      <c r="BB94" s="822"/>
      <c r="BC94" s="822"/>
      <c r="BD94" s="822"/>
      <c r="BE94" s="822"/>
      <c r="BF94" s="822"/>
      <c r="BG94" s="822"/>
      <c r="BH94" s="822"/>
      <c r="BI94" s="822"/>
      <c r="BJ94" s="822"/>
      <c r="BK94" s="822"/>
      <c r="BL94" s="822"/>
      <c r="BM94" s="822"/>
      <c r="BN94" s="822"/>
      <c r="BO94" s="822"/>
      <c r="BP94" s="822"/>
      <c r="BQ94" s="822"/>
      <c r="BR94" s="822"/>
      <c r="BS94" s="822"/>
      <c r="BT94" s="822"/>
      <c r="BU94" s="822"/>
      <c r="BV94" s="822"/>
      <c r="BW94" s="822"/>
      <c r="BX94" s="822"/>
      <c r="BY94" s="822"/>
      <c r="BZ94" s="822"/>
      <c r="CA94" s="822"/>
      <c r="CB94" s="822"/>
      <c r="CC94" s="822"/>
      <c r="CD94" s="822"/>
      <c r="CE94" s="822"/>
      <c r="CF94" s="822"/>
      <c r="CG94" s="822"/>
      <c r="CH94" s="822"/>
      <c r="CI94" s="822"/>
      <c r="CJ94" s="392"/>
      <c r="CK94" s="392"/>
      <c r="CL94" s="392"/>
      <c r="CM94" s="392"/>
      <c r="CN94" s="392"/>
      <c r="CO94" s="392"/>
      <c r="CP94" s="392"/>
      <c r="CQ94" s="392"/>
      <c r="CR94" s="392"/>
      <c r="CS94" s="392"/>
      <c r="CT94" s="392"/>
      <c r="CU94" s="392"/>
      <c r="CV94" s="392"/>
      <c r="CW94" s="392"/>
      <c r="CX94" s="392"/>
      <c r="CY94" s="392"/>
      <c r="CZ94" s="392"/>
      <c r="DA94" s="392"/>
      <c r="DB94" s="392"/>
      <c r="DC94" s="392"/>
    </row>
    <row r="95" spans="1:107" s="337" customFormat="1" ht="24">
      <c r="A95" s="37"/>
      <c r="B95" s="616" t="s">
        <v>23</v>
      </c>
      <c r="C95" s="617" t="s">
        <v>181</v>
      </c>
      <c r="D95" s="618" t="s">
        <v>1147</v>
      </c>
      <c r="E95" s="619">
        <v>193.8338570350366</v>
      </c>
      <c r="F95" s="617" t="s">
        <v>24</v>
      </c>
      <c r="G95" s="620">
        <v>0.16834284077922379</v>
      </c>
      <c r="H95" s="617" t="s">
        <v>66</v>
      </c>
      <c r="I95" s="621">
        <v>0.99961337150129925</v>
      </c>
      <c r="J95" s="622" t="s">
        <v>25</v>
      </c>
      <c r="K95" s="622" t="s">
        <v>1012</v>
      </c>
      <c r="L95" s="623" t="s">
        <v>94</v>
      </c>
      <c r="M95" s="623" t="s">
        <v>88</v>
      </c>
      <c r="N95" s="624">
        <v>6.0241000859948306</v>
      </c>
      <c r="O95" s="625">
        <v>5.7407550173521731</v>
      </c>
      <c r="P95" s="624">
        <v>6.0241000859948306</v>
      </c>
      <c r="Q95" s="624">
        <v>0.52188681975928819</v>
      </c>
      <c r="R95" s="37"/>
      <c r="S95" s="617" t="s">
        <v>44</v>
      </c>
      <c r="T95" s="622" t="s">
        <v>63</v>
      </c>
      <c r="U95" s="617" t="s">
        <v>69</v>
      </c>
      <c r="V95" s="617" t="s">
        <v>69</v>
      </c>
      <c r="W95" s="617" t="s">
        <v>76</v>
      </c>
      <c r="X95" s="37"/>
      <c r="Y95" s="37"/>
      <c r="Z95" s="617" t="s">
        <v>78</v>
      </c>
      <c r="AA95" s="617" t="s">
        <v>78</v>
      </c>
      <c r="AB95" s="37"/>
      <c r="AC95" s="812">
        <v>7.2356164383561641</v>
      </c>
      <c r="AD95" s="617" t="s">
        <v>72</v>
      </c>
      <c r="AE95" s="622" t="s">
        <v>73</v>
      </c>
      <c r="AF95" s="822"/>
      <c r="AG95" s="822"/>
      <c r="AH95" s="822"/>
      <c r="AI95" s="822"/>
      <c r="AJ95" s="822"/>
      <c r="AK95" s="822"/>
      <c r="AL95" s="822"/>
      <c r="AM95" s="822"/>
      <c r="AN95" s="822"/>
      <c r="AO95" s="822"/>
      <c r="AP95" s="822"/>
      <c r="AQ95" s="822"/>
      <c r="AR95" s="822"/>
      <c r="AS95" s="822"/>
      <c r="AT95" s="822"/>
      <c r="AU95" s="822"/>
      <c r="AV95" s="822"/>
      <c r="AW95" s="822"/>
      <c r="AX95" s="822"/>
      <c r="AY95" s="822"/>
      <c r="AZ95" s="822"/>
      <c r="BA95" s="822"/>
      <c r="BB95" s="822"/>
      <c r="BC95" s="822"/>
      <c r="BD95" s="822"/>
      <c r="BE95" s="822"/>
      <c r="BF95" s="822"/>
      <c r="BG95" s="822"/>
      <c r="BH95" s="822"/>
      <c r="BI95" s="822"/>
      <c r="BJ95" s="822"/>
      <c r="BK95" s="822"/>
      <c r="BL95" s="822"/>
      <c r="BM95" s="822"/>
      <c r="BN95" s="822"/>
      <c r="BO95" s="822"/>
      <c r="BP95" s="822"/>
      <c r="BQ95" s="822"/>
      <c r="BR95" s="822"/>
      <c r="BS95" s="822"/>
      <c r="BT95" s="822"/>
      <c r="BU95" s="822"/>
      <c r="BV95" s="822"/>
      <c r="BW95" s="822"/>
      <c r="BX95" s="822"/>
      <c r="BY95" s="822"/>
      <c r="BZ95" s="822"/>
      <c r="CA95" s="822"/>
      <c r="CB95" s="822"/>
      <c r="CC95" s="822"/>
      <c r="CD95" s="822"/>
      <c r="CE95" s="822"/>
      <c r="CF95" s="822"/>
      <c r="CG95" s="822"/>
      <c r="CH95" s="822"/>
      <c r="CI95" s="822"/>
      <c r="CJ95" s="392"/>
      <c r="CK95" s="392"/>
      <c r="CL95" s="392"/>
      <c r="CM95" s="392"/>
      <c r="CN95" s="392"/>
      <c r="CO95" s="392"/>
      <c r="CP95" s="392"/>
      <c r="CQ95" s="392"/>
      <c r="CR95" s="392"/>
      <c r="CS95" s="392"/>
      <c r="CT95" s="392"/>
      <c r="CU95" s="392"/>
      <c r="CV95" s="392"/>
      <c r="CW95" s="392"/>
      <c r="CX95" s="392"/>
      <c r="CY95" s="392"/>
      <c r="CZ95" s="392"/>
      <c r="DA95" s="392"/>
      <c r="DB95" s="392"/>
      <c r="DC95" s="392"/>
    </row>
    <row r="96" spans="1:107" s="337" customFormat="1" ht="24">
      <c r="A96" s="37"/>
      <c r="B96" s="616" t="s">
        <v>23</v>
      </c>
      <c r="C96" s="617" t="s">
        <v>181</v>
      </c>
      <c r="D96" s="618" t="s">
        <v>1147</v>
      </c>
      <c r="E96" s="619">
        <v>193.8338570350366</v>
      </c>
      <c r="F96" s="617" t="s">
        <v>24</v>
      </c>
      <c r="G96" s="620">
        <v>0.16834284077922379</v>
      </c>
      <c r="H96" s="617" t="s">
        <v>66</v>
      </c>
      <c r="I96" s="621">
        <v>0.99961337150129925</v>
      </c>
      <c r="J96" s="622" t="s">
        <v>25</v>
      </c>
      <c r="K96" s="622" t="s">
        <v>1012</v>
      </c>
      <c r="L96" s="623" t="s">
        <v>94</v>
      </c>
      <c r="M96" s="623" t="s">
        <v>90</v>
      </c>
      <c r="N96" s="624">
        <v>6.0241000859948306</v>
      </c>
      <c r="O96" s="625">
        <v>7.0454720667503947</v>
      </c>
      <c r="P96" s="624">
        <v>6.0241000859948306</v>
      </c>
      <c r="Q96" s="624">
        <v>1.8266038691575099</v>
      </c>
      <c r="R96" s="37"/>
      <c r="S96" s="617" t="s">
        <v>44</v>
      </c>
      <c r="T96" s="622" t="s">
        <v>63</v>
      </c>
      <c r="U96" s="617" t="s">
        <v>69</v>
      </c>
      <c r="V96" s="617" t="s">
        <v>69</v>
      </c>
      <c r="W96" s="617" t="s">
        <v>76</v>
      </c>
      <c r="X96" s="37"/>
      <c r="Y96" s="37"/>
      <c r="Z96" s="617" t="s">
        <v>78</v>
      </c>
      <c r="AA96" s="617" t="s">
        <v>78</v>
      </c>
      <c r="AB96" s="37"/>
      <c r="AC96" s="812">
        <v>7.2356164383561641</v>
      </c>
      <c r="AD96" s="617" t="s">
        <v>72</v>
      </c>
      <c r="AE96" s="622" t="s">
        <v>73</v>
      </c>
      <c r="AF96" s="822"/>
      <c r="AG96" s="822"/>
      <c r="AH96" s="822"/>
      <c r="AI96" s="822"/>
      <c r="AJ96" s="822"/>
      <c r="AK96" s="822"/>
      <c r="AL96" s="822"/>
      <c r="AM96" s="822"/>
      <c r="AN96" s="822"/>
      <c r="AO96" s="822"/>
      <c r="AP96" s="822"/>
      <c r="AQ96" s="822"/>
      <c r="AR96" s="822"/>
      <c r="AS96" s="822"/>
      <c r="AT96" s="822"/>
      <c r="AU96" s="822"/>
      <c r="AV96" s="822"/>
      <c r="AW96" s="822"/>
      <c r="AX96" s="822"/>
      <c r="AY96" s="822"/>
      <c r="AZ96" s="822"/>
      <c r="BA96" s="822"/>
      <c r="BB96" s="822"/>
      <c r="BC96" s="822"/>
      <c r="BD96" s="822"/>
      <c r="BE96" s="822"/>
      <c r="BF96" s="822"/>
      <c r="BG96" s="822"/>
      <c r="BH96" s="822"/>
      <c r="BI96" s="822"/>
      <c r="BJ96" s="822"/>
      <c r="BK96" s="822"/>
      <c r="BL96" s="822"/>
      <c r="BM96" s="822"/>
      <c r="BN96" s="822"/>
      <c r="BO96" s="822"/>
      <c r="BP96" s="822"/>
      <c r="BQ96" s="822"/>
      <c r="BR96" s="822"/>
      <c r="BS96" s="822"/>
      <c r="BT96" s="822"/>
      <c r="BU96" s="822"/>
      <c r="BV96" s="822"/>
      <c r="BW96" s="822"/>
      <c r="BX96" s="822"/>
      <c r="BY96" s="822"/>
      <c r="BZ96" s="822"/>
      <c r="CA96" s="822"/>
      <c r="CB96" s="822"/>
      <c r="CC96" s="822"/>
      <c r="CD96" s="822"/>
      <c r="CE96" s="822"/>
      <c r="CF96" s="822"/>
      <c r="CG96" s="822"/>
      <c r="CH96" s="822"/>
      <c r="CI96" s="822"/>
      <c r="CJ96" s="392"/>
      <c r="CK96" s="392"/>
      <c r="CL96" s="392"/>
      <c r="CM96" s="392"/>
      <c r="CN96" s="392"/>
      <c r="CO96" s="392"/>
      <c r="CP96" s="392"/>
      <c r="CQ96" s="392"/>
      <c r="CR96" s="392"/>
      <c r="CS96" s="392"/>
      <c r="CT96" s="392"/>
      <c r="CU96" s="392"/>
      <c r="CV96" s="392"/>
      <c r="CW96" s="392"/>
      <c r="CX96" s="392"/>
      <c r="CY96" s="392"/>
      <c r="CZ96" s="392"/>
      <c r="DA96" s="392"/>
      <c r="DB96" s="392"/>
      <c r="DC96" s="392"/>
    </row>
    <row r="97" spans="1:107" s="337" customFormat="1" ht="24">
      <c r="A97" s="37"/>
      <c r="B97" s="616" t="s">
        <v>23</v>
      </c>
      <c r="C97" s="617" t="s">
        <v>181</v>
      </c>
      <c r="D97" s="618" t="s">
        <v>1147</v>
      </c>
      <c r="E97" s="619">
        <v>193.8338570350366</v>
      </c>
      <c r="F97" s="617" t="s">
        <v>24</v>
      </c>
      <c r="G97" s="620">
        <v>0.16834284077922379</v>
      </c>
      <c r="H97" s="617" t="s">
        <v>66</v>
      </c>
      <c r="I97" s="621">
        <v>0.99961337150129925</v>
      </c>
      <c r="J97" s="622" t="s">
        <v>25</v>
      </c>
      <c r="K97" s="622" t="s">
        <v>1012</v>
      </c>
      <c r="L97" s="623" t="s">
        <v>94</v>
      </c>
      <c r="M97" s="623" t="s">
        <v>91</v>
      </c>
      <c r="N97" s="624">
        <v>6.0241000859948306</v>
      </c>
      <c r="O97" s="625">
        <v>9.133019345787547</v>
      </c>
      <c r="P97" s="624">
        <v>6.0241000859948306</v>
      </c>
      <c r="Q97" s="624">
        <v>3.9141511481946623</v>
      </c>
      <c r="R97" s="37"/>
      <c r="S97" s="617" t="s">
        <v>44</v>
      </c>
      <c r="T97" s="622" t="s">
        <v>63</v>
      </c>
      <c r="U97" s="617" t="s">
        <v>69</v>
      </c>
      <c r="V97" s="617" t="s">
        <v>69</v>
      </c>
      <c r="W97" s="617" t="s">
        <v>76</v>
      </c>
      <c r="X97" s="37"/>
      <c r="Y97" s="37"/>
      <c r="Z97" s="617" t="s">
        <v>78</v>
      </c>
      <c r="AA97" s="617" t="s">
        <v>78</v>
      </c>
      <c r="AB97" s="37"/>
      <c r="AC97" s="812">
        <v>7.2356164383561641</v>
      </c>
      <c r="AD97" s="617" t="s">
        <v>72</v>
      </c>
      <c r="AE97" s="622" t="s">
        <v>73</v>
      </c>
      <c r="AF97" s="822"/>
      <c r="AG97" s="822"/>
      <c r="AH97" s="822"/>
      <c r="AI97" s="822"/>
      <c r="AJ97" s="822"/>
      <c r="AK97" s="822"/>
      <c r="AL97" s="822"/>
      <c r="AM97" s="822"/>
      <c r="AN97" s="822"/>
      <c r="AO97" s="822"/>
      <c r="AP97" s="822"/>
      <c r="AQ97" s="822"/>
      <c r="AR97" s="822"/>
      <c r="AS97" s="822"/>
      <c r="AT97" s="822"/>
      <c r="AU97" s="822"/>
      <c r="AV97" s="822"/>
      <c r="AW97" s="822"/>
      <c r="AX97" s="822"/>
      <c r="AY97" s="822"/>
      <c r="AZ97" s="822"/>
      <c r="BA97" s="822"/>
      <c r="BB97" s="822"/>
      <c r="BC97" s="822"/>
      <c r="BD97" s="822"/>
      <c r="BE97" s="822"/>
      <c r="BF97" s="822"/>
      <c r="BG97" s="822"/>
      <c r="BH97" s="822"/>
      <c r="BI97" s="822"/>
      <c r="BJ97" s="822"/>
      <c r="BK97" s="822"/>
      <c r="BL97" s="822"/>
      <c r="BM97" s="822"/>
      <c r="BN97" s="822"/>
      <c r="BO97" s="822"/>
      <c r="BP97" s="822"/>
      <c r="BQ97" s="822"/>
      <c r="BR97" s="822"/>
      <c r="BS97" s="822"/>
      <c r="BT97" s="822"/>
      <c r="BU97" s="822"/>
      <c r="BV97" s="822"/>
      <c r="BW97" s="822"/>
      <c r="BX97" s="822"/>
      <c r="BY97" s="822"/>
      <c r="BZ97" s="822"/>
      <c r="CA97" s="822"/>
      <c r="CB97" s="822"/>
      <c r="CC97" s="822"/>
      <c r="CD97" s="822"/>
      <c r="CE97" s="822"/>
      <c r="CF97" s="822"/>
      <c r="CG97" s="822"/>
      <c r="CH97" s="822"/>
      <c r="CI97" s="822"/>
      <c r="CJ97" s="392"/>
      <c r="CK97" s="392"/>
      <c r="CL97" s="392"/>
      <c r="CM97" s="392"/>
      <c r="CN97" s="392"/>
      <c r="CO97" s="392"/>
      <c r="CP97" s="392"/>
      <c r="CQ97" s="392"/>
      <c r="CR97" s="392"/>
      <c r="CS97" s="392"/>
      <c r="CT97" s="392"/>
      <c r="CU97" s="392"/>
      <c r="CV97" s="392"/>
      <c r="CW97" s="392"/>
      <c r="CX97" s="392"/>
      <c r="CY97" s="392"/>
      <c r="CZ97" s="392"/>
      <c r="DA97" s="392"/>
      <c r="DB97" s="392"/>
      <c r="DC97" s="392"/>
    </row>
    <row r="98" spans="1:107" s="337" customFormat="1" ht="24">
      <c r="A98" s="37"/>
      <c r="B98" s="616" t="s">
        <v>23</v>
      </c>
      <c r="C98" s="617" t="s">
        <v>181</v>
      </c>
      <c r="D98" s="618" t="s">
        <v>1147</v>
      </c>
      <c r="E98" s="619">
        <v>193.8338570350366</v>
      </c>
      <c r="F98" s="617" t="s">
        <v>24</v>
      </c>
      <c r="G98" s="620">
        <v>0.16834284077922379</v>
      </c>
      <c r="H98" s="617" t="s">
        <v>66</v>
      </c>
      <c r="I98" s="621">
        <v>0.99961337150129925</v>
      </c>
      <c r="J98" s="622" t="s">
        <v>25</v>
      </c>
      <c r="K98" s="622" t="s">
        <v>1012</v>
      </c>
      <c r="L98" s="623" t="s">
        <v>94</v>
      </c>
      <c r="M98" s="623" t="s">
        <v>92</v>
      </c>
      <c r="N98" s="624">
        <v>6.0241000859948306</v>
      </c>
      <c r="O98" s="625">
        <v>9.3939627556671912</v>
      </c>
      <c r="P98" s="624">
        <v>6.0241000859948306</v>
      </c>
      <c r="Q98" s="624">
        <v>4.1750945580743064</v>
      </c>
      <c r="R98" s="37"/>
      <c r="S98" s="617" t="s">
        <v>44</v>
      </c>
      <c r="T98" s="622" t="s">
        <v>63</v>
      </c>
      <c r="U98" s="617" t="s">
        <v>69</v>
      </c>
      <c r="V98" s="617" t="s">
        <v>69</v>
      </c>
      <c r="W98" s="617" t="s">
        <v>76</v>
      </c>
      <c r="X98" s="37"/>
      <c r="Y98" s="37"/>
      <c r="Z98" s="617" t="s">
        <v>78</v>
      </c>
      <c r="AA98" s="617" t="s">
        <v>78</v>
      </c>
      <c r="AB98" s="37"/>
      <c r="AC98" s="812">
        <v>7.2356164383561641</v>
      </c>
      <c r="AD98" s="617" t="s">
        <v>72</v>
      </c>
      <c r="AE98" s="622" t="s">
        <v>73</v>
      </c>
      <c r="AF98" s="822"/>
      <c r="AG98" s="822"/>
      <c r="AH98" s="822"/>
      <c r="AI98" s="822"/>
      <c r="AJ98" s="822"/>
      <c r="AK98" s="822"/>
      <c r="AL98" s="822"/>
      <c r="AM98" s="822"/>
      <c r="AN98" s="822"/>
      <c r="AO98" s="822"/>
      <c r="AP98" s="822"/>
      <c r="AQ98" s="822"/>
      <c r="AR98" s="822"/>
      <c r="AS98" s="822"/>
      <c r="AT98" s="822"/>
      <c r="AU98" s="822"/>
      <c r="AV98" s="822"/>
      <c r="AW98" s="822"/>
      <c r="AX98" s="822"/>
      <c r="AY98" s="822"/>
      <c r="AZ98" s="822"/>
      <c r="BA98" s="822"/>
      <c r="BB98" s="822"/>
      <c r="BC98" s="822"/>
      <c r="BD98" s="822"/>
      <c r="BE98" s="822"/>
      <c r="BF98" s="822"/>
      <c r="BG98" s="822"/>
      <c r="BH98" s="822"/>
      <c r="BI98" s="822"/>
      <c r="BJ98" s="822"/>
      <c r="BK98" s="822"/>
      <c r="BL98" s="822"/>
      <c r="BM98" s="822"/>
      <c r="BN98" s="822"/>
      <c r="BO98" s="822"/>
      <c r="BP98" s="822"/>
      <c r="BQ98" s="822"/>
      <c r="BR98" s="822"/>
      <c r="BS98" s="822"/>
      <c r="BT98" s="822"/>
      <c r="BU98" s="822"/>
      <c r="BV98" s="822"/>
      <c r="BW98" s="822"/>
      <c r="BX98" s="822"/>
      <c r="BY98" s="822"/>
      <c r="BZ98" s="822"/>
      <c r="CA98" s="822"/>
      <c r="CB98" s="822"/>
      <c r="CC98" s="822"/>
      <c r="CD98" s="822"/>
      <c r="CE98" s="822"/>
      <c r="CF98" s="822"/>
      <c r="CG98" s="822"/>
      <c r="CH98" s="822"/>
      <c r="CI98" s="822"/>
      <c r="CJ98" s="392"/>
      <c r="CK98" s="392"/>
      <c r="CL98" s="392"/>
      <c r="CM98" s="392"/>
      <c r="CN98" s="392"/>
      <c r="CO98" s="392"/>
      <c r="CP98" s="392"/>
      <c r="CQ98" s="392"/>
      <c r="CR98" s="392"/>
      <c r="CS98" s="392"/>
      <c r="CT98" s="392"/>
      <c r="CU98" s="392"/>
      <c r="CV98" s="392"/>
      <c r="CW98" s="392"/>
      <c r="CX98" s="392"/>
      <c r="CY98" s="392"/>
      <c r="CZ98" s="392"/>
      <c r="DA98" s="392"/>
      <c r="DB98" s="392"/>
      <c r="DC98" s="392"/>
    </row>
    <row r="99" spans="1:107" s="337" customFormat="1" ht="24">
      <c r="A99" s="37"/>
      <c r="B99" s="616" t="s">
        <v>23</v>
      </c>
      <c r="C99" s="617" t="s">
        <v>181</v>
      </c>
      <c r="D99" s="618" t="s">
        <v>1147</v>
      </c>
      <c r="E99" s="619">
        <v>193.8338570350366</v>
      </c>
      <c r="F99" s="617" t="s">
        <v>24</v>
      </c>
      <c r="G99" s="620">
        <v>0.16834284077922379</v>
      </c>
      <c r="H99" s="617" t="s">
        <v>66</v>
      </c>
      <c r="I99" s="621">
        <v>0.99961337150129925</v>
      </c>
      <c r="J99" s="622" t="s">
        <v>25</v>
      </c>
      <c r="K99" s="622" t="s">
        <v>1012</v>
      </c>
      <c r="L99" s="623" t="s">
        <v>94</v>
      </c>
      <c r="M99" s="623" t="s">
        <v>93</v>
      </c>
      <c r="N99" s="624">
        <v>6.0241000859948306</v>
      </c>
      <c r="O99" s="625">
        <v>10.43773639518577</v>
      </c>
      <c r="P99" s="624">
        <v>6.0241000859948306</v>
      </c>
      <c r="Q99" s="624">
        <v>5.2188681975928848</v>
      </c>
      <c r="R99" s="37"/>
      <c r="S99" s="617" t="s">
        <v>44</v>
      </c>
      <c r="T99" s="622" t="s">
        <v>63</v>
      </c>
      <c r="U99" s="622" t="s">
        <v>44</v>
      </c>
      <c r="V99" s="622" t="s">
        <v>75</v>
      </c>
      <c r="W99" s="617" t="s">
        <v>76</v>
      </c>
      <c r="X99" s="37"/>
      <c r="Y99" s="37"/>
      <c r="Z99" s="617" t="s">
        <v>78</v>
      </c>
      <c r="AA99" s="617" t="s">
        <v>78</v>
      </c>
      <c r="AB99" s="37"/>
      <c r="AC99" s="812">
        <v>7.2356164383561641</v>
      </c>
      <c r="AD99" s="617" t="s">
        <v>72</v>
      </c>
      <c r="AE99" s="622" t="s">
        <v>73</v>
      </c>
      <c r="AF99" s="822"/>
      <c r="AG99" s="822"/>
      <c r="AH99" s="822"/>
      <c r="AI99" s="822"/>
      <c r="AJ99" s="822"/>
      <c r="AK99" s="822"/>
      <c r="AL99" s="822"/>
      <c r="AM99" s="822"/>
      <c r="AN99" s="822"/>
      <c r="AO99" s="822"/>
      <c r="AP99" s="822"/>
      <c r="AQ99" s="822"/>
      <c r="AR99" s="822"/>
      <c r="AS99" s="822"/>
      <c r="AT99" s="822"/>
      <c r="AU99" s="822"/>
      <c r="AV99" s="822"/>
      <c r="AW99" s="822"/>
      <c r="AX99" s="822"/>
      <c r="AY99" s="822"/>
      <c r="AZ99" s="822"/>
      <c r="BA99" s="822"/>
      <c r="BB99" s="822"/>
      <c r="BC99" s="822"/>
      <c r="BD99" s="822"/>
      <c r="BE99" s="822"/>
      <c r="BF99" s="822"/>
      <c r="BG99" s="822"/>
      <c r="BH99" s="822"/>
      <c r="BI99" s="822"/>
      <c r="BJ99" s="822"/>
      <c r="BK99" s="822"/>
      <c r="BL99" s="822"/>
      <c r="BM99" s="822"/>
      <c r="BN99" s="822"/>
      <c r="BO99" s="822"/>
      <c r="BP99" s="822"/>
      <c r="BQ99" s="822"/>
      <c r="BR99" s="822"/>
      <c r="BS99" s="822"/>
      <c r="BT99" s="822"/>
      <c r="BU99" s="822"/>
      <c r="BV99" s="822"/>
      <c r="BW99" s="822"/>
      <c r="BX99" s="822"/>
      <c r="BY99" s="822"/>
      <c r="BZ99" s="822"/>
      <c r="CA99" s="822"/>
      <c r="CB99" s="822"/>
      <c r="CC99" s="822"/>
      <c r="CD99" s="822"/>
      <c r="CE99" s="822"/>
      <c r="CF99" s="822"/>
      <c r="CG99" s="822"/>
      <c r="CH99" s="822"/>
      <c r="CI99" s="822"/>
      <c r="CJ99" s="392"/>
      <c r="CK99" s="392"/>
      <c r="CL99" s="392"/>
      <c r="CM99" s="392"/>
      <c r="CN99" s="392"/>
      <c r="CO99" s="392"/>
      <c r="CP99" s="392"/>
      <c r="CQ99" s="392"/>
      <c r="CR99" s="392"/>
      <c r="CS99" s="392"/>
      <c r="CT99" s="392"/>
      <c r="CU99" s="392"/>
      <c r="CV99" s="392"/>
      <c r="CW99" s="392"/>
      <c r="CX99" s="392"/>
      <c r="CY99" s="392"/>
      <c r="CZ99" s="392"/>
      <c r="DA99" s="392"/>
      <c r="DB99" s="392"/>
      <c r="DC99" s="392"/>
    </row>
    <row r="100" spans="1:107" s="337" customFormat="1" ht="24">
      <c r="A100" s="37"/>
      <c r="B100" s="616" t="s">
        <v>23</v>
      </c>
      <c r="C100" s="617" t="s">
        <v>181</v>
      </c>
      <c r="D100" s="618" t="s">
        <v>1147</v>
      </c>
      <c r="E100" s="619">
        <v>193.8338570350366</v>
      </c>
      <c r="F100" s="617" t="s">
        <v>26</v>
      </c>
      <c r="G100" s="620">
        <v>0.45887705811233376</v>
      </c>
      <c r="H100" s="617" t="s">
        <v>66</v>
      </c>
      <c r="I100" s="621">
        <v>0.98719147858836809</v>
      </c>
      <c r="J100" s="622" t="s">
        <v>25</v>
      </c>
      <c r="K100" s="622" t="s">
        <v>1012</v>
      </c>
      <c r="L100" s="623" t="s">
        <v>94</v>
      </c>
      <c r="M100" s="623" t="s">
        <v>88</v>
      </c>
      <c r="N100" s="624">
        <v>59.297273385869531</v>
      </c>
      <c r="O100" s="625">
        <v>15.453969429374581</v>
      </c>
      <c r="P100" s="624">
        <v>56.332409716576052</v>
      </c>
      <c r="Q100" s="624">
        <v>1.404906311761325</v>
      </c>
      <c r="R100" s="37"/>
      <c r="S100" s="617" t="s">
        <v>44</v>
      </c>
      <c r="T100" s="622" t="s">
        <v>63</v>
      </c>
      <c r="U100" s="617" t="s">
        <v>69</v>
      </c>
      <c r="V100" s="617" t="s">
        <v>69</v>
      </c>
      <c r="W100" s="617" t="s">
        <v>76</v>
      </c>
      <c r="X100" s="37"/>
      <c r="Y100" s="37"/>
      <c r="Z100" s="617" t="s">
        <v>78</v>
      </c>
      <c r="AA100" s="617" t="s">
        <v>78</v>
      </c>
      <c r="AB100" s="37"/>
      <c r="AC100" s="812">
        <v>7.2356164383561641</v>
      </c>
      <c r="AD100" s="617" t="s">
        <v>72</v>
      </c>
      <c r="AE100" s="622" t="s">
        <v>73</v>
      </c>
      <c r="AF100" s="822"/>
      <c r="AG100" s="822"/>
      <c r="AH100" s="822"/>
      <c r="AI100" s="822"/>
      <c r="AJ100" s="822"/>
      <c r="AK100" s="822"/>
      <c r="AL100" s="822"/>
      <c r="AM100" s="822"/>
      <c r="AN100" s="822"/>
      <c r="AO100" s="822"/>
      <c r="AP100" s="822"/>
      <c r="AQ100" s="822"/>
      <c r="AR100" s="822"/>
      <c r="AS100" s="822"/>
      <c r="AT100" s="822"/>
      <c r="AU100" s="822"/>
      <c r="AV100" s="822"/>
      <c r="AW100" s="822"/>
      <c r="AX100" s="822"/>
      <c r="AY100" s="822"/>
      <c r="AZ100" s="822"/>
      <c r="BA100" s="822"/>
      <c r="BB100" s="822"/>
      <c r="BC100" s="822"/>
      <c r="BD100" s="822"/>
      <c r="BE100" s="822"/>
      <c r="BF100" s="822"/>
      <c r="BG100" s="822"/>
      <c r="BH100" s="822"/>
      <c r="BI100" s="822"/>
      <c r="BJ100" s="822"/>
      <c r="BK100" s="822"/>
      <c r="BL100" s="822"/>
      <c r="BM100" s="822"/>
      <c r="BN100" s="822"/>
      <c r="BO100" s="822"/>
      <c r="BP100" s="822"/>
      <c r="BQ100" s="822"/>
      <c r="BR100" s="822"/>
      <c r="BS100" s="822"/>
      <c r="BT100" s="822"/>
      <c r="BU100" s="822"/>
      <c r="BV100" s="822"/>
      <c r="BW100" s="822"/>
      <c r="BX100" s="822"/>
      <c r="BY100" s="822"/>
      <c r="BZ100" s="822"/>
      <c r="CA100" s="822"/>
      <c r="CB100" s="822"/>
      <c r="CC100" s="822"/>
      <c r="CD100" s="822"/>
      <c r="CE100" s="822"/>
      <c r="CF100" s="822"/>
      <c r="CG100" s="822"/>
      <c r="CH100" s="822"/>
      <c r="CI100" s="822"/>
      <c r="CJ100" s="392"/>
      <c r="CK100" s="392"/>
      <c r="CL100" s="392"/>
      <c r="CM100" s="392"/>
      <c r="CN100" s="392"/>
      <c r="CO100" s="392"/>
      <c r="CP100" s="392"/>
      <c r="CQ100" s="392"/>
      <c r="CR100" s="392"/>
      <c r="CS100" s="392"/>
      <c r="CT100" s="392"/>
      <c r="CU100" s="392"/>
      <c r="CV100" s="392"/>
      <c r="CW100" s="392"/>
      <c r="CX100" s="392"/>
      <c r="CY100" s="392"/>
      <c r="CZ100" s="392"/>
      <c r="DA100" s="392"/>
      <c r="DB100" s="392"/>
      <c r="DC100" s="392"/>
    </row>
    <row r="101" spans="1:107" s="337" customFormat="1" ht="24">
      <c r="A101" s="37"/>
      <c r="B101" s="616" t="s">
        <v>23</v>
      </c>
      <c r="C101" s="617" t="s">
        <v>181</v>
      </c>
      <c r="D101" s="618" t="s">
        <v>1147</v>
      </c>
      <c r="E101" s="619">
        <v>193.8338570350366</v>
      </c>
      <c r="F101" s="617" t="s">
        <v>26</v>
      </c>
      <c r="G101" s="620">
        <v>0.45887705811233376</v>
      </c>
      <c r="H101" s="617" t="s">
        <v>66</v>
      </c>
      <c r="I101" s="621">
        <v>0.98719147858836809</v>
      </c>
      <c r="J101" s="622" t="s">
        <v>25</v>
      </c>
      <c r="K101" s="622" t="s">
        <v>1012</v>
      </c>
      <c r="L101" s="623" t="s">
        <v>94</v>
      </c>
      <c r="M101" s="623" t="s">
        <v>90</v>
      </c>
      <c r="N101" s="624">
        <v>59.297273385869531</v>
      </c>
      <c r="O101" s="625">
        <v>18.966235208777896</v>
      </c>
      <c r="P101" s="624">
        <v>56.332409716576052</v>
      </c>
      <c r="Q101" s="624">
        <v>4.9171720911646402</v>
      </c>
      <c r="R101" s="37"/>
      <c r="S101" s="617" t="s">
        <v>44</v>
      </c>
      <c r="T101" s="622" t="s">
        <v>63</v>
      </c>
      <c r="U101" s="617" t="s">
        <v>69</v>
      </c>
      <c r="V101" s="617" t="s">
        <v>69</v>
      </c>
      <c r="W101" s="617" t="s">
        <v>76</v>
      </c>
      <c r="X101" s="37"/>
      <c r="Y101" s="37"/>
      <c r="Z101" s="617" t="s">
        <v>78</v>
      </c>
      <c r="AA101" s="617" t="s">
        <v>78</v>
      </c>
      <c r="AB101" s="37"/>
      <c r="AC101" s="812">
        <v>7.2356164383561641</v>
      </c>
      <c r="AD101" s="617" t="s">
        <v>72</v>
      </c>
      <c r="AE101" s="622" t="s">
        <v>73</v>
      </c>
      <c r="AF101" s="822"/>
      <c r="AG101" s="822"/>
      <c r="AH101" s="822"/>
      <c r="AI101" s="822"/>
      <c r="AJ101" s="822"/>
      <c r="AK101" s="822"/>
      <c r="AL101" s="822"/>
      <c r="AM101" s="822"/>
      <c r="AN101" s="822"/>
      <c r="AO101" s="822"/>
      <c r="AP101" s="822"/>
      <c r="AQ101" s="822"/>
      <c r="AR101" s="822"/>
      <c r="AS101" s="822"/>
      <c r="AT101" s="822"/>
      <c r="AU101" s="822"/>
      <c r="AV101" s="822"/>
      <c r="AW101" s="822"/>
      <c r="AX101" s="822"/>
      <c r="AY101" s="822"/>
      <c r="AZ101" s="822"/>
      <c r="BA101" s="822"/>
      <c r="BB101" s="822"/>
      <c r="BC101" s="822"/>
      <c r="BD101" s="822"/>
      <c r="BE101" s="822"/>
      <c r="BF101" s="822"/>
      <c r="BG101" s="822"/>
      <c r="BH101" s="822"/>
      <c r="BI101" s="822"/>
      <c r="BJ101" s="822"/>
      <c r="BK101" s="822"/>
      <c r="BL101" s="822"/>
      <c r="BM101" s="822"/>
      <c r="BN101" s="822"/>
      <c r="BO101" s="822"/>
      <c r="BP101" s="822"/>
      <c r="BQ101" s="822"/>
      <c r="BR101" s="822"/>
      <c r="BS101" s="822"/>
      <c r="BT101" s="822"/>
      <c r="BU101" s="822"/>
      <c r="BV101" s="822"/>
      <c r="BW101" s="822"/>
      <c r="BX101" s="822"/>
      <c r="BY101" s="822"/>
      <c r="BZ101" s="822"/>
      <c r="CA101" s="822"/>
      <c r="CB101" s="822"/>
      <c r="CC101" s="822"/>
      <c r="CD101" s="822"/>
      <c r="CE101" s="822"/>
      <c r="CF101" s="822"/>
      <c r="CG101" s="822"/>
      <c r="CH101" s="822"/>
      <c r="CI101" s="822"/>
      <c r="CJ101" s="392"/>
      <c r="CK101" s="392"/>
      <c r="CL101" s="392"/>
      <c r="CM101" s="392"/>
      <c r="CN101" s="392"/>
      <c r="CO101" s="392"/>
      <c r="CP101" s="392"/>
      <c r="CQ101" s="392"/>
      <c r="CR101" s="392"/>
      <c r="CS101" s="392"/>
      <c r="CT101" s="392"/>
      <c r="CU101" s="392"/>
      <c r="CV101" s="392"/>
      <c r="CW101" s="392"/>
      <c r="CX101" s="392"/>
      <c r="CY101" s="392"/>
      <c r="CZ101" s="392"/>
      <c r="DA101" s="392"/>
      <c r="DB101" s="392"/>
      <c r="DC101" s="392"/>
    </row>
    <row r="102" spans="1:107" s="337" customFormat="1" ht="24">
      <c r="A102" s="37"/>
      <c r="B102" s="616" t="s">
        <v>23</v>
      </c>
      <c r="C102" s="617" t="s">
        <v>181</v>
      </c>
      <c r="D102" s="618" t="s">
        <v>1147</v>
      </c>
      <c r="E102" s="619">
        <v>193.8338570350366</v>
      </c>
      <c r="F102" s="617" t="s">
        <v>26</v>
      </c>
      <c r="G102" s="620">
        <v>0.45887705811233376</v>
      </c>
      <c r="H102" s="617" t="s">
        <v>66</v>
      </c>
      <c r="I102" s="621">
        <v>0.98719147858836809</v>
      </c>
      <c r="J102" s="622" t="s">
        <v>25</v>
      </c>
      <c r="K102" s="622" t="s">
        <v>1012</v>
      </c>
      <c r="L102" s="623" t="s">
        <v>94</v>
      </c>
      <c r="M102" s="623" t="s">
        <v>91</v>
      </c>
      <c r="N102" s="624">
        <v>59.297273385869531</v>
      </c>
      <c r="O102" s="625">
        <v>24.585860455823195</v>
      </c>
      <c r="P102" s="624">
        <v>56.332409716576052</v>
      </c>
      <c r="Q102" s="624">
        <v>10.536797338209938</v>
      </c>
      <c r="R102" s="37"/>
      <c r="S102" s="617" t="s">
        <v>44</v>
      </c>
      <c r="T102" s="622" t="s">
        <v>63</v>
      </c>
      <c r="U102" s="617" t="s">
        <v>69</v>
      </c>
      <c r="V102" s="617" t="s">
        <v>69</v>
      </c>
      <c r="W102" s="617" t="s">
        <v>76</v>
      </c>
      <c r="X102" s="37"/>
      <c r="Y102" s="37"/>
      <c r="Z102" s="617" t="s">
        <v>78</v>
      </c>
      <c r="AA102" s="617" t="s">
        <v>78</v>
      </c>
      <c r="AB102" s="37"/>
      <c r="AC102" s="812">
        <v>7.2356164383561641</v>
      </c>
      <c r="AD102" s="617" t="s">
        <v>72</v>
      </c>
      <c r="AE102" s="622" t="s">
        <v>73</v>
      </c>
      <c r="AF102" s="822"/>
      <c r="AG102" s="822"/>
      <c r="AH102" s="822"/>
      <c r="AI102" s="822"/>
      <c r="AJ102" s="822"/>
      <c r="AK102" s="822"/>
      <c r="AL102" s="822"/>
      <c r="AM102" s="822"/>
      <c r="AN102" s="822"/>
      <c r="AO102" s="822"/>
      <c r="AP102" s="822"/>
      <c r="AQ102" s="822"/>
      <c r="AR102" s="822"/>
      <c r="AS102" s="822"/>
      <c r="AT102" s="822"/>
      <c r="AU102" s="822"/>
      <c r="AV102" s="822"/>
      <c r="AW102" s="822"/>
      <c r="AX102" s="822"/>
      <c r="AY102" s="822"/>
      <c r="AZ102" s="822"/>
      <c r="BA102" s="822"/>
      <c r="BB102" s="822"/>
      <c r="BC102" s="822"/>
      <c r="BD102" s="822"/>
      <c r="BE102" s="822"/>
      <c r="BF102" s="822"/>
      <c r="BG102" s="822"/>
      <c r="BH102" s="822"/>
      <c r="BI102" s="822"/>
      <c r="BJ102" s="822"/>
      <c r="BK102" s="822"/>
      <c r="BL102" s="822"/>
      <c r="BM102" s="822"/>
      <c r="BN102" s="822"/>
      <c r="BO102" s="822"/>
      <c r="BP102" s="822"/>
      <c r="BQ102" s="822"/>
      <c r="BR102" s="822"/>
      <c r="BS102" s="822"/>
      <c r="BT102" s="822"/>
      <c r="BU102" s="822"/>
      <c r="BV102" s="822"/>
      <c r="BW102" s="822"/>
      <c r="BX102" s="822"/>
      <c r="BY102" s="822"/>
      <c r="BZ102" s="822"/>
      <c r="CA102" s="822"/>
      <c r="CB102" s="822"/>
      <c r="CC102" s="822"/>
      <c r="CD102" s="822"/>
      <c r="CE102" s="822"/>
      <c r="CF102" s="822"/>
      <c r="CG102" s="822"/>
      <c r="CH102" s="822"/>
      <c r="CI102" s="822"/>
      <c r="CJ102" s="392"/>
      <c r="CK102" s="392"/>
      <c r="CL102" s="392"/>
      <c r="CM102" s="392"/>
      <c r="CN102" s="392"/>
      <c r="CO102" s="392"/>
      <c r="CP102" s="392"/>
      <c r="CQ102" s="392"/>
      <c r="CR102" s="392"/>
      <c r="CS102" s="392"/>
      <c r="CT102" s="392"/>
      <c r="CU102" s="392"/>
      <c r="CV102" s="392"/>
      <c r="CW102" s="392"/>
      <c r="CX102" s="392"/>
      <c r="CY102" s="392"/>
      <c r="CZ102" s="392"/>
      <c r="DA102" s="392"/>
      <c r="DB102" s="392"/>
      <c r="DC102" s="392"/>
    </row>
    <row r="103" spans="1:107" s="337" customFormat="1" ht="24">
      <c r="A103" s="37"/>
      <c r="B103" s="616" t="s">
        <v>23</v>
      </c>
      <c r="C103" s="617" t="s">
        <v>181</v>
      </c>
      <c r="D103" s="618" t="s">
        <v>1147</v>
      </c>
      <c r="E103" s="619">
        <v>193.8338570350366</v>
      </c>
      <c r="F103" s="617" t="s">
        <v>26</v>
      </c>
      <c r="G103" s="620">
        <v>0.45887705811233376</v>
      </c>
      <c r="H103" s="617" t="s">
        <v>66</v>
      </c>
      <c r="I103" s="621">
        <v>0.98719147858836809</v>
      </c>
      <c r="J103" s="622" t="s">
        <v>25</v>
      </c>
      <c r="K103" s="622" t="s">
        <v>1012</v>
      </c>
      <c r="L103" s="623" t="s">
        <v>94</v>
      </c>
      <c r="M103" s="623" t="s">
        <v>92</v>
      </c>
      <c r="N103" s="624">
        <v>59.297273385869531</v>
      </c>
      <c r="O103" s="625">
        <v>25.28831361170386</v>
      </c>
      <c r="P103" s="624">
        <v>56.332409716576052</v>
      </c>
      <c r="Q103" s="624">
        <v>11.239250494090603</v>
      </c>
      <c r="R103" s="37"/>
      <c r="S103" s="617" t="s">
        <v>44</v>
      </c>
      <c r="T103" s="622" t="s">
        <v>63</v>
      </c>
      <c r="U103" s="617" t="s">
        <v>69</v>
      </c>
      <c r="V103" s="617" t="s">
        <v>69</v>
      </c>
      <c r="W103" s="617" t="s">
        <v>76</v>
      </c>
      <c r="X103" s="37"/>
      <c r="Y103" s="37"/>
      <c r="Z103" s="617" t="s">
        <v>78</v>
      </c>
      <c r="AA103" s="617" t="s">
        <v>78</v>
      </c>
      <c r="AB103" s="37"/>
      <c r="AC103" s="812">
        <v>7.2356164383561641</v>
      </c>
      <c r="AD103" s="617" t="s">
        <v>72</v>
      </c>
      <c r="AE103" s="622" t="s">
        <v>73</v>
      </c>
      <c r="AF103" s="822"/>
      <c r="AG103" s="822"/>
      <c r="AH103" s="822"/>
      <c r="AI103" s="822"/>
      <c r="AJ103" s="822"/>
      <c r="AK103" s="822"/>
      <c r="AL103" s="822"/>
      <c r="AM103" s="822"/>
      <c r="AN103" s="822"/>
      <c r="AO103" s="822"/>
      <c r="AP103" s="822"/>
      <c r="AQ103" s="822"/>
      <c r="AR103" s="822"/>
      <c r="AS103" s="822"/>
      <c r="AT103" s="822"/>
      <c r="AU103" s="822"/>
      <c r="AV103" s="822"/>
      <c r="AW103" s="822"/>
      <c r="AX103" s="822"/>
      <c r="AY103" s="822"/>
      <c r="AZ103" s="822"/>
      <c r="BA103" s="822"/>
      <c r="BB103" s="822"/>
      <c r="BC103" s="822"/>
      <c r="BD103" s="822"/>
      <c r="BE103" s="822"/>
      <c r="BF103" s="822"/>
      <c r="BG103" s="822"/>
      <c r="BH103" s="822"/>
      <c r="BI103" s="822"/>
      <c r="BJ103" s="822"/>
      <c r="BK103" s="822"/>
      <c r="BL103" s="822"/>
      <c r="BM103" s="822"/>
      <c r="BN103" s="822"/>
      <c r="BO103" s="822"/>
      <c r="BP103" s="822"/>
      <c r="BQ103" s="822"/>
      <c r="BR103" s="822"/>
      <c r="BS103" s="822"/>
      <c r="BT103" s="822"/>
      <c r="BU103" s="822"/>
      <c r="BV103" s="822"/>
      <c r="BW103" s="822"/>
      <c r="BX103" s="822"/>
      <c r="BY103" s="822"/>
      <c r="BZ103" s="822"/>
      <c r="CA103" s="822"/>
      <c r="CB103" s="822"/>
      <c r="CC103" s="822"/>
      <c r="CD103" s="822"/>
      <c r="CE103" s="822"/>
      <c r="CF103" s="822"/>
      <c r="CG103" s="822"/>
      <c r="CH103" s="822"/>
      <c r="CI103" s="822"/>
      <c r="CJ103" s="392"/>
      <c r="CK103" s="392"/>
      <c r="CL103" s="392"/>
      <c r="CM103" s="392"/>
      <c r="CN103" s="392"/>
      <c r="CO103" s="392"/>
      <c r="CP103" s="392"/>
      <c r="CQ103" s="392"/>
      <c r="CR103" s="392"/>
      <c r="CS103" s="392"/>
      <c r="CT103" s="392"/>
      <c r="CU103" s="392"/>
      <c r="CV103" s="392"/>
      <c r="CW103" s="392"/>
      <c r="CX103" s="392"/>
      <c r="CY103" s="392"/>
      <c r="CZ103" s="392"/>
      <c r="DA103" s="392"/>
      <c r="DB103" s="392"/>
      <c r="DC103" s="392"/>
    </row>
    <row r="104" spans="1:107" s="337" customFormat="1" ht="24">
      <c r="A104" s="37"/>
      <c r="B104" s="616" t="s">
        <v>23</v>
      </c>
      <c r="C104" s="617" t="s">
        <v>181</v>
      </c>
      <c r="D104" s="618" t="s">
        <v>1147</v>
      </c>
      <c r="E104" s="619">
        <v>193.8338570350366</v>
      </c>
      <c r="F104" s="617" t="s">
        <v>26</v>
      </c>
      <c r="G104" s="620">
        <v>0.45887705811233376</v>
      </c>
      <c r="H104" s="617" t="s">
        <v>66</v>
      </c>
      <c r="I104" s="621">
        <v>0.98719147858836809</v>
      </c>
      <c r="J104" s="622" t="s">
        <v>25</v>
      </c>
      <c r="K104" s="622" t="s">
        <v>1012</v>
      </c>
      <c r="L104" s="623" t="s">
        <v>94</v>
      </c>
      <c r="M104" s="623" t="s">
        <v>93</v>
      </c>
      <c r="N104" s="624">
        <v>59.297273385869531</v>
      </c>
      <c r="O104" s="625">
        <v>28.098126235226509</v>
      </c>
      <c r="P104" s="624">
        <v>56.332409716576052</v>
      </c>
      <c r="Q104" s="624">
        <v>14.049063117613255</v>
      </c>
      <c r="R104" s="37"/>
      <c r="S104" s="617" t="s">
        <v>44</v>
      </c>
      <c r="T104" s="622" t="s">
        <v>63</v>
      </c>
      <c r="U104" s="622" t="s">
        <v>44</v>
      </c>
      <c r="V104" s="622" t="s">
        <v>75</v>
      </c>
      <c r="W104" s="617" t="s">
        <v>76</v>
      </c>
      <c r="X104" s="37"/>
      <c r="Y104" s="37"/>
      <c r="Z104" s="617" t="s">
        <v>78</v>
      </c>
      <c r="AA104" s="617" t="s">
        <v>78</v>
      </c>
      <c r="AB104" s="37"/>
      <c r="AC104" s="812">
        <v>7.2356164383561641</v>
      </c>
      <c r="AD104" s="617" t="s">
        <v>72</v>
      </c>
      <c r="AE104" s="622" t="s">
        <v>73</v>
      </c>
      <c r="AF104" s="822"/>
      <c r="AG104" s="822"/>
      <c r="AH104" s="822"/>
      <c r="AI104" s="822"/>
      <c r="AJ104" s="822"/>
      <c r="AK104" s="822"/>
      <c r="AL104" s="822"/>
      <c r="AM104" s="822"/>
      <c r="AN104" s="822"/>
      <c r="AO104" s="822"/>
      <c r="AP104" s="822"/>
      <c r="AQ104" s="822"/>
      <c r="AR104" s="822"/>
      <c r="AS104" s="822"/>
      <c r="AT104" s="822"/>
      <c r="AU104" s="822"/>
      <c r="AV104" s="822"/>
      <c r="AW104" s="822"/>
      <c r="AX104" s="822"/>
      <c r="AY104" s="822"/>
      <c r="AZ104" s="822"/>
      <c r="BA104" s="822"/>
      <c r="BB104" s="822"/>
      <c r="BC104" s="822"/>
      <c r="BD104" s="822"/>
      <c r="BE104" s="822"/>
      <c r="BF104" s="822"/>
      <c r="BG104" s="822"/>
      <c r="BH104" s="822"/>
      <c r="BI104" s="822"/>
      <c r="BJ104" s="822"/>
      <c r="BK104" s="822"/>
      <c r="BL104" s="822"/>
      <c r="BM104" s="822"/>
      <c r="BN104" s="822"/>
      <c r="BO104" s="822"/>
      <c r="BP104" s="822"/>
      <c r="BQ104" s="822"/>
      <c r="BR104" s="822"/>
      <c r="BS104" s="822"/>
      <c r="BT104" s="822"/>
      <c r="BU104" s="822"/>
      <c r="BV104" s="822"/>
      <c r="BW104" s="822"/>
      <c r="BX104" s="822"/>
      <c r="BY104" s="822"/>
      <c r="BZ104" s="822"/>
      <c r="CA104" s="822"/>
      <c r="CB104" s="822"/>
      <c r="CC104" s="822"/>
      <c r="CD104" s="822"/>
      <c r="CE104" s="822"/>
      <c r="CF104" s="822"/>
      <c r="CG104" s="822"/>
      <c r="CH104" s="822"/>
      <c r="CI104" s="822"/>
      <c r="CJ104" s="392"/>
      <c r="CK104" s="392"/>
      <c r="CL104" s="392"/>
      <c r="CM104" s="392"/>
      <c r="CN104" s="392"/>
      <c r="CO104" s="392"/>
      <c r="CP104" s="392"/>
      <c r="CQ104" s="392"/>
      <c r="CR104" s="392"/>
      <c r="CS104" s="392"/>
      <c r="CT104" s="392"/>
      <c r="CU104" s="392"/>
      <c r="CV104" s="392"/>
      <c r="CW104" s="392"/>
      <c r="CX104" s="392"/>
      <c r="CY104" s="392"/>
      <c r="CZ104" s="392"/>
      <c r="DA104" s="392"/>
      <c r="DB104" s="392"/>
      <c r="DC104" s="392"/>
    </row>
    <row r="105" spans="1:107" s="337" customFormat="1" ht="56.25">
      <c r="A105" s="37"/>
      <c r="B105" s="626" t="s">
        <v>23</v>
      </c>
      <c r="C105" s="627" t="s">
        <v>499</v>
      </c>
      <c r="D105" s="628" t="s">
        <v>1220</v>
      </c>
      <c r="E105" s="629">
        <v>758.78476960128171</v>
      </c>
      <c r="F105" s="627" t="s">
        <v>27</v>
      </c>
      <c r="G105" s="630">
        <v>0.84767927678194332</v>
      </c>
      <c r="H105" s="627" t="s">
        <v>66</v>
      </c>
      <c r="I105" s="631">
        <v>0.75536978039511848</v>
      </c>
      <c r="J105" s="632" t="s">
        <v>1097</v>
      </c>
      <c r="K105" s="632" t="s">
        <v>1012</v>
      </c>
      <c r="L105" s="633" t="s">
        <v>960</v>
      </c>
      <c r="M105" s="633" t="s">
        <v>88</v>
      </c>
      <c r="N105" s="634">
        <v>94.996596883018057</v>
      </c>
      <c r="O105" s="635">
        <v>93.284826083551607</v>
      </c>
      <c r="P105" s="634">
        <v>82.330383965282294</v>
      </c>
      <c r="Q105" s="634">
        <v>15.547471013925259</v>
      </c>
      <c r="R105" s="37"/>
      <c r="S105" s="627" t="s">
        <v>69</v>
      </c>
      <c r="T105" s="627" t="s">
        <v>69</v>
      </c>
      <c r="U105" s="627" t="s">
        <v>69</v>
      </c>
      <c r="V105" s="627" t="s">
        <v>69</v>
      </c>
      <c r="W105" s="627" t="s">
        <v>76</v>
      </c>
      <c r="X105" s="37"/>
      <c r="Y105" s="37"/>
      <c r="Z105" s="627" t="s">
        <v>78</v>
      </c>
      <c r="AA105" s="627" t="s">
        <v>78</v>
      </c>
      <c r="AB105" s="37"/>
      <c r="AC105" s="813">
        <v>12.202739726027396</v>
      </c>
      <c r="AD105" s="627" t="s">
        <v>72</v>
      </c>
      <c r="AE105" s="632" t="s">
        <v>73</v>
      </c>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c r="BG105" s="822"/>
      <c r="BH105" s="822"/>
      <c r="BI105" s="822"/>
      <c r="BJ105" s="822"/>
      <c r="BK105" s="822"/>
      <c r="BL105" s="822"/>
      <c r="BM105" s="822"/>
      <c r="BN105" s="822"/>
      <c r="BO105" s="822"/>
      <c r="BP105" s="822"/>
      <c r="BQ105" s="822"/>
      <c r="BR105" s="822"/>
      <c r="BS105" s="822"/>
      <c r="BT105" s="822"/>
      <c r="BU105" s="822"/>
      <c r="BV105" s="822"/>
      <c r="BW105" s="822"/>
      <c r="BX105" s="822"/>
      <c r="BY105" s="822"/>
      <c r="BZ105" s="822"/>
      <c r="CA105" s="822"/>
      <c r="CB105" s="822"/>
      <c r="CC105" s="822"/>
      <c r="CD105" s="822"/>
      <c r="CE105" s="822"/>
      <c r="CF105" s="822"/>
      <c r="CG105" s="822"/>
      <c r="CH105" s="822"/>
      <c r="CI105" s="822"/>
      <c r="CJ105" s="392"/>
      <c r="CK105" s="392"/>
      <c r="CL105" s="392"/>
      <c r="CM105" s="392"/>
      <c r="CN105" s="392"/>
      <c r="CO105" s="392"/>
      <c r="CP105" s="392"/>
      <c r="CQ105" s="392"/>
      <c r="CR105" s="392"/>
      <c r="CS105" s="392"/>
      <c r="CT105" s="392"/>
      <c r="CU105" s="392"/>
      <c r="CV105" s="392"/>
      <c r="CW105" s="392"/>
      <c r="CX105" s="392"/>
      <c r="CY105" s="392"/>
      <c r="CZ105" s="392"/>
      <c r="DA105" s="392"/>
      <c r="DB105" s="392"/>
      <c r="DC105" s="392"/>
    </row>
    <row r="106" spans="1:107" s="337" customFormat="1" ht="56.25">
      <c r="A106" s="37"/>
      <c r="B106" s="626" t="s">
        <v>23</v>
      </c>
      <c r="C106" s="627" t="s">
        <v>499</v>
      </c>
      <c r="D106" s="628" t="s">
        <v>1220</v>
      </c>
      <c r="E106" s="629">
        <v>758.78476960128171</v>
      </c>
      <c r="F106" s="627" t="s">
        <v>27</v>
      </c>
      <c r="G106" s="630">
        <v>0.84767927678194332</v>
      </c>
      <c r="H106" s="627" t="s">
        <v>66</v>
      </c>
      <c r="I106" s="631">
        <v>0.75536978039511848</v>
      </c>
      <c r="J106" s="632" t="s">
        <v>1097</v>
      </c>
      <c r="K106" s="632" t="s">
        <v>1012</v>
      </c>
      <c r="L106" s="633" t="s">
        <v>960</v>
      </c>
      <c r="M106" s="633" t="s">
        <v>90</v>
      </c>
      <c r="N106" s="634">
        <v>94.996596883018057</v>
      </c>
      <c r="O106" s="635">
        <v>112.71916485095818</v>
      </c>
      <c r="P106" s="634">
        <v>82.330383965282294</v>
      </c>
      <c r="Q106" s="634">
        <v>34.98180978133184</v>
      </c>
      <c r="R106" s="37"/>
      <c r="S106" s="627" t="s">
        <v>69</v>
      </c>
      <c r="T106" s="627" t="s">
        <v>69</v>
      </c>
      <c r="U106" s="627" t="s">
        <v>69</v>
      </c>
      <c r="V106" s="627" t="s">
        <v>69</v>
      </c>
      <c r="W106" s="627" t="s">
        <v>76</v>
      </c>
      <c r="X106" s="37"/>
      <c r="Y106" s="37"/>
      <c r="Z106" s="627" t="s">
        <v>78</v>
      </c>
      <c r="AA106" s="627" t="s">
        <v>78</v>
      </c>
      <c r="AB106" s="37"/>
      <c r="AC106" s="813">
        <v>12.202739726027396</v>
      </c>
      <c r="AD106" s="627" t="s">
        <v>72</v>
      </c>
      <c r="AE106" s="632" t="s">
        <v>73</v>
      </c>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c r="BG106" s="822"/>
      <c r="BH106" s="822"/>
      <c r="BI106" s="822"/>
      <c r="BJ106" s="822"/>
      <c r="BK106" s="822"/>
      <c r="BL106" s="822"/>
      <c r="BM106" s="822"/>
      <c r="BN106" s="822"/>
      <c r="BO106" s="822"/>
      <c r="BP106" s="822"/>
      <c r="BQ106" s="822"/>
      <c r="BR106" s="822"/>
      <c r="BS106" s="822"/>
      <c r="BT106" s="822"/>
      <c r="BU106" s="822"/>
      <c r="BV106" s="822"/>
      <c r="BW106" s="822"/>
      <c r="BX106" s="822"/>
      <c r="BY106" s="822"/>
      <c r="BZ106" s="822"/>
      <c r="CA106" s="822"/>
      <c r="CB106" s="822"/>
      <c r="CC106" s="822"/>
      <c r="CD106" s="822"/>
      <c r="CE106" s="822"/>
      <c r="CF106" s="822"/>
      <c r="CG106" s="822"/>
      <c r="CH106" s="822"/>
      <c r="CI106" s="822"/>
      <c r="CJ106" s="392"/>
      <c r="CK106" s="392"/>
      <c r="CL106" s="392"/>
      <c r="CM106" s="392"/>
      <c r="CN106" s="392"/>
      <c r="CO106" s="392"/>
      <c r="CP106" s="392"/>
      <c r="CQ106" s="392"/>
      <c r="CR106" s="392"/>
      <c r="CS106" s="392"/>
      <c r="CT106" s="392"/>
      <c r="CU106" s="392"/>
      <c r="CV106" s="392"/>
      <c r="CW106" s="392"/>
      <c r="CX106" s="392"/>
      <c r="CY106" s="392"/>
      <c r="CZ106" s="392"/>
      <c r="DA106" s="392"/>
      <c r="DB106" s="392"/>
      <c r="DC106" s="392"/>
    </row>
    <row r="107" spans="1:107" s="337" customFormat="1" ht="56.25">
      <c r="A107" s="37"/>
      <c r="B107" s="626" t="s">
        <v>23</v>
      </c>
      <c r="C107" s="627" t="s">
        <v>499</v>
      </c>
      <c r="D107" s="628" t="s">
        <v>1220</v>
      </c>
      <c r="E107" s="629">
        <v>758.78476960128171</v>
      </c>
      <c r="F107" s="627" t="s">
        <v>27</v>
      </c>
      <c r="G107" s="630">
        <v>0.84767927678194332</v>
      </c>
      <c r="H107" s="627" t="s">
        <v>66</v>
      </c>
      <c r="I107" s="631">
        <v>0.75536978039511848</v>
      </c>
      <c r="J107" s="632" t="s">
        <v>1097</v>
      </c>
      <c r="K107" s="632" t="s">
        <v>1012</v>
      </c>
      <c r="L107" s="633" t="s">
        <v>960</v>
      </c>
      <c r="M107" s="633" t="s">
        <v>92</v>
      </c>
      <c r="N107" s="634">
        <v>94.996596883018057</v>
      </c>
      <c r="O107" s="635">
        <v>139.92723912532742</v>
      </c>
      <c r="P107" s="634">
        <v>82.330383965282294</v>
      </c>
      <c r="Q107" s="634">
        <v>62.189884055701071</v>
      </c>
      <c r="R107" s="37"/>
      <c r="S107" s="627" t="s">
        <v>69</v>
      </c>
      <c r="T107" s="627" t="s">
        <v>69</v>
      </c>
      <c r="U107" s="627" t="s">
        <v>69</v>
      </c>
      <c r="V107" s="627" t="s">
        <v>69</v>
      </c>
      <c r="W107" s="627" t="s">
        <v>76</v>
      </c>
      <c r="X107" s="37"/>
      <c r="Y107" s="37"/>
      <c r="Z107" s="627" t="s">
        <v>78</v>
      </c>
      <c r="AA107" s="627" t="s">
        <v>78</v>
      </c>
      <c r="AB107" s="37"/>
      <c r="AC107" s="813">
        <v>12.202739726027396</v>
      </c>
      <c r="AD107" s="627" t="s">
        <v>72</v>
      </c>
      <c r="AE107" s="632" t="s">
        <v>73</v>
      </c>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822"/>
      <c r="BK107" s="822"/>
      <c r="BL107" s="822"/>
      <c r="BM107" s="822"/>
      <c r="BN107" s="822"/>
      <c r="BO107" s="822"/>
      <c r="BP107" s="822"/>
      <c r="BQ107" s="822"/>
      <c r="BR107" s="822"/>
      <c r="BS107" s="822"/>
      <c r="BT107" s="822"/>
      <c r="BU107" s="822"/>
      <c r="BV107" s="822"/>
      <c r="BW107" s="822"/>
      <c r="BX107" s="822"/>
      <c r="BY107" s="822"/>
      <c r="BZ107" s="822"/>
      <c r="CA107" s="822"/>
      <c r="CB107" s="822"/>
      <c r="CC107" s="822"/>
      <c r="CD107" s="822"/>
      <c r="CE107" s="822"/>
      <c r="CF107" s="822"/>
      <c r="CG107" s="822"/>
      <c r="CH107" s="822"/>
      <c r="CI107" s="822"/>
      <c r="CJ107" s="392"/>
      <c r="CK107" s="392"/>
      <c r="CL107" s="392"/>
      <c r="CM107" s="392"/>
      <c r="CN107" s="392"/>
      <c r="CO107" s="392"/>
      <c r="CP107" s="392"/>
      <c r="CQ107" s="392"/>
      <c r="CR107" s="392"/>
      <c r="CS107" s="392"/>
      <c r="CT107" s="392"/>
      <c r="CU107" s="392"/>
      <c r="CV107" s="392"/>
      <c r="CW107" s="392"/>
      <c r="CX107" s="392"/>
      <c r="CY107" s="392"/>
      <c r="CZ107" s="392"/>
      <c r="DA107" s="392"/>
      <c r="DB107" s="392"/>
      <c r="DC107" s="392"/>
    </row>
    <row r="108" spans="1:107" s="337" customFormat="1" ht="56.25">
      <c r="A108" s="37"/>
      <c r="B108" s="626" t="s">
        <v>23</v>
      </c>
      <c r="C108" s="627" t="s">
        <v>499</v>
      </c>
      <c r="D108" s="628" t="s">
        <v>1220</v>
      </c>
      <c r="E108" s="629">
        <v>758.78476960128171</v>
      </c>
      <c r="F108" s="627" t="s">
        <v>27</v>
      </c>
      <c r="G108" s="630">
        <v>0.84767927678194332</v>
      </c>
      <c r="H108" s="627" t="s">
        <v>66</v>
      </c>
      <c r="I108" s="631">
        <v>0.75536978039511848</v>
      </c>
      <c r="J108" s="632" t="s">
        <v>1097</v>
      </c>
      <c r="K108" s="632" t="s">
        <v>1012</v>
      </c>
      <c r="L108" s="633" t="s">
        <v>960</v>
      </c>
      <c r="M108" s="633" t="s">
        <v>93</v>
      </c>
      <c r="N108" s="634">
        <v>94.996596883018057</v>
      </c>
      <c r="O108" s="635">
        <v>147.70097463229004</v>
      </c>
      <c r="P108" s="634">
        <v>82.330383965282294</v>
      </c>
      <c r="Q108" s="634">
        <v>69.963619562663709</v>
      </c>
      <c r="R108" s="37"/>
      <c r="S108" s="627" t="s">
        <v>69</v>
      </c>
      <c r="T108" s="627" t="s">
        <v>69</v>
      </c>
      <c r="U108" s="632" t="s">
        <v>44</v>
      </c>
      <c r="V108" s="632" t="s">
        <v>75</v>
      </c>
      <c r="W108" s="627" t="s">
        <v>76</v>
      </c>
      <c r="X108" s="37"/>
      <c r="Y108" s="37"/>
      <c r="Z108" s="627" t="s">
        <v>78</v>
      </c>
      <c r="AA108" s="627" t="s">
        <v>78</v>
      </c>
      <c r="AB108" s="37"/>
      <c r="AC108" s="813">
        <v>12.202739726027396</v>
      </c>
      <c r="AD108" s="627" t="s">
        <v>72</v>
      </c>
      <c r="AE108" s="632" t="s">
        <v>73</v>
      </c>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822"/>
      <c r="BK108" s="822"/>
      <c r="BL108" s="822"/>
      <c r="BM108" s="822"/>
      <c r="BN108" s="822"/>
      <c r="BO108" s="822"/>
      <c r="BP108" s="822"/>
      <c r="BQ108" s="822"/>
      <c r="BR108" s="822"/>
      <c r="BS108" s="822"/>
      <c r="BT108" s="822"/>
      <c r="BU108" s="822"/>
      <c r="BV108" s="822"/>
      <c r="BW108" s="822"/>
      <c r="BX108" s="822"/>
      <c r="BY108" s="822"/>
      <c r="BZ108" s="822"/>
      <c r="CA108" s="822"/>
      <c r="CB108" s="822"/>
      <c r="CC108" s="822"/>
      <c r="CD108" s="822"/>
      <c r="CE108" s="822"/>
      <c r="CF108" s="822"/>
      <c r="CG108" s="822"/>
      <c r="CH108" s="822"/>
      <c r="CI108" s="822"/>
      <c r="CJ108" s="392"/>
      <c r="CK108" s="392"/>
      <c r="CL108" s="392"/>
      <c r="CM108" s="392"/>
      <c r="CN108" s="392"/>
      <c r="CO108" s="392"/>
      <c r="CP108" s="392"/>
      <c r="CQ108" s="392"/>
      <c r="CR108" s="392"/>
      <c r="CS108" s="392"/>
      <c r="CT108" s="392"/>
      <c r="CU108" s="392"/>
      <c r="CV108" s="392"/>
      <c r="CW108" s="392"/>
      <c r="CX108" s="392"/>
      <c r="CY108" s="392"/>
      <c r="CZ108" s="392"/>
      <c r="DA108" s="392"/>
      <c r="DB108" s="392"/>
      <c r="DC108" s="392"/>
    </row>
    <row r="109" spans="1:107" s="337" customFormat="1" ht="56.25">
      <c r="A109" s="37"/>
      <c r="B109" s="626" t="s">
        <v>23</v>
      </c>
      <c r="C109" s="627" t="s">
        <v>499</v>
      </c>
      <c r="D109" s="628" t="s">
        <v>1220</v>
      </c>
      <c r="E109" s="629">
        <v>758.78476960128171</v>
      </c>
      <c r="F109" s="627" t="s">
        <v>27</v>
      </c>
      <c r="G109" s="630">
        <v>0.84767927678194332</v>
      </c>
      <c r="H109" s="627" t="s">
        <v>66</v>
      </c>
      <c r="I109" s="631">
        <v>0.75536978039511848</v>
      </c>
      <c r="J109" s="632" t="s">
        <v>1097</v>
      </c>
      <c r="K109" s="632" t="s">
        <v>1012</v>
      </c>
      <c r="L109" s="633" t="s">
        <v>15</v>
      </c>
      <c r="M109" s="633" t="s">
        <v>88</v>
      </c>
      <c r="N109" s="634">
        <v>131.70411125398581</v>
      </c>
      <c r="O109" s="635">
        <v>93.284826083551607</v>
      </c>
      <c r="P109" s="634">
        <v>112.56107182753441</v>
      </c>
      <c r="Q109" s="634">
        <v>15.547471013925259</v>
      </c>
      <c r="R109" s="37"/>
      <c r="S109" s="627" t="s">
        <v>44</v>
      </c>
      <c r="T109" s="632" t="s">
        <v>63</v>
      </c>
      <c r="U109" s="627" t="s">
        <v>69</v>
      </c>
      <c r="V109" s="627" t="s">
        <v>69</v>
      </c>
      <c r="W109" s="627" t="s">
        <v>76</v>
      </c>
      <c r="X109" s="37"/>
      <c r="Y109" s="37"/>
      <c r="Z109" s="627" t="s">
        <v>78</v>
      </c>
      <c r="AA109" s="627" t="s">
        <v>78</v>
      </c>
      <c r="AB109" s="37"/>
      <c r="AC109" s="813">
        <v>12.202739726027396</v>
      </c>
      <c r="AD109" s="627" t="s">
        <v>72</v>
      </c>
      <c r="AE109" s="632" t="s">
        <v>73</v>
      </c>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822"/>
      <c r="BK109" s="822"/>
      <c r="BL109" s="822"/>
      <c r="BM109" s="822"/>
      <c r="BN109" s="822"/>
      <c r="BO109" s="822"/>
      <c r="BP109" s="822"/>
      <c r="BQ109" s="822"/>
      <c r="BR109" s="822"/>
      <c r="BS109" s="822"/>
      <c r="BT109" s="822"/>
      <c r="BU109" s="822"/>
      <c r="BV109" s="822"/>
      <c r="BW109" s="822"/>
      <c r="BX109" s="822"/>
      <c r="BY109" s="822"/>
      <c r="BZ109" s="822"/>
      <c r="CA109" s="822"/>
      <c r="CB109" s="822"/>
      <c r="CC109" s="822"/>
      <c r="CD109" s="822"/>
      <c r="CE109" s="822"/>
      <c r="CF109" s="822"/>
      <c r="CG109" s="822"/>
      <c r="CH109" s="822"/>
      <c r="CI109" s="822"/>
      <c r="CJ109" s="392"/>
      <c r="CK109" s="392"/>
      <c r="CL109" s="392"/>
      <c r="CM109" s="392"/>
      <c r="CN109" s="392"/>
      <c r="CO109" s="392"/>
      <c r="CP109" s="392"/>
      <c r="CQ109" s="392"/>
      <c r="CR109" s="392"/>
      <c r="CS109" s="392"/>
      <c r="CT109" s="392"/>
      <c r="CU109" s="392"/>
      <c r="CV109" s="392"/>
      <c r="CW109" s="392"/>
      <c r="CX109" s="392"/>
      <c r="CY109" s="392"/>
      <c r="CZ109" s="392"/>
      <c r="DA109" s="392"/>
      <c r="DB109" s="392"/>
      <c r="DC109" s="392"/>
    </row>
    <row r="110" spans="1:107" s="337" customFormat="1" ht="56.25">
      <c r="A110" s="37"/>
      <c r="B110" s="626" t="s">
        <v>23</v>
      </c>
      <c r="C110" s="627" t="s">
        <v>499</v>
      </c>
      <c r="D110" s="628" t="s">
        <v>1220</v>
      </c>
      <c r="E110" s="629">
        <v>758.78476960128171</v>
      </c>
      <c r="F110" s="627" t="s">
        <v>27</v>
      </c>
      <c r="G110" s="630">
        <v>0.84767927678194332</v>
      </c>
      <c r="H110" s="627" t="s">
        <v>66</v>
      </c>
      <c r="I110" s="631">
        <v>0.75536978039511848</v>
      </c>
      <c r="J110" s="632" t="s">
        <v>1097</v>
      </c>
      <c r="K110" s="632" t="s">
        <v>1012</v>
      </c>
      <c r="L110" s="633" t="s">
        <v>15</v>
      </c>
      <c r="M110" s="633" t="s">
        <v>90</v>
      </c>
      <c r="N110" s="634">
        <v>131.70411125398581</v>
      </c>
      <c r="O110" s="635">
        <v>112.71916485095818</v>
      </c>
      <c r="P110" s="634">
        <v>112.56107182753441</v>
      </c>
      <c r="Q110" s="634">
        <v>34.98180978133184</v>
      </c>
      <c r="R110" s="37"/>
      <c r="S110" s="627" t="s">
        <v>44</v>
      </c>
      <c r="T110" s="632" t="s">
        <v>63</v>
      </c>
      <c r="U110" s="627" t="s">
        <v>69</v>
      </c>
      <c r="V110" s="627" t="s">
        <v>69</v>
      </c>
      <c r="W110" s="627" t="s">
        <v>76</v>
      </c>
      <c r="X110" s="37"/>
      <c r="Y110" s="37"/>
      <c r="Z110" s="627" t="s">
        <v>78</v>
      </c>
      <c r="AA110" s="627" t="s">
        <v>78</v>
      </c>
      <c r="AB110" s="37"/>
      <c r="AC110" s="813">
        <v>12.202739726027396</v>
      </c>
      <c r="AD110" s="627" t="s">
        <v>72</v>
      </c>
      <c r="AE110" s="632" t="s">
        <v>73</v>
      </c>
      <c r="AF110" s="822"/>
      <c r="AG110" s="822"/>
      <c r="AH110" s="822"/>
      <c r="AI110" s="822"/>
      <c r="AJ110" s="822"/>
      <c r="AK110" s="822"/>
      <c r="AL110" s="822"/>
      <c r="AM110" s="822"/>
      <c r="AN110" s="822"/>
      <c r="AO110" s="822"/>
      <c r="AP110" s="822"/>
      <c r="AQ110" s="822"/>
      <c r="AR110" s="822"/>
      <c r="AS110" s="822"/>
      <c r="AT110" s="822"/>
      <c r="AU110" s="822"/>
      <c r="AV110" s="822"/>
      <c r="AW110" s="822"/>
      <c r="AX110" s="822"/>
      <c r="AY110" s="822"/>
      <c r="AZ110" s="822"/>
      <c r="BA110" s="822"/>
      <c r="BB110" s="822"/>
      <c r="BC110" s="822"/>
      <c r="BD110" s="822"/>
      <c r="BE110" s="822"/>
      <c r="BF110" s="822"/>
      <c r="BG110" s="822"/>
      <c r="BH110" s="822"/>
      <c r="BI110" s="822"/>
      <c r="BJ110" s="822"/>
      <c r="BK110" s="822"/>
      <c r="BL110" s="822"/>
      <c r="BM110" s="822"/>
      <c r="BN110" s="822"/>
      <c r="BO110" s="822"/>
      <c r="BP110" s="822"/>
      <c r="BQ110" s="822"/>
      <c r="BR110" s="822"/>
      <c r="BS110" s="822"/>
      <c r="BT110" s="822"/>
      <c r="BU110" s="822"/>
      <c r="BV110" s="822"/>
      <c r="BW110" s="822"/>
      <c r="BX110" s="822"/>
      <c r="BY110" s="822"/>
      <c r="BZ110" s="822"/>
      <c r="CA110" s="822"/>
      <c r="CB110" s="822"/>
      <c r="CC110" s="822"/>
      <c r="CD110" s="822"/>
      <c r="CE110" s="822"/>
      <c r="CF110" s="822"/>
      <c r="CG110" s="822"/>
      <c r="CH110" s="822"/>
      <c r="CI110" s="822"/>
      <c r="CJ110" s="392"/>
      <c r="CK110" s="392"/>
      <c r="CL110" s="392"/>
      <c r="CM110" s="392"/>
      <c r="CN110" s="392"/>
      <c r="CO110" s="392"/>
      <c r="CP110" s="392"/>
      <c r="CQ110" s="392"/>
      <c r="CR110" s="392"/>
      <c r="CS110" s="392"/>
      <c r="CT110" s="392"/>
      <c r="CU110" s="392"/>
      <c r="CV110" s="392"/>
      <c r="CW110" s="392"/>
      <c r="CX110" s="392"/>
      <c r="CY110" s="392"/>
      <c r="CZ110" s="392"/>
      <c r="DA110" s="392"/>
      <c r="DB110" s="392"/>
      <c r="DC110" s="392"/>
    </row>
    <row r="111" spans="1:107" s="337" customFormat="1" ht="56.25">
      <c r="A111" s="37"/>
      <c r="B111" s="626" t="s">
        <v>23</v>
      </c>
      <c r="C111" s="627" t="s">
        <v>499</v>
      </c>
      <c r="D111" s="628" t="s">
        <v>1220</v>
      </c>
      <c r="E111" s="629">
        <v>758.78476960128171</v>
      </c>
      <c r="F111" s="627" t="s">
        <v>27</v>
      </c>
      <c r="G111" s="630">
        <v>0.84767927678194332</v>
      </c>
      <c r="H111" s="627" t="s">
        <v>66</v>
      </c>
      <c r="I111" s="631">
        <v>0.75536978039511848</v>
      </c>
      <c r="J111" s="632" t="s">
        <v>1097</v>
      </c>
      <c r="K111" s="632" t="s">
        <v>1012</v>
      </c>
      <c r="L111" s="633" t="s">
        <v>15</v>
      </c>
      <c r="M111" s="633" t="s">
        <v>92</v>
      </c>
      <c r="N111" s="634">
        <v>131.70411125398581</v>
      </c>
      <c r="O111" s="635">
        <v>139.92723912532742</v>
      </c>
      <c r="P111" s="634">
        <v>112.56107182753441</v>
      </c>
      <c r="Q111" s="634">
        <v>62.189884055701071</v>
      </c>
      <c r="R111" s="37"/>
      <c r="S111" s="627" t="s">
        <v>44</v>
      </c>
      <c r="T111" s="632" t="s">
        <v>63</v>
      </c>
      <c r="U111" s="627" t="s">
        <v>69</v>
      </c>
      <c r="V111" s="627" t="s">
        <v>69</v>
      </c>
      <c r="W111" s="627" t="s">
        <v>76</v>
      </c>
      <c r="X111" s="37"/>
      <c r="Y111" s="37"/>
      <c r="Z111" s="627" t="s">
        <v>78</v>
      </c>
      <c r="AA111" s="627" t="s">
        <v>78</v>
      </c>
      <c r="AB111" s="37"/>
      <c r="AC111" s="813">
        <v>12.202739726027396</v>
      </c>
      <c r="AD111" s="627" t="s">
        <v>72</v>
      </c>
      <c r="AE111" s="632" t="s">
        <v>73</v>
      </c>
      <c r="AF111" s="822"/>
      <c r="AG111" s="822"/>
      <c r="AH111" s="822"/>
      <c r="AI111" s="822"/>
      <c r="AJ111" s="822"/>
      <c r="AK111" s="822"/>
      <c r="AL111" s="822"/>
      <c r="AM111" s="822"/>
      <c r="AN111" s="822"/>
      <c r="AO111" s="822"/>
      <c r="AP111" s="822"/>
      <c r="AQ111" s="822"/>
      <c r="AR111" s="822"/>
      <c r="AS111" s="822"/>
      <c r="AT111" s="822"/>
      <c r="AU111" s="822"/>
      <c r="AV111" s="822"/>
      <c r="AW111" s="822"/>
      <c r="AX111" s="822"/>
      <c r="AY111" s="822"/>
      <c r="AZ111" s="822"/>
      <c r="BA111" s="822"/>
      <c r="BB111" s="822"/>
      <c r="BC111" s="822"/>
      <c r="BD111" s="822"/>
      <c r="BE111" s="822"/>
      <c r="BF111" s="822"/>
      <c r="BG111" s="822"/>
      <c r="BH111" s="822"/>
      <c r="BI111" s="822"/>
      <c r="BJ111" s="822"/>
      <c r="BK111" s="822"/>
      <c r="BL111" s="822"/>
      <c r="BM111" s="822"/>
      <c r="BN111" s="822"/>
      <c r="BO111" s="822"/>
      <c r="BP111" s="822"/>
      <c r="BQ111" s="822"/>
      <c r="BR111" s="822"/>
      <c r="BS111" s="822"/>
      <c r="BT111" s="822"/>
      <c r="BU111" s="822"/>
      <c r="BV111" s="822"/>
      <c r="BW111" s="822"/>
      <c r="BX111" s="822"/>
      <c r="BY111" s="822"/>
      <c r="BZ111" s="822"/>
      <c r="CA111" s="822"/>
      <c r="CB111" s="822"/>
      <c r="CC111" s="822"/>
      <c r="CD111" s="822"/>
      <c r="CE111" s="822"/>
      <c r="CF111" s="822"/>
      <c r="CG111" s="822"/>
      <c r="CH111" s="822"/>
      <c r="CI111" s="822"/>
      <c r="CJ111" s="392"/>
      <c r="CK111" s="392"/>
      <c r="CL111" s="392"/>
      <c r="CM111" s="392"/>
      <c r="CN111" s="392"/>
      <c r="CO111" s="392"/>
      <c r="CP111" s="392"/>
      <c r="CQ111" s="392"/>
      <c r="CR111" s="392"/>
      <c r="CS111" s="392"/>
      <c r="CT111" s="392"/>
      <c r="CU111" s="392"/>
      <c r="CV111" s="392"/>
      <c r="CW111" s="392"/>
      <c r="CX111" s="392"/>
      <c r="CY111" s="392"/>
      <c r="CZ111" s="392"/>
      <c r="DA111" s="392"/>
      <c r="DB111" s="392"/>
      <c r="DC111" s="392"/>
    </row>
    <row r="112" spans="1:107" s="337" customFormat="1" ht="56.25">
      <c r="A112" s="37"/>
      <c r="B112" s="626" t="s">
        <v>23</v>
      </c>
      <c r="C112" s="627" t="s">
        <v>499</v>
      </c>
      <c r="D112" s="628" t="s">
        <v>1220</v>
      </c>
      <c r="E112" s="629">
        <v>758.78476960128171</v>
      </c>
      <c r="F112" s="627" t="s">
        <v>27</v>
      </c>
      <c r="G112" s="630">
        <v>0.84767927678194332</v>
      </c>
      <c r="H112" s="627" t="s">
        <v>66</v>
      </c>
      <c r="I112" s="631">
        <v>0.75536978039511848</v>
      </c>
      <c r="J112" s="632" t="s">
        <v>1097</v>
      </c>
      <c r="K112" s="632" t="s">
        <v>1012</v>
      </c>
      <c r="L112" s="633" t="s">
        <v>15</v>
      </c>
      <c r="M112" s="633" t="s">
        <v>93</v>
      </c>
      <c r="N112" s="634">
        <v>131.70411125398581</v>
      </c>
      <c r="O112" s="635">
        <v>147.70097463229004</v>
      </c>
      <c r="P112" s="634">
        <v>112.56107182753441</v>
      </c>
      <c r="Q112" s="634">
        <v>69.963619562663709</v>
      </c>
      <c r="R112" s="37"/>
      <c r="S112" s="627" t="s">
        <v>44</v>
      </c>
      <c r="T112" s="632" t="s">
        <v>63</v>
      </c>
      <c r="U112" s="632" t="s">
        <v>44</v>
      </c>
      <c r="V112" s="632" t="s">
        <v>75</v>
      </c>
      <c r="W112" s="627" t="s">
        <v>76</v>
      </c>
      <c r="X112" s="37"/>
      <c r="Y112" s="37"/>
      <c r="Z112" s="627" t="s">
        <v>78</v>
      </c>
      <c r="AA112" s="627" t="s">
        <v>78</v>
      </c>
      <c r="AB112" s="37"/>
      <c r="AC112" s="813">
        <v>12.202739726027396</v>
      </c>
      <c r="AD112" s="627" t="s">
        <v>72</v>
      </c>
      <c r="AE112" s="632" t="s">
        <v>73</v>
      </c>
      <c r="AF112" s="822"/>
      <c r="AG112" s="822"/>
      <c r="AH112" s="822"/>
      <c r="AI112" s="822"/>
      <c r="AJ112" s="822"/>
      <c r="AK112" s="822"/>
      <c r="AL112" s="822"/>
      <c r="AM112" s="822"/>
      <c r="AN112" s="822"/>
      <c r="AO112" s="822"/>
      <c r="AP112" s="822"/>
      <c r="AQ112" s="822"/>
      <c r="AR112" s="822"/>
      <c r="AS112" s="822"/>
      <c r="AT112" s="822"/>
      <c r="AU112" s="822"/>
      <c r="AV112" s="822"/>
      <c r="AW112" s="822"/>
      <c r="AX112" s="822"/>
      <c r="AY112" s="822"/>
      <c r="AZ112" s="822"/>
      <c r="BA112" s="822"/>
      <c r="BB112" s="822"/>
      <c r="BC112" s="822"/>
      <c r="BD112" s="822"/>
      <c r="BE112" s="822"/>
      <c r="BF112" s="822"/>
      <c r="BG112" s="822"/>
      <c r="BH112" s="822"/>
      <c r="BI112" s="822"/>
      <c r="BJ112" s="822"/>
      <c r="BK112" s="822"/>
      <c r="BL112" s="822"/>
      <c r="BM112" s="822"/>
      <c r="BN112" s="822"/>
      <c r="BO112" s="822"/>
      <c r="BP112" s="822"/>
      <c r="BQ112" s="822"/>
      <c r="BR112" s="822"/>
      <c r="BS112" s="822"/>
      <c r="BT112" s="822"/>
      <c r="BU112" s="822"/>
      <c r="BV112" s="822"/>
      <c r="BW112" s="822"/>
      <c r="BX112" s="822"/>
      <c r="BY112" s="822"/>
      <c r="BZ112" s="822"/>
      <c r="CA112" s="822"/>
      <c r="CB112" s="822"/>
      <c r="CC112" s="822"/>
      <c r="CD112" s="822"/>
      <c r="CE112" s="822"/>
      <c r="CF112" s="822"/>
      <c r="CG112" s="822"/>
      <c r="CH112" s="822"/>
      <c r="CI112" s="822"/>
      <c r="CJ112" s="392"/>
      <c r="CK112" s="392"/>
      <c r="CL112" s="392"/>
      <c r="CM112" s="392"/>
      <c r="CN112" s="392"/>
      <c r="CO112" s="392"/>
      <c r="CP112" s="392"/>
      <c r="CQ112" s="392"/>
      <c r="CR112" s="392"/>
      <c r="CS112" s="392"/>
      <c r="CT112" s="392"/>
      <c r="CU112" s="392"/>
      <c r="CV112" s="392"/>
      <c r="CW112" s="392"/>
      <c r="CX112" s="392"/>
      <c r="CY112" s="392"/>
      <c r="CZ112" s="392"/>
      <c r="DA112" s="392"/>
      <c r="DB112" s="392"/>
      <c r="DC112" s="392"/>
    </row>
    <row r="113" spans="1:107" s="337" customFormat="1" ht="56.25">
      <c r="A113" s="37"/>
      <c r="B113" s="464" t="s">
        <v>23</v>
      </c>
      <c r="C113" s="465" t="s">
        <v>499</v>
      </c>
      <c r="D113" s="348" t="s">
        <v>1226</v>
      </c>
      <c r="E113" s="467">
        <v>3705.1477049846249</v>
      </c>
      <c r="F113" s="465" t="s">
        <v>27</v>
      </c>
      <c r="G113" s="468">
        <v>0.66609954826932927</v>
      </c>
      <c r="H113" s="465" t="s">
        <v>66</v>
      </c>
      <c r="I113" s="469">
        <v>0.58665934423576938</v>
      </c>
      <c r="J113" s="344" t="s">
        <v>1097</v>
      </c>
      <c r="K113" s="344" t="s">
        <v>1012</v>
      </c>
      <c r="L113" s="344" t="s">
        <v>1228</v>
      </c>
      <c r="M113" s="472" t="s">
        <v>88</v>
      </c>
      <c r="N113" s="347">
        <v>290.57174729024797</v>
      </c>
      <c r="O113" s="473">
        <v>277.99173624901977</v>
      </c>
      <c r="P113" s="347">
        <v>236.9277324058944</v>
      </c>
      <c r="Q113" s="347">
        <v>46.331956041503283</v>
      </c>
      <c r="R113" s="37"/>
      <c r="S113" s="465" t="s">
        <v>69</v>
      </c>
      <c r="T113" s="465" t="s">
        <v>69</v>
      </c>
      <c r="U113" s="465" t="s">
        <v>69</v>
      </c>
      <c r="V113" s="465" t="s">
        <v>69</v>
      </c>
      <c r="W113" s="465" t="s">
        <v>76</v>
      </c>
      <c r="X113" s="37"/>
      <c r="Y113" s="37"/>
      <c r="Z113" s="465" t="s">
        <v>78</v>
      </c>
      <c r="AA113" s="465" t="s">
        <v>78</v>
      </c>
      <c r="AB113" s="37"/>
      <c r="AC113" s="474">
        <v>12.202739726027396</v>
      </c>
      <c r="AD113" s="465" t="s">
        <v>72</v>
      </c>
      <c r="AE113" s="344" t="s">
        <v>73</v>
      </c>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2"/>
      <c r="BE113" s="822"/>
      <c r="BF113" s="822"/>
      <c r="BG113" s="822"/>
      <c r="BH113" s="822"/>
      <c r="BI113" s="822"/>
      <c r="BJ113" s="822"/>
      <c r="BK113" s="822"/>
      <c r="BL113" s="822"/>
      <c r="BM113" s="822"/>
      <c r="BN113" s="822"/>
      <c r="BO113" s="822"/>
      <c r="BP113" s="822"/>
      <c r="BQ113" s="822"/>
      <c r="BR113" s="822"/>
      <c r="BS113" s="822"/>
      <c r="BT113" s="822"/>
      <c r="BU113" s="822"/>
      <c r="BV113" s="822"/>
      <c r="BW113" s="822"/>
      <c r="BX113" s="822"/>
      <c r="BY113" s="822"/>
      <c r="BZ113" s="822"/>
      <c r="CA113" s="822"/>
      <c r="CB113" s="822"/>
      <c r="CC113" s="822"/>
      <c r="CD113" s="822"/>
      <c r="CE113" s="822"/>
      <c r="CF113" s="822"/>
      <c r="CG113" s="822"/>
      <c r="CH113" s="822"/>
      <c r="CI113" s="822"/>
      <c r="CJ113" s="392"/>
      <c r="CK113" s="392"/>
      <c r="CL113" s="392"/>
      <c r="CM113" s="392"/>
      <c r="CN113" s="392"/>
      <c r="CO113" s="392"/>
      <c r="CP113" s="392"/>
      <c r="CQ113" s="392"/>
      <c r="CR113" s="392"/>
      <c r="CS113" s="392"/>
      <c r="CT113" s="392"/>
      <c r="CU113" s="392"/>
      <c r="CV113" s="392"/>
      <c r="CW113" s="392"/>
      <c r="CX113" s="392"/>
      <c r="CY113" s="392"/>
      <c r="CZ113" s="392"/>
      <c r="DA113" s="392"/>
      <c r="DB113" s="392"/>
      <c r="DC113" s="392"/>
    </row>
    <row r="114" spans="1:107" s="337" customFormat="1" ht="56.25">
      <c r="A114" s="37"/>
      <c r="B114" s="464" t="s">
        <v>23</v>
      </c>
      <c r="C114" s="465" t="s">
        <v>499</v>
      </c>
      <c r="D114" s="348" t="s">
        <v>1226</v>
      </c>
      <c r="E114" s="467">
        <v>3705.1477049846249</v>
      </c>
      <c r="F114" s="465" t="s">
        <v>27</v>
      </c>
      <c r="G114" s="468">
        <v>0.66609954826932927</v>
      </c>
      <c r="H114" s="465" t="s">
        <v>66</v>
      </c>
      <c r="I114" s="469">
        <v>0.58665934423576938</v>
      </c>
      <c r="J114" s="344" t="s">
        <v>1097</v>
      </c>
      <c r="K114" s="344" t="s">
        <v>1012</v>
      </c>
      <c r="L114" s="344" t="s">
        <v>1228</v>
      </c>
      <c r="M114" s="472" t="s">
        <v>90</v>
      </c>
      <c r="N114" s="347">
        <v>290.57174729024797</v>
      </c>
      <c r="O114" s="473">
        <v>335.90668130089892</v>
      </c>
      <c r="P114" s="347">
        <v>236.9277324058944</v>
      </c>
      <c r="Q114" s="347">
        <v>104.24690109338239</v>
      </c>
      <c r="R114" s="37"/>
      <c r="S114" s="465" t="s">
        <v>69</v>
      </c>
      <c r="T114" s="465" t="s">
        <v>69</v>
      </c>
      <c r="U114" s="465" t="s">
        <v>69</v>
      </c>
      <c r="V114" s="465" t="s">
        <v>69</v>
      </c>
      <c r="W114" s="465" t="s">
        <v>76</v>
      </c>
      <c r="X114" s="37"/>
      <c r="Y114" s="37"/>
      <c r="Z114" s="465" t="s">
        <v>78</v>
      </c>
      <c r="AA114" s="465" t="s">
        <v>78</v>
      </c>
      <c r="AB114" s="37"/>
      <c r="AC114" s="474">
        <v>12.202739726027396</v>
      </c>
      <c r="AD114" s="465" t="s">
        <v>72</v>
      </c>
      <c r="AE114" s="344" t="s">
        <v>73</v>
      </c>
      <c r="AF114" s="822"/>
      <c r="AG114" s="822"/>
      <c r="AH114" s="822"/>
      <c r="AI114" s="822"/>
      <c r="AJ114" s="822"/>
      <c r="AK114" s="822"/>
      <c r="AL114" s="822"/>
      <c r="AM114" s="822"/>
      <c r="AN114" s="822"/>
      <c r="AO114" s="822"/>
      <c r="AP114" s="822"/>
      <c r="AQ114" s="822"/>
      <c r="AR114" s="822"/>
      <c r="AS114" s="822"/>
      <c r="AT114" s="822"/>
      <c r="AU114" s="822"/>
      <c r="AV114" s="822"/>
      <c r="AW114" s="822"/>
      <c r="AX114" s="822"/>
      <c r="AY114" s="822"/>
      <c r="AZ114" s="822"/>
      <c r="BA114" s="822"/>
      <c r="BB114" s="822"/>
      <c r="BC114" s="822"/>
      <c r="BD114" s="822"/>
      <c r="BE114" s="822"/>
      <c r="BF114" s="822"/>
      <c r="BG114" s="822"/>
      <c r="BH114" s="822"/>
      <c r="BI114" s="822"/>
      <c r="BJ114" s="822"/>
      <c r="BK114" s="822"/>
      <c r="BL114" s="822"/>
      <c r="BM114" s="822"/>
      <c r="BN114" s="822"/>
      <c r="BO114" s="822"/>
      <c r="BP114" s="822"/>
      <c r="BQ114" s="822"/>
      <c r="BR114" s="822"/>
      <c r="BS114" s="822"/>
      <c r="BT114" s="822"/>
      <c r="BU114" s="822"/>
      <c r="BV114" s="822"/>
      <c r="BW114" s="822"/>
      <c r="BX114" s="822"/>
      <c r="BY114" s="822"/>
      <c r="BZ114" s="822"/>
      <c r="CA114" s="822"/>
      <c r="CB114" s="822"/>
      <c r="CC114" s="822"/>
      <c r="CD114" s="822"/>
      <c r="CE114" s="822"/>
      <c r="CF114" s="822"/>
      <c r="CG114" s="822"/>
      <c r="CH114" s="822"/>
      <c r="CI114" s="822"/>
      <c r="CJ114" s="392"/>
      <c r="CK114" s="392"/>
      <c r="CL114" s="392"/>
      <c r="CM114" s="392"/>
      <c r="CN114" s="392"/>
      <c r="CO114" s="392"/>
      <c r="CP114" s="392"/>
      <c r="CQ114" s="392"/>
      <c r="CR114" s="392"/>
      <c r="CS114" s="392"/>
      <c r="CT114" s="392"/>
      <c r="CU114" s="392"/>
      <c r="CV114" s="392"/>
      <c r="CW114" s="392"/>
      <c r="CX114" s="392"/>
      <c r="CY114" s="392"/>
      <c r="CZ114" s="392"/>
      <c r="DA114" s="392"/>
      <c r="DB114" s="392"/>
      <c r="DC114" s="392"/>
    </row>
    <row r="115" spans="1:107" s="337" customFormat="1" ht="56.25">
      <c r="A115" s="37"/>
      <c r="B115" s="464" t="s">
        <v>23</v>
      </c>
      <c r="C115" s="465" t="s">
        <v>499</v>
      </c>
      <c r="D115" s="348" t="s">
        <v>1226</v>
      </c>
      <c r="E115" s="467">
        <v>3705.1477049846249</v>
      </c>
      <c r="F115" s="465" t="s">
        <v>27</v>
      </c>
      <c r="G115" s="468">
        <v>0.66609954826932927</v>
      </c>
      <c r="H115" s="465" t="s">
        <v>66</v>
      </c>
      <c r="I115" s="469">
        <v>0.58665934423576938</v>
      </c>
      <c r="J115" s="344" t="s">
        <v>1097</v>
      </c>
      <c r="K115" s="344" t="s">
        <v>1012</v>
      </c>
      <c r="L115" s="344" t="s">
        <v>1228</v>
      </c>
      <c r="M115" s="472" t="s">
        <v>92</v>
      </c>
      <c r="N115" s="347">
        <v>290.57174729024797</v>
      </c>
      <c r="O115" s="473">
        <v>416.98760437352968</v>
      </c>
      <c r="P115" s="347">
        <v>236.9277324058944</v>
      </c>
      <c r="Q115" s="347">
        <v>185.32782416601319</v>
      </c>
      <c r="R115" s="37"/>
      <c r="S115" s="465" t="s">
        <v>69</v>
      </c>
      <c r="T115" s="465" t="s">
        <v>69</v>
      </c>
      <c r="U115" s="465" t="s">
        <v>69</v>
      </c>
      <c r="V115" s="465" t="s">
        <v>69</v>
      </c>
      <c r="W115" s="465" t="s">
        <v>76</v>
      </c>
      <c r="X115" s="37"/>
      <c r="Y115" s="37"/>
      <c r="Z115" s="465" t="s">
        <v>78</v>
      </c>
      <c r="AA115" s="465" t="s">
        <v>78</v>
      </c>
      <c r="AB115" s="37"/>
      <c r="AC115" s="474">
        <v>12.202739726027396</v>
      </c>
      <c r="AD115" s="465" t="s">
        <v>72</v>
      </c>
      <c r="AE115" s="344" t="s">
        <v>73</v>
      </c>
      <c r="AF115" s="822"/>
      <c r="AG115" s="822"/>
      <c r="AH115" s="822"/>
      <c r="AI115" s="822"/>
      <c r="AJ115" s="822"/>
      <c r="AK115" s="822"/>
      <c r="AL115" s="822"/>
      <c r="AM115" s="822"/>
      <c r="AN115" s="822"/>
      <c r="AO115" s="822"/>
      <c r="AP115" s="822"/>
      <c r="AQ115" s="822"/>
      <c r="AR115" s="822"/>
      <c r="AS115" s="822"/>
      <c r="AT115" s="822"/>
      <c r="AU115" s="822"/>
      <c r="AV115" s="822"/>
      <c r="AW115" s="822"/>
      <c r="AX115" s="822"/>
      <c r="AY115" s="822"/>
      <c r="AZ115" s="822"/>
      <c r="BA115" s="822"/>
      <c r="BB115" s="822"/>
      <c r="BC115" s="822"/>
      <c r="BD115" s="822"/>
      <c r="BE115" s="822"/>
      <c r="BF115" s="822"/>
      <c r="BG115" s="822"/>
      <c r="BH115" s="822"/>
      <c r="BI115" s="822"/>
      <c r="BJ115" s="822"/>
      <c r="BK115" s="822"/>
      <c r="BL115" s="822"/>
      <c r="BM115" s="822"/>
      <c r="BN115" s="822"/>
      <c r="BO115" s="822"/>
      <c r="BP115" s="822"/>
      <c r="BQ115" s="822"/>
      <c r="BR115" s="822"/>
      <c r="BS115" s="822"/>
      <c r="BT115" s="822"/>
      <c r="BU115" s="822"/>
      <c r="BV115" s="822"/>
      <c r="BW115" s="822"/>
      <c r="BX115" s="822"/>
      <c r="BY115" s="822"/>
      <c r="BZ115" s="822"/>
      <c r="CA115" s="822"/>
      <c r="CB115" s="822"/>
      <c r="CC115" s="822"/>
      <c r="CD115" s="822"/>
      <c r="CE115" s="822"/>
      <c r="CF115" s="822"/>
      <c r="CG115" s="822"/>
      <c r="CH115" s="822"/>
      <c r="CI115" s="822"/>
      <c r="CJ115" s="392"/>
      <c r="CK115" s="392"/>
      <c r="CL115" s="392"/>
      <c r="CM115" s="392"/>
      <c r="CN115" s="392"/>
      <c r="CO115" s="392"/>
      <c r="CP115" s="392"/>
      <c r="CQ115" s="392"/>
      <c r="CR115" s="392"/>
      <c r="CS115" s="392"/>
      <c r="CT115" s="392"/>
      <c r="CU115" s="392"/>
      <c r="CV115" s="392"/>
      <c r="CW115" s="392"/>
      <c r="CX115" s="392"/>
      <c r="CY115" s="392"/>
      <c r="CZ115" s="392"/>
      <c r="DA115" s="392"/>
      <c r="DB115" s="392"/>
      <c r="DC115" s="392"/>
    </row>
    <row r="116" spans="1:107" s="337" customFormat="1" ht="56.25">
      <c r="A116" s="37"/>
      <c r="B116" s="464" t="s">
        <v>23</v>
      </c>
      <c r="C116" s="465" t="s">
        <v>499</v>
      </c>
      <c r="D116" s="348" t="s">
        <v>1226</v>
      </c>
      <c r="E116" s="467">
        <v>3705.1477049846249</v>
      </c>
      <c r="F116" s="465" t="s">
        <v>27</v>
      </c>
      <c r="G116" s="468">
        <v>0.66609954826932927</v>
      </c>
      <c r="H116" s="465" t="s">
        <v>66</v>
      </c>
      <c r="I116" s="469">
        <v>0.58665934423576938</v>
      </c>
      <c r="J116" s="344" t="s">
        <v>1097</v>
      </c>
      <c r="K116" s="344" t="s">
        <v>1012</v>
      </c>
      <c r="L116" s="344" t="s">
        <v>1228</v>
      </c>
      <c r="M116" s="472" t="s">
        <v>93</v>
      </c>
      <c r="N116" s="347">
        <v>290.57174729024797</v>
      </c>
      <c r="O116" s="473">
        <v>440.15358239428133</v>
      </c>
      <c r="P116" s="347">
        <v>236.9277324058944</v>
      </c>
      <c r="Q116" s="347">
        <v>208.49380218676484</v>
      </c>
      <c r="R116" s="37"/>
      <c r="S116" s="465" t="s">
        <v>69</v>
      </c>
      <c r="T116" s="465" t="s">
        <v>69</v>
      </c>
      <c r="U116" s="344" t="s">
        <v>44</v>
      </c>
      <c r="V116" s="344" t="s">
        <v>75</v>
      </c>
      <c r="W116" s="465" t="s">
        <v>76</v>
      </c>
      <c r="X116" s="37"/>
      <c r="Y116" s="37"/>
      <c r="Z116" s="465" t="s">
        <v>78</v>
      </c>
      <c r="AA116" s="465" t="s">
        <v>78</v>
      </c>
      <c r="AB116" s="37"/>
      <c r="AC116" s="474">
        <v>12.202739726027396</v>
      </c>
      <c r="AD116" s="465" t="s">
        <v>72</v>
      </c>
      <c r="AE116" s="344" t="s">
        <v>73</v>
      </c>
      <c r="AF116" s="822"/>
      <c r="AG116" s="822"/>
      <c r="AH116" s="822"/>
      <c r="AI116" s="822"/>
      <c r="AJ116" s="822"/>
      <c r="AK116" s="822"/>
      <c r="AL116" s="822"/>
      <c r="AM116" s="822"/>
      <c r="AN116" s="822"/>
      <c r="AO116" s="822"/>
      <c r="AP116" s="822"/>
      <c r="AQ116" s="822"/>
      <c r="AR116" s="822"/>
      <c r="AS116" s="822"/>
      <c r="AT116" s="822"/>
      <c r="AU116" s="822"/>
      <c r="AV116" s="822"/>
      <c r="AW116" s="822"/>
      <c r="AX116" s="822"/>
      <c r="AY116" s="822"/>
      <c r="AZ116" s="822"/>
      <c r="BA116" s="822"/>
      <c r="BB116" s="822"/>
      <c r="BC116" s="822"/>
      <c r="BD116" s="822"/>
      <c r="BE116" s="822"/>
      <c r="BF116" s="822"/>
      <c r="BG116" s="822"/>
      <c r="BH116" s="822"/>
      <c r="BI116" s="822"/>
      <c r="BJ116" s="822"/>
      <c r="BK116" s="822"/>
      <c r="BL116" s="822"/>
      <c r="BM116" s="822"/>
      <c r="BN116" s="822"/>
      <c r="BO116" s="822"/>
      <c r="BP116" s="822"/>
      <c r="BQ116" s="822"/>
      <c r="BR116" s="822"/>
      <c r="BS116" s="822"/>
      <c r="BT116" s="822"/>
      <c r="BU116" s="822"/>
      <c r="BV116" s="822"/>
      <c r="BW116" s="822"/>
      <c r="BX116" s="822"/>
      <c r="BY116" s="822"/>
      <c r="BZ116" s="822"/>
      <c r="CA116" s="822"/>
      <c r="CB116" s="822"/>
      <c r="CC116" s="822"/>
      <c r="CD116" s="822"/>
      <c r="CE116" s="822"/>
      <c r="CF116" s="822"/>
      <c r="CG116" s="822"/>
      <c r="CH116" s="822"/>
      <c r="CI116" s="822"/>
      <c r="CJ116" s="392"/>
      <c r="CK116" s="392"/>
      <c r="CL116" s="392"/>
      <c r="CM116" s="392"/>
      <c r="CN116" s="392"/>
      <c r="CO116" s="392"/>
      <c r="CP116" s="392"/>
      <c r="CQ116" s="392"/>
      <c r="CR116" s="392"/>
      <c r="CS116" s="392"/>
      <c r="CT116" s="392"/>
      <c r="CU116" s="392"/>
      <c r="CV116" s="392"/>
      <c r="CW116" s="392"/>
      <c r="CX116" s="392"/>
      <c r="CY116" s="392"/>
      <c r="CZ116" s="392"/>
      <c r="DA116" s="392"/>
      <c r="DB116" s="392"/>
      <c r="DC116" s="392"/>
    </row>
    <row r="117" spans="1:107" s="337" customFormat="1" ht="56.25">
      <c r="A117" s="37"/>
      <c r="B117" s="464" t="s">
        <v>23</v>
      </c>
      <c r="C117" s="465" t="s">
        <v>499</v>
      </c>
      <c r="D117" s="348" t="s">
        <v>1226</v>
      </c>
      <c r="E117" s="467">
        <v>3705.1477049846249</v>
      </c>
      <c r="F117" s="465" t="s">
        <v>27</v>
      </c>
      <c r="G117" s="468">
        <v>0.66609954826932927</v>
      </c>
      <c r="H117" s="465" t="s">
        <v>66</v>
      </c>
      <c r="I117" s="469">
        <v>0.58665934423576938</v>
      </c>
      <c r="J117" s="344" t="s">
        <v>1097</v>
      </c>
      <c r="K117" s="344" t="s">
        <v>1012</v>
      </c>
      <c r="L117" s="472" t="s">
        <v>1227</v>
      </c>
      <c r="M117" s="472" t="s">
        <v>88</v>
      </c>
      <c r="N117" s="347">
        <v>505.35181019114407</v>
      </c>
      <c r="O117" s="473">
        <v>277.99173624901977</v>
      </c>
      <c r="P117" s="347">
        <v>431.89951219824519</v>
      </c>
      <c r="Q117" s="347">
        <v>46.331956041503283</v>
      </c>
      <c r="R117" s="37"/>
      <c r="S117" s="465" t="s">
        <v>44</v>
      </c>
      <c r="T117" s="344" t="s">
        <v>63</v>
      </c>
      <c r="U117" s="465" t="s">
        <v>69</v>
      </c>
      <c r="V117" s="465" t="s">
        <v>69</v>
      </c>
      <c r="W117" s="465" t="s">
        <v>76</v>
      </c>
      <c r="X117" s="37"/>
      <c r="Y117" s="37"/>
      <c r="Z117" s="465" t="s">
        <v>78</v>
      </c>
      <c r="AA117" s="465" t="s">
        <v>78</v>
      </c>
      <c r="AB117" s="37"/>
      <c r="AC117" s="474">
        <v>12.202739726027396</v>
      </c>
      <c r="AD117" s="465" t="s">
        <v>72</v>
      </c>
      <c r="AE117" s="344" t="s">
        <v>73</v>
      </c>
      <c r="AF117" s="822"/>
      <c r="AG117" s="822"/>
      <c r="AH117" s="822"/>
      <c r="AI117" s="822"/>
      <c r="AJ117" s="822"/>
      <c r="AK117" s="822"/>
      <c r="AL117" s="822"/>
      <c r="AM117" s="822"/>
      <c r="AN117" s="822"/>
      <c r="AO117" s="822"/>
      <c r="AP117" s="822"/>
      <c r="AQ117" s="822"/>
      <c r="AR117" s="822"/>
      <c r="AS117" s="822"/>
      <c r="AT117" s="822"/>
      <c r="AU117" s="822"/>
      <c r="AV117" s="822"/>
      <c r="AW117" s="822"/>
      <c r="AX117" s="822"/>
      <c r="AY117" s="822"/>
      <c r="AZ117" s="822"/>
      <c r="BA117" s="822"/>
      <c r="BB117" s="822"/>
      <c r="BC117" s="822"/>
      <c r="BD117" s="822"/>
      <c r="BE117" s="822"/>
      <c r="BF117" s="822"/>
      <c r="BG117" s="822"/>
      <c r="BH117" s="822"/>
      <c r="BI117" s="822"/>
      <c r="BJ117" s="822"/>
      <c r="BK117" s="822"/>
      <c r="BL117" s="822"/>
      <c r="BM117" s="822"/>
      <c r="BN117" s="822"/>
      <c r="BO117" s="822"/>
      <c r="BP117" s="822"/>
      <c r="BQ117" s="822"/>
      <c r="BR117" s="822"/>
      <c r="BS117" s="822"/>
      <c r="BT117" s="822"/>
      <c r="BU117" s="822"/>
      <c r="BV117" s="822"/>
      <c r="BW117" s="822"/>
      <c r="BX117" s="822"/>
      <c r="BY117" s="822"/>
      <c r="BZ117" s="822"/>
      <c r="CA117" s="822"/>
      <c r="CB117" s="822"/>
      <c r="CC117" s="822"/>
      <c r="CD117" s="822"/>
      <c r="CE117" s="822"/>
      <c r="CF117" s="822"/>
      <c r="CG117" s="822"/>
      <c r="CH117" s="822"/>
      <c r="CI117" s="822"/>
      <c r="CJ117" s="392"/>
      <c r="CK117" s="392"/>
      <c r="CL117" s="392"/>
      <c r="CM117" s="392"/>
      <c r="CN117" s="392"/>
      <c r="CO117" s="392"/>
      <c r="CP117" s="392"/>
      <c r="CQ117" s="392"/>
      <c r="CR117" s="392"/>
      <c r="CS117" s="392"/>
      <c r="CT117" s="392"/>
      <c r="CU117" s="392"/>
      <c r="CV117" s="392"/>
      <c r="CW117" s="392"/>
      <c r="CX117" s="392"/>
      <c r="CY117" s="392"/>
      <c r="CZ117" s="392"/>
      <c r="DA117" s="392"/>
      <c r="DB117" s="392"/>
      <c r="DC117" s="392"/>
    </row>
    <row r="118" spans="1:107" s="337" customFormat="1" ht="56.25">
      <c r="A118" s="37"/>
      <c r="B118" s="464" t="s">
        <v>23</v>
      </c>
      <c r="C118" s="465" t="s">
        <v>499</v>
      </c>
      <c r="D118" s="348" t="s">
        <v>1226</v>
      </c>
      <c r="E118" s="467">
        <v>3705.1477049846249</v>
      </c>
      <c r="F118" s="465" t="s">
        <v>27</v>
      </c>
      <c r="G118" s="468">
        <v>0.66609954826932927</v>
      </c>
      <c r="H118" s="465" t="s">
        <v>66</v>
      </c>
      <c r="I118" s="469">
        <v>0.58665934423576938</v>
      </c>
      <c r="J118" s="344" t="s">
        <v>1097</v>
      </c>
      <c r="K118" s="344" t="s">
        <v>1012</v>
      </c>
      <c r="L118" s="472" t="s">
        <v>1227</v>
      </c>
      <c r="M118" s="472" t="s">
        <v>90</v>
      </c>
      <c r="N118" s="347">
        <v>505.35181019114407</v>
      </c>
      <c r="O118" s="473">
        <v>335.90668130089892</v>
      </c>
      <c r="P118" s="347">
        <v>431.89951219824519</v>
      </c>
      <c r="Q118" s="347">
        <v>104.24690109338239</v>
      </c>
      <c r="R118" s="37"/>
      <c r="S118" s="465" t="s">
        <v>44</v>
      </c>
      <c r="T118" s="344" t="s">
        <v>63</v>
      </c>
      <c r="U118" s="465" t="s">
        <v>69</v>
      </c>
      <c r="V118" s="465" t="s">
        <v>69</v>
      </c>
      <c r="W118" s="465" t="s">
        <v>76</v>
      </c>
      <c r="X118" s="37"/>
      <c r="Y118" s="37"/>
      <c r="Z118" s="465" t="s">
        <v>78</v>
      </c>
      <c r="AA118" s="465" t="s">
        <v>78</v>
      </c>
      <c r="AB118" s="37"/>
      <c r="AC118" s="474">
        <v>12.202739726027396</v>
      </c>
      <c r="AD118" s="465" t="s">
        <v>72</v>
      </c>
      <c r="AE118" s="344" t="s">
        <v>73</v>
      </c>
      <c r="AF118" s="822"/>
      <c r="AG118" s="822"/>
      <c r="AH118" s="822"/>
      <c r="AI118" s="822"/>
      <c r="AJ118" s="822"/>
      <c r="AK118" s="822"/>
      <c r="AL118" s="822"/>
      <c r="AM118" s="822"/>
      <c r="AN118" s="822"/>
      <c r="AO118" s="822"/>
      <c r="AP118" s="822"/>
      <c r="AQ118" s="822"/>
      <c r="AR118" s="822"/>
      <c r="AS118" s="822"/>
      <c r="AT118" s="822"/>
      <c r="AU118" s="822"/>
      <c r="AV118" s="822"/>
      <c r="AW118" s="822"/>
      <c r="AX118" s="822"/>
      <c r="AY118" s="822"/>
      <c r="AZ118" s="822"/>
      <c r="BA118" s="822"/>
      <c r="BB118" s="822"/>
      <c r="BC118" s="822"/>
      <c r="BD118" s="822"/>
      <c r="BE118" s="822"/>
      <c r="BF118" s="822"/>
      <c r="BG118" s="822"/>
      <c r="BH118" s="822"/>
      <c r="BI118" s="822"/>
      <c r="BJ118" s="822"/>
      <c r="BK118" s="822"/>
      <c r="BL118" s="822"/>
      <c r="BM118" s="822"/>
      <c r="BN118" s="822"/>
      <c r="BO118" s="822"/>
      <c r="BP118" s="822"/>
      <c r="BQ118" s="822"/>
      <c r="BR118" s="822"/>
      <c r="BS118" s="822"/>
      <c r="BT118" s="822"/>
      <c r="BU118" s="822"/>
      <c r="BV118" s="822"/>
      <c r="BW118" s="822"/>
      <c r="BX118" s="822"/>
      <c r="BY118" s="822"/>
      <c r="BZ118" s="822"/>
      <c r="CA118" s="822"/>
      <c r="CB118" s="822"/>
      <c r="CC118" s="822"/>
      <c r="CD118" s="822"/>
      <c r="CE118" s="822"/>
      <c r="CF118" s="822"/>
      <c r="CG118" s="822"/>
      <c r="CH118" s="822"/>
      <c r="CI118" s="822"/>
      <c r="CJ118" s="392"/>
      <c r="CK118" s="392"/>
      <c r="CL118" s="392"/>
      <c r="CM118" s="392"/>
      <c r="CN118" s="392"/>
      <c r="CO118" s="392"/>
      <c r="CP118" s="392"/>
      <c r="CQ118" s="392"/>
      <c r="CR118" s="392"/>
      <c r="CS118" s="392"/>
      <c r="CT118" s="392"/>
      <c r="CU118" s="392"/>
      <c r="CV118" s="392"/>
      <c r="CW118" s="392"/>
      <c r="CX118" s="392"/>
      <c r="CY118" s="392"/>
      <c r="CZ118" s="392"/>
      <c r="DA118" s="392"/>
      <c r="DB118" s="392"/>
      <c r="DC118" s="392"/>
    </row>
    <row r="119" spans="1:107" s="337" customFormat="1" ht="56.25">
      <c r="A119" s="37"/>
      <c r="B119" s="464" t="s">
        <v>23</v>
      </c>
      <c r="C119" s="465" t="s">
        <v>499</v>
      </c>
      <c r="D119" s="348" t="s">
        <v>1226</v>
      </c>
      <c r="E119" s="467">
        <v>3705.1477049846249</v>
      </c>
      <c r="F119" s="465" t="s">
        <v>27</v>
      </c>
      <c r="G119" s="468">
        <v>0.66609954826932927</v>
      </c>
      <c r="H119" s="465" t="s">
        <v>66</v>
      </c>
      <c r="I119" s="469">
        <v>0.58665934423576938</v>
      </c>
      <c r="J119" s="344" t="s">
        <v>1097</v>
      </c>
      <c r="K119" s="344" t="s">
        <v>1012</v>
      </c>
      <c r="L119" s="472" t="s">
        <v>1227</v>
      </c>
      <c r="M119" s="472" t="s">
        <v>92</v>
      </c>
      <c r="N119" s="347">
        <v>505.35181019114407</v>
      </c>
      <c r="O119" s="473">
        <v>416.98760437352968</v>
      </c>
      <c r="P119" s="347">
        <v>431.89951219824519</v>
      </c>
      <c r="Q119" s="347">
        <v>185.32782416601319</v>
      </c>
      <c r="R119" s="37"/>
      <c r="S119" s="465" t="s">
        <v>44</v>
      </c>
      <c r="T119" s="344" t="s">
        <v>63</v>
      </c>
      <c r="U119" s="465" t="s">
        <v>69</v>
      </c>
      <c r="V119" s="465" t="s">
        <v>69</v>
      </c>
      <c r="W119" s="465" t="s">
        <v>76</v>
      </c>
      <c r="X119" s="37"/>
      <c r="Y119" s="37"/>
      <c r="Z119" s="465" t="s">
        <v>78</v>
      </c>
      <c r="AA119" s="465" t="s">
        <v>78</v>
      </c>
      <c r="AB119" s="37"/>
      <c r="AC119" s="474">
        <v>12.202739726027396</v>
      </c>
      <c r="AD119" s="465" t="s">
        <v>72</v>
      </c>
      <c r="AE119" s="344" t="s">
        <v>73</v>
      </c>
      <c r="AF119" s="822"/>
      <c r="AG119" s="822"/>
      <c r="AH119" s="822"/>
      <c r="AI119" s="822"/>
      <c r="AJ119" s="822"/>
      <c r="AK119" s="822"/>
      <c r="AL119" s="822"/>
      <c r="AM119" s="822"/>
      <c r="AN119" s="822"/>
      <c r="AO119" s="822"/>
      <c r="AP119" s="822"/>
      <c r="AQ119" s="822"/>
      <c r="AR119" s="822"/>
      <c r="AS119" s="822"/>
      <c r="AT119" s="822"/>
      <c r="AU119" s="822"/>
      <c r="AV119" s="822"/>
      <c r="AW119" s="822"/>
      <c r="AX119" s="822"/>
      <c r="AY119" s="822"/>
      <c r="AZ119" s="822"/>
      <c r="BA119" s="822"/>
      <c r="BB119" s="822"/>
      <c r="BC119" s="822"/>
      <c r="BD119" s="822"/>
      <c r="BE119" s="822"/>
      <c r="BF119" s="822"/>
      <c r="BG119" s="822"/>
      <c r="BH119" s="822"/>
      <c r="BI119" s="822"/>
      <c r="BJ119" s="822"/>
      <c r="BK119" s="822"/>
      <c r="BL119" s="822"/>
      <c r="BM119" s="822"/>
      <c r="BN119" s="822"/>
      <c r="BO119" s="822"/>
      <c r="BP119" s="822"/>
      <c r="BQ119" s="822"/>
      <c r="BR119" s="822"/>
      <c r="BS119" s="822"/>
      <c r="BT119" s="822"/>
      <c r="BU119" s="822"/>
      <c r="BV119" s="822"/>
      <c r="BW119" s="822"/>
      <c r="BX119" s="822"/>
      <c r="BY119" s="822"/>
      <c r="BZ119" s="822"/>
      <c r="CA119" s="822"/>
      <c r="CB119" s="822"/>
      <c r="CC119" s="822"/>
      <c r="CD119" s="822"/>
      <c r="CE119" s="822"/>
      <c r="CF119" s="822"/>
      <c r="CG119" s="822"/>
      <c r="CH119" s="822"/>
      <c r="CI119" s="822"/>
      <c r="CJ119" s="392"/>
      <c r="CK119" s="392"/>
      <c r="CL119" s="392"/>
      <c r="CM119" s="392"/>
      <c r="CN119" s="392"/>
      <c r="CO119" s="392"/>
      <c r="CP119" s="392"/>
      <c r="CQ119" s="392"/>
      <c r="CR119" s="392"/>
      <c r="CS119" s="392"/>
      <c r="CT119" s="392"/>
      <c r="CU119" s="392"/>
      <c r="CV119" s="392"/>
      <c r="CW119" s="392"/>
      <c r="CX119" s="392"/>
      <c r="CY119" s="392"/>
      <c r="CZ119" s="392"/>
      <c r="DA119" s="392"/>
      <c r="DB119" s="392"/>
      <c r="DC119" s="392"/>
    </row>
    <row r="120" spans="1:107" s="337" customFormat="1" ht="56.25">
      <c r="A120" s="37"/>
      <c r="B120" s="464" t="s">
        <v>23</v>
      </c>
      <c r="C120" s="465" t="s">
        <v>499</v>
      </c>
      <c r="D120" s="348" t="s">
        <v>1226</v>
      </c>
      <c r="E120" s="467">
        <v>3705.1477049846249</v>
      </c>
      <c r="F120" s="465" t="s">
        <v>27</v>
      </c>
      <c r="G120" s="468">
        <v>0.66609954826932927</v>
      </c>
      <c r="H120" s="465" t="s">
        <v>66</v>
      </c>
      <c r="I120" s="469">
        <v>0.58665934423576938</v>
      </c>
      <c r="J120" s="344" t="s">
        <v>1097</v>
      </c>
      <c r="K120" s="344" t="s">
        <v>1012</v>
      </c>
      <c r="L120" s="472" t="s">
        <v>1227</v>
      </c>
      <c r="M120" s="472" t="s">
        <v>93</v>
      </c>
      <c r="N120" s="347">
        <v>505.35181019114407</v>
      </c>
      <c r="O120" s="473">
        <v>440.15358239428133</v>
      </c>
      <c r="P120" s="347">
        <v>431.89951219824519</v>
      </c>
      <c r="Q120" s="347">
        <v>208.49380218676484</v>
      </c>
      <c r="R120" s="37"/>
      <c r="S120" s="465" t="s">
        <v>44</v>
      </c>
      <c r="T120" s="344" t="s">
        <v>63</v>
      </c>
      <c r="U120" s="344" t="s">
        <v>44</v>
      </c>
      <c r="V120" s="344" t="s">
        <v>75</v>
      </c>
      <c r="W120" s="465" t="s">
        <v>76</v>
      </c>
      <c r="X120" s="37"/>
      <c r="Y120" s="37"/>
      <c r="Z120" s="465" t="s">
        <v>78</v>
      </c>
      <c r="AA120" s="465" t="s">
        <v>78</v>
      </c>
      <c r="AB120" s="37"/>
      <c r="AC120" s="474">
        <v>12.202739726027396</v>
      </c>
      <c r="AD120" s="465" t="s">
        <v>72</v>
      </c>
      <c r="AE120" s="344" t="s">
        <v>73</v>
      </c>
      <c r="AF120" s="822"/>
      <c r="AG120" s="822"/>
      <c r="AH120" s="822"/>
      <c r="AI120" s="822"/>
      <c r="AJ120" s="822"/>
      <c r="AK120" s="822"/>
      <c r="AL120" s="822"/>
      <c r="AM120" s="822"/>
      <c r="AN120" s="822"/>
      <c r="AO120" s="822"/>
      <c r="AP120" s="822"/>
      <c r="AQ120" s="822"/>
      <c r="AR120" s="822"/>
      <c r="AS120" s="822"/>
      <c r="AT120" s="822"/>
      <c r="AU120" s="822"/>
      <c r="AV120" s="822"/>
      <c r="AW120" s="822"/>
      <c r="AX120" s="822"/>
      <c r="AY120" s="822"/>
      <c r="AZ120" s="822"/>
      <c r="BA120" s="822"/>
      <c r="BB120" s="822"/>
      <c r="BC120" s="822"/>
      <c r="BD120" s="822"/>
      <c r="BE120" s="822"/>
      <c r="BF120" s="822"/>
      <c r="BG120" s="822"/>
      <c r="BH120" s="822"/>
      <c r="BI120" s="822"/>
      <c r="BJ120" s="822"/>
      <c r="BK120" s="822"/>
      <c r="BL120" s="822"/>
      <c r="BM120" s="822"/>
      <c r="BN120" s="822"/>
      <c r="BO120" s="822"/>
      <c r="BP120" s="822"/>
      <c r="BQ120" s="822"/>
      <c r="BR120" s="822"/>
      <c r="BS120" s="822"/>
      <c r="BT120" s="822"/>
      <c r="BU120" s="822"/>
      <c r="BV120" s="822"/>
      <c r="BW120" s="822"/>
      <c r="BX120" s="822"/>
      <c r="BY120" s="822"/>
      <c r="BZ120" s="822"/>
      <c r="CA120" s="822"/>
      <c r="CB120" s="822"/>
      <c r="CC120" s="822"/>
      <c r="CD120" s="822"/>
      <c r="CE120" s="822"/>
      <c r="CF120" s="822"/>
      <c r="CG120" s="822"/>
      <c r="CH120" s="822"/>
      <c r="CI120" s="822"/>
      <c r="CJ120" s="392"/>
      <c r="CK120" s="392"/>
      <c r="CL120" s="392"/>
      <c r="CM120" s="392"/>
      <c r="CN120" s="392"/>
      <c r="CO120" s="392"/>
      <c r="CP120" s="392"/>
      <c r="CQ120" s="392"/>
      <c r="CR120" s="392"/>
      <c r="CS120" s="392"/>
      <c r="CT120" s="392"/>
      <c r="CU120" s="392"/>
      <c r="CV120" s="392"/>
      <c r="CW120" s="392"/>
      <c r="CX120" s="392"/>
      <c r="CY120" s="392"/>
      <c r="CZ120" s="392"/>
      <c r="DA120" s="392"/>
      <c r="DB120" s="392"/>
      <c r="DC120" s="392"/>
    </row>
    <row r="121" spans="1:107" s="337" customFormat="1" ht="24">
      <c r="A121" s="37"/>
      <c r="B121" s="464" t="s">
        <v>23</v>
      </c>
      <c r="C121" s="465" t="s">
        <v>499</v>
      </c>
      <c r="D121" s="348" t="s">
        <v>1226</v>
      </c>
      <c r="E121" s="467">
        <v>3705.1477049846249</v>
      </c>
      <c r="F121" s="465" t="s">
        <v>24</v>
      </c>
      <c r="G121" s="468">
        <v>5.6103825970068889E-2</v>
      </c>
      <c r="H121" s="465" t="s">
        <v>66</v>
      </c>
      <c r="I121" s="469">
        <v>0.9589143169529637</v>
      </c>
      <c r="J121" s="344" t="s">
        <v>25</v>
      </c>
      <c r="K121" s="344" t="s">
        <v>1012</v>
      </c>
      <c r="L121" s="344" t="s">
        <v>1227</v>
      </c>
      <c r="M121" s="472" t="s">
        <v>88</v>
      </c>
      <c r="N121" s="347">
        <v>38.376546837019859</v>
      </c>
      <c r="O121" s="473">
        <v>38.271813005123683</v>
      </c>
      <c r="P121" s="347">
        <v>38.376546837019859</v>
      </c>
      <c r="Q121" s="347">
        <v>6.3786355008539442</v>
      </c>
      <c r="R121" s="37"/>
      <c r="S121" s="465" t="s">
        <v>44</v>
      </c>
      <c r="T121" s="344" t="s">
        <v>63</v>
      </c>
      <c r="U121" s="465" t="s">
        <v>69</v>
      </c>
      <c r="V121" s="465" t="s">
        <v>69</v>
      </c>
      <c r="W121" s="465" t="s">
        <v>76</v>
      </c>
      <c r="X121" s="37"/>
      <c r="Y121" s="37"/>
      <c r="Z121" s="465" t="s">
        <v>78</v>
      </c>
      <c r="AA121" s="465" t="s">
        <v>78</v>
      </c>
      <c r="AB121" s="37"/>
      <c r="AC121" s="474">
        <v>12.202739726027396</v>
      </c>
      <c r="AD121" s="465" t="s">
        <v>72</v>
      </c>
      <c r="AE121" s="344" t="s">
        <v>73</v>
      </c>
      <c r="AF121" s="822"/>
      <c r="AG121" s="822"/>
      <c r="AH121" s="822"/>
      <c r="AI121" s="822"/>
      <c r="AJ121" s="822"/>
      <c r="AK121" s="822"/>
      <c r="AL121" s="822"/>
      <c r="AM121" s="822"/>
      <c r="AN121" s="822"/>
      <c r="AO121" s="822"/>
      <c r="AP121" s="822"/>
      <c r="AQ121" s="822"/>
      <c r="AR121" s="822"/>
      <c r="AS121" s="822"/>
      <c r="AT121" s="822"/>
      <c r="AU121" s="822"/>
      <c r="AV121" s="822"/>
      <c r="AW121" s="822"/>
      <c r="AX121" s="822"/>
      <c r="AY121" s="822"/>
      <c r="AZ121" s="822"/>
      <c r="BA121" s="822"/>
      <c r="BB121" s="822"/>
      <c r="BC121" s="822"/>
      <c r="BD121" s="822"/>
      <c r="BE121" s="822"/>
      <c r="BF121" s="822"/>
      <c r="BG121" s="822"/>
      <c r="BH121" s="822"/>
      <c r="BI121" s="822"/>
      <c r="BJ121" s="822"/>
      <c r="BK121" s="822"/>
      <c r="BL121" s="822"/>
      <c r="BM121" s="822"/>
      <c r="BN121" s="822"/>
      <c r="BO121" s="822"/>
      <c r="BP121" s="822"/>
      <c r="BQ121" s="822"/>
      <c r="BR121" s="822"/>
      <c r="BS121" s="822"/>
      <c r="BT121" s="822"/>
      <c r="BU121" s="822"/>
      <c r="BV121" s="822"/>
      <c r="BW121" s="822"/>
      <c r="BX121" s="822"/>
      <c r="BY121" s="822"/>
      <c r="BZ121" s="822"/>
      <c r="CA121" s="822"/>
      <c r="CB121" s="822"/>
      <c r="CC121" s="822"/>
      <c r="CD121" s="822"/>
      <c r="CE121" s="822"/>
      <c r="CF121" s="822"/>
      <c r="CG121" s="822"/>
      <c r="CH121" s="822"/>
      <c r="CI121" s="822"/>
      <c r="CJ121" s="392"/>
      <c r="CK121" s="392"/>
      <c r="CL121" s="392"/>
      <c r="CM121" s="392"/>
      <c r="CN121" s="392"/>
      <c r="CO121" s="392"/>
      <c r="CP121" s="392"/>
      <c r="CQ121" s="392"/>
      <c r="CR121" s="392"/>
      <c r="CS121" s="392"/>
      <c r="CT121" s="392"/>
      <c r="CU121" s="392"/>
      <c r="CV121" s="392"/>
      <c r="CW121" s="392"/>
      <c r="CX121" s="392"/>
      <c r="CY121" s="392"/>
      <c r="CZ121" s="392"/>
      <c r="DA121" s="392"/>
      <c r="DB121" s="392"/>
      <c r="DC121" s="392"/>
    </row>
    <row r="122" spans="1:107" s="337" customFormat="1" ht="24">
      <c r="A122" s="37"/>
      <c r="B122" s="464" t="s">
        <v>23</v>
      </c>
      <c r="C122" s="465" t="s">
        <v>499</v>
      </c>
      <c r="D122" s="348" t="s">
        <v>1226</v>
      </c>
      <c r="E122" s="467">
        <v>3705.1477049846249</v>
      </c>
      <c r="F122" s="465" t="s">
        <v>24</v>
      </c>
      <c r="G122" s="468">
        <v>5.6103825970068889E-2</v>
      </c>
      <c r="H122" s="465" t="s">
        <v>66</v>
      </c>
      <c r="I122" s="469">
        <v>0.9589143169529637</v>
      </c>
      <c r="J122" s="344" t="s">
        <v>25</v>
      </c>
      <c r="K122" s="344" t="s">
        <v>1012</v>
      </c>
      <c r="L122" s="344" t="s">
        <v>1227</v>
      </c>
      <c r="M122" s="472" t="s">
        <v>90</v>
      </c>
      <c r="N122" s="347">
        <v>38.376546837019859</v>
      </c>
      <c r="O122" s="473">
        <v>46.245107381191119</v>
      </c>
      <c r="P122" s="347">
        <v>38.376546837019859</v>
      </c>
      <c r="Q122" s="347">
        <v>14.351929876921377</v>
      </c>
      <c r="R122" s="37"/>
      <c r="S122" s="465" t="s">
        <v>44</v>
      </c>
      <c r="T122" s="344" t="s">
        <v>63</v>
      </c>
      <c r="U122" s="465" t="s">
        <v>69</v>
      </c>
      <c r="V122" s="465" t="s">
        <v>69</v>
      </c>
      <c r="W122" s="465" t="s">
        <v>76</v>
      </c>
      <c r="X122" s="37"/>
      <c r="Y122" s="37"/>
      <c r="Z122" s="465" t="s">
        <v>78</v>
      </c>
      <c r="AA122" s="465" t="s">
        <v>78</v>
      </c>
      <c r="AB122" s="37"/>
      <c r="AC122" s="474">
        <v>12.202739726027396</v>
      </c>
      <c r="AD122" s="465" t="s">
        <v>72</v>
      </c>
      <c r="AE122" s="344" t="s">
        <v>73</v>
      </c>
      <c r="AF122" s="822"/>
      <c r="AG122" s="822"/>
      <c r="AH122" s="822"/>
      <c r="AI122" s="822"/>
      <c r="AJ122" s="822"/>
      <c r="AK122" s="822"/>
      <c r="AL122" s="822"/>
      <c r="AM122" s="822"/>
      <c r="AN122" s="822"/>
      <c r="AO122" s="822"/>
      <c r="AP122" s="822"/>
      <c r="AQ122" s="822"/>
      <c r="AR122" s="822"/>
      <c r="AS122" s="822"/>
      <c r="AT122" s="822"/>
      <c r="AU122" s="822"/>
      <c r="AV122" s="822"/>
      <c r="AW122" s="822"/>
      <c r="AX122" s="822"/>
      <c r="AY122" s="822"/>
      <c r="AZ122" s="822"/>
      <c r="BA122" s="822"/>
      <c r="BB122" s="822"/>
      <c r="BC122" s="822"/>
      <c r="BD122" s="822"/>
      <c r="BE122" s="822"/>
      <c r="BF122" s="822"/>
      <c r="BG122" s="822"/>
      <c r="BH122" s="822"/>
      <c r="BI122" s="822"/>
      <c r="BJ122" s="822"/>
      <c r="BK122" s="822"/>
      <c r="BL122" s="822"/>
      <c r="BM122" s="822"/>
      <c r="BN122" s="822"/>
      <c r="BO122" s="822"/>
      <c r="BP122" s="822"/>
      <c r="BQ122" s="822"/>
      <c r="BR122" s="822"/>
      <c r="BS122" s="822"/>
      <c r="BT122" s="822"/>
      <c r="BU122" s="822"/>
      <c r="BV122" s="822"/>
      <c r="BW122" s="822"/>
      <c r="BX122" s="822"/>
      <c r="BY122" s="822"/>
      <c r="BZ122" s="822"/>
      <c r="CA122" s="822"/>
      <c r="CB122" s="822"/>
      <c r="CC122" s="822"/>
      <c r="CD122" s="822"/>
      <c r="CE122" s="822"/>
      <c r="CF122" s="822"/>
      <c r="CG122" s="822"/>
      <c r="CH122" s="822"/>
      <c r="CI122" s="822"/>
      <c r="CJ122" s="392"/>
      <c r="CK122" s="392"/>
      <c r="CL122" s="392"/>
      <c r="CM122" s="392"/>
      <c r="CN122" s="392"/>
      <c r="CO122" s="392"/>
      <c r="CP122" s="392"/>
      <c r="CQ122" s="392"/>
      <c r="CR122" s="392"/>
      <c r="CS122" s="392"/>
      <c r="CT122" s="392"/>
      <c r="CU122" s="392"/>
      <c r="CV122" s="392"/>
      <c r="CW122" s="392"/>
      <c r="CX122" s="392"/>
      <c r="CY122" s="392"/>
      <c r="CZ122" s="392"/>
      <c r="DA122" s="392"/>
      <c r="DB122" s="392"/>
      <c r="DC122" s="392"/>
    </row>
    <row r="123" spans="1:107" s="337" customFormat="1" ht="24">
      <c r="A123" s="37"/>
      <c r="B123" s="464" t="s">
        <v>23</v>
      </c>
      <c r="C123" s="465" t="s">
        <v>499</v>
      </c>
      <c r="D123" s="348" t="s">
        <v>1226</v>
      </c>
      <c r="E123" s="467">
        <v>3705.1477049846249</v>
      </c>
      <c r="F123" s="465" t="s">
        <v>24</v>
      </c>
      <c r="G123" s="468">
        <v>5.6103825970068889E-2</v>
      </c>
      <c r="H123" s="465" t="s">
        <v>66</v>
      </c>
      <c r="I123" s="469">
        <v>0.9589143169529637</v>
      </c>
      <c r="J123" s="344" t="s">
        <v>25</v>
      </c>
      <c r="K123" s="344" t="s">
        <v>1012</v>
      </c>
      <c r="L123" s="344" t="s">
        <v>1227</v>
      </c>
      <c r="M123" s="472" t="s">
        <v>92</v>
      </c>
      <c r="N123" s="347">
        <v>38.376546837019859</v>
      </c>
      <c r="O123" s="473">
        <v>57.40771950768552</v>
      </c>
      <c r="P123" s="347">
        <v>38.376546837019859</v>
      </c>
      <c r="Q123" s="347">
        <v>25.514542003415787</v>
      </c>
      <c r="R123" s="37"/>
      <c r="S123" s="465" t="s">
        <v>44</v>
      </c>
      <c r="T123" s="344" t="s">
        <v>63</v>
      </c>
      <c r="U123" s="465" t="s">
        <v>69</v>
      </c>
      <c r="V123" s="465" t="s">
        <v>69</v>
      </c>
      <c r="W123" s="465" t="s">
        <v>76</v>
      </c>
      <c r="X123" s="37"/>
      <c r="Y123" s="37"/>
      <c r="Z123" s="465" t="s">
        <v>78</v>
      </c>
      <c r="AA123" s="465" t="s">
        <v>78</v>
      </c>
      <c r="AB123" s="37"/>
      <c r="AC123" s="474">
        <v>12.202739726027396</v>
      </c>
      <c r="AD123" s="465" t="s">
        <v>72</v>
      </c>
      <c r="AE123" s="344" t="s">
        <v>73</v>
      </c>
      <c r="AF123" s="822"/>
      <c r="AG123" s="822"/>
      <c r="AH123" s="822"/>
      <c r="AI123" s="822"/>
      <c r="AJ123" s="822"/>
      <c r="AK123" s="822"/>
      <c r="AL123" s="822"/>
      <c r="AM123" s="822"/>
      <c r="AN123" s="822"/>
      <c r="AO123" s="822"/>
      <c r="AP123" s="822"/>
      <c r="AQ123" s="822"/>
      <c r="AR123" s="822"/>
      <c r="AS123" s="822"/>
      <c r="AT123" s="822"/>
      <c r="AU123" s="822"/>
      <c r="AV123" s="822"/>
      <c r="AW123" s="822"/>
      <c r="AX123" s="822"/>
      <c r="AY123" s="822"/>
      <c r="AZ123" s="822"/>
      <c r="BA123" s="822"/>
      <c r="BB123" s="822"/>
      <c r="BC123" s="822"/>
      <c r="BD123" s="822"/>
      <c r="BE123" s="822"/>
      <c r="BF123" s="822"/>
      <c r="BG123" s="822"/>
      <c r="BH123" s="822"/>
      <c r="BI123" s="822"/>
      <c r="BJ123" s="822"/>
      <c r="BK123" s="822"/>
      <c r="BL123" s="822"/>
      <c r="BM123" s="822"/>
      <c r="BN123" s="822"/>
      <c r="BO123" s="822"/>
      <c r="BP123" s="822"/>
      <c r="BQ123" s="822"/>
      <c r="BR123" s="822"/>
      <c r="BS123" s="822"/>
      <c r="BT123" s="822"/>
      <c r="BU123" s="822"/>
      <c r="BV123" s="822"/>
      <c r="BW123" s="822"/>
      <c r="BX123" s="822"/>
      <c r="BY123" s="822"/>
      <c r="BZ123" s="822"/>
      <c r="CA123" s="822"/>
      <c r="CB123" s="822"/>
      <c r="CC123" s="822"/>
      <c r="CD123" s="822"/>
      <c r="CE123" s="822"/>
      <c r="CF123" s="822"/>
      <c r="CG123" s="822"/>
      <c r="CH123" s="822"/>
      <c r="CI123" s="822"/>
      <c r="CJ123" s="392"/>
      <c r="CK123" s="392"/>
      <c r="CL123" s="392"/>
      <c r="CM123" s="392"/>
      <c r="CN123" s="392"/>
      <c r="CO123" s="392"/>
      <c r="CP123" s="392"/>
      <c r="CQ123" s="392"/>
      <c r="CR123" s="392"/>
      <c r="CS123" s="392"/>
      <c r="CT123" s="392"/>
      <c r="CU123" s="392"/>
      <c r="CV123" s="392"/>
      <c r="CW123" s="392"/>
      <c r="CX123" s="392"/>
      <c r="CY123" s="392"/>
      <c r="CZ123" s="392"/>
      <c r="DA123" s="392"/>
      <c r="DB123" s="392"/>
      <c r="DC123" s="392"/>
    </row>
    <row r="124" spans="1:107" s="337" customFormat="1" ht="24">
      <c r="A124" s="37"/>
      <c r="B124" s="464" t="s">
        <v>23</v>
      </c>
      <c r="C124" s="465" t="s">
        <v>499</v>
      </c>
      <c r="D124" s="348" t="s">
        <v>1226</v>
      </c>
      <c r="E124" s="467">
        <v>3705.1477049846249</v>
      </c>
      <c r="F124" s="465" t="s">
        <v>24</v>
      </c>
      <c r="G124" s="468">
        <v>5.6103825970068889E-2</v>
      </c>
      <c r="H124" s="465" t="s">
        <v>66</v>
      </c>
      <c r="I124" s="469">
        <v>0.9589143169529637</v>
      </c>
      <c r="J124" s="344" t="s">
        <v>25</v>
      </c>
      <c r="K124" s="344" t="s">
        <v>1012</v>
      </c>
      <c r="L124" s="344" t="s">
        <v>1227</v>
      </c>
      <c r="M124" s="472" t="s">
        <v>93</v>
      </c>
      <c r="N124" s="347">
        <v>38.376546837019859</v>
      </c>
      <c r="O124" s="473">
        <v>60.597037258112501</v>
      </c>
      <c r="P124" s="347">
        <v>38.376546837019859</v>
      </c>
      <c r="Q124" s="347">
        <v>28.70385975384276</v>
      </c>
      <c r="R124" s="37"/>
      <c r="S124" s="465" t="s">
        <v>44</v>
      </c>
      <c r="T124" s="344" t="s">
        <v>63</v>
      </c>
      <c r="U124" s="344" t="s">
        <v>44</v>
      </c>
      <c r="V124" s="344" t="s">
        <v>75</v>
      </c>
      <c r="W124" s="465" t="s">
        <v>76</v>
      </c>
      <c r="X124" s="37"/>
      <c r="Y124" s="37"/>
      <c r="Z124" s="465" t="s">
        <v>78</v>
      </c>
      <c r="AA124" s="465" t="s">
        <v>78</v>
      </c>
      <c r="AB124" s="37"/>
      <c r="AC124" s="474">
        <v>12.202739726027396</v>
      </c>
      <c r="AD124" s="465" t="s">
        <v>72</v>
      </c>
      <c r="AE124" s="344" t="s">
        <v>73</v>
      </c>
      <c r="AF124" s="822"/>
      <c r="AG124" s="822"/>
      <c r="AH124" s="822"/>
      <c r="AI124" s="822"/>
      <c r="AJ124" s="822"/>
      <c r="AK124" s="822"/>
      <c r="AL124" s="822"/>
      <c r="AM124" s="822"/>
      <c r="AN124" s="822"/>
      <c r="AO124" s="822"/>
      <c r="AP124" s="822"/>
      <c r="AQ124" s="822"/>
      <c r="AR124" s="822"/>
      <c r="AS124" s="822"/>
      <c r="AT124" s="822"/>
      <c r="AU124" s="822"/>
      <c r="AV124" s="822"/>
      <c r="AW124" s="822"/>
      <c r="AX124" s="822"/>
      <c r="AY124" s="822"/>
      <c r="AZ124" s="822"/>
      <c r="BA124" s="822"/>
      <c r="BB124" s="822"/>
      <c r="BC124" s="822"/>
      <c r="BD124" s="822"/>
      <c r="BE124" s="822"/>
      <c r="BF124" s="822"/>
      <c r="BG124" s="822"/>
      <c r="BH124" s="822"/>
      <c r="BI124" s="822"/>
      <c r="BJ124" s="822"/>
      <c r="BK124" s="822"/>
      <c r="BL124" s="822"/>
      <c r="BM124" s="822"/>
      <c r="BN124" s="822"/>
      <c r="BO124" s="822"/>
      <c r="BP124" s="822"/>
      <c r="BQ124" s="822"/>
      <c r="BR124" s="822"/>
      <c r="BS124" s="822"/>
      <c r="BT124" s="822"/>
      <c r="BU124" s="822"/>
      <c r="BV124" s="822"/>
      <c r="BW124" s="822"/>
      <c r="BX124" s="822"/>
      <c r="BY124" s="822"/>
      <c r="BZ124" s="822"/>
      <c r="CA124" s="822"/>
      <c r="CB124" s="822"/>
      <c r="CC124" s="822"/>
      <c r="CD124" s="822"/>
      <c r="CE124" s="822"/>
      <c r="CF124" s="822"/>
      <c r="CG124" s="822"/>
      <c r="CH124" s="822"/>
      <c r="CI124" s="822"/>
      <c r="CJ124" s="392"/>
      <c r="CK124" s="392"/>
      <c r="CL124" s="392"/>
      <c r="CM124" s="392"/>
      <c r="CN124" s="392"/>
      <c r="CO124" s="392"/>
      <c r="CP124" s="392"/>
      <c r="CQ124" s="392"/>
      <c r="CR124" s="392"/>
      <c r="CS124" s="392"/>
      <c r="CT124" s="392"/>
      <c r="CU124" s="392"/>
      <c r="CV124" s="392"/>
      <c r="CW124" s="392"/>
      <c r="CX124" s="392"/>
      <c r="CY124" s="392"/>
      <c r="CZ124" s="392"/>
      <c r="DA124" s="392"/>
      <c r="DB124" s="392"/>
      <c r="DC124" s="392"/>
    </row>
    <row r="125" spans="1:107" s="337" customFormat="1" ht="24">
      <c r="A125" s="37"/>
      <c r="B125" s="464" t="s">
        <v>23</v>
      </c>
      <c r="C125" s="465" t="s">
        <v>499</v>
      </c>
      <c r="D125" s="348" t="s">
        <v>1226</v>
      </c>
      <c r="E125" s="467">
        <v>3705.1477049846249</v>
      </c>
      <c r="F125" s="344" t="s">
        <v>1245</v>
      </c>
      <c r="G125" s="468">
        <v>0.25391231918802248</v>
      </c>
      <c r="H125" s="465" t="s">
        <v>66</v>
      </c>
      <c r="I125" s="469">
        <v>0.85075992286636826</v>
      </c>
      <c r="J125" s="352" t="s">
        <v>994</v>
      </c>
      <c r="K125" s="344" t="s">
        <v>1012</v>
      </c>
      <c r="L125" s="352" t="s">
        <v>995</v>
      </c>
      <c r="M125" s="472" t="s">
        <v>88</v>
      </c>
      <c r="N125" s="347">
        <v>181.95356683560576</v>
      </c>
      <c r="O125" s="473">
        <v>153.67299301369275</v>
      </c>
      <c r="P125" s="347">
        <v>148.77493017689329</v>
      </c>
      <c r="Q125" s="347">
        <v>25.612165502282107</v>
      </c>
      <c r="R125" s="37"/>
      <c r="S125" s="465" t="s">
        <v>44</v>
      </c>
      <c r="T125" s="465" t="s">
        <v>69</v>
      </c>
      <c r="U125" s="465" t="s">
        <v>69</v>
      </c>
      <c r="V125" s="465" t="s">
        <v>69</v>
      </c>
      <c r="W125" s="465" t="s">
        <v>76</v>
      </c>
      <c r="X125" s="37"/>
      <c r="Y125" s="37"/>
      <c r="Z125" s="465" t="s">
        <v>78</v>
      </c>
      <c r="AA125" s="465" t="s">
        <v>78</v>
      </c>
      <c r="AB125" s="37"/>
      <c r="AC125" s="474">
        <v>12.202739726027396</v>
      </c>
      <c r="AD125" s="465" t="s">
        <v>72</v>
      </c>
      <c r="AE125" s="344" t="s">
        <v>73</v>
      </c>
      <c r="AF125" s="822"/>
      <c r="AG125" s="822"/>
      <c r="AH125" s="822"/>
      <c r="AI125" s="822"/>
      <c r="AJ125" s="822"/>
      <c r="AK125" s="822"/>
      <c r="AL125" s="822"/>
      <c r="AM125" s="822"/>
      <c r="AN125" s="822"/>
      <c r="AO125" s="822"/>
      <c r="AP125" s="822"/>
      <c r="AQ125" s="822"/>
      <c r="AR125" s="822"/>
      <c r="AS125" s="822"/>
      <c r="AT125" s="822"/>
      <c r="AU125" s="822"/>
      <c r="AV125" s="822"/>
      <c r="AW125" s="822"/>
      <c r="AX125" s="822"/>
      <c r="AY125" s="822"/>
      <c r="AZ125" s="822"/>
      <c r="BA125" s="822"/>
      <c r="BB125" s="822"/>
      <c r="BC125" s="822"/>
      <c r="BD125" s="822"/>
      <c r="BE125" s="822"/>
      <c r="BF125" s="822"/>
      <c r="BG125" s="822"/>
      <c r="BH125" s="822"/>
      <c r="BI125" s="822"/>
      <c r="BJ125" s="822"/>
      <c r="BK125" s="822"/>
      <c r="BL125" s="822"/>
      <c r="BM125" s="822"/>
      <c r="BN125" s="822"/>
      <c r="BO125" s="822"/>
      <c r="BP125" s="822"/>
      <c r="BQ125" s="822"/>
      <c r="BR125" s="822"/>
      <c r="BS125" s="822"/>
      <c r="BT125" s="822"/>
      <c r="BU125" s="822"/>
      <c r="BV125" s="822"/>
      <c r="BW125" s="822"/>
      <c r="BX125" s="822"/>
      <c r="BY125" s="822"/>
      <c r="BZ125" s="822"/>
      <c r="CA125" s="822"/>
      <c r="CB125" s="822"/>
      <c r="CC125" s="822"/>
      <c r="CD125" s="822"/>
      <c r="CE125" s="822"/>
      <c r="CF125" s="822"/>
      <c r="CG125" s="822"/>
      <c r="CH125" s="822"/>
      <c r="CI125" s="822"/>
      <c r="CJ125" s="392"/>
      <c r="CK125" s="392"/>
      <c r="CL125" s="392"/>
      <c r="CM125" s="392"/>
      <c r="CN125" s="392"/>
      <c r="CO125" s="392"/>
      <c r="CP125" s="392"/>
      <c r="CQ125" s="392"/>
      <c r="CR125" s="392"/>
      <c r="CS125" s="392"/>
      <c r="CT125" s="392"/>
      <c r="CU125" s="392"/>
      <c r="CV125" s="392"/>
      <c r="CW125" s="392"/>
      <c r="CX125" s="392"/>
      <c r="CY125" s="392"/>
      <c r="CZ125" s="392"/>
      <c r="DA125" s="392"/>
      <c r="DB125" s="392"/>
      <c r="DC125" s="392"/>
    </row>
    <row r="126" spans="1:107" s="337" customFormat="1" ht="24">
      <c r="A126" s="37"/>
      <c r="B126" s="464" t="s">
        <v>23</v>
      </c>
      <c r="C126" s="465" t="s">
        <v>499</v>
      </c>
      <c r="D126" s="348" t="s">
        <v>1226</v>
      </c>
      <c r="E126" s="467">
        <v>3705.1477049846249</v>
      </c>
      <c r="F126" s="344" t="s">
        <v>1245</v>
      </c>
      <c r="G126" s="468">
        <v>0.25391231918802248</v>
      </c>
      <c r="H126" s="465" t="s">
        <v>66</v>
      </c>
      <c r="I126" s="469">
        <v>0.85075992286636826</v>
      </c>
      <c r="J126" s="352" t="s">
        <v>994</v>
      </c>
      <c r="K126" s="344" t="s">
        <v>1012</v>
      </c>
      <c r="L126" s="352" t="s">
        <v>995</v>
      </c>
      <c r="M126" s="472" t="s">
        <v>90</v>
      </c>
      <c r="N126" s="347">
        <v>181.95356683560576</v>
      </c>
      <c r="O126" s="473">
        <v>185.68819989154537</v>
      </c>
      <c r="P126" s="347">
        <v>148.77493017689329</v>
      </c>
      <c r="Q126" s="347">
        <v>57.627372380134759</v>
      </c>
      <c r="R126" s="37"/>
      <c r="S126" s="465" t="s">
        <v>44</v>
      </c>
      <c r="T126" s="465" t="s">
        <v>69</v>
      </c>
      <c r="U126" s="465" t="s">
        <v>69</v>
      </c>
      <c r="V126" s="465" t="s">
        <v>69</v>
      </c>
      <c r="W126" s="465" t="s">
        <v>76</v>
      </c>
      <c r="X126" s="37"/>
      <c r="Y126" s="37"/>
      <c r="Z126" s="465" t="s">
        <v>78</v>
      </c>
      <c r="AA126" s="465" t="s">
        <v>78</v>
      </c>
      <c r="AB126" s="37"/>
      <c r="AC126" s="474">
        <v>12.202739726027396</v>
      </c>
      <c r="AD126" s="465" t="s">
        <v>72</v>
      </c>
      <c r="AE126" s="344" t="s">
        <v>73</v>
      </c>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2"/>
      <c r="BV126" s="822"/>
      <c r="BW126" s="822"/>
      <c r="BX126" s="822"/>
      <c r="BY126" s="822"/>
      <c r="BZ126" s="822"/>
      <c r="CA126" s="822"/>
      <c r="CB126" s="822"/>
      <c r="CC126" s="822"/>
      <c r="CD126" s="822"/>
      <c r="CE126" s="822"/>
      <c r="CF126" s="822"/>
      <c r="CG126" s="822"/>
      <c r="CH126" s="822"/>
      <c r="CI126" s="822"/>
      <c r="CJ126" s="392"/>
      <c r="CK126" s="392"/>
      <c r="CL126" s="392"/>
      <c r="CM126" s="392"/>
      <c r="CN126" s="392"/>
      <c r="CO126" s="392"/>
      <c r="CP126" s="392"/>
      <c r="CQ126" s="392"/>
      <c r="CR126" s="392"/>
      <c r="CS126" s="392"/>
      <c r="CT126" s="392"/>
      <c r="CU126" s="392"/>
      <c r="CV126" s="392"/>
      <c r="CW126" s="392"/>
      <c r="CX126" s="392"/>
      <c r="CY126" s="392"/>
      <c r="CZ126" s="392"/>
      <c r="DA126" s="392"/>
      <c r="DB126" s="392"/>
      <c r="DC126" s="392"/>
    </row>
    <row r="127" spans="1:107" s="337" customFormat="1" ht="24">
      <c r="A127" s="37"/>
      <c r="B127" s="464" t="s">
        <v>23</v>
      </c>
      <c r="C127" s="465" t="s">
        <v>499</v>
      </c>
      <c r="D127" s="348" t="s">
        <v>1226</v>
      </c>
      <c r="E127" s="467">
        <v>3705.1477049846249</v>
      </c>
      <c r="F127" s="344" t="s">
        <v>1245</v>
      </c>
      <c r="G127" s="468">
        <v>0.25391231918802248</v>
      </c>
      <c r="H127" s="465" t="s">
        <v>66</v>
      </c>
      <c r="I127" s="469">
        <v>0.85075992286636826</v>
      </c>
      <c r="J127" s="352" t="s">
        <v>994</v>
      </c>
      <c r="K127" s="344" t="s">
        <v>1012</v>
      </c>
      <c r="L127" s="352" t="s">
        <v>995</v>
      </c>
      <c r="M127" s="472" t="s">
        <v>92</v>
      </c>
      <c r="N127" s="347">
        <v>181.95356683560576</v>
      </c>
      <c r="O127" s="473">
        <v>230.50948952053909</v>
      </c>
      <c r="P127" s="347">
        <v>148.77493017689329</v>
      </c>
      <c r="Q127" s="347">
        <v>102.44866200912847</v>
      </c>
      <c r="R127" s="37"/>
      <c r="S127" s="465" t="s">
        <v>44</v>
      </c>
      <c r="T127" s="465" t="s">
        <v>69</v>
      </c>
      <c r="U127" s="465" t="s">
        <v>69</v>
      </c>
      <c r="V127" s="465" t="s">
        <v>69</v>
      </c>
      <c r="W127" s="465" t="s">
        <v>76</v>
      </c>
      <c r="X127" s="37"/>
      <c r="Y127" s="37"/>
      <c r="Z127" s="465" t="s">
        <v>78</v>
      </c>
      <c r="AA127" s="465" t="s">
        <v>78</v>
      </c>
      <c r="AB127" s="37"/>
      <c r="AC127" s="474">
        <v>12.202739726027396</v>
      </c>
      <c r="AD127" s="465" t="s">
        <v>72</v>
      </c>
      <c r="AE127" s="344" t="s">
        <v>73</v>
      </c>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822"/>
      <c r="BK127" s="822"/>
      <c r="BL127" s="822"/>
      <c r="BM127" s="822"/>
      <c r="BN127" s="822"/>
      <c r="BO127" s="822"/>
      <c r="BP127" s="822"/>
      <c r="BQ127" s="822"/>
      <c r="BR127" s="822"/>
      <c r="BS127" s="822"/>
      <c r="BT127" s="822"/>
      <c r="BU127" s="822"/>
      <c r="BV127" s="822"/>
      <c r="BW127" s="822"/>
      <c r="BX127" s="822"/>
      <c r="BY127" s="822"/>
      <c r="BZ127" s="822"/>
      <c r="CA127" s="822"/>
      <c r="CB127" s="822"/>
      <c r="CC127" s="822"/>
      <c r="CD127" s="822"/>
      <c r="CE127" s="822"/>
      <c r="CF127" s="822"/>
      <c r="CG127" s="822"/>
      <c r="CH127" s="822"/>
      <c r="CI127" s="822"/>
      <c r="CJ127" s="392"/>
      <c r="CK127" s="392"/>
      <c r="CL127" s="392"/>
      <c r="CM127" s="392"/>
      <c r="CN127" s="392"/>
      <c r="CO127" s="392"/>
      <c r="CP127" s="392"/>
      <c r="CQ127" s="392"/>
      <c r="CR127" s="392"/>
      <c r="CS127" s="392"/>
      <c r="CT127" s="392"/>
      <c r="CU127" s="392"/>
      <c r="CV127" s="392"/>
      <c r="CW127" s="392"/>
      <c r="CX127" s="392"/>
      <c r="CY127" s="392"/>
      <c r="CZ127" s="392"/>
      <c r="DA127" s="392"/>
      <c r="DB127" s="392"/>
      <c r="DC127" s="392"/>
    </row>
    <row r="128" spans="1:107" s="337" customFormat="1" ht="24">
      <c r="A128" s="37"/>
      <c r="B128" s="464" t="s">
        <v>23</v>
      </c>
      <c r="C128" s="465" t="s">
        <v>499</v>
      </c>
      <c r="D128" s="348" t="s">
        <v>1226</v>
      </c>
      <c r="E128" s="467">
        <v>3705.1477049846249</v>
      </c>
      <c r="F128" s="344" t="s">
        <v>1245</v>
      </c>
      <c r="G128" s="468">
        <v>0.25391231918802248</v>
      </c>
      <c r="H128" s="465" t="s">
        <v>66</v>
      </c>
      <c r="I128" s="469">
        <v>0.85075992286636826</v>
      </c>
      <c r="J128" s="352" t="s">
        <v>994</v>
      </c>
      <c r="K128" s="344" t="s">
        <v>1012</v>
      </c>
      <c r="L128" s="352" t="s">
        <v>995</v>
      </c>
      <c r="M128" s="472" t="s">
        <v>93</v>
      </c>
      <c r="N128" s="347">
        <v>181.95356683560576</v>
      </c>
      <c r="O128" s="473">
        <v>243.31557227168014</v>
      </c>
      <c r="P128" s="347">
        <v>148.77493017689329</v>
      </c>
      <c r="Q128" s="347">
        <v>115.25474476026955</v>
      </c>
      <c r="R128" s="37"/>
      <c r="S128" s="465" t="s">
        <v>44</v>
      </c>
      <c r="T128" s="465" t="s">
        <v>69</v>
      </c>
      <c r="U128" s="344" t="s">
        <v>44</v>
      </c>
      <c r="V128" s="344" t="s">
        <v>75</v>
      </c>
      <c r="W128" s="465" t="s">
        <v>76</v>
      </c>
      <c r="X128" s="37"/>
      <c r="Y128" s="37"/>
      <c r="Z128" s="465" t="s">
        <v>78</v>
      </c>
      <c r="AA128" s="465" t="s">
        <v>78</v>
      </c>
      <c r="AB128" s="37"/>
      <c r="AC128" s="474">
        <v>12.202739726027396</v>
      </c>
      <c r="AD128" s="465" t="s">
        <v>72</v>
      </c>
      <c r="AE128" s="344" t="s">
        <v>73</v>
      </c>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F128" s="822"/>
      <c r="CG128" s="822"/>
      <c r="CH128" s="822"/>
      <c r="CI128" s="822"/>
      <c r="CJ128" s="392"/>
      <c r="CK128" s="392"/>
      <c r="CL128" s="392"/>
      <c r="CM128" s="392"/>
      <c r="CN128" s="392"/>
      <c r="CO128" s="392"/>
      <c r="CP128" s="392"/>
      <c r="CQ128" s="392"/>
      <c r="CR128" s="392"/>
      <c r="CS128" s="392"/>
      <c r="CT128" s="392"/>
      <c r="CU128" s="392"/>
      <c r="CV128" s="392"/>
      <c r="CW128" s="392"/>
      <c r="CX128" s="392"/>
      <c r="CY128" s="392"/>
      <c r="CZ128" s="392"/>
      <c r="DA128" s="392"/>
      <c r="DB128" s="392"/>
      <c r="DC128" s="392"/>
    </row>
    <row r="129" spans="1:107" s="337" customFormat="1" ht="33.75">
      <c r="A129" s="37"/>
      <c r="B129" s="464" t="s">
        <v>23</v>
      </c>
      <c r="C129" s="465" t="s">
        <v>499</v>
      </c>
      <c r="D129" s="348" t="s">
        <v>1226</v>
      </c>
      <c r="E129" s="467">
        <v>3705.1477049846249</v>
      </c>
      <c r="F129" s="344" t="s">
        <v>1245</v>
      </c>
      <c r="G129" s="468">
        <v>0.25391231918802248</v>
      </c>
      <c r="H129" s="465" t="s">
        <v>66</v>
      </c>
      <c r="I129" s="469">
        <v>0.85075992286636826</v>
      </c>
      <c r="J129" s="352" t="s">
        <v>994</v>
      </c>
      <c r="K129" s="344" t="s">
        <v>1012</v>
      </c>
      <c r="L129" s="344" t="s">
        <v>1228</v>
      </c>
      <c r="M129" s="472" t="s">
        <v>88</v>
      </c>
      <c r="N129" s="349">
        <v>143.98064853947932</v>
      </c>
      <c r="O129" s="473">
        <v>153.67299301369275</v>
      </c>
      <c r="P129" s="349">
        <v>109.00102389430798</v>
      </c>
      <c r="Q129" s="347">
        <v>25.612165502282107</v>
      </c>
      <c r="R129" s="37"/>
      <c r="S129" s="465" t="s">
        <v>69</v>
      </c>
      <c r="T129" s="465" t="s">
        <v>69</v>
      </c>
      <c r="U129" s="465" t="s">
        <v>69</v>
      </c>
      <c r="V129" s="465" t="s">
        <v>69</v>
      </c>
      <c r="W129" s="465" t="s">
        <v>76</v>
      </c>
      <c r="X129" s="37"/>
      <c r="Y129" s="37"/>
      <c r="Z129" s="344" t="s">
        <v>78</v>
      </c>
      <c r="AA129" s="344" t="s">
        <v>78</v>
      </c>
      <c r="AB129" s="37"/>
      <c r="AC129" s="347">
        <v>12.202739726027396</v>
      </c>
      <c r="AD129" s="344" t="s">
        <v>72</v>
      </c>
      <c r="AE129" s="344" t="s">
        <v>73</v>
      </c>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822"/>
      <c r="CF129" s="822"/>
      <c r="CG129" s="822"/>
      <c r="CH129" s="822"/>
      <c r="CI129" s="822"/>
      <c r="CJ129" s="392"/>
      <c r="CK129" s="392"/>
      <c r="CL129" s="392"/>
      <c r="CM129" s="392"/>
      <c r="CN129" s="392"/>
      <c r="CO129" s="392"/>
      <c r="CP129" s="392"/>
      <c r="CQ129" s="392"/>
      <c r="CR129" s="392"/>
      <c r="CS129" s="392"/>
      <c r="CT129" s="392"/>
      <c r="CU129" s="392"/>
      <c r="CV129" s="392"/>
      <c r="CW129" s="392"/>
      <c r="CX129" s="392"/>
      <c r="CY129" s="392"/>
      <c r="CZ129" s="392"/>
      <c r="DA129" s="392"/>
      <c r="DB129" s="392"/>
      <c r="DC129" s="392"/>
    </row>
    <row r="130" spans="1:107" s="337" customFormat="1" ht="33.75">
      <c r="A130" s="37"/>
      <c r="B130" s="464" t="s">
        <v>23</v>
      </c>
      <c r="C130" s="465" t="s">
        <v>499</v>
      </c>
      <c r="D130" s="348" t="s">
        <v>1226</v>
      </c>
      <c r="E130" s="467">
        <v>3705.1477049846249</v>
      </c>
      <c r="F130" s="344" t="s">
        <v>1245</v>
      </c>
      <c r="G130" s="468">
        <v>0.25391231918802248</v>
      </c>
      <c r="H130" s="465" t="s">
        <v>66</v>
      </c>
      <c r="I130" s="469">
        <v>0.85075992286636826</v>
      </c>
      <c r="J130" s="352" t="s">
        <v>994</v>
      </c>
      <c r="K130" s="344" t="s">
        <v>1012</v>
      </c>
      <c r="L130" s="344" t="s">
        <v>1228</v>
      </c>
      <c r="M130" s="472" t="s">
        <v>90</v>
      </c>
      <c r="N130" s="349">
        <v>143.98064853947932</v>
      </c>
      <c r="O130" s="473">
        <v>185.68819989154537</v>
      </c>
      <c r="P130" s="349">
        <v>109.00102389430798</v>
      </c>
      <c r="Q130" s="347">
        <v>57.627372380134759</v>
      </c>
      <c r="R130" s="37"/>
      <c r="S130" s="465" t="s">
        <v>69</v>
      </c>
      <c r="T130" s="465" t="s">
        <v>69</v>
      </c>
      <c r="U130" s="465" t="s">
        <v>69</v>
      </c>
      <c r="V130" s="465" t="s">
        <v>69</v>
      </c>
      <c r="W130" s="465" t="s">
        <v>76</v>
      </c>
      <c r="X130" s="37"/>
      <c r="Y130" s="37"/>
      <c r="Z130" s="344" t="s">
        <v>78</v>
      </c>
      <c r="AA130" s="344" t="s">
        <v>78</v>
      </c>
      <c r="AB130" s="37"/>
      <c r="AC130" s="347">
        <v>12.202739726027396</v>
      </c>
      <c r="AD130" s="344" t="s">
        <v>72</v>
      </c>
      <c r="AE130" s="344" t="s">
        <v>73</v>
      </c>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822"/>
      <c r="CF130" s="822"/>
      <c r="CG130" s="822"/>
      <c r="CH130" s="822"/>
      <c r="CI130" s="822"/>
      <c r="CJ130" s="392"/>
      <c r="CK130" s="392"/>
      <c r="CL130" s="392"/>
      <c r="CM130" s="392"/>
      <c r="CN130" s="392"/>
      <c r="CO130" s="392"/>
      <c r="CP130" s="392"/>
      <c r="CQ130" s="392"/>
      <c r="CR130" s="392"/>
      <c r="CS130" s="392"/>
      <c r="CT130" s="392"/>
      <c r="CU130" s="392"/>
      <c r="CV130" s="392"/>
      <c r="CW130" s="392"/>
      <c r="CX130" s="392"/>
      <c r="CY130" s="392"/>
      <c r="CZ130" s="392"/>
      <c r="DA130" s="392"/>
      <c r="DB130" s="392"/>
      <c r="DC130" s="392"/>
    </row>
    <row r="131" spans="1:107" s="337" customFormat="1" ht="33.75">
      <c r="A131" s="37"/>
      <c r="B131" s="464" t="s">
        <v>23</v>
      </c>
      <c r="C131" s="465" t="s">
        <v>499</v>
      </c>
      <c r="D131" s="348" t="s">
        <v>1226</v>
      </c>
      <c r="E131" s="467">
        <v>3705.1477049846249</v>
      </c>
      <c r="F131" s="344" t="s">
        <v>1245</v>
      </c>
      <c r="G131" s="468">
        <v>0.25391231918802248</v>
      </c>
      <c r="H131" s="465" t="s">
        <v>66</v>
      </c>
      <c r="I131" s="469">
        <v>0.85075992286636826</v>
      </c>
      <c r="J131" s="352" t="s">
        <v>994</v>
      </c>
      <c r="K131" s="344" t="s">
        <v>1012</v>
      </c>
      <c r="L131" s="344" t="s">
        <v>1228</v>
      </c>
      <c r="M131" s="472" t="s">
        <v>92</v>
      </c>
      <c r="N131" s="349">
        <v>143.98064853947932</v>
      </c>
      <c r="O131" s="473">
        <v>230.50948952053909</v>
      </c>
      <c r="P131" s="349">
        <v>109.00102389430798</v>
      </c>
      <c r="Q131" s="347">
        <v>102.44866200912847</v>
      </c>
      <c r="R131" s="37"/>
      <c r="S131" s="465" t="s">
        <v>69</v>
      </c>
      <c r="T131" s="465" t="s">
        <v>69</v>
      </c>
      <c r="U131" s="465" t="s">
        <v>69</v>
      </c>
      <c r="V131" s="465" t="s">
        <v>69</v>
      </c>
      <c r="W131" s="465" t="s">
        <v>76</v>
      </c>
      <c r="X131" s="37"/>
      <c r="Y131" s="37"/>
      <c r="Z131" s="344" t="s">
        <v>78</v>
      </c>
      <c r="AA131" s="344" t="s">
        <v>78</v>
      </c>
      <c r="AB131" s="37"/>
      <c r="AC131" s="347">
        <v>12.202739726027396</v>
      </c>
      <c r="AD131" s="344" t="s">
        <v>72</v>
      </c>
      <c r="AE131" s="344" t="s">
        <v>73</v>
      </c>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822"/>
      <c r="BK131" s="822"/>
      <c r="BL131" s="822"/>
      <c r="BM131" s="822"/>
      <c r="BN131" s="822"/>
      <c r="BO131" s="822"/>
      <c r="BP131" s="822"/>
      <c r="BQ131" s="822"/>
      <c r="BR131" s="822"/>
      <c r="BS131" s="822"/>
      <c r="BT131" s="822"/>
      <c r="BU131" s="822"/>
      <c r="BV131" s="822"/>
      <c r="BW131" s="822"/>
      <c r="BX131" s="822"/>
      <c r="BY131" s="822"/>
      <c r="BZ131" s="822"/>
      <c r="CA131" s="822"/>
      <c r="CB131" s="822"/>
      <c r="CC131" s="822"/>
      <c r="CD131" s="822"/>
      <c r="CE131" s="822"/>
      <c r="CF131" s="822"/>
      <c r="CG131" s="822"/>
      <c r="CH131" s="822"/>
      <c r="CI131" s="822"/>
      <c r="CJ131" s="392"/>
      <c r="CK131" s="392"/>
      <c r="CL131" s="392"/>
      <c r="CM131" s="392"/>
      <c r="CN131" s="392"/>
      <c r="CO131" s="392"/>
      <c r="CP131" s="392"/>
      <c r="CQ131" s="392"/>
      <c r="CR131" s="392"/>
      <c r="CS131" s="392"/>
      <c r="CT131" s="392"/>
      <c r="CU131" s="392"/>
      <c r="CV131" s="392"/>
      <c r="CW131" s="392"/>
      <c r="CX131" s="392"/>
      <c r="CY131" s="392"/>
      <c r="CZ131" s="392"/>
      <c r="DA131" s="392"/>
      <c r="DB131" s="392"/>
      <c r="DC131" s="392"/>
    </row>
    <row r="132" spans="1:107" s="337" customFormat="1" ht="33.75">
      <c r="A132" s="37"/>
      <c r="B132" s="464" t="s">
        <v>23</v>
      </c>
      <c r="C132" s="465" t="s">
        <v>499</v>
      </c>
      <c r="D132" s="348" t="s">
        <v>1226</v>
      </c>
      <c r="E132" s="467">
        <v>3705.1477049846249</v>
      </c>
      <c r="F132" s="344" t="s">
        <v>1245</v>
      </c>
      <c r="G132" s="468">
        <v>0.25391231918802248</v>
      </c>
      <c r="H132" s="465" t="s">
        <v>66</v>
      </c>
      <c r="I132" s="469">
        <v>0.85075992286636826</v>
      </c>
      <c r="J132" s="352" t="s">
        <v>994</v>
      </c>
      <c r="K132" s="344" t="s">
        <v>1012</v>
      </c>
      <c r="L132" s="344" t="s">
        <v>1228</v>
      </c>
      <c r="M132" s="472" t="s">
        <v>93</v>
      </c>
      <c r="N132" s="349">
        <v>143.98064853947932</v>
      </c>
      <c r="O132" s="473">
        <v>243.31557227168014</v>
      </c>
      <c r="P132" s="349">
        <v>109.00102389430798</v>
      </c>
      <c r="Q132" s="347">
        <v>115.25474476026955</v>
      </c>
      <c r="R132" s="37"/>
      <c r="S132" s="465" t="s">
        <v>69</v>
      </c>
      <c r="T132" s="465" t="s">
        <v>69</v>
      </c>
      <c r="U132" s="344" t="s">
        <v>44</v>
      </c>
      <c r="V132" s="344" t="s">
        <v>75</v>
      </c>
      <c r="W132" s="465" t="s">
        <v>76</v>
      </c>
      <c r="X132" s="37"/>
      <c r="Y132" s="37"/>
      <c r="Z132" s="344" t="s">
        <v>78</v>
      </c>
      <c r="AA132" s="344" t="s">
        <v>78</v>
      </c>
      <c r="AB132" s="37"/>
      <c r="AC132" s="347">
        <v>12.202739726027396</v>
      </c>
      <c r="AD132" s="344" t="s">
        <v>72</v>
      </c>
      <c r="AE132" s="344" t="s">
        <v>73</v>
      </c>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822"/>
      <c r="BK132" s="822"/>
      <c r="BL132" s="822"/>
      <c r="BM132" s="822"/>
      <c r="BN132" s="822"/>
      <c r="BO132" s="822"/>
      <c r="BP132" s="822"/>
      <c r="BQ132" s="822"/>
      <c r="BR132" s="822"/>
      <c r="BS132" s="822"/>
      <c r="BT132" s="822"/>
      <c r="BU132" s="822"/>
      <c r="BV132" s="822"/>
      <c r="BW132" s="822"/>
      <c r="BX132" s="822"/>
      <c r="BY132" s="822"/>
      <c r="BZ132" s="822"/>
      <c r="CA132" s="822"/>
      <c r="CB132" s="822"/>
      <c r="CC132" s="822"/>
      <c r="CD132" s="822"/>
      <c r="CE132" s="822"/>
      <c r="CF132" s="822"/>
      <c r="CG132" s="822"/>
      <c r="CH132" s="822"/>
      <c r="CI132" s="822"/>
      <c r="CJ132" s="392"/>
      <c r="CK132" s="392"/>
      <c r="CL132" s="392"/>
      <c r="CM132" s="392"/>
      <c r="CN132" s="392"/>
      <c r="CO132" s="392"/>
      <c r="CP132" s="392"/>
      <c r="CQ132" s="392"/>
      <c r="CR132" s="392"/>
      <c r="CS132" s="392"/>
      <c r="CT132" s="392"/>
      <c r="CU132" s="392"/>
      <c r="CV132" s="392"/>
      <c r="CW132" s="392"/>
      <c r="CX132" s="392"/>
      <c r="CY132" s="392"/>
      <c r="CZ132" s="392"/>
      <c r="DA132" s="392"/>
      <c r="DB132" s="392"/>
      <c r="DC132" s="392"/>
    </row>
    <row r="133" spans="1:107" s="337" customFormat="1" ht="24">
      <c r="A133" s="37"/>
      <c r="B133" s="464" t="s">
        <v>23</v>
      </c>
      <c r="C133" s="465" t="s">
        <v>499</v>
      </c>
      <c r="D133" s="348" t="s">
        <v>1226</v>
      </c>
      <c r="E133" s="467">
        <v>3705.1477049846249</v>
      </c>
      <c r="F133" s="344" t="s">
        <v>1245</v>
      </c>
      <c r="G133" s="468">
        <v>0.25391231918802248</v>
      </c>
      <c r="H133" s="465" t="s">
        <v>66</v>
      </c>
      <c r="I133" s="469">
        <v>0.85075992286636826</v>
      </c>
      <c r="J133" s="352" t="s">
        <v>994</v>
      </c>
      <c r="K133" s="344" t="s">
        <v>1012</v>
      </c>
      <c r="L133" s="352" t="s">
        <v>1227</v>
      </c>
      <c r="M133" s="472" t="s">
        <v>88</v>
      </c>
      <c r="N133" s="347">
        <v>405.73015542488798</v>
      </c>
      <c r="O133" s="473">
        <v>153.67299301369275</v>
      </c>
      <c r="P133" s="347">
        <v>379.47756302854725</v>
      </c>
      <c r="Q133" s="347">
        <v>25.612165502282107</v>
      </c>
      <c r="R133" s="37"/>
      <c r="S133" s="465" t="s">
        <v>44</v>
      </c>
      <c r="T133" s="344" t="s">
        <v>63</v>
      </c>
      <c r="U133" s="465" t="s">
        <v>69</v>
      </c>
      <c r="V133" s="465" t="s">
        <v>69</v>
      </c>
      <c r="W133" s="465" t="s">
        <v>76</v>
      </c>
      <c r="X133" s="37"/>
      <c r="Y133" s="37"/>
      <c r="Z133" s="465" t="s">
        <v>78</v>
      </c>
      <c r="AA133" s="465" t="s">
        <v>78</v>
      </c>
      <c r="AB133" s="37"/>
      <c r="AC133" s="474">
        <v>12.202739726027396</v>
      </c>
      <c r="AD133" s="465" t="s">
        <v>72</v>
      </c>
      <c r="AE133" s="344" t="s">
        <v>73</v>
      </c>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822"/>
      <c r="BK133" s="822"/>
      <c r="BL133" s="822"/>
      <c r="BM133" s="822"/>
      <c r="BN133" s="822"/>
      <c r="BO133" s="822"/>
      <c r="BP133" s="822"/>
      <c r="BQ133" s="822"/>
      <c r="BR133" s="822"/>
      <c r="BS133" s="822"/>
      <c r="BT133" s="822"/>
      <c r="BU133" s="822"/>
      <c r="BV133" s="822"/>
      <c r="BW133" s="822"/>
      <c r="BX133" s="822"/>
      <c r="BY133" s="822"/>
      <c r="BZ133" s="822"/>
      <c r="CA133" s="822"/>
      <c r="CB133" s="822"/>
      <c r="CC133" s="822"/>
      <c r="CD133" s="822"/>
      <c r="CE133" s="822"/>
      <c r="CF133" s="822"/>
      <c r="CG133" s="822"/>
      <c r="CH133" s="822"/>
      <c r="CI133" s="822"/>
      <c r="CJ133" s="392"/>
      <c r="CK133" s="392"/>
      <c r="CL133" s="392"/>
      <c r="CM133" s="392"/>
      <c r="CN133" s="392"/>
      <c r="CO133" s="392"/>
      <c r="CP133" s="392"/>
      <c r="CQ133" s="392"/>
      <c r="CR133" s="392"/>
      <c r="CS133" s="392"/>
      <c r="CT133" s="392"/>
      <c r="CU133" s="392"/>
      <c r="CV133" s="392"/>
      <c r="CW133" s="392"/>
      <c r="CX133" s="392"/>
      <c r="CY133" s="392"/>
      <c r="CZ133" s="392"/>
      <c r="DA133" s="392"/>
      <c r="DB133" s="392"/>
      <c r="DC133" s="392"/>
    </row>
    <row r="134" spans="1:107" s="337" customFormat="1" ht="24">
      <c r="A134" s="37"/>
      <c r="B134" s="464" t="s">
        <v>23</v>
      </c>
      <c r="C134" s="465" t="s">
        <v>499</v>
      </c>
      <c r="D134" s="348" t="s">
        <v>1226</v>
      </c>
      <c r="E134" s="467">
        <v>3705.1477049846249</v>
      </c>
      <c r="F134" s="344" t="s">
        <v>1245</v>
      </c>
      <c r="G134" s="468">
        <v>0.25391231918802248</v>
      </c>
      <c r="H134" s="465" t="s">
        <v>66</v>
      </c>
      <c r="I134" s="469">
        <v>0.85075992286636826</v>
      </c>
      <c r="J134" s="352" t="s">
        <v>994</v>
      </c>
      <c r="K134" s="344" t="s">
        <v>1012</v>
      </c>
      <c r="L134" s="352" t="s">
        <v>1227</v>
      </c>
      <c r="M134" s="472" t="s">
        <v>90</v>
      </c>
      <c r="N134" s="347">
        <v>405.73015542488798</v>
      </c>
      <c r="O134" s="473">
        <v>185.68819989154537</v>
      </c>
      <c r="P134" s="347">
        <v>379.47756302854725</v>
      </c>
      <c r="Q134" s="347">
        <v>57.627372380134759</v>
      </c>
      <c r="R134" s="37"/>
      <c r="S134" s="465" t="s">
        <v>44</v>
      </c>
      <c r="T134" s="344" t="s">
        <v>63</v>
      </c>
      <c r="U134" s="465" t="s">
        <v>69</v>
      </c>
      <c r="V134" s="465" t="s">
        <v>69</v>
      </c>
      <c r="W134" s="465" t="s">
        <v>76</v>
      </c>
      <c r="X134" s="37"/>
      <c r="Y134" s="37"/>
      <c r="Z134" s="465" t="s">
        <v>78</v>
      </c>
      <c r="AA134" s="465" t="s">
        <v>78</v>
      </c>
      <c r="AB134" s="37"/>
      <c r="AC134" s="474">
        <v>12.202739726027396</v>
      </c>
      <c r="AD134" s="465" t="s">
        <v>72</v>
      </c>
      <c r="AE134" s="344" t="s">
        <v>73</v>
      </c>
      <c r="AF134" s="822"/>
      <c r="AG134" s="822"/>
      <c r="AH134" s="822"/>
      <c r="AI134" s="822"/>
      <c r="AJ134" s="822"/>
      <c r="AK134" s="822"/>
      <c r="AL134" s="822"/>
      <c r="AM134" s="822"/>
      <c r="AN134" s="822"/>
      <c r="AO134" s="822"/>
      <c r="AP134" s="822"/>
      <c r="AQ134" s="822"/>
      <c r="AR134" s="822"/>
      <c r="AS134" s="822"/>
      <c r="AT134" s="822"/>
      <c r="AU134" s="822"/>
      <c r="AV134" s="822"/>
      <c r="AW134" s="822"/>
      <c r="AX134" s="822"/>
      <c r="AY134" s="822"/>
      <c r="AZ134" s="822"/>
      <c r="BA134" s="822"/>
      <c r="BB134" s="822"/>
      <c r="BC134" s="822"/>
      <c r="BD134" s="822"/>
      <c r="BE134" s="822"/>
      <c r="BF134" s="822"/>
      <c r="BG134" s="822"/>
      <c r="BH134" s="822"/>
      <c r="BI134" s="822"/>
      <c r="BJ134" s="822"/>
      <c r="BK134" s="822"/>
      <c r="BL134" s="822"/>
      <c r="BM134" s="822"/>
      <c r="BN134" s="822"/>
      <c r="BO134" s="822"/>
      <c r="BP134" s="822"/>
      <c r="BQ134" s="822"/>
      <c r="BR134" s="822"/>
      <c r="BS134" s="822"/>
      <c r="BT134" s="822"/>
      <c r="BU134" s="822"/>
      <c r="BV134" s="822"/>
      <c r="BW134" s="822"/>
      <c r="BX134" s="822"/>
      <c r="BY134" s="822"/>
      <c r="BZ134" s="822"/>
      <c r="CA134" s="822"/>
      <c r="CB134" s="822"/>
      <c r="CC134" s="822"/>
      <c r="CD134" s="822"/>
      <c r="CE134" s="822"/>
      <c r="CF134" s="822"/>
      <c r="CG134" s="822"/>
      <c r="CH134" s="822"/>
      <c r="CI134" s="822"/>
      <c r="CJ134" s="392"/>
      <c r="CK134" s="392"/>
      <c r="CL134" s="392"/>
      <c r="CM134" s="392"/>
      <c r="CN134" s="392"/>
      <c r="CO134" s="392"/>
      <c r="CP134" s="392"/>
      <c r="CQ134" s="392"/>
      <c r="CR134" s="392"/>
      <c r="CS134" s="392"/>
      <c r="CT134" s="392"/>
      <c r="CU134" s="392"/>
      <c r="CV134" s="392"/>
      <c r="CW134" s="392"/>
      <c r="CX134" s="392"/>
      <c r="CY134" s="392"/>
      <c r="CZ134" s="392"/>
      <c r="DA134" s="392"/>
      <c r="DB134" s="392"/>
      <c r="DC134" s="392"/>
    </row>
    <row r="135" spans="1:107" s="337" customFormat="1" ht="24">
      <c r="A135" s="37"/>
      <c r="B135" s="464" t="s">
        <v>23</v>
      </c>
      <c r="C135" s="465" t="s">
        <v>499</v>
      </c>
      <c r="D135" s="348" t="s">
        <v>1226</v>
      </c>
      <c r="E135" s="467">
        <v>3705.1477049846249</v>
      </c>
      <c r="F135" s="344" t="s">
        <v>1245</v>
      </c>
      <c r="G135" s="468">
        <v>0.25391231918802248</v>
      </c>
      <c r="H135" s="465" t="s">
        <v>66</v>
      </c>
      <c r="I135" s="469">
        <v>0.85075992286636826</v>
      </c>
      <c r="J135" s="352" t="s">
        <v>994</v>
      </c>
      <c r="K135" s="344" t="s">
        <v>1012</v>
      </c>
      <c r="L135" s="352" t="s">
        <v>1227</v>
      </c>
      <c r="M135" s="472" t="s">
        <v>92</v>
      </c>
      <c r="N135" s="347">
        <v>405.73015542488798</v>
      </c>
      <c r="O135" s="473">
        <v>230.50948952053909</v>
      </c>
      <c r="P135" s="347">
        <v>379.47756302854725</v>
      </c>
      <c r="Q135" s="347">
        <v>102.44866200912847</v>
      </c>
      <c r="R135" s="37"/>
      <c r="S135" s="465" t="s">
        <v>44</v>
      </c>
      <c r="T135" s="344" t="s">
        <v>63</v>
      </c>
      <c r="U135" s="465" t="s">
        <v>69</v>
      </c>
      <c r="V135" s="465" t="s">
        <v>69</v>
      </c>
      <c r="W135" s="465" t="s">
        <v>76</v>
      </c>
      <c r="X135" s="37"/>
      <c r="Y135" s="37"/>
      <c r="Z135" s="465" t="s">
        <v>78</v>
      </c>
      <c r="AA135" s="465" t="s">
        <v>78</v>
      </c>
      <c r="AB135" s="37"/>
      <c r="AC135" s="474">
        <v>12.202739726027396</v>
      </c>
      <c r="AD135" s="465" t="s">
        <v>72</v>
      </c>
      <c r="AE135" s="344" t="s">
        <v>73</v>
      </c>
      <c r="AF135" s="822"/>
      <c r="AG135" s="822"/>
      <c r="AH135" s="822"/>
      <c r="AI135" s="822"/>
      <c r="AJ135" s="822"/>
      <c r="AK135" s="822"/>
      <c r="AL135" s="822"/>
      <c r="AM135" s="822"/>
      <c r="AN135" s="822"/>
      <c r="AO135" s="822"/>
      <c r="AP135" s="822"/>
      <c r="AQ135" s="822"/>
      <c r="AR135" s="822"/>
      <c r="AS135" s="822"/>
      <c r="AT135" s="822"/>
      <c r="AU135" s="822"/>
      <c r="AV135" s="822"/>
      <c r="AW135" s="822"/>
      <c r="AX135" s="822"/>
      <c r="AY135" s="822"/>
      <c r="AZ135" s="822"/>
      <c r="BA135" s="822"/>
      <c r="BB135" s="822"/>
      <c r="BC135" s="822"/>
      <c r="BD135" s="822"/>
      <c r="BE135" s="822"/>
      <c r="BF135" s="822"/>
      <c r="BG135" s="822"/>
      <c r="BH135" s="822"/>
      <c r="BI135" s="822"/>
      <c r="BJ135" s="822"/>
      <c r="BK135" s="822"/>
      <c r="BL135" s="822"/>
      <c r="BM135" s="822"/>
      <c r="BN135" s="822"/>
      <c r="BO135" s="822"/>
      <c r="BP135" s="822"/>
      <c r="BQ135" s="822"/>
      <c r="BR135" s="822"/>
      <c r="BS135" s="822"/>
      <c r="BT135" s="822"/>
      <c r="BU135" s="822"/>
      <c r="BV135" s="822"/>
      <c r="BW135" s="822"/>
      <c r="BX135" s="822"/>
      <c r="BY135" s="822"/>
      <c r="BZ135" s="822"/>
      <c r="CA135" s="822"/>
      <c r="CB135" s="822"/>
      <c r="CC135" s="822"/>
      <c r="CD135" s="822"/>
      <c r="CE135" s="822"/>
      <c r="CF135" s="822"/>
      <c r="CG135" s="822"/>
      <c r="CH135" s="822"/>
      <c r="CI135" s="822"/>
      <c r="CJ135" s="392"/>
      <c r="CK135" s="392"/>
      <c r="CL135" s="392"/>
      <c r="CM135" s="392"/>
      <c r="CN135" s="392"/>
      <c r="CO135" s="392"/>
      <c r="CP135" s="392"/>
      <c r="CQ135" s="392"/>
      <c r="CR135" s="392"/>
      <c r="CS135" s="392"/>
      <c r="CT135" s="392"/>
      <c r="CU135" s="392"/>
      <c r="CV135" s="392"/>
      <c r="CW135" s="392"/>
      <c r="CX135" s="392"/>
      <c r="CY135" s="392"/>
      <c r="CZ135" s="392"/>
      <c r="DA135" s="392"/>
      <c r="DB135" s="392"/>
      <c r="DC135" s="392"/>
    </row>
    <row r="136" spans="1:107" s="337" customFormat="1" ht="24">
      <c r="A136" s="37"/>
      <c r="B136" s="464" t="s">
        <v>23</v>
      </c>
      <c r="C136" s="465" t="s">
        <v>499</v>
      </c>
      <c r="D136" s="348" t="s">
        <v>1226</v>
      </c>
      <c r="E136" s="467">
        <v>3705.1477049846249</v>
      </c>
      <c r="F136" s="344" t="s">
        <v>1245</v>
      </c>
      <c r="G136" s="468">
        <v>0.25391231918802248</v>
      </c>
      <c r="H136" s="465" t="s">
        <v>66</v>
      </c>
      <c r="I136" s="469">
        <v>0.85075992286636826</v>
      </c>
      <c r="J136" s="352" t="s">
        <v>994</v>
      </c>
      <c r="K136" s="344" t="s">
        <v>1012</v>
      </c>
      <c r="L136" s="352" t="s">
        <v>1227</v>
      </c>
      <c r="M136" s="472" t="s">
        <v>93</v>
      </c>
      <c r="N136" s="347">
        <v>405.73015542488798</v>
      </c>
      <c r="O136" s="473">
        <v>243.31557227168014</v>
      </c>
      <c r="P136" s="347">
        <v>379.47756302854725</v>
      </c>
      <c r="Q136" s="347">
        <v>115.25474476026955</v>
      </c>
      <c r="R136" s="37"/>
      <c r="S136" s="465" t="s">
        <v>44</v>
      </c>
      <c r="T136" s="344" t="s">
        <v>63</v>
      </c>
      <c r="U136" s="344" t="s">
        <v>44</v>
      </c>
      <c r="V136" s="344" t="s">
        <v>75</v>
      </c>
      <c r="W136" s="465" t="s">
        <v>76</v>
      </c>
      <c r="X136" s="37"/>
      <c r="Y136" s="37"/>
      <c r="Z136" s="465" t="s">
        <v>78</v>
      </c>
      <c r="AA136" s="465" t="s">
        <v>78</v>
      </c>
      <c r="AB136" s="37"/>
      <c r="AC136" s="474">
        <v>12.202739726027396</v>
      </c>
      <c r="AD136" s="465" t="s">
        <v>72</v>
      </c>
      <c r="AE136" s="344" t="s">
        <v>73</v>
      </c>
      <c r="AF136" s="822"/>
      <c r="AG136" s="822"/>
      <c r="AH136" s="822"/>
      <c r="AI136" s="822"/>
      <c r="AJ136" s="822"/>
      <c r="AK136" s="822"/>
      <c r="AL136" s="822"/>
      <c r="AM136" s="822"/>
      <c r="AN136" s="822"/>
      <c r="AO136" s="822"/>
      <c r="AP136" s="822"/>
      <c r="AQ136" s="822"/>
      <c r="AR136" s="822"/>
      <c r="AS136" s="822"/>
      <c r="AT136" s="822"/>
      <c r="AU136" s="822"/>
      <c r="AV136" s="822"/>
      <c r="AW136" s="822"/>
      <c r="AX136" s="822"/>
      <c r="AY136" s="822"/>
      <c r="AZ136" s="822"/>
      <c r="BA136" s="822"/>
      <c r="BB136" s="822"/>
      <c r="BC136" s="822"/>
      <c r="BD136" s="822"/>
      <c r="BE136" s="822"/>
      <c r="BF136" s="822"/>
      <c r="BG136" s="822"/>
      <c r="BH136" s="822"/>
      <c r="BI136" s="822"/>
      <c r="BJ136" s="822"/>
      <c r="BK136" s="822"/>
      <c r="BL136" s="822"/>
      <c r="BM136" s="822"/>
      <c r="BN136" s="822"/>
      <c r="BO136" s="822"/>
      <c r="BP136" s="822"/>
      <c r="BQ136" s="822"/>
      <c r="BR136" s="822"/>
      <c r="BS136" s="822"/>
      <c r="BT136" s="822"/>
      <c r="BU136" s="822"/>
      <c r="BV136" s="822"/>
      <c r="BW136" s="822"/>
      <c r="BX136" s="822"/>
      <c r="BY136" s="822"/>
      <c r="BZ136" s="822"/>
      <c r="CA136" s="822"/>
      <c r="CB136" s="822"/>
      <c r="CC136" s="822"/>
      <c r="CD136" s="822"/>
      <c r="CE136" s="822"/>
      <c r="CF136" s="822"/>
      <c r="CG136" s="822"/>
      <c r="CH136" s="822"/>
      <c r="CI136" s="822"/>
      <c r="CJ136" s="392"/>
      <c r="CK136" s="392"/>
      <c r="CL136" s="392"/>
      <c r="CM136" s="392"/>
      <c r="CN136" s="392"/>
      <c r="CO136" s="392"/>
      <c r="CP136" s="392"/>
      <c r="CQ136" s="392"/>
      <c r="CR136" s="392"/>
      <c r="CS136" s="392"/>
      <c r="CT136" s="392"/>
      <c r="CU136" s="392"/>
      <c r="CV136" s="392"/>
      <c r="CW136" s="392"/>
      <c r="CX136" s="392"/>
      <c r="CY136" s="392"/>
      <c r="CZ136" s="392"/>
      <c r="DA136" s="392"/>
      <c r="DB136" s="392"/>
      <c r="DC136" s="392"/>
    </row>
    <row r="137" spans="1:107" s="337" customFormat="1" ht="56.25">
      <c r="A137" s="37"/>
      <c r="B137" s="638" t="s">
        <v>23</v>
      </c>
      <c r="C137" s="639" t="s">
        <v>499</v>
      </c>
      <c r="D137" s="640" t="s">
        <v>1224</v>
      </c>
      <c r="E137" s="641">
        <v>551.08209536163713</v>
      </c>
      <c r="F137" s="639" t="s">
        <v>27</v>
      </c>
      <c r="G137" s="642">
        <v>0.31182743504241944</v>
      </c>
      <c r="H137" s="639" t="s">
        <v>66</v>
      </c>
      <c r="I137" s="643">
        <v>0.87494965178535133</v>
      </c>
      <c r="J137" s="644" t="s">
        <v>1097</v>
      </c>
      <c r="K137" s="644" t="s">
        <v>1052</v>
      </c>
      <c r="L137" s="645" t="s">
        <v>960</v>
      </c>
      <c r="M137" s="645" t="s">
        <v>88</v>
      </c>
      <c r="N137" s="646">
        <v>20.232024559946961</v>
      </c>
      <c r="O137" s="647" t="s">
        <v>870</v>
      </c>
      <c r="P137" s="646">
        <v>16.496881564264442</v>
      </c>
      <c r="Q137" s="646" t="s">
        <v>870</v>
      </c>
      <c r="R137" s="37"/>
      <c r="S137" s="639" t="s">
        <v>69</v>
      </c>
      <c r="T137" s="639" t="s">
        <v>69</v>
      </c>
      <c r="U137" s="639" t="s">
        <v>69</v>
      </c>
      <c r="V137" s="639" t="s">
        <v>69</v>
      </c>
      <c r="W137" s="639" t="s">
        <v>76</v>
      </c>
      <c r="X137" s="37"/>
      <c r="Y137" s="37"/>
      <c r="Z137" s="639" t="s">
        <v>78</v>
      </c>
      <c r="AA137" s="639" t="s">
        <v>78</v>
      </c>
      <c r="AB137" s="37"/>
      <c r="AC137" s="814">
        <v>12.202739726027396</v>
      </c>
      <c r="AD137" s="639" t="s">
        <v>72</v>
      </c>
      <c r="AE137" s="644" t="s">
        <v>73</v>
      </c>
      <c r="AF137" s="822"/>
      <c r="AG137" s="822"/>
      <c r="AH137" s="822"/>
      <c r="AI137" s="822"/>
      <c r="AJ137" s="822"/>
      <c r="AK137" s="822"/>
      <c r="AL137" s="822"/>
      <c r="AM137" s="822"/>
      <c r="AN137" s="822"/>
      <c r="AO137" s="822"/>
      <c r="AP137" s="822"/>
      <c r="AQ137" s="822"/>
      <c r="AR137" s="822"/>
      <c r="AS137" s="822"/>
      <c r="AT137" s="822"/>
      <c r="AU137" s="822"/>
      <c r="AV137" s="822"/>
      <c r="AW137" s="822"/>
      <c r="AX137" s="822"/>
      <c r="AY137" s="822"/>
      <c r="AZ137" s="822"/>
      <c r="BA137" s="822"/>
      <c r="BB137" s="822"/>
      <c r="BC137" s="822"/>
      <c r="BD137" s="822"/>
      <c r="BE137" s="822"/>
      <c r="BF137" s="822"/>
      <c r="BG137" s="822"/>
      <c r="BH137" s="822"/>
      <c r="BI137" s="822"/>
      <c r="BJ137" s="822"/>
      <c r="BK137" s="822"/>
      <c r="BL137" s="822"/>
      <c r="BM137" s="822"/>
      <c r="BN137" s="822"/>
      <c r="BO137" s="822"/>
      <c r="BP137" s="822"/>
      <c r="BQ137" s="822"/>
      <c r="BR137" s="822"/>
      <c r="BS137" s="822"/>
      <c r="BT137" s="822"/>
      <c r="BU137" s="822"/>
      <c r="BV137" s="822"/>
      <c r="BW137" s="822"/>
      <c r="BX137" s="822"/>
      <c r="BY137" s="822"/>
      <c r="BZ137" s="822"/>
      <c r="CA137" s="822"/>
      <c r="CB137" s="822"/>
      <c r="CC137" s="822"/>
      <c r="CD137" s="822"/>
      <c r="CE137" s="822"/>
      <c r="CF137" s="822"/>
      <c r="CG137" s="822"/>
      <c r="CH137" s="822"/>
      <c r="CI137" s="822"/>
      <c r="CJ137" s="392"/>
      <c r="CK137" s="392"/>
      <c r="CL137" s="392"/>
      <c r="CM137" s="392"/>
      <c r="CN137" s="392"/>
      <c r="CO137" s="392"/>
      <c r="CP137" s="392"/>
      <c r="CQ137" s="392"/>
      <c r="CR137" s="392"/>
      <c r="CS137" s="392"/>
      <c r="CT137" s="392"/>
      <c r="CU137" s="392"/>
      <c r="CV137" s="392"/>
      <c r="CW137" s="392"/>
      <c r="CX137" s="392"/>
      <c r="CY137" s="392"/>
      <c r="CZ137" s="392"/>
      <c r="DA137" s="392"/>
      <c r="DB137" s="392"/>
      <c r="DC137" s="392"/>
    </row>
    <row r="138" spans="1:107" s="337" customFormat="1" ht="56.25">
      <c r="A138" s="37"/>
      <c r="B138" s="638" t="s">
        <v>23</v>
      </c>
      <c r="C138" s="639" t="s">
        <v>499</v>
      </c>
      <c r="D138" s="640" t="s">
        <v>1224</v>
      </c>
      <c r="E138" s="641">
        <v>551.08209536163713</v>
      </c>
      <c r="F138" s="639" t="s">
        <v>27</v>
      </c>
      <c r="G138" s="642">
        <v>0.31182743504241944</v>
      </c>
      <c r="H138" s="639" t="s">
        <v>66</v>
      </c>
      <c r="I138" s="643">
        <v>0.87494965178535133</v>
      </c>
      <c r="J138" s="644" t="s">
        <v>1097</v>
      </c>
      <c r="K138" s="644" t="s">
        <v>1052</v>
      </c>
      <c r="L138" s="645" t="s">
        <v>960</v>
      </c>
      <c r="M138" s="645" t="s">
        <v>90</v>
      </c>
      <c r="N138" s="646">
        <v>20.232024559946961</v>
      </c>
      <c r="O138" s="647" t="s">
        <v>870</v>
      </c>
      <c r="P138" s="646">
        <v>16.496881564264442</v>
      </c>
      <c r="Q138" s="646" t="s">
        <v>870</v>
      </c>
      <c r="R138" s="37"/>
      <c r="S138" s="639" t="s">
        <v>69</v>
      </c>
      <c r="T138" s="639" t="s">
        <v>69</v>
      </c>
      <c r="U138" s="639" t="s">
        <v>69</v>
      </c>
      <c r="V138" s="639" t="s">
        <v>69</v>
      </c>
      <c r="W138" s="639" t="s">
        <v>76</v>
      </c>
      <c r="X138" s="37"/>
      <c r="Y138" s="37"/>
      <c r="Z138" s="639" t="s">
        <v>78</v>
      </c>
      <c r="AA138" s="639" t="s">
        <v>78</v>
      </c>
      <c r="AB138" s="37"/>
      <c r="AC138" s="814">
        <v>12.202739726027396</v>
      </c>
      <c r="AD138" s="639" t="s">
        <v>72</v>
      </c>
      <c r="AE138" s="644" t="s">
        <v>73</v>
      </c>
      <c r="AF138" s="822"/>
      <c r="AG138" s="822"/>
      <c r="AH138" s="822"/>
      <c r="AI138" s="822"/>
      <c r="AJ138" s="822"/>
      <c r="AK138" s="822"/>
      <c r="AL138" s="822"/>
      <c r="AM138" s="822"/>
      <c r="AN138" s="822"/>
      <c r="AO138" s="822"/>
      <c r="AP138" s="822"/>
      <c r="AQ138" s="822"/>
      <c r="AR138" s="822"/>
      <c r="AS138" s="822"/>
      <c r="AT138" s="822"/>
      <c r="AU138" s="822"/>
      <c r="AV138" s="822"/>
      <c r="AW138" s="822"/>
      <c r="AX138" s="822"/>
      <c r="AY138" s="822"/>
      <c r="AZ138" s="822"/>
      <c r="BA138" s="822"/>
      <c r="BB138" s="822"/>
      <c r="BC138" s="822"/>
      <c r="BD138" s="822"/>
      <c r="BE138" s="822"/>
      <c r="BF138" s="822"/>
      <c r="BG138" s="822"/>
      <c r="BH138" s="822"/>
      <c r="BI138" s="822"/>
      <c r="BJ138" s="822"/>
      <c r="BK138" s="822"/>
      <c r="BL138" s="822"/>
      <c r="BM138" s="822"/>
      <c r="BN138" s="822"/>
      <c r="BO138" s="822"/>
      <c r="BP138" s="822"/>
      <c r="BQ138" s="822"/>
      <c r="BR138" s="822"/>
      <c r="BS138" s="822"/>
      <c r="BT138" s="822"/>
      <c r="BU138" s="822"/>
      <c r="BV138" s="822"/>
      <c r="BW138" s="822"/>
      <c r="BX138" s="822"/>
      <c r="BY138" s="822"/>
      <c r="BZ138" s="822"/>
      <c r="CA138" s="822"/>
      <c r="CB138" s="822"/>
      <c r="CC138" s="822"/>
      <c r="CD138" s="822"/>
      <c r="CE138" s="822"/>
      <c r="CF138" s="822"/>
      <c r="CG138" s="822"/>
      <c r="CH138" s="822"/>
      <c r="CI138" s="822"/>
      <c r="CJ138" s="392"/>
      <c r="CK138" s="392"/>
      <c r="CL138" s="392"/>
      <c r="CM138" s="392"/>
      <c r="CN138" s="392"/>
      <c r="CO138" s="392"/>
      <c r="CP138" s="392"/>
      <c r="CQ138" s="392"/>
      <c r="CR138" s="392"/>
      <c r="CS138" s="392"/>
      <c r="CT138" s="392"/>
      <c r="CU138" s="392"/>
      <c r="CV138" s="392"/>
      <c r="CW138" s="392"/>
      <c r="CX138" s="392"/>
      <c r="CY138" s="392"/>
      <c r="CZ138" s="392"/>
      <c r="DA138" s="392"/>
      <c r="DB138" s="392"/>
      <c r="DC138" s="392"/>
    </row>
    <row r="139" spans="1:107" s="337" customFormat="1" ht="56.25">
      <c r="A139" s="37"/>
      <c r="B139" s="638" t="s">
        <v>23</v>
      </c>
      <c r="C139" s="639" t="s">
        <v>499</v>
      </c>
      <c r="D139" s="640" t="s">
        <v>1224</v>
      </c>
      <c r="E139" s="641">
        <v>551.08209536163713</v>
      </c>
      <c r="F139" s="639" t="s">
        <v>27</v>
      </c>
      <c r="G139" s="642">
        <v>0.31182743504241944</v>
      </c>
      <c r="H139" s="639" t="s">
        <v>66</v>
      </c>
      <c r="I139" s="643">
        <v>0.87494965178535133</v>
      </c>
      <c r="J139" s="644" t="s">
        <v>1097</v>
      </c>
      <c r="K139" s="644" t="s">
        <v>1052</v>
      </c>
      <c r="L139" s="645" t="s">
        <v>960</v>
      </c>
      <c r="M139" s="645" t="s">
        <v>92</v>
      </c>
      <c r="N139" s="646">
        <v>20.232024559946961</v>
      </c>
      <c r="O139" s="647">
        <v>43.301822340592075</v>
      </c>
      <c r="P139" s="646">
        <v>16.496881564264442</v>
      </c>
      <c r="Q139" s="646">
        <v>37.287680348843182</v>
      </c>
      <c r="R139" s="37"/>
      <c r="S139" s="639" t="s">
        <v>69</v>
      </c>
      <c r="T139" s="639" t="s">
        <v>69</v>
      </c>
      <c r="U139" s="639" t="s">
        <v>69</v>
      </c>
      <c r="V139" s="639" t="s">
        <v>69</v>
      </c>
      <c r="W139" s="639" t="s">
        <v>76</v>
      </c>
      <c r="X139" s="37"/>
      <c r="Y139" s="37"/>
      <c r="Z139" s="639" t="s">
        <v>78</v>
      </c>
      <c r="AA139" s="639" t="s">
        <v>78</v>
      </c>
      <c r="AB139" s="37"/>
      <c r="AC139" s="814">
        <v>12.202739726027396</v>
      </c>
      <c r="AD139" s="639" t="s">
        <v>72</v>
      </c>
      <c r="AE139" s="644" t="s">
        <v>73</v>
      </c>
      <c r="AF139" s="822"/>
      <c r="AG139" s="822"/>
      <c r="AH139" s="822"/>
      <c r="AI139" s="822"/>
      <c r="AJ139" s="822"/>
      <c r="AK139" s="822"/>
      <c r="AL139" s="822"/>
      <c r="AM139" s="822"/>
      <c r="AN139" s="822"/>
      <c r="AO139" s="822"/>
      <c r="AP139" s="822"/>
      <c r="AQ139" s="822"/>
      <c r="AR139" s="822"/>
      <c r="AS139" s="822"/>
      <c r="AT139" s="822"/>
      <c r="AU139" s="822"/>
      <c r="AV139" s="822"/>
      <c r="AW139" s="822"/>
      <c r="AX139" s="822"/>
      <c r="AY139" s="822"/>
      <c r="AZ139" s="822"/>
      <c r="BA139" s="822"/>
      <c r="BB139" s="822"/>
      <c r="BC139" s="822"/>
      <c r="BD139" s="822"/>
      <c r="BE139" s="822"/>
      <c r="BF139" s="822"/>
      <c r="BG139" s="822"/>
      <c r="BH139" s="822"/>
      <c r="BI139" s="822"/>
      <c r="BJ139" s="822"/>
      <c r="BK139" s="822"/>
      <c r="BL139" s="822"/>
      <c r="BM139" s="822"/>
      <c r="BN139" s="822"/>
      <c r="BO139" s="822"/>
      <c r="BP139" s="822"/>
      <c r="BQ139" s="822"/>
      <c r="BR139" s="822"/>
      <c r="BS139" s="822"/>
      <c r="BT139" s="822"/>
      <c r="BU139" s="822"/>
      <c r="BV139" s="822"/>
      <c r="BW139" s="822"/>
      <c r="BX139" s="822"/>
      <c r="BY139" s="822"/>
      <c r="BZ139" s="822"/>
      <c r="CA139" s="822"/>
      <c r="CB139" s="822"/>
      <c r="CC139" s="822"/>
      <c r="CD139" s="822"/>
      <c r="CE139" s="822"/>
      <c r="CF139" s="822"/>
      <c r="CG139" s="822"/>
      <c r="CH139" s="822"/>
      <c r="CI139" s="822"/>
      <c r="CJ139" s="392"/>
      <c r="CK139" s="392"/>
      <c r="CL139" s="392"/>
      <c r="CM139" s="392"/>
      <c r="CN139" s="392"/>
      <c r="CO139" s="392"/>
      <c r="CP139" s="392"/>
      <c r="CQ139" s="392"/>
      <c r="CR139" s="392"/>
      <c r="CS139" s="392"/>
      <c r="CT139" s="392"/>
      <c r="CU139" s="392"/>
      <c r="CV139" s="392"/>
      <c r="CW139" s="392"/>
      <c r="CX139" s="392"/>
      <c r="CY139" s="392"/>
      <c r="CZ139" s="392"/>
      <c r="DA139" s="392"/>
      <c r="DB139" s="392"/>
      <c r="DC139" s="392"/>
    </row>
    <row r="140" spans="1:107" s="337" customFormat="1" ht="56.25">
      <c r="A140" s="37"/>
      <c r="B140" s="638" t="s">
        <v>23</v>
      </c>
      <c r="C140" s="639" t="s">
        <v>499</v>
      </c>
      <c r="D140" s="640" t="s">
        <v>1224</v>
      </c>
      <c r="E140" s="641">
        <v>551.08209536163713</v>
      </c>
      <c r="F140" s="639" t="s">
        <v>27</v>
      </c>
      <c r="G140" s="642">
        <v>0.31182743504241944</v>
      </c>
      <c r="H140" s="639" t="s">
        <v>66</v>
      </c>
      <c r="I140" s="643">
        <v>0.87494965178535133</v>
      </c>
      <c r="J140" s="644" t="s">
        <v>1097</v>
      </c>
      <c r="K140" s="644" t="s">
        <v>1052</v>
      </c>
      <c r="L140" s="645" t="s">
        <v>960</v>
      </c>
      <c r="M140" s="645" t="s">
        <v>93</v>
      </c>
      <c r="N140" s="646">
        <v>20.232024559946961</v>
      </c>
      <c r="O140" s="647" t="s">
        <v>870</v>
      </c>
      <c r="P140" s="646">
        <v>16.496881564264442</v>
      </c>
      <c r="Q140" s="646" t="s">
        <v>870</v>
      </c>
      <c r="R140" s="37"/>
      <c r="S140" s="639" t="s">
        <v>69</v>
      </c>
      <c r="T140" s="639" t="s">
        <v>69</v>
      </c>
      <c r="U140" s="644" t="s">
        <v>44</v>
      </c>
      <c r="V140" s="644" t="s">
        <v>75</v>
      </c>
      <c r="W140" s="639" t="s">
        <v>76</v>
      </c>
      <c r="X140" s="37"/>
      <c r="Y140" s="37"/>
      <c r="Z140" s="639" t="s">
        <v>78</v>
      </c>
      <c r="AA140" s="639" t="s">
        <v>78</v>
      </c>
      <c r="AB140" s="37"/>
      <c r="AC140" s="814">
        <v>12.202739726027396</v>
      </c>
      <c r="AD140" s="639" t="s">
        <v>72</v>
      </c>
      <c r="AE140" s="644" t="s">
        <v>73</v>
      </c>
      <c r="AF140" s="822"/>
      <c r="AG140" s="822"/>
      <c r="AH140" s="822"/>
      <c r="AI140" s="822"/>
      <c r="AJ140" s="822"/>
      <c r="AK140" s="822"/>
      <c r="AL140" s="822"/>
      <c r="AM140" s="822"/>
      <c r="AN140" s="822"/>
      <c r="AO140" s="822"/>
      <c r="AP140" s="822"/>
      <c r="AQ140" s="822"/>
      <c r="AR140" s="822"/>
      <c r="AS140" s="822"/>
      <c r="AT140" s="822"/>
      <c r="AU140" s="822"/>
      <c r="AV140" s="822"/>
      <c r="AW140" s="822"/>
      <c r="AX140" s="822"/>
      <c r="AY140" s="822"/>
      <c r="AZ140" s="822"/>
      <c r="BA140" s="822"/>
      <c r="BB140" s="822"/>
      <c r="BC140" s="822"/>
      <c r="BD140" s="822"/>
      <c r="BE140" s="822"/>
      <c r="BF140" s="822"/>
      <c r="BG140" s="822"/>
      <c r="BH140" s="822"/>
      <c r="BI140" s="822"/>
      <c r="BJ140" s="822"/>
      <c r="BK140" s="822"/>
      <c r="BL140" s="822"/>
      <c r="BM140" s="822"/>
      <c r="BN140" s="822"/>
      <c r="BO140" s="822"/>
      <c r="BP140" s="822"/>
      <c r="BQ140" s="822"/>
      <c r="BR140" s="822"/>
      <c r="BS140" s="822"/>
      <c r="BT140" s="822"/>
      <c r="BU140" s="822"/>
      <c r="BV140" s="822"/>
      <c r="BW140" s="822"/>
      <c r="BX140" s="822"/>
      <c r="BY140" s="822"/>
      <c r="BZ140" s="822"/>
      <c r="CA140" s="822"/>
      <c r="CB140" s="822"/>
      <c r="CC140" s="822"/>
      <c r="CD140" s="822"/>
      <c r="CE140" s="822"/>
      <c r="CF140" s="822"/>
      <c r="CG140" s="822"/>
      <c r="CH140" s="822"/>
      <c r="CI140" s="822"/>
      <c r="CJ140" s="392"/>
      <c r="CK140" s="392"/>
      <c r="CL140" s="392"/>
      <c r="CM140" s="392"/>
      <c r="CN140" s="392"/>
      <c r="CO140" s="392"/>
      <c r="CP140" s="392"/>
      <c r="CQ140" s="392"/>
      <c r="CR140" s="392"/>
      <c r="CS140" s="392"/>
      <c r="CT140" s="392"/>
      <c r="CU140" s="392"/>
      <c r="CV140" s="392"/>
      <c r="CW140" s="392"/>
      <c r="CX140" s="392"/>
      <c r="CY140" s="392"/>
      <c r="CZ140" s="392"/>
      <c r="DA140" s="392"/>
      <c r="DB140" s="392"/>
      <c r="DC140" s="392"/>
    </row>
    <row r="141" spans="1:107" s="337" customFormat="1" ht="56.25">
      <c r="A141" s="37"/>
      <c r="B141" s="638" t="s">
        <v>23</v>
      </c>
      <c r="C141" s="639" t="s">
        <v>499</v>
      </c>
      <c r="D141" s="640" t="s">
        <v>1224</v>
      </c>
      <c r="E141" s="641">
        <v>551.08209536163713</v>
      </c>
      <c r="F141" s="639" t="s">
        <v>27</v>
      </c>
      <c r="G141" s="642">
        <v>0.31182743504241944</v>
      </c>
      <c r="H141" s="639" t="s">
        <v>66</v>
      </c>
      <c r="I141" s="643">
        <v>0.87494965178535133</v>
      </c>
      <c r="J141" s="644" t="s">
        <v>1097</v>
      </c>
      <c r="K141" s="644" t="s">
        <v>1052</v>
      </c>
      <c r="L141" s="645" t="s">
        <v>15</v>
      </c>
      <c r="M141" s="645" t="s">
        <v>88</v>
      </c>
      <c r="N141" s="646">
        <v>35.186800955524369</v>
      </c>
      <c r="O141" s="647" t="s">
        <v>870</v>
      </c>
      <c r="P141" s="646">
        <v>30.072440351523728</v>
      </c>
      <c r="Q141" s="646" t="s">
        <v>870</v>
      </c>
      <c r="R141" s="37"/>
      <c r="S141" s="639" t="s">
        <v>44</v>
      </c>
      <c r="T141" s="639" t="s">
        <v>63</v>
      </c>
      <c r="U141" s="639" t="s">
        <v>69</v>
      </c>
      <c r="V141" s="639" t="s">
        <v>69</v>
      </c>
      <c r="W141" s="639" t="s">
        <v>76</v>
      </c>
      <c r="X141" s="37"/>
      <c r="Y141" s="37"/>
      <c r="Z141" s="639" t="s">
        <v>78</v>
      </c>
      <c r="AA141" s="639" t="s">
        <v>78</v>
      </c>
      <c r="AB141" s="37"/>
      <c r="AC141" s="814">
        <v>12.202739726027396</v>
      </c>
      <c r="AD141" s="639" t="s">
        <v>72</v>
      </c>
      <c r="AE141" s="644" t="s">
        <v>73</v>
      </c>
      <c r="AF141" s="822"/>
      <c r="AG141" s="822"/>
      <c r="AH141" s="822"/>
      <c r="AI141" s="822"/>
      <c r="AJ141" s="822"/>
      <c r="AK141" s="822"/>
      <c r="AL141" s="822"/>
      <c r="AM141" s="822"/>
      <c r="AN141" s="822"/>
      <c r="AO141" s="822"/>
      <c r="AP141" s="822"/>
      <c r="AQ141" s="822"/>
      <c r="AR141" s="822"/>
      <c r="AS141" s="822"/>
      <c r="AT141" s="822"/>
      <c r="AU141" s="822"/>
      <c r="AV141" s="822"/>
      <c r="AW141" s="822"/>
      <c r="AX141" s="822"/>
      <c r="AY141" s="822"/>
      <c r="AZ141" s="822"/>
      <c r="BA141" s="822"/>
      <c r="BB141" s="822"/>
      <c r="BC141" s="822"/>
      <c r="BD141" s="822"/>
      <c r="BE141" s="822"/>
      <c r="BF141" s="822"/>
      <c r="BG141" s="822"/>
      <c r="BH141" s="822"/>
      <c r="BI141" s="822"/>
      <c r="BJ141" s="822"/>
      <c r="BK141" s="822"/>
      <c r="BL141" s="822"/>
      <c r="BM141" s="822"/>
      <c r="BN141" s="822"/>
      <c r="BO141" s="822"/>
      <c r="BP141" s="822"/>
      <c r="BQ141" s="822"/>
      <c r="BR141" s="822"/>
      <c r="BS141" s="822"/>
      <c r="BT141" s="822"/>
      <c r="BU141" s="822"/>
      <c r="BV141" s="822"/>
      <c r="BW141" s="822"/>
      <c r="BX141" s="822"/>
      <c r="BY141" s="822"/>
      <c r="BZ141" s="822"/>
      <c r="CA141" s="822"/>
      <c r="CB141" s="822"/>
      <c r="CC141" s="822"/>
      <c r="CD141" s="822"/>
      <c r="CE141" s="822"/>
      <c r="CF141" s="822"/>
      <c r="CG141" s="822"/>
      <c r="CH141" s="822"/>
      <c r="CI141" s="822"/>
      <c r="CJ141" s="392"/>
      <c r="CK141" s="392"/>
      <c r="CL141" s="392"/>
      <c r="CM141" s="392"/>
      <c r="CN141" s="392"/>
      <c r="CO141" s="392"/>
      <c r="CP141" s="392"/>
      <c r="CQ141" s="392"/>
      <c r="CR141" s="392"/>
      <c r="CS141" s="392"/>
      <c r="CT141" s="392"/>
      <c r="CU141" s="392"/>
      <c r="CV141" s="392"/>
      <c r="CW141" s="392"/>
      <c r="CX141" s="392"/>
      <c r="CY141" s="392"/>
      <c r="CZ141" s="392"/>
      <c r="DA141" s="392"/>
      <c r="DB141" s="392"/>
      <c r="DC141" s="392"/>
    </row>
    <row r="142" spans="1:107" s="337" customFormat="1" ht="56.25">
      <c r="A142" s="37"/>
      <c r="B142" s="638" t="s">
        <v>23</v>
      </c>
      <c r="C142" s="639" t="s">
        <v>499</v>
      </c>
      <c r="D142" s="640" t="s">
        <v>1224</v>
      </c>
      <c r="E142" s="641">
        <v>551.08209536163713</v>
      </c>
      <c r="F142" s="639" t="s">
        <v>27</v>
      </c>
      <c r="G142" s="642">
        <v>0.31182743504241944</v>
      </c>
      <c r="H142" s="639" t="s">
        <v>66</v>
      </c>
      <c r="I142" s="643">
        <v>0.87494965178535133</v>
      </c>
      <c r="J142" s="644" t="s">
        <v>1097</v>
      </c>
      <c r="K142" s="644" t="s">
        <v>1052</v>
      </c>
      <c r="L142" s="645" t="s">
        <v>15</v>
      </c>
      <c r="M142" s="645" t="s">
        <v>90</v>
      </c>
      <c r="N142" s="646">
        <v>35.186800955524369</v>
      </c>
      <c r="O142" s="647" t="s">
        <v>870</v>
      </c>
      <c r="P142" s="646">
        <v>30.072440351523728</v>
      </c>
      <c r="Q142" s="646" t="s">
        <v>870</v>
      </c>
      <c r="R142" s="37"/>
      <c r="S142" s="639" t="s">
        <v>44</v>
      </c>
      <c r="T142" s="639" t="s">
        <v>63</v>
      </c>
      <c r="U142" s="639" t="s">
        <v>69</v>
      </c>
      <c r="V142" s="639" t="s">
        <v>69</v>
      </c>
      <c r="W142" s="639" t="s">
        <v>76</v>
      </c>
      <c r="X142" s="37"/>
      <c r="Y142" s="37"/>
      <c r="Z142" s="639" t="s">
        <v>78</v>
      </c>
      <c r="AA142" s="639" t="s">
        <v>78</v>
      </c>
      <c r="AB142" s="37"/>
      <c r="AC142" s="814">
        <v>12.202739726027396</v>
      </c>
      <c r="AD142" s="639" t="s">
        <v>72</v>
      </c>
      <c r="AE142" s="644" t="s">
        <v>73</v>
      </c>
      <c r="AF142" s="822"/>
      <c r="AG142" s="822"/>
      <c r="AH142" s="822"/>
      <c r="AI142" s="822"/>
      <c r="AJ142" s="822"/>
      <c r="AK142" s="822"/>
      <c r="AL142" s="822"/>
      <c r="AM142" s="822"/>
      <c r="AN142" s="822"/>
      <c r="AO142" s="822"/>
      <c r="AP142" s="822"/>
      <c r="AQ142" s="822"/>
      <c r="AR142" s="822"/>
      <c r="AS142" s="822"/>
      <c r="AT142" s="822"/>
      <c r="AU142" s="822"/>
      <c r="AV142" s="822"/>
      <c r="AW142" s="822"/>
      <c r="AX142" s="822"/>
      <c r="AY142" s="822"/>
      <c r="AZ142" s="822"/>
      <c r="BA142" s="822"/>
      <c r="BB142" s="822"/>
      <c r="BC142" s="822"/>
      <c r="BD142" s="822"/>
      <c r="BE142" s="822"/>
      <c r="BF142" s="822"/>
      <c r="BG142" s="822"/>
      <c r="BH142" s="822"/>
      <c r="BI142" s="822"/>
      <c r="BJ142" s="822"/>
      <c r="BK142" s="822"/>
      <c r="BL142" s="822"/>
      <c r="BM142" s="822"/>
      <c r="BN142" s="822"/>
      <c r="BO142" s="822"/>
      <c r="BP142" s="822"/>
      <c r="BQ142" s="822"/>
      <c r="BR142" s="822"/>
      <c r="BS142" s="822"/>
      <c r="BT142" s="822"/>
      <c r="BU142" s="822"/>
      <c r="BV142" s="822"/>
      <c r="BW142" s="822"/>
      <c r="BX142" s="822"/>
      <c r="BY142" s="822"/>
      <c r="BZ142" s="822"/>
      <c r="CA142" s="822"/>
      <c r="CB142" s="822"/>
      <c r="CC142" s="822"/>
      <c r="CD142" s="822"/>
      <c r="CE142" s="822"/>
      <c r="CF142" s="822"/>
      <c r="CG142" s="822"/>
      <c r="CH142" s="822"/>
      <c r="CI142" s="822"/>
      <c r="CJ142" s="392"/>
      <c r="CK142" s="392"/>
      <c r="CL142" s="392"/>
      <c r="CM142" s="392"/>
      <c r="CN142" s="392"/>
      <c r="CO142" s="392"/>
      <c r="CP142" s="392"/>
      <c r="CQ142" s="392"/>
      <c r="CR142" s="392"/>
      <c r="CS142" s="392"/>
      <c r="CT142" s="392"/>
      <c r="CU142" s="392"/>
      <c r="CV142" s="392"/>
      <c r="CW142" s="392"/>
      <c r="CX142" s="392"/>
      <c r="CY142" s="392"/>
      <c r="CZ142" s="392"/>
      <c r="DA142" s="392"/>
      <c r="DB142" s="392"/>
      <c r="DC142" s="392"/>
    </row>
    <row r="143" spans="1:107" s="337" customFormat="1" ht="56.25">
      <c r="A143" s="37"/>
      <c r="B143" s="638" t="s">
        <v>23</v>
      </c>
      <c r="C143" s="639" t="s">
        <v>499</v>
      </c>
      <c r="D143" s="640" t="s">
        <v>1224</v>
      </c>
      <c r="E143" s="641">
        <v>551.08209536163713</v>
      </c>
      <c r="F143" s="639" t="s">
        <v>27</v>
      </c>
      <c r="G143" s="642">
        <v>0.31182743504241944</v>
      </c>
      <c r="H143" s="639" t="s">
        <v>66</v>
      </c>
      <c r="I143" s="643">
        <v>0.87494965178535133</v>
      </c>
      <c r="J143" s="644" t="s">
        <v>1097</v>
      </c>
      <c r="K143" s="644" t="s">
        <v>1052</v>
      </c>
      <c r="L143" s="645" t="s">
        <v>15</v>
      </c>
      <c r="M143" s="645" t="s">
        <v>92</v>
      </c>
      <c r="N143" s="646">
        <v>35.186800955524369</v>
      </c>
      <c r="O143" s="647">
        <v>43.301822340592075</v>
      </c>
      <c r="P143" s="646">
        <v>30.072440351523728</v>
      </c>
      <c r="Q143" s="646">
        <v>37.287680348843182</v>
      </c>
      <c r="R143" s="37"/>
      <c r="S143" s="639" t="s">
        <v>44</v>
      </c>
      <c r="T143" s="639" t="s">
        <v>63</v>
      </c>
      <c r="U143" s="639" t="s">
        <v>69</v>
      </c>
      <c r="V143" s="639" t="s">
        <v>69</v>
      </c>
      <c r="W143" s="639" t="s">
        <v>76</v>
      </c>
      <c r="X143" s="37"/>
      <c r="Y143" s="37"/>
      <c r="Z143" s="639" t="s">
        <v>78</v>
      </c>
      <c r="AA143" s="639" t="s">
        <v>78</v>
      </c>
      <c r="AB143" s="37"/>
      <c r="AC143" s="814">
        <v>12.202739726027396</v>
      </c>
      <c r="AD143" s="639" t="s">
        <v>72</v>
      </c>
      <c r="AE143" s="644" t="s">
        <v>73</v>
      </c>
      <c r="AF143" s="822"/>
      <c r="AG143" s="822"/>
      <c r="AH143" s="822"/>
      <c r="AI143" s="822"/>
      <c r="AJ143" s="822"/>
      <c r="AK143" s="822"/>
      <c r="AL143" s="822"/>
      <c r="AM143" s="822"/>
      <c r="AN143" s="822"/>
      <c r="AO143" s="822"/>
      <c r="AP143" s="822"/>
      <c r="AQ143" s="822"/>
      <c r="AR143" s="822"/>
      <c r="AS143" s="822"/>
      <c r="AT143" s="822"/>
      <c r="AU143" s="822"/>
      <c r="AV143" s="822"/>
      <c r="AW143" s="822"/>
      <c r="AX143" s="822"/>
      <c r="AY143" s="822"/>
      <c r="AZ143" s="822"/>
      <c r="BA143" s="822"/>
      <c r="BB143" s="822"/>
      <c r="BC143" s="822"/>
      <c r="BD143" s="822"/>
      <c r="BE143" s="822"/>
      <c r="BF143" s="822"/>
      <c r="BG143" s="822"/>
      <c r="BH143" s="822"/>
      <c r="BI143" s="822"/>
      <c r="BJ143" s="822"/>
      <c r="BK143" s="822"/>
      <c r="BL143" s="822"/>
      <c r="BM143" s="822"/>
      <c r="BN143" s="822"/>
      <c r="BO143" s="822"/>
      <c r="BP143" s="822"/>
      <c r="BQ143" s="822"/>
      <c r="BR143" s="822"/>
      <c r="BS143" s="822"/>
      <c r="BT143" s="822"/>
      <c r="BU143" s="822"/>
      <c r="BV143" s="822"/>
      <c r="BW143" s="822"/>
      <c r="BX143" s="822"/>
      <c r="BY143" s="822"/>
      <c r="BZ143" s="822"/>
      <c r="CA143" s="822"/>
      <c r="CB143" s="822"/>
      <c r="CC143" s="822"/>
      <c r="CD143" s="822"/>
      <c r="CE143" s="822"/>
      <c r="CF143" s="822"/>
      <c r="CG143" s="822"/>
      <c r="CH143" s="822"/>
      <c r="CI143" s="822"/>
      <c r="CJ143" s="392"/>
      <c r="CK143" s="392"/>
      <c r="CL143" s="392"/>
      <c r="CM143" s="392"/>
      <c r="CN143" s="392"/>
      <c r="CO143" s="392"/>
      <c r="CP143" s="392"/>
      <c r="CQ143" s="392"/>
      <c r="CR143" s="392"/>
      <c r="CS143" s="392"/>
      <c r="CT143" s="392"/>
      <c r="CU143" s="392"/>
      <c r="CV143" s="392"/>
      <c r="CW143" s="392"/>
      <c r="CX143" s="392"/>
      <c r="CY143" s="392"/>
      <c r="CZ143" s="392"/>
      <c r="DA143" s="392"/>
      <c r="DB143" s="392"/>
      <c r="DC143" s="392"/>
    </row>
    <row r="144" spans="1:107" s="337" customFormat="1" ht="56.25">
      <c r="A144" s="37"/>
      <c r="B144" s="638" t="s">
        <v>23</v>
      </c>
      <c r="C144" s="639" t="s">
        <v>499</v>
      </c>
      <c r="D144" s="640" t="s">
        <v>1224</v>
      </c>
      <c r="E144" s="641">
        <v>551.08209536163713</v>
      </c>
      <c r="F144" s="639" t="s">
        <v>27</v>
      </c>
      <c r="G144" s="642">
        <v>0.31182743504241944</v>
      </c>
      <c r="H144" s="639" t="s">
        <v>66</v>
      </c>
      <c r="I144" s="643">
        <v>0.87494965178535133</v>
      </c>
      <c r="J144" s="644" t="s">
        <v>1097</v>
      </c>
      <c r="K144" s="644" t="s">
        <v>1052</v>
      </c>
      <c r="L144" s="645" t="s">
        <v>15</v>
      </c>
      <c r="M144" s="645" t="s">
        <v>93</v>
      </c>
      <c r="N144" s="646">
        <v>35.186800955524369</v>
      </c>
      <c r="O144" s="647" t="s">
        <v>870</v>
      </c>
      <c r="P144" s="646">
        <v>30.072440351523728</v>
      </c>
      <c r="Q144" s="646" t="s">
        <v>870</v>
      </c>
      <c r="R144" s="37"/>
      <c r="S144" s="639" t="s">
        <v>44</v>
      </c>
      <c r="T144" s="639" t="s">
        <v>63</v>
      </c>
      <c r="U144" s="644" t="s">
        <v>44</v>
      </c>
      <c r="V144" s="644" t="s">
        <v>75</v>
      </c>
      <c r="W144" s="639" t="s">
        <v>76</v>
      </c>
      <c r="X144" s="37"/>
      <c r="Y144" s="37"/>
      <c r="Z144" s="639" t="s">
        <v>78</v>
      </c>
      <c r="AA144" s="639" t="s">
        <v>78</v>
      </c>
      <c r="AB144" s="37"/>
      <c r="AC144" s="814">
        <v>12.202739726027396</v>
      </c>
      <c r="AD144" s="639" t="s">
        <v>72</v>
      </c>
      <c r="AE144" s="644" t="s">
        <v>73</v>
      </c>
      <c r="AF144" s="822"/>
      <c r="AG144" s="822"/>
      <c r="AH144" s="822"/>
      <c r="AI144" s="822"/>
      <c r="AJ144" s="822"/>
      <c r="AK144" s="822"/>
      <c r="AL144" s="822"/>
      <c r="AM144" s="822"/>
      <c r="AN144" s="822"/>
      <c r="AO144" s="822"/>
      <c r="AP144" s="822"/>
      <c r="AQ144" s="822"/>
      <c r="AR144" s="822"/>
      <c r="AS144" s="822"/>
      <c r="AT144" s="822"/>
      <c r="AU144" s="822"/>
      <c r="AV144" s="822"/>
      <c r="AW144" s="822"/>
      <c r="AX144" s="822"/>
      <c r="AY144" s="822"/>
      <c r="AZ144" s="822"/>
      <c r="BA144" s="822"/>
      <c r="BB144" s="822"/>
      <c r="BC144" s="822"/>
      <c r="BD144" s="822"/>
      <c r="BE144" s="822"/>
      <c r="BF144" s="822"/>
      <c r="BG144" s="822"/>
      <c r="BH144" s="822"/>
      <c r="BI144" s="822"/>
      <c r="BJ144" s="822"/>
      <c r="BK144" s="822"/>
      <c r="BL144" s="822"/>
      <c r="BM144" s="822"/>
      <c r="BN144" s="822"/>
      <c r="BO144" s="822"/>
      <c r="BP144" s="822"/>
      <c r="BQ144" s="822"/>
      <c r="BR144" s="822"/>
      <c r="BS144" s="822"/>
      <c r="BT144" s="822"/>
      <c r="BU144" s="822"/>
      <c r="BV144" s="822"/>
      <c r="BW144" s="822"/>
      <c r="BX144" s="822"/>
      <c r="BY144" s="822"/>
      <c r="BZ144" s="822"/>
      <c r="CA144" s="822"/>
      <c r="CB144" s="822"/>
      <c r="CC144" s="822"/>
      <c r="CD144" s="822"/>
      <c r="CE144" s="822"/>
      <c r="CF144" s="822"/>
      <c r="CG144" s="822"/>
      <c r="CH144" s="822"/>
      <c r="CI144" s="822"/>
      <c r="CJ144" s="392"/>
      <c r="CK144" s="392"/>
      <c r="CL144" s="392"/>
      <c r="CM144" s="392"/>
      <c r="CN144" s="392"/>
      <c r="CO144" s="392"/>
      <c r="CP144" s="392"/>
      <c r="CQ144" s="392"/>
      <c r="CR144" s="392"/>
      <c r="CS144" s="392"/>
      <c r="CT144" s="392"/>
      <c r="CU144" s="392"/>
      <c r="CV144" s="392"/>
      <c r="CW144" s="392"/>
      <c r="CX144" s="392"/>
      <c r="CY144" s="392"/>
      <c r="CZ144" s="392"/>
      <c r="DA144" s="392"/>
      <c r="DB144" s="392"/>
      <c r="DC144" s="392"/>
    </row>
    <row r="145" spans="1:107" s="337" customFormat="1" ht="24">
      <c r="A145" s="37"/>
      <c r="B145" s="638" t="s">
        <v>23</v>
      </c>
      <c r="C145" s="639" t="s">
        <v>499</v>
      </c>
      <c r="D145" s="640" t="s">
        <v>1224</v>
      </c>
      <c r="E145" s="641">
        <v>551.08209536163713</v>
      </c>
      <c r="F145" s="639" t="s">
        <v>846</v>
      </c>
      <c r="G145" s="642">
        <v>0.38404881355199783</v>
      </c>
      <c r="H145" s="639" t="s">
        <v>66</v>
      </c>
      <c r="I145" s="643">
        <v>0.90257546234868891</v>
      </c>
      <c r="J145" s="644" t="s">
        <v>25</v>
      </c>
      <c r="K145" s="644" t="s">
        <v>1052</v>
      </c>
      <c r="L145" s="645" t="s">
        <v>95</v>
      </c>
      <c r="M145" s="645" t="s">
        <v>88</v>
      </c>
      <c r="N145" s="646">
        <v>134.04020243247757</v>
      </c>
      <c r="O145" s="647" t="s">
        <v>870</v>
      </c>
      <c r="P145" s="646">
        <v>134.04020243247757</v>
      </c>
      <c r="Q145" s="647" t="s">
        <v>870</v>
      </c>
      <c r="R145" s="37"/>
      <c r="S145" s="639" t="s">
        <v>44</v>
      </c>
      <c r="T145" s="644" t="s">
        <v>63</v>
      </c>
      <c r="U145" s="639" t="s">
        <v>69</v>
      </c>
      <c r="V145" s="639" t="s">
        <v>69</v>
      </c>
      <c r="W145" s="639" t="s">
        <v>76</v>
      </c>
      <c r="X145" s="37"/>
      <c r="Y145" s="37"/>
      <c r="Z145" s="639" t="s">
        <v>78</v>
      </c>
      <c r="AA145" s="639" t="s">
        <v>78</v>
      </c>
      <c r="AB145" s="37"/>
      <c r="AC145" s="814">
        <v>12.202739726027396</v>
      </c>
      <c r="AD145" s="639" t="s">
        <v>72</v>
      </c>
      <c r="AE145" s="644" t="s">
        <v>73</v>
      </c>
      <c r="AF145" s="822"/>
      <c r="AG145" s="822"/>
      <c r="AH145" s="822"/>
      <c r="AI145" s="822"/>
      <c r="AJ145" s="822"/>
      <c r="AK145" s="822"/>
      <c r="AL145" s="822"/>
      <c r="AM145" s="822"/>
      <c r="AN145" s="822"/>
      <c r="AO145" s="822"/>
      <c r="AP145" s="822"/>
      <c r="AQ145" s="822"/>
      <c r="AR145" s="822"/>
      <c r="AS145" s="822"/>
      <c r="AT145" s="822"/>
      <c r="AU145" s="822"/>
      <c r="AV145" s="822"/>
      <c r="AW145" s="822"/>
      <c r="AX145" s="822"/>
      <c r="AY145" s="822"/>
      <c r="AZ145" s="822"/>
      <c r="BA145" s="822"/>
      <c r="BB145" s="822"/>
      <c r="BC145" s="822"/>
      <c r="BD145" s="822"/>
      <c r="BE145" s="822"/>
      <c r="BF145" s="822"/>
      <c r="BG145" s="822"/>
      <c r="BH145" s="822"/>
      <c r="BI145" s="822"/>
      <c r="BJ145" s="822"/>
      <c r="BK145" s="822"/>
      <c r="BL145" s="822"/>
      <c r="BM145" s="822"/>
      <c r="BN145" s="822"/>
      <c r="BO145" s="822"/>
      <c r="BP145" s="822"/>
      <c r="BQ145" s="822"/>
      <c r="BR145" s="822"/>
      <c r="BS145" s="822"/>
      <c r="BT145" s="822"/>
      <c r="BU145" s="822"/>
      <c r="BV145" s="822"/>
      <c r="BW145" s="822"/>
      <c r="BX145" s="822"/>
      <c r="BY145" s="822"/>
      <c r="BZ145" s="822"/>
      <c r="CA145" s="822"/>
      <c r="CB145" s="822"/>
      <c r="CC145" s="822"/>
      <c r="CD145" s="822"/>
      <c r="CE145" s="822"/>
      <c r="CF145" s="822"/>
      <c r="CG145" s="822"/>
      <c r="CH145" s="822"/>
      <c r="CI145" s="822"/>
      <c r="CJ145" s="392"/>
      <c r="CK145" s="392"/>
      <c r="CL145" s="392"/>
      <c r="CM145" s="392"/>
      <c r="CN145" s="392"/>
      <c r="CO145" s="392"/>
      <c r="CP145" s="392"/>
      <c r="CQ145" s="392"/>
      <c r="CR145" s="392"/>
      <c r="CS145" s="392"/>
      <c r="CT145" s="392"/>
      <c r="CU145" s="392"/>
      <c r="CV145" s="392"/>
      <c r="CW145" s="392"/>
      <c r="CX145" s="392"/>
      <c r="CY145" s="392"/>
      <c r="CZ145" s="392"/>
      <c r="DA145" s="392"/>
      <c r="DB145" s="392"/>
      <c r="DC145" s="392"/>
    </row>
    <row r="146" spans="1:107" s="337" customFormat="1" ht="24">
      <c r="A146" s="37"/>
      <c r="B146" s="638" t="s">
        <v>23</v>
      </c>
      <c r="C146" s="639" t="s">
        <v>499</v>
      </c>
      <c r="D146" s="640" t="s">
        <v>1224</v>
      </c>
      <c r="E146" s="641">
        <v>551.08209536163713</v>
      </c>
      <c r="F146" s="639" t="s">
        <v>846</v>
      </c>
      <c r="G146" s="642">
        <v>0.38404881355199783</v>
      </c>
      <c r="H146" s="639" t="s">
        <v>66</v>
      </c>
      <c r="I146" s="643">
        <v>0.90257546234868891</v>
      </c>
      <c r="J146" s="644" t="s">
        <v>25</v>
      </c>
      <c r="K146" s="644" t="s">
        <v>1052</v>
      </c>
      <c r="L146" s="645" t="s">
        <v>95</v>
      </c>
      <c r="M146" s="645" t="s">
        <v>90</v>
      </c>
      <c r="N146" s="646">
        <v>134.04020243247757</v>
      </c>
      <c r="O146" s="647" t="s">
        <v>870</v>
      </c>
      <c r="P146" s="646">
        <v>134.04020243247757</v>
      </c>
      <c r="Q146" s="647" t="s">
        <v>870</v>
      </c>
      <c r="R146" s="37"/>
      <c r="S146" s="639" t="s">
        <v>44</v>
      </c>
      <c r="T146" s="644" t="s">
        <v>63</v>
      </c>
      <c r="U146" s="639" t="s">
        <v>69</v>
      </c>
      <c r="V146" s="639" t="s">
        <v>69</v>
      </c>
      <c r="W146" s="639" t="s">
        <v>76</v>
      </c>
      <c r="X146" s="37"/>
      <c r="Y146" s="37"/>
      <c r="Z146" s="639" t="s">
        <v>78</v>
      </c>
      <c r="AA146" s="639" t="s">
        <v>78</v>
      </c>
      <c r="AB146" s="37"/>
      <c r="AC146" s="814">
        <v>12.202739726027396</v>
      </c>
      <c r="AD146" s="639" t="s">
        <v>72</v>
      </c>
      <c r="AE146" s="644" t="s">
        <v>73</v>
      </c>
      <c r="AF146" s="822"/>
      <c r="AG146" s="822"/>
      <c r="AH146" s="822"/>
      <c r="AI146" s="822"/>
      <c r="AJ146" s="822"/>
      <c r="AK146" s="822"/>
      <c r="AL146" s="822"/>
      <c r="AM146" s="822"/>
      <c r="AN146" s="822"/>
      <c r="AO146" s="822"/>
      <c r="AP146" s="822"/>
      <c r="AQ146" s="822"/>
      <c r="AR146" s="822"/>
      <c r="AS146" s="822"/>
      <c r="AT146" s="822"/>
      <c r="AU146" s="822"/>
      <c r="AV146" s="822"/>
      <c r="AW146" s="822"/>
      <c r="AX146" s="822"/>
      <c r="AY146" s="822"/>
      <c r="AZ146" s="822"/>
      <c r="BA146" s="822"/>
      <c r="BB146" s="822"/>
      <c r="BC146" s="822"/>
      <c r="BD146" s="822"/>
      <c r="BE146" s="822"/>
      <c r="BF146" s="822"/>
      <c r="BG146" s="822"/>
      <c r="BH146" s="822"/>
      <c r="BI146" s="822"/>
      <c r="BJ146" s="822"/>
      <c r="BK146" s="822"/>
      <c r="BL146" s="822"/>
      <c r="BM146" s="822"/>
      <c r="BN146" s="822"/>
      <c r="BO146" s="822"/>
      <c r="BP146" s="822"/>
      <c r="BQ146" s="822"/>
      <c r="BR146" s="822"/>
      <c r="BS146" s="822"/>
      <c r="BT146" s="822"/>
      <c r="BU146" s="822"/>
      <c r="BV146" s="822"/>
      <c r="BW146" s="822"/>
      <c r="BX146" s="822"/>
      <c r="BY146" s="822"/>
      <c r="BZ146" s="822"/>
      <c r="CA146" s="822"/>
      <c r="CB146" s="822"/>
      <c r="CC146" s="822"/>
      <c r="CD146" s="822"/>
      <c r="CE146" s="822"/>
      <c r="CF146" s="822"/>
      <c r="CG146" s="822"/>
      <c r="CH146" s="822"/>
      <c r="CI146" s="822"/>
      <c r="CJ146" s="392"/>
      <c r="CK146" s="392"/>
      <c r="CL146" s="392"/>
      <c r="CM146" s="392"/>
      <c r="CN146" s="392"/>
      <c r="CO146" s="392"/>
      <c r="CP146" s="392"/>
      <c r="CQ146" s="392"/>
      <c r="CR146" s="392"/>
      <c r="CS146" s="392"/>
      <c r="CT146" s="392"/>
      <c r="CU146" s="392"/>
      <c r="CV146" s="392"/>
      <c r="CW146" s="392"/>
      <c r="CX146" s="392"/>
      <c r="CY146" s="392"/>
      <c r="CZ146" s="392"/>
      <c r="DA146" s="392"/>
      <c r="DB146" s="392"/>
      <c r="DC146" s="392"/>
    </row>
    <row r="147" spans="1:107" s="337" customFormat="1" ht="24">
      <c r="A147" s="37"/>
      <c r="B147" s="638" t="s">
        <v>23</v>
      </c>
      <c r="C147" s="639" t="s">
        <v>499</v>
      </c>
      <c r="D147" s="640" t="s">
        <v>1224</v>
      </c>
      <c r="E147" s="641">
        <v>551.08209536163713</v>
      </c>
      <c r="F147" s="639" t="s">
        <v>846</v>
      </c>
      <c r="G147" s="642">
        <v>0.38404881355199783</v>
      </c>
      <c r="H147" s="639" t="s">
        <v>66</v>
      </c>
      <c r="I147" s="643">
        <v>0.90257546234868891</v>
      </c>
      <c r="J147" s="644" t="s">
        <v>25</v>
      </c>
      <c r="K147" s="644" t="s">
        <v>1052</v>
      </c>
      <c r="L147" s="645" t="s">
        <v>95</v>
      </c>
      <c r="M147" s="645" t="s">
        <v>92</v>
      </c>
      <c r="N147" s="646">
        <v>134.04020243247757</v>
      </c>
      <c r="O147" s="647">
        <v>55.014698736214626</v>
      </c>
      <c r="P147" s="646">
        <v>134.04020243247757</v>
      </c>
      <c r="Q147" s="646">
        <v>47.373768356184819</v>
      </c>
      <c r="R147" s="37"/>
      <c r="S147" s="639" t="s">
        <v>44</v>
      </c>
      <c r="T147" s="644" t="s">
        <v>63</v>
      </c>
      <c r="U147" s="639" t="s">
        <v>69</v>
      </c>
      <c r="V147" s="639" t="s">
        <v>69</v>
      </c>
      <c r="W147" s="639" t="s">
        <v>76</v>
      </c>
      <c r="X147" s="37"/>
      <c r="Y147" s="37"/>
      <c r="Z147" s="639" t="s">
        <v>78</v>
      </c>
      <c r="AA147" s="639" t="s">
        <v>78</v>
      </c>
      <c r="AB147" s="37"/>
      <c r="AC147" s="814">
        <v>12.202739726027396</v>
      </c>
      <c r="AD147" s="639" t="s">
        <v>72</v>
      </c>
      <c r="AE147" s="644" t="s">
        <v>73</v>
      </c>
      <c r="AF147" s="822"/>
      <c r="AG147" s="822"/>
      <c r="AH147" s="822"/>
      <c r="AI147" s="822"/>
      <c r="AJ147" s="822"/>
      <c r="AK147" s="822"/>
      <c r="AL147" s="822"/>
      <c r="AM147" s="822"/>
      <c r="AN147" s="822"/>
      <c r="AO147" s="822"/>
      <c r="AP147" s="822"/>
      <c r="AQ147" s="822"/>
      <c r="AR147" s="822"/>
      <c r="AS147" s="822"/>
      <c r="AT147" s="822"/>
      <c r="AU147" s="822"/>
      <c r="AV147" s="822"/>
      <c r="AW147" s="822"/>
      <c r="AX147" s="822"/>
      <c r="AY147" s="822"/>
      <c r="AZ147" s="822"/>
      <c r="BA147" s="822"/>
      <c r="BB147" s="822"/>
      <c r="BC147" s="822"/>
      <c r="BD147" s="822"/>
      <c r="BE147" s="822"/>
      <c r="BF147" s="822"/>
      <c r="BG147" s="822"/>
      <c r="BH147" s="822"/>
      <c r="BI147" s="822"/>
      <c r="BJ147" s="822"/>
      <c r="BK147" s="822"/>
      <c r="BL147" s="822"/>
      <c r="BM147" s="822"/>
      <c r="BN147" s="822"/>
      <c r="BO147" s="822"/>
      <c r="BP147" s="822"/>
      <c r="BQ147" s="822"/>
      <c r="BR147" s="822"/>
      <c r="BS147" s="822"/>
      <c r="BT147" s="822"/>
      <c r="BU147" s="822"/>
      <c r="BV147" s="822"/>
      <c r="BW147" s="822"/>
      <c r="BX147" s="822"/>
      <c r="BY147" s="822"/>
      <c r="BZ147" s="822"/>
      <c r="CA147" s="822"/>
      <c r="CB147" s="822"/>
      <c r="CC147" s="822"/>
      <c r="CD147" s="822"/>
      <c r="CE147" s="822"/>
      <c r="CF147" s="822"/>
      <c r="CG147" s="822"/>
      <c r="CH147" s="822"/>
      <c r="CI147" s="822"/>
      <c r="CJ147" s="392"/>
      <c r="CK147" s="392"/>
      <c r="CL147" s="392"/>
      <c r="CM147" s="392"/>
      <c r="CN147" s="392"/>
      <c r="CO147" s="392"/>
      <c r="CP147" s="392"/>
      <c r="CQ147" s="392"/>
      <c r="CR147" s="392"/>
      <c r="CS147" s="392"/>
      <c r="CT147" s="392"/>
      <c r="CU147" s="392"/>
      <c r="CV147" s="392"/>
      <c r="CW147" s="392"/>
      <c r="CX147" s="392"/>
      <c r="CY147" s="392"/>
      <c r="CZ147" s="392"/>
      <c r="DA147" s="392"/>
      <c r="DB147" s="392"/>
      <c r="DC147" s="392"/>
    </row>
    <row r="148" spans="1:107" s="337" customFormat="1" ht="24">
      <c r="A148" s="37"/>
      <c r="B148" s="638" t="s">
        <v>23</v>
      </c>
      <c r="C148" s="639" t="s">
        <v>499</v>
      </c>
      <c r="D148" s="640" t="s">
        <v>1224</v>
      </c>
      <c r="E148" s="641">
        <v>551.08209536163713</v>
      </c>
      <c r="F148" s="639" t="s">
        <v>846</v>
      </c>
      <c r="G148" s="642">
        <v>0.38404881355199783</v>
      </c>
      <c r="H148" s="639" t="s">
        <v>66</v>
      </c>
      <c r="I148" s="643">
        <v>0.90257546234868891</v>
      </c>
      <c r="J148" s="644" t="s">
        <v>25</v>
      </c>
      <c r="K148" s="644" t="s">
        <v>1052</v>
      </c>
      <c r="L148" s="645" t="s">
        <v>95</v>
      </c>
      <c r="M148" s="645" t="s">
        <v>93</v>
      </c>
      <c r="N148" s="646">
        <v>134.04020243247757</v>
      </c>
      <c r="O148" s="647" t="s">
        <v>870</v>
      </c>
      <c r="P148" s="646">
        <v>134.04020243247757</v>
      </c>
      <c r="Q148" s="647" t="s">
        <v>870</v>
      </c>
      <c r="R148" s="37"/>
      <c r="S148" s="639" t="s">
        <v>44</v>
      </c>
      <c r="T148" s="644" t="s">
        <v>63</v>
      </c>
      <c r="U148" s="644" t="s">
        <v>44</v>
      </c>
      <c r="V148" s="644" t="s">
        <v>75</v>
      </c>
      <c r="W148" s="639" t="s">
        <v>76</v>
      </c>
      <c r="X148" s="37"/>
      <c r="Y148" s="37"/>
      <c r="Z148" s="639" t="s">
        <v>78</v>
      </c>
      <c r="AA148" s="639" t="s">
        <v>78</v>
      </c>
      <c r="AB148" s="37"/>
      <c r="AC148" s="814">
        <v>12.202739726027396</v>
      </c>
      <c r="AD148" s="639" t="s">
        <v>72</v>
      </c>
      <c r="AE148" s="644" t="s">
        <v>73</v>
      </c>
      <c r="AF148" s="822"/>
      <c r="AG148" s="822"/>
      <c r="AH148" s="822"/>
      <c r="AI148" s="822"/>
      <c r="AJ148" s="822"/>
      <c r="AK148" s="822"/>
      <c r="AL148" s="822"/>
      <c r="AM148" s="822"/>
      <c r="AN148" s="822"/>
      <c r="AO148" s="822"/>
      <c r="AP148" s="822"/>
      <c r="AQ148" s="822"/>
      <c r="AR148" s="822"/>
      <c r="AS148" s="822"/>
      <c r="AT148" s="822"/>
      <c r="AU148" s="822"/>
      <c r="AV148" s="822"/>
      <c r="AW148" s="822"/>
      <c r="AX148" s="822"/>
      <c r="AY148" s="822"/>
      <c r="AZ148" s="822"/>
      <c r="BA148" s="822"/>
      <c r="BB148" s="822"/>
      <c r="BC148" s="822"/>
      <c r="BD148" s="822"/>
      <c r="BE148" s="822"/>
      <c r="BF148" s="822"/>
      <c r="BG148" s="822"/>
      <c r="BH148" s="822"/>
      <c r="BI148" s="822"/>
      <c r="BJ148" s="822"/>
      <c r="BK148" s="822"/>
      <c r="BL148" s="822"/>
      <c r="BM148" s="822"/>
      <c r="BN148" s="822"/>
      <c r="BO148" s="822"/>
      <c r="BP148" s="822"/>
      <c r="BQ148" s="822"/>
      <c r="BR148" s="822"/>
      <c r="BS148" s="822"/>
      <c r="BT148" s="822"/>
      <c r="BU148" s="822"/>
      <c r="BV148" s="822"/>
      <c r="BW148" s="822"/>
      <c r="BX148" s="822"/>
      <c r="BY148" s="822"/>
      <c r="BZ148" s="822"/>
      <c r="CA148" s="822"/>
      <c r="CB148" s="822"/>
      <c r="CC148" s="822"/>
      <c r="CD148" s="822"/>
      <c r="CE148" s="822"/>
      <c r="CF148" s="822"/>
      <c r="CG148" s="822"/>
      <c r="CH148" s="822"/>
      <c r="CI148" s="822"/>
      <c r="CJ148" s="392"/>
      <c r="CK148" s="392"/>
      <c r="CL148" s="392"/>
      <c r="CM148" s="392"/>
      <c r="CN148" s="392"/>
      <c r="CO148" s="392"/>
      <c r="CP148" s="392"/>
      <c r="CQ148" s="392"/>
      <c r="CR148" s="392"/>
      <c r="CS148" s="392"/>
      <c r="CT148" s="392"/>
      <c r="CU148" s="392"/>
      <c r="CV148" s="392"/>
      <c r="CW148" s="392"/>
      <c r="CX148" s="392"/>
      <c r="CY148" s="392"/>
      <c r="CZ148" s="392"/>
      <c r="DA148" s="392"/>
      <c r="DB148" s="392"/>
      <c r="DC148" s="392"/>
    </row>
    <row r="149" spans="1:107" s="337" customFormat="1" ht="24">
      <c r="A149" s="37"/>
      <c r="B149" s="638" t="s">
        <v>23</v>
      </c>
      <c r="C149" s="639" t="s">
        <v>499</v>
      </c>
      <c r="D149" s="640" t="s">
        <v>1224</v>
      </c>
      <c r="E149" s="641">
        <v>551.08209536163713</v>
      </c>
      <c r="F149" s="639" t="s">
        <v>846</v>
      </c>
      <c r="G149" s="642">
        <v>0.38404881355199783</v>
      </c>
      <c r="H149" s="639" t="s">
        <v>66</v>
      </c>
      <c r="I149" s="643">
        <v>0.90257546234868891</v>
      </c>
      <c r="J149" s="644" t="s">
        <v>25</v>
      </c>
      <c r="K149" s="644" t="s">
        <v>1052</v>
      </c>
      <c r="L149" s="645" t="s">
        <v>24</v>
      </c>
      <c r="M149" s="645" t="s">
        <v>88</v>
      </c>
      <c r="N149" s="646">
        <v>123.45808118780829</v>
      </c>
      <c r="O149" s="647" t="s">
        <v>870</v>
      </c>
      <c r="P149" s="646">
        <v>123.45808118780829</v>
      </c>
      <c r="Q149" s="647" t="s">
        <v>870</v>
      </c>
      <c r="R149" s="37"/>
      <c r="S149" s="639" t="s">
        <v>68</v>
      </c>
      <c r="T149" s="644" t="s">
        <v>63</v>
      </c>
      <c r="U149" s="639" t="s">
        <v>69</v>
      </c>
      <c r="V149" s="639" t="s">
        <v>69</v>
      </c>
      <c r="W149" s="639" t="s">
        <v>70</v>
      </c>
      <c r="X149" s="37"/>
      <c r="Y149" s="37"/>
      <c r="Z149" s="639" t="s">
        <v>78</v>
      </c>
      <c r="AA149" s="639" t="s">
        <v>78</v>
      </c>
      <c r="AB149" s="37"/>
      <c r="AC149" s="814">
        <v>12.202739726027396</v>
      </c>
      <c r="AD149" s="639" t="s">
        <v>72</v>
      </c>
      <c r="AE149" s="644" t="s">
        <v>73</v>
      </c>
      <c r="AF149" s="822"/>
      <c r="AG149" s="822"/>
      <c r="AH149" s="822"/>
      <c r="AI149" s="822"/>
      <c r="AJ149" s="822"/>
      <c r="AK149" s="822"/>
      <c r="AL149" s="822"/>
      <c r="AM149" s="822"/>
      <c r="AN149" s="822"/>
      <c r="AO149" s="822"/>
      <c r="AP149" s="822"/>
      <c r="AQ149" s="822"/>
      <c r="AR149" s="822"/>
      <c r="AS149" s="822"/>
      <c r="AT149" s="822"/>
      <c r="AU149" s="822"/>
      <c r="AV149" s="822"/>
      <c r="AW149" s="822"/>
      <c r="AX149" s="822"/>
      <c r="AY149" s="822"/>
      <c r="AZ149" s="822"/>
      <c r="BA149" s="822"/>
      <c r="BB149" s="822"/>
      <c r="BC149" s="822"/>
      <c r="BD149" s="822"/>
      <c r="BE149" s="822"/>
      <c r="BF149" s="822"/>
      <c r="BG149" s="822"/>
      <c r="BH149" s="822"/>
      <c r="BI149" s="822"/>
      <c r="BJ149" s="822"/>
      <c r="BK149" s="822"/>
      <c r="BL149" s="822"/>
      <c r="BM149" s="822"/>
      <c r="BN149" s="822"/>
      <c r="BO149" s="822"/>
      <c r="BP149" s="822"/>
      <c r="BQ149" s="822"/>
      <c r="BR149" s="822"/>
      <c r="BS149" s="822"/>
      <c r="BT149" s="822"/>
      <c r="BU149" s="822"/>
      <c r="BV149" s="822"/>
      <c r="BW149" s="822"/>
      <c r="BX149" s="822"/>
      <c r="BY149" s="822"/>
      <c r="BZ149" s="822"/>
      <c r="CA149" s="822"/>
      <c r="CB149" s="822"/>
      <c r="CC149" s="822"/>
      <c r="CD149" s="822"/>
      <c r="CE149" s="822"/>
      <c r="CF149" s="822"/>
      <c r="CG149" s="822"/>
      <c r="CH149" s="822"/>
      <c r="CI149" s="822"/>
      <c r="CJ149" s="392"/>
      <c r="CK149" s="392"/>
      <c r="CL149" s="392"/>
      <c r="CM149" s="392"/>
      <c r="CN149" s="392"/>
      <c r="CO149" s="392"/>
      <c r="CP149" s="392"/>
      <c r="CQ149" s="392"/>
      <c r="CR149" s="392"/>
      <c r="CS149" s="392"/>
      <c r="CT149" s="392"/>
      <c r="CU149" s="392"/>
      <c r="CV149" s="392"/>
      <c r="CW149" s="392"/>
      <c r="CX149" s="392"/>
      <c r="CY149" s="392"/>
      <c r="CZ149" s="392"/>
      <c r="DA149" s="392"/>
      <c r="DB149" s="392"/>
      <c r="DC149" s="392"/>
    </row>
    <row r="150" spans="1:107" s="337" customFormat="1" ht="24">
      <c r="A150" s="37"/>
      <c r="B150" s="638" t="s">
        <v>23</v>
      </c>
      <c r="C150" s="639" t="s">
        <v>499</v>
      </c>
      <c r="D150" s="640" t="s">
        <v>1224</v>
      </c>
      <c r="E150" s="641">
        <v>551.08209536163713</v>
      </c>
      <c r="F150" s="639" t="s">
        <v>846</v>
      </c>
      <c r="G150" s="642">
        <v>0.38404881355199783</v>
      </c>
      <c r="H150" s="639" t="s">
        <v>66</v>
      </c>
      <c r="I150" s="643">
        <v>0.90257546234868891</v>
      </c>
      <c r="J150" s="644" t="s">
        <v>25</v>
      </c>
      <c r="K150" s="644" t="s">
        <v>1052</v>
      </c>
      <c r="L150" s="645" t="s">
        <v>24</v>
      </c>
      <c r="M150" s="645" t="s">
        <v>90</v>
      </c>
      <c r="N150" s="646">
        <v>123.45808118780829</v>
      </c>
      <c r="O150" s="647" t="s">
        <v>870</v>
      </c>
      <c r="P150" s="646">
        <v>123.45808118780829</v>
      </c>
      <c r="Q150" s="647" t="s">
        <v>870</v>
      </c>
      <c r="R150" s="37"/>
      <c r="S150" s="639" t="s">
        <v>68</v>
      </c>
      <c r="T150" s="644" t="s">
        <v>63</v>
      </c>
      <c r="U150" s="639" t="s">
        <v>69</v>
      </c>
      <c r="V150" s="639" t="s">
        <v>69</v>
      </c>
      <c r="W150" s="639" t="s">
        <v>70</v>
      </c>
      <c r="X150" s="37"/>
      <c r="Y150" s="37"/>
      <c r="Z150" s="639" t="s">
        <v>78</v>
      </c>
      <c r="AA150" s="639" t="s">
        <v>78</v>
      </c>
      <c r="AB150" s="37"/>
      <c r="AC150" s="814">
        <v>12.202739726027396</v>
      </c>
      <c r="AD150" s="639" t="s">
        <v>72</v>
      </c>
      <c r="AE150" s="644" t="s">
        <v>73</v>
      </c>
      <c r="AF150" s="822"/>
      <c r="AG150" s="822"/>
      <c r="AH150" s="822"/>
      <c r="AI150" s="822"/>
      <c r="AJ150" s="822"/>
      <c r="AK150" s="822"/>
      <c r="AL150" s="822"/>
      <c r="AM150" s="822"/>
      <c r="AN150" s="822"/>
      <c r="AO150" s="822"/>
      <c r="AP150" s="822"/>
      <c r="AQ150" s="822"/>
      <c r="AR150" s="822"/>
      <c r="AS150" s="822"/>
      <c r="AT150" s="822"/>
      <c r="AU150" s="822"/>
      <c r="AV150" s="822"/>
      <c r="AW150" s="822"/>
      <c r="AX150" s="822"/>
      <c r="AY150" s="822"/>
      <c r="AZ150" s="822"/>
      <c r="BA150" s="822"/>
      <c r="BB150" s="822"/>
      <c r="BC150" s="822"/>
      <c r="BD150" s="822"/>
      <c r="BE150" s="822"/>
      <c r="BF150" s="822"/>
      <c r="BG150" s="822"/>
      <c r="BH150" s="822"/>
      <c r="BI150" s="822"/>
      <c r="BJ150" s="822"/>
      <c r="BK150" s="822"/>
      <c r="BL150" s="822"/>
      <c r="BM150" s="822"/>
      <c r="BN150" s="822"/>
      <c r="BO150" s="822"/>
      <c r="BP150" s="822"/>
      <c r="BQ150" s="822"/>
      <c r="BR150" s="822"/>
      <c r="BS150" s="822"/>
      <c r="BT150" s="822"/>
      <c r="BU150" s="822"/>
      <c r="BV150" s="822"/>
      <c r="BW150" s="822"/>
      <c r="BX150" s="822"/>
      <c r="BY150" s="822"/>
      <c r="BZ150" s="822"/>
      <c r="CA150" s="822"/>
      <c r="CB150" s="822"/>
      <c r="CC150" s="822"/>
      <c r="CD150" s="822"/>
      <c r="CE150" s="822"/>
      <c r="CF150" s="822"/>
      <c r="CG150" s="822"/>
      <c r="CH150" s="822"/>
      <c r="CI150" s="822"/>
      <c r="CJ150" s="392"/>
      <c r="CK150" s="392"/>
      <c r="CL150" s="392"/>
      <c r="CM150" s="392"/>
      <c r="CN150" s="392"/>
      <c r="CO150" s="392"/>
      <c r="CP150" s="392"/>
      <c r="CQ150" s="392"/>
      <c r="CR150" s="392"/>
      <c r="CS150" s="392"/>
      <c r="CT150" s="392"/>
      <c r="CU150" s="392"/>
      <c r="CV150" s="392"/>
      <c r="CW150" s="392"/>
      <c r="CX150" s="392"/>
      <c r="CY150" s="392"/>
      <c r="CZ150" s="392"/>
      <c r="DA150" s="392"/>
      <c r="DB150" s="392"/>
      <c r="DC150" s="392"/>
    </row>
    <row r="151" spans="1:107" s="337" customFormat="1" ht="24">
      <c r="A151" s="37"/>
      <c r="B151" s="638" t="s">
        <v>23</v>
      </c>
      <c r="C151" s="639" t="s">
        <v>499</v>
      </c>
      <c r="D151" s="640" t="s">
        <v>1224</v>
      </c>
      <c r="E151" s="641">
        <v>551.08209536163713</v>
      </c>
      <c r="F151" s="639" t="s">
        <v>846</v>
      </c>
      <c r="G151" s="642">
        <v>0.38404881355199783</v>
      </c>
      <c r="H151" s="639" t="s">
        <v>66</v>
      </c>
      <c r="I151" s="643">
        <v>0.90257546234868891</v>
      </c>
      <c r="J151" s="644" t="s">
        <v>25</v>
      </c>
      <c r="K151" s="644" t="s">
        <v>1052</v>
      </c>
      <c r="L151" s="645" t="s">
        <v>24</v>
      </c>
      <c r="M151" s="645" t="s">
        <v>92</v>
      </c>
      <c r="N151" s="646">
        <v>123.45808118780829</v>
      </c>
      <c r="O151" s="647">
        <v>55.014698736214626</v>
      </c>
      <c r="P151" s="646">
        <v>123.45808118780829</v>
      </c>
      <c r="Q151" s="646">
        <v>47.373768356184819</v>
      </c>
      <c r="R151" s="37"/>
      <c r="S151" s="639" t="s">
        <v>68</v>
      </c>
      <c r="T151" s="644" t="s">
        <v>63</v>
      </c>
      <c r="U151" s="639" t="s">
        <v>69</v>
      </c>
      <c r="V151" s="639" t="s">
        <v>69</v>
      </c>
      <c r="W151" s="639" t="s">
        <v>70</v>
      </c>
      <c r="X151" s="37"/>
      <c r="Y151" s="37"/>
      <c r="Z151" s="639" t="s">
        <v>78</v>
      </c>
      <c r="AA151" s="639" t="s">
        <v>78</v>
      </c>
      <c r="AB151" s="37"/>
      <c r="AC151" s="814">
        <v>12.202739726027396</v>
      </c>
      <c r="AD151" s="639" t="s">
        <v>72</v>
      </c>
      <c r="AE151" s="644" t="s">
        <v>73</v>
      </c>
      <c r="AF151" s="822"/>
      <c r="AG151" s="822"/>
      <c r="AH151" s="822"/>
      <c r="AI151" s="822"/>
      <c r="AJ151" s="822"/>
      <c r="AK151" s="822"/>
      <c r="AL151" s="822"/>
      <c r="AM151" s="822"/>
      <c r="AN151" s="822"/>
      <c r="AO151" s="822"/>
      <c r="AP151" s="822"/>
      <c r="AQ151" s="822"/>
      <c r="AR151" s="822"/>
      <c r="AS151" s="822"/>
      <c r="AT151" s="822"/>
      <c r="AU151" s="822"/>
      <c r="AV151" s="822"/>
      <c r="AW151" s="822"/>
      <c r="AX151" s="822"/>
      <c r="AY151" s="822"/>
      <c r="AZ151" s="822"/>
      <c r="BA151" s="822"/>
      <c r="BB151" s="822"/>
      <c r="BC151" s="822"/>
      <c r="BD151" s="822"/>
      <c r="BE151" s="822"/>
      <c r="BF151" s="822"/>
      <c r="BG151" s="822"/>
      <c r="BH151" s="822"/>
      <c r="BI151" s="822"/>
      <c r="BJ151" s="822"/>
      <c r="BK151" s="822"/>
      <c r="BL151" s="822"/>
      <c r="BM151" s="822"/>
      <c r="BN151" s="822"/>
      <c r="BO151" s="822"/>
      <c r="BP151" s="822"/>
      <c r="BQ151" s="822"/>
      <c r="BR151" s="822"/>
      <c r="BS151" s="822"/>
      <c r="BT151" s="822"/>
      <c r="BU151" s="822"/>
      <c r="BV151" s="822"/>
      <c r="BW151" s="822"/>
      <c r="BX151" s="822"/>
      <c r="BY151" s="822"/>
      <c r="BZ151" s="822"/>
      <c r="CA151" s="822"/>
      <c r="CB151" s="822"/>
      <c r="CC151" s="822"/>
      <c r="CD151" s="822"/>
      <c r="CE151" s="822"/>
      <c r="CF151" s="822"/>
      <c r="CG151" s="822"/>
      <c r="CH151" s="822"/>
      <c r="CI151" s="822"/>
      <c r="CJ151" s="392"/>
      <c r="CK151" s="392"/>
      <c r="CL151" s="392"/>
      <c r="CM151" s="392"/>
      <c r="CN151" s="392"/>
      <c r="CO151" s="392"/>
      <c r="CP151" s="392"/>
      <c r="CQ151" s="392"/>
      <c r="CR151" s="392"/>
      <c r="CS151" s="392"/>
      <c r="CT151" s="392"/>
      <c r="CU151" s="392"/>
      <c r="CV151" s="392"/>
      <c r="CW151" s="392"/>
      <c r="CX151" s="392"/>
      <c r="CY151" s="392"/>
      <c r="CZ151" s="392"/>
      <c r="DA151" s="392"/>
      <c r="DB151" s="392"/>
      <c r="DC151" s="392"/>
    </row>
    <row r="152" spans="1:107" s="337" customFormat="1" ht="24">
      <c r="A152" s="37"/>
      <c r="B152" s="638" t="s">
        <v>23</v>
      </c>
      <c r="C152" s="639" t="s">
        <v>499</v>
      </c>
      <c r="D152" s="640" t="s">
        <v>1224</v>
      </c>
      <c r="E152" s="641">
        <v>551.08209536163713</v>
      </c>
      <c r="F152" s="639" t="s">
        <v>846</v>
      </c>
      <c r="G152" s="642">
        <v>0.38404881355199783</v>
      </c>
      <c r="H152" s="639" t="s">
        <v>66</v>
      </c>
      <c r="I152" s="643">
        <v>0.90257546234868891</v>
      </c>
      <c r="J152" s="644" t="s">
        <v>25</v>
      </c>
      <c r="K152" s="644" t="s">
        <v>1052</v>
      </c>
      <c r="L152" s="645" t="s">
        <v>24</v>
      </c>
      <c r="M152" s="645" t="s">
        <v>93</v>
      </c>
      <c r="N152" s="646">
        <v>123.45808118780829</v>
      </c>
      <c r="O152" s="647" t="s">
        <v>870</v>
      </c>
      <c r="P152" s="646">
        <v>123.45808118780829</v>
      </c>
      <c r="Q152" s="647" t="s">
        <v>870</v>
      </c>
      <c r="R152" s="37"/>
      <c r="S152" s="639" t="s">
        <v>68</v>
      </c>
      <c r="T152" s="644" t="s">
        <v>63</v>
      </c>
      <c r="U152" s="644" t="s">
        <v>44</v>
      </c>
      <c r="V152" s="644" t="s">
        <v>75</v>
      </c>
      <c r="W152" s="639" t="s">
        <v>70</v>
      </c>
      <c r="X152" s="37"/>
      <c r="Y152" s="37"/>
      <c r="Z152" s="639" t="s">
        <v>78</v>
      </c>
      <c r="AA152" s="639" t="s">
        <v>78</v>
      </c>
      <c r="AB152" s="37"/>
      <c r="AC152" s="814">
        <v>12.202739726027396</v>
      </c>
      <c r="AD152" s="639" t="s">
        <v>72</v>
      </c>
      <c r="AE152" s="644" t="s">
        <v>73</v>
      </c>
      <c r="AF152" s="822"/>
      <c r="AG152" s="822"/>
      <c r="AH152" s="822"/>
      <c r="AI152" s="822"/>
      <c r="AJ152" s="822"/>
      <c r="AK152" s="822"/>
      <c r="AL152" s="822"/>
      <c r="AM152" s="822"/>
      <c r="AN152" s="822"/>
      <c r="AO152" s="822"/>
      <c r="AP152" s="822"/>
      <c r="AQ152" s="822"/>
      <c r="AR152" s="822"/>
      <c r="AS152" s="822"/>
      <c r="AT152" s="822"/>
      <c r="AU152" s="822"/>
      <c r="AV152" s="822"/>
      <c r="AW152" s="822"/>
      <c r="AX152" s="822"/>
      <c r="AY152" s="822"/>
      <c r="AZ152" s="822"/>
      <c r="BA152" s="822"/>
      <c r="BB152" s="822"/>
      <c r="BC152" s="822"/>
      <c r="BD152" s="822"/>
      <c r="BE152" s="822"/>
      <c r="BF152" s="822"/>
      <c r="BG152" s="822"/>
      <c r="BH152" s="822"/>
      <c r="BI152" s="822"/>
      <c r="BJ152" s="822"/>
      <c r="BK152" s="822"/>
      <c r="BL152" s="822"/>
      <c r="BM152" s="822"/>
      <c r="BN152" s="822"/>
      <c r="BO152" s="822"/>
      <c r="BP152" s="822"/>
      <c r="BQ152" s="822"/>
      <c r="BR152" s="822"/>
      <c r="BS152" s="822"/>
      <c r="BT152" s="822"/>
      <c r="BU152" s="822"/>
      <c r="BV152" s="822"/>
      <c r="BW152" s="822"/>
      <c r="BX152" s="822"/>
      <c r="BY152" s="822"/>
      <c r="BZ152" s="822"/>
      <c r="CA152" s="822"/>
      <c r="CB152" s="822"/>
      <c r="CC152" s="822"/>
      <c r="CD152" s="822"/>
      <c r="CE152" s="822"/>
      <c r="CF152" s="822"/>
      <c r="CG152" s="822"/>
      <c r="CH152" s="822"/>
      <c r="CI152" s="822"/>
      <c r="CJ152" s="392"/>
      <c r="CK152" s="392"/>
      <c r="CL152" s="392"/>
      <c r="CM152" s="392"/>
      <c r="CN152" s="392"/>
      <c r="CO152" s="392"/>
      <c r="CP152" s="392"/>
      <c r="CQ152" s="392"/>
      <c r="CR152" s="392"/>
      <c r="CS152" s="392"/>
      <c r="CT152" s="392"/>
      <c r="CU152" s="392"/>
      <c r="CV152" s="392"/>
      <c r="CW152" s="392"/>
      <c r="CX152" s="392"/>
      <c r="CY152" s="392"/>
      <c r="CZ152" s="392"/>
      <c r="DA152" s="392"/>
      <c r="DB152" s="392"/>
      <c r="DC152" s="392"/>
    </row>
    <row r="153" spans="1:107" s="337" customFormat="1" ht="24">
      <c r="A153" s="37"/>
      <c r="B153" s="638" t="s">
        <v>23</v>
      </c>
      <c r="C153" s="639" t="s">
        <v>499</v>
      </c>
      <c r="D153" s="640" t="s">
        <v>1224</v>
      </c>
      <c r="E153" s="641">
        <v>551.08209536163713</v>
      </c>
      <c r="F153" s="639" t="s">
        <v>95</v>
      </c>
      <c r="G153" s="642">
        <v>6.0606142377777755E-2</v>
      </c>
      <c r="H153" s="639" t="s">
        <v>66</v>
      </c>
      <c r="I153" s="643">
        <v>0.99565453020434114</v>
      </c>
      <c r="J153" s="644" t="s">
        <v>25</v>
      </c>
      <c r="K153" s="644" t="s">
        <v>1052</v>
      </c>
      <c r="L153" s="645" t="s">
        <v>95</v>
      </c>
      <c r="M153" s="645" t="s">
        <v>88</v>
      </c>
      <c r="N153" s="646" t="s">
        <v>1049</v>
      </c>
      <c r="O153" s="647" t="s">
        <v>870</v>
      </c>
      <c r="P153" s="646" t="s">
        <v>1049</v>
      </c>
      <c r="Q153" s="647" t="s">
        <v>870</v>
      </c>
      <c r="R153" s="37"/>
      <c r="S153" s="639" t="s">
        <v>68</v>
      </c>
      <c r="T153" s="644" t="s">
        <v>63</v>
      </c>
      <c r="U153" s="639" t="s">
        <v>69</v>
      </c>
      <c r="V153" s="639" t="s">
        <v>69</v>
      </c>
      <c r="W153" s="639" t="s">
        <v>70</v>
      </c>
      <c r="X153" s="37"/>
      <c r="Y153" s="37"/>
      <c r="Z153" s="639" t="s">
        <v>78</v>
      </c>
      <c r="AA153" s="639" t="s">
        <v>78</v>
      </c>
      <c r="AB153" s="37"/>
      <c r="AC153" s="814">
        <v>12.202739726027396</v>
      </c>
      <c r="AD153" s="639" t="s">
        <v>72</v>
      </c>
      <c r="AE153" s="644" t="s">
        <v>73</v>
      </c>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G153" s="822"/>
      <c r="BH153" s="822"/>
      <c r="BI153" s="822"/>
      <c r="BJ153" s="822"/>
      <c r="BK153" s="822"/>
      <c r="BL153" s="822"/>
      <c r="BM153" s="822"/>
      <c r="BN153" s="822"/>
      <c r="BO153" s="822"/>
      <c r="BP153" s="822"/>
      <c r="BQ153" s="822"/>
      <c r="BR153" s="822"/>
      <c r="BS153" s="822"/>
      <c r="BT153" s="822"/>
      <c r="BU153" s="822"/>
      <c r="BV153" s="822"/>
      <c r="BW153" s="822"/>
      <c r="BX153" s="822"/>
      <c r="BY153" s="822"/>
      <c r="BZ153" s="822"/>
      <c r="CA153" s="822"/>
      <c r="CB153" s="822"/>
      <c r="CC153" s="822"/>
      <c r="CD153" s="822"/>
      <c r="CE153" s="822"/>
      <c r="CF153" s="822"/>
      <c r="CG153" s="822"/>
      <c r="CH153" s="822"/>
      <c r="CI153" s="822"/>
      <c r="CJ153" s="392"/>
      <c r="CK153" s="392"/>
      <c r="CL153" s="392"/>
      <c r="CM153" s="392"/>
      <c r="CN153" s="392"/>
      <c r="CO153" s="392"/>
      <c r="CP153" s="392"/>
      <c r="CQ153" s="392"/>
      <c r="CR153" s="392"/>
      <c r="CS153" s="392"/>
      <c r="CT153" s="392"/>
      <c r="CU153" s="392"/>
      <c r="CV153" s="392"/>
      <c r="CW153" s="392"/>
      <c r="CX153" s="392"/>
      <c r="CY153" s="392"/>
      <c r="CZ153" s="392"/>
      <c r="DA153" s="392"/>
      <c r="DB153" s="392"/>
      <c r="DC153" s="392"/>
    </row>
    <row r="154" spans="1:107" s="337" customFormat="1" ht="24">
      <c r="A154" s="37"/>
      <c r="B154" s="638" t="s">
        <v>23</v>
      </c>
      <c r="C154" s="639" t="s">
        <v>499</v>
      </c>
      <c r="D154" s="640" t="s">
        <v>1224</v>
      </c>
      <c r="E154" s="641">
        <v>551.08209536163713</v>
      </c>
      <c r="F154" s="639" t="s">
        <v>95</v>
      </c>
      <c r="G154" s="642">
        <v>6.0606142377777755E-2</v>
      </c>
      <c r="H154" s="639" t="s">
        <v>66</v>
      </c>
      <c r="I154" s="643">
        <v>0.99565453020434114</v>
      </c>
      <c r="J154" s="644" t="s">
        <v>25</v>
      </c>
      <c r="K154" s="644" t="s">
        <v>1052</v>
      </c>
      <c r="L154" s="645" t="s">
        <v>95</v>
      </c>
      <c r="M154" s="645" t="s">
        <v>90</v>
      </c>
      <c r="N154" s="646" t="s">
        <v>1049</v>
      </c>
      <c r="O154" s="647" t="s">
        <v>870</v>
      </c>
      <c r="P154" s="646" t="s">
        <v>1049</v>
      </c>
      <c r="Q154" s="647" t="s">
        <v>870</v>
      </c>
      <c r="R154" s="37"/>
      <c r="S154" s="639" t="s">
        <v>68</v>
      </c>
      <c r="T154" s="644" t="s">
        <v>63</v>
      </c>
      <c r="U154" s="639" t="s">
        <v>69</v>
      </c>
      <c r="V154" s="639" t="s">
        <v>69</v>
      </c>
      <c r="W154" s="639" t="s">
        <v>70</v>
      </c>
      <c r="X154" s="37"/>
      <c r="Y154" s="37"/>
      <c r="Z154" s="639" t="s">
        <v>78</v>
      </c>
      <c r="AA154" s="639" t="s">
        <v>78</v>
      </c>
      <c r="AB154" s="37"/>
      <c r="AC154" s="814">
        <v>12.202739726027396</v>
      </c>
      <c r="AD154" s="639" t="s">
        <v>72</v>
      </c>
      <c r="AE154" s="644" t="s">
        <v>73</v>
      </c>
      <c r="AF154" s="822"/>
      <c r="AG154" s="822"/>
      <c r="AH154" s="822"/>
      <c r="AI154" s="822"/>
      <c r="AJ154" s="822"/>
      <c r="AK154" s="822"/>
      <c r="AL154" s="822"/>
      <c r="AM154" s="822"/>
      <c r="AN154" s="822"/>
      <c r="AO154" s="822"/>
      <c r="AP154" s="822"/>
      <c r="AQ154" s="822"/>
      <c r="AR154" s="822"/>
      <c r="AS154" s="822"/>
      <c r="AT154" s="822"/>
      <c r="AU154" s="822"/>
      <c r="AV154" s="822"/>
      <c r="AW154" s="822"/>
      <c r="AX154" s="822"/>
      <c r="AY154" s="822"/>
      <c r="AZ154" s="822"/>
      <c r="BA154" s="822"/>
      <c r="BB154" s="822"/>
      <c r="BC154" s="822"/>
      <c r="BD154" s="822"/>
      <c r="BE154" s="822"/>
      <c r="BF154" s="822"/>
      <c r="BG154" s="822"/>
      <c r="BH154" s="822"/>
      <c r="BI154" s="822"/>
      <c r="BJ154" s="822"/>
      <c r="BK154" s="822"/>
      <c r="BL154" s="822"/>
      <c r="BM154" s="822"/>
      <c r="BN154" s="822"/>
      <c r="BO154" s="822"/>
      <c r="BP154" s="822"/>
      <c r="BQ154" s="822"/>
      <c r="BR154" s="822"/>
      <c r="BS154" s="822"/>
      <c r="BT154" s="822"/>
      <c r="BU154" s="822"/>
      <c r="BV154" s="822"/>
      <c r="BW154" s="822"/>
      <c r="BX154" s="822"/>
      <c r="BY154" s="822"/>
      <c r="BZ154" s="822"/>
      <c r="CA154" s="822"/>
      <c r="CB154" s="822"/>
      <c r="CC154" s="822"/>
      <c r="CD154" s="822"/>
      <c r="CE154" s="822"/>
      <c r="CF154" s="822"/>
      <c r="CG154" s="822"/>
      <c r="CH154" s="822"/>
      <c r="CI154" s="822"/>
      <c r="CJ154" s="392"/>
      <c r="CK154" s="392"/>
      <c r="CL154" s="392"/>
      <c r="CM154" s="392"/>
      <c r="CN154" s="392"/>
      <c r="CO154" s="392"/>
      <c r="CP154" s="392"/>
      <c r="CQ154" s="392"/>
      <c r="CR154" s="392"/>
      <c r="CS154" s="392"/>
      <c r="CT154" s="392"/>
      <c r="CU154" s="392"/>
      <c r="CV154" s="392"/>
      <c r="CW154" s="392"/>
      <c r="CX154" s="392"/>
      <c r="CY154" s="392"/>
      <c r="CZ154" s="392"/>
      <c r="DA154" s="392"/>
      <c r="DB154" s="392"/>
      <c r="DC154" s="392"/>
    </row>
    <row r="155" spans="1:107" s="337" customFormat="1" ht="24">
      <c r="A155" s="37"/>
      <c r="B155" s="638" t="s">
        <v>23</v>
      </c>
      <c r="C155" s="639" t="s">
        <v>499</v>
      </c>
      <c r="D155" s="640" t="s">
        <v>1224</v>
      </c>
      <c r="E155" s="641">
        <v>551.08209536163713</v>
      </c>
      <c r="F155" s="639" t="s">
        <v>95</v>
      </c>
      <c r="G155" s="642">
        <v>6.0606142377777755E-2</v>
      </c>
      <c r="H155" s="639" t="s">
        <v>66</v>
      </c>
      <c r="I155" s="643">
        <v>0.99565453020434114</v>
      </c>
      <c r="J155" s="644" t="s">
        <v>25</v>
      </c>
      <c r="K155" s="644" t="s">
        <v>1052</v>
      </c>
      <c r="L155" s="645" t="s">
        <v>95</v>
      </c>
      <c r="M155" s="645" t="s">
        <v>92</v>
      </c>
      <c r="N155" s="646" t="s">
        <v>1049</v>
      </c>
      <c r="O155" s="647">
        <v>9.5771018193796138</v>
      </c>
      <c r="P155" s="646" t="s">
        <v>1049</v>
      </c>
      <c r="Q155" s="646">
        <v>8.2469487889102222</v>
      </c>
      <c r="R155" s="37"/>
      <c r="S155" s="639" t="s">
        <v>68</v>
      </c>
      <c r="T155" s="644" t="s">
        <v>63</v>
      </c>
      <c r="U155" s="639" t="s">
        <v>69</v>
      </c>
      <c r="V155" s="639" t="s">
        <v>69</v>
      </c>
      <c r="W155" s="639" t="s">
        <v>70</v>
      </c>
      <c r="X155" s="37"/>
      <c r="Y155" s="37"/>
      <c r="Z155" s="639" t="s">
        <v>78</v>
      </c>
      <c r="AA155" s="639" t="s">
        <v>78</v>
      </c>
      <c r="AB155" s="37"/>
      <c r="AC155" s="814">
        <v>12.202739726027396</v>
      </c>
      <c r="AD155" s="639" t="s">
        <v>72</v>
      </c>
      <c r="AE155" s="644" t="s">
        <v>73</v>
      </c>
      <c r="AF155" s="822"/>
      <c r="AG155" s="822"/>
      <c r="AH155" s="822"/>
      <c r="AI155" s="822"/>
      <c r="AJ155" s="822"/>
      <c r="AK155" s="822"/>
      <c r="AL155" s="822"/>
      <c r="AM155" s="822"/>
      <c r="AN155" s="822"/>
      <c r="AO155" s="822"/>
      <c r="AP155" s="822"/>
      <c r="AQ155" s="822"/>
      <c r="AR155" s="822"/>
      <c r="AS155" s="822"/>
      <c r="AT155" s="822"/>
      <c r="AU155" s="822"/>
      <c r="AV155" s="822"/>
      <c r="AW155" s="822"/>
      <c r="AX155" s="822"/>
      <c r="AY155" s="822"/>
      <c r="AZ155" s="822"/>
      <c r="BA155" s="822"/>
      <c r="BB155" s="822"/>
      <c r="BC155" s="822"/>
      <c r="BD155" s="822"/>
      <c r="BE155" s="822"/>
      <c r="BF155" s="822"/>
      <c r="BG155" s="822"/>
      <c r="BH155" s="822"/>
      <c r="BI155" s="822"/>
      <c r="BJ155" s="822"/>
      <c r="BK155" s="822"/>
      <c r="BL155" s="822"/>
      <c r="BM155" s="822"/>
      <c r="BN155" s="822"/>
      <c r="BO155" s="822"/>
      <c r="BP155" s="822"/>
      <c r="BQ155" s="822"/>
      <c r="BR155" s="822"/>
      <c r="BS155" s="822"/>
      <c r="BT155" s="822"/>
      <c r="BU155" s="822"/>
      <c r="BV155" s="822"/>
      <c r="BW155" s="822"/>
      <c r="BX155" s="822"/>
      <c r="BY155" s="822"/>
      <c r="BZ155" s="822"/>
      <c r="CA155" s="822"/>
      <c r="CB155" s="822"/>
      <c r="CC155" s="822"/>
      <c r="CD155" s="822"/>
      <c r="CE155" s="822"/>
      <c r="CF155" s="822"/>
      <c r="CG155" s="822"/>
      <c r="CH155" s="822"/>
      <c r="CI155" s="822"/>
      <c r="CJ155" s="392"/>
      <c r="CK155" s="392"/>
      <c r="CL155" s="392"/>
      <c r="CM155" s="392"/>
      <c r="CN155" s="392"/>
      <c r="CO155" s="392"/>
      <c r="CP155" s="392"/>
      <c r="CQ155" s="392"/>
      <c r="CR155" s="392"/>
      <c r="CS155" s="392"/>
      <c r="CT155" s="392"/>
      <c r="CU155" s="392"/>
      <c r="CV155" s="392"/>
      <c r="CW155" s="392"/>
      <c r="CX155" s="392"/>
      <c r="CY155" s="392"/>
      <c r="CZ155" s="392"/>
      <c r="DA155" s="392"/>
      <c r="DB155" s="392"/>
      <c r="DC155" s="392"/>
    </row>
    <row r="156" spans="1:107" s="337" customFormat="1" ht="24">
      <c r="A156" s="37"/>
      <c r="B156" s="638" t="s">
        <v>23</v>
      </c>
      <c r="C156" s="639" t="s">
        <v>499</v>
      </c>
      <c r="D156" s="640" t="s">
        <v>1224</v>
      </c>
      <c r="E156" s="641">
        <v>551.08209536163713</v>
      </c>
      <c r="F156" s="639" t="s">
        <v>95</v>
      </c>
      <c r="G156" s="642">
        <v>6.0606142377777755E-2</v>
      </c>
      <c r="H156" s="639" t="s">
        <v>66</v>
      </c>
      <c r="I156" s="643">
        <v>0.99565453020434114</v>
      </c>
      <c r="J156" s="644" t="s">
        <v>25</v>
      </c>
      <c r="K156" s="644" t="s">
        <v>1052</v>
      </c>
      <c r="L156" s="645" t="s">
        <v>95</v>
      </c>
      <c r="M156" s="645" t="s">
        <v>93</v>
      </c>
      <c r="N156" s="646" t="s">
        <v>1049</v>
      </c>
      <c r="O156" s="647" t="s">
        <v>870</v>
      </c>
      <c r="P156" s="646" t="s">
        <v>1049</v>
      </c>
      <c r="Q156" s="647" t="s">
        <v>870</v>
      </c>
      <c r="R156" s="37"/>
      <c r="S156" s="639" t="s">
        <v>68</v>
      </c>
      <c r="T156" s="644" t="s">
        <v>63</v>
      </c>
      <c r="U156" s="644" t="s">
        <v>44</v>
      </c>
      <c r="V156" s="644" t="s">
        <v>75</v>
      </c>
      <c r="W156" s="639" t="s">
        <v>70</v>
      </c>
      <c r="X156" s="37"/>
      <c r="Y156" s="37"/>
      <c r="Z156" s="639" t="s">
        <v>78</v>
      </c>
      <c r="AA156" s="639" t="s">
        <v>78</v>
      </c>
      <c r="AB156" s="37"/>
      <c r="AC156" s="814">
        <v>12.202739726027396</v>
      </c>
      <c r="AD156" s="639" t="s">
        <v>72</v>
      </c>
      <c r="AE156" s="644" t="s">
        <v>73</v>
      </c>
      <c r="AF156" s="822"/>
      <c r="AG156" s="822"/>
      <c r="AH156" s="822"/>
      <c r="AI156" s="822"/>
      <c r="AJ156" s="822"/>
      <c r="AK156" s="822"/>
      <c r="AL156" s="822"/>
      <c r="AM156" s="822"/>
      <c r="AN156" s="822"/>
      <c r="AO156" s="822"/>
      <c r="AP156" s="822"/>
      <c r="AQ156" s="822"/>
      <c r="AR156" s="822"/>
      <c r="AS156" s="822"/>
      <c r="AT156" s="822"/>
      <c r="AU156" s="822"/>
      <c r="AV156" s="822"/>
      <c r="AW156" s="822"/>
      <c r="AX156" s="822"/>
      <c r="AY156" s="822"/>
      <c r="AZ156" s="822"/>
      <c r="BA156" s="822"/>
      <c r="BB156" s="822"/>
      <c r="BC156" s="822"/>
      <c r="BD156" s="822"/>
      <c r="BE156" s="822"/>
      <c r="BF156" s="822"/>
      <c r="BG156" s="822"/>
      <c r="BH156" s="822"/>
      <c r="BI156" s="822"/>
      <c r="BJ156" s="822"/>
      <c r="BK156" s="822"/>
      <c r="BL156" s="822"/>
      <c r="BM156" s="822"/>
      <c r="BN156" s="822"/>
      <c r="BO156" s="822"/>
      <c r="BP156" s="822"/>
      <c r="BQ156" s="822"/>
      <c r="BR156" s="822"/>
      <c r="BS156" s="822"/>
      <c r="BT156" s="822"/>
      <c r="BU156" s="822"/>
      <c r="BV156" s="822"/>
      <c r="BW156" s="822"/>
      <c r="BX156" s="822"/>
      <c r="BY156" s="822"/>
      <c r="BZ156" s="822"/>
      <c r="CA156" s="822"/>
      <c r="CB156" s="822"/>
      <c r="CC156" s="822"/>
      <c r="CD156" s="822"/>
      <c r="CE156" s="822"/>
      <c r="CF156" s="822"/>
      <c r="CG156" s="822"/>
      <c r="CH156" s="822"/>
      <c r="CI156" s="822"/>
      <c r="CJ156" s="392"/>
      <c r="CK156" s="392"/>
      <c r="CL156" s="392"/>
      <c r="CM156" s="392"/>
      <c r="CN156" s="392"/>
      <c r="CO156" s="392"/>
      <c r="CP156" s="392"/>
      <c r="CQ156" s="392"/>
      <c r="CR156" s="392"/>
      <c r="CS156" s="392"/>
      <c r="CT156" s="392"/>
      <c r="CU156" s="392"/>
      <c r="CV156" s="392"/>
      <c r="CW156" s="392"/>
      <c r="CX156" s="392"/>
      <c r="CY156" s="392"/>
      <c r="CZ156" s="392"/>
      <c r="DA156" s="392"/>
      <c r="DB156" s="392"/>
      <c r="DC156" s="392"/>
    </row>
    <row r="157" spans="1:107" s="337" customFormat="1" ht="24">
      <c r="A157" s="37"/>
      <c r="B157" s="638" t="s">
        <v>23</v>
      </c>
      <c r="C157" s="639" t="s">
        <v>499</v>
      </c>
      <c r="D157" s="640" t="s">
        <v>1224</v>
      </c>
      <c r="E157" s="641">
        <v>551.08209536163713</v>
      </c>
      <c r="F157" s="639" t="s">
        <v>24</v>
      </c>
      <c r="G157" s="642">
        <v>5.3111068793247444E-2</v>
      </c>
      <c r="H157" s="639" t="s">
        <v>66</v>
      </c>
      <c r="I157" s="643">
        <v>0.99323947599043749</v>
      </c>
      <c r="J157" s="644" t="s">
        <v>25</v>
      </c>
      <c r="K157" s="644" t="s">
        <v>1052</v>
      </c>
      <c r="L157" s="645" t="s">
        <v>95</v>
      </c>
      <c r="M157" s="645" t="s">
        <v>88</v>
      </c>
      <c r="N157" s="646">
        <v>5.4034262912268671</v>
      </c>
      <c r="O157" s="647" t="s">
        <v>870</v>
      </c>
      <c r="P157" s="646">
        <v>5.4034262912268671</v>
      </c>
      <c r="Q157" s="647" t="s">
        <v>870</v>
      </c>
      <c r="R157" s="37"/>
      <c r="S157" s="639" t="s">
        <v>68</v>
      </c>
      <c r="T157" s="644" t="s">
        <v>63</v>
      </c>
      <c r="U157" s="639" t="s">
        <v>69</v>
      </c>
      <c r="V157" s="639" t="s">
        <v>69</v>
      </c>
      <c r="W157" s="639" t="s">
        <v>70</v>
      </c>
      <c r="X157" s="37"/>
      <c r="Y157" s="37"/>
      <c r="Z157" s="639" t="s">
        <v>78</v>
      </c>
      <c r="AA157" s="639" t="s">
        <v>78</v>
      </c>
      <c r="AB157" s="37"/>
      <c r="AC157" s="814">
        <v>12.202739726027396</v>
      </c>
      <c r="AD157" s="639" t="s">
        <v>72</v>
      </c>
      <c r="AE157" s="644" t="s">
        <v>73</v>
      </c>
      <c r="AF157" s="822"/>
      <c r="AG157" s="822"/>
      <c r="AH157" s="822"/>
      <c r="AI157" s="822"/>
      <c r="AJ157" s="822"/>
      <c r="AK157" s="822"/>
      <c r="AL157" s="822"/>
      <c r="AM157" s="822"/>
      <c r="AN157" s="822"/>
      <c r="AO157" s="822"/>
      <c r="AP157" s="822"/>
      <c r="AQ157" s="822"/>
      <c r="AR157" s="822"/>
      <c r="AS157" s="822"/>
      <c r="AT157" s="822"/>
      <c r="AU157" s="822"/>
      <c r="AV157" s="822"/>
      <c r="AW157" s="822"/>
      <c r="AX157" s="822"/>
      <c r="AY157" s="822"/>
      <c r="AZ157" s="822"/>
      <c r="BA157" s="822"/>
      <c r="BB157" s="822"/>
      <c r="BC157" s="822"/>
      <c r="BD157" s="822"/>
      <c r="BE157" s="822"/>
      <c r="BF157" s="822"/>
      <c r="BG157" s="822"/>
      <c r="BH157" s="822"/>
      <c r="BI157" s="822"/>
      <c r="BJ157" s="822"/>
      <c r="BK157" s="822"/>
      <c r="BL157" s="822"/>
      <c r="BM157" s="822"/>
      <c r="BN157" s="822"/>
      <c r="BO157" s="822"/>
      <c r="BP157" s="822"/>
      <c r="BQ157" s="822"/>
      <c r="BR157" s="822"/>
      <c r="BS157" s="822"/>
      <c r="BT157" s="822"/>
      <c r="BU157" s="822"/>
      <c r="BV157" s="822"/>
      <c r="BW157" s="822"/>
      <c r="BX157" s="822"/>
      <c r="BY157" s="822"/>
      <c r="BZ157" s="822"/>
      <c r="CA157" s="822"/>
      <c r="CB157" s="822"/>
      <c r="CC157" s="822"/>
      <c r="CD157" s="822"/>
      <c r="CE157" s="822"/>
      <c r="CF157" s="822"/>
      <c r="CG157" s="822"/>
      <c r="CH157" s="822"/>
      <c r="CI157" s="822"/>
      <c r="CJ157" s="392"/>
      <c r="CK157" s="392"/>
      <c r="CL157" s="392"/>
      <c r="CM157" s="392"/>
      <c r="CN157" s="392"/>
      <c r="CO157" s="392"/>
      <c r="CP157" s="392"/>
      <c r="CQ157" s="392"/>
      <c r="CR157" s="392"/>
      <c r="CS157" s="392"/>
      <c r="CT157" s="392"/>
      <c r="CU157" s="392"/>
      <c r="CV157" s="392"/>
      <c r="CW157" s="392"/>
      <c r="CX157" s="392"/>
      <c r="CY157" s="392"/>
      <c r="CZ157" s="392"/>
      <c r="DA157" s="392"/>
      <c r="DB157" s="392"/>
      <c r="DC157" s="392"/>
    </row>
    <row r="158" spans="1:107" s="337" customFormat="1" ht="24">
      <c r="A158" s="37"/>
      <c r="B158" s="638" t="s">
        <v>23</v>
      </c>
      <c r="C158" s="639" t="s">
        <v>499</v>
      </c>
      <c r="D158" s="640" t="s">
        <v>1224</v>
      </c>
      <c r="E158" s="641">
        <v>551.08209536163713</v>
      </c>
      <c r="F158" s="639" t="s">
        <v>24</v>
      </c>
      <c r="G158" s="642">
        <v>5.3111068793247444E-2</v>
      </c>
      <c r="H158" s="639" t="s">
        <v>66</v>
      </c>
      <c r="I158" s="643">
        <v>0.99323947599043749</v>
      </c>
      <c r="J158" s="644" t="s">
        <v>25</v>
      </c>
      <c r="K158" s="644" t="s">
        <v>1052</v>
      </c>
      <c r="L158" s="645" t="s">
        <v>95</v>
      </c>
      <c r="M158" s="645" t="s">
        <v>90</v>
      </c>
      <c r="N158" s="646">
        <v>5.4034262912268671</v>
      </c>
      <c r="O158" s="647" t="s">
        <v>870</v>
      </c>
      <c r="P158" s="646">
        <v>5.4034262912268671</v>
      </c>
      <c r="Q158" s="647" t="s">
        <v>870</v>
      </c>
      <c r="R158" s="37"/>
      <c r="S158" s="639" t="s">
        <v>68</v>
      </c>
      <c r="T158" s="644" t="s">
        <v>63</v>
      </c>
      <c r="U158" s="639" t="s">
        <v>69</v>
      </c>
      <c r="V158" s="639" t="s">
        <v>69</v>
      </c>
      <c r="W158" s="639" t="s">
        <v>70</v>
      </c>
      <c r="X158" s="37"/>
      <c r="Y158" s="37"/>
      <c r="Z158" s="639" t="s">
        <v>78</v>
      </c>
      <c r="AA158" s="639" t="s">
        <v>78</v>
      </c>
      <c r="AB158" s="37"/>
      <c r="AC158" s="814">
        <v>12.202739726027396</v>
      </c>
      <c r="AD158" s="639" t="s">
        <v>72</v>
      </c>
      <c r="AE158" s="644" t="s">
        <v>73</v>
      </c>
      <c r="AF158" s="822"/>
      <c r="AG158" s="822"/>
      <c r="AH158" s="822"/>
      <c r="AI158" s="822"/>
      <c r="AJ158" s="822"/>
      <c r="AK158" s="822"/>
      <c r="AL158" s="822"/>
      <c r="AM158" s="822"/>
      <c r="AN158" s="822"/>
      <c r="AO158" s="822"/>
      <c r="AP158" s="822"/>
      <c r="AQ158" s="822"/>
      <c r="AR158" s="822"/>
      <c r="AS158" s="822"/>
      <c r="AT158" s="822"/>
      <c r="AU158" s="822"/>
      <c r="AV158" s="822"/>
      <c r="AW158" s="822"/>
      <c r="AX158" s="822"/>
      <c r="AY158" s="822"/>
      <c r="AZ158" s="822"/>
      <c r="BA158" s="822"/>
      <c r="BB158" s="822"/>
      <c r="BC158" s="822"/>
      <c r="BD158" s="822"/>
      <c r="BE158" s="822"/>
      <c r="BF158" s="822"/>
      <c r="BG158" s="822"/>
      <c r="BH158" s="822"/>
      <c r="BI158" s="822"/>
      <c r="BJ158" s="822"/>
      <c r="BK158" s="822"/>
      <c r="BL158" s="822"/>
      <c r="BM158" s="822"/>
      <c r="BN158" s="822"/>
      <c r="BO158" s="822"/>
      <c r="BP158" s="822"/>
      <c r="BQ158" s="822"/>
      <c r="BR158" s="822"/>
      <c r="BS158" s="822"/>
      <c r="BT158" s="822"/>
      <c r="BU158" s="822"/>
      <c r="BV158" s="822"/>
      <c r="BW158" s="822"/>
      <c r="BX158" s="822"/>
      <c r="BY158" s="822"/>
      <c r="BZ158" s="822"/>
      <c r="CA158" s="822"/>
      <c r="CB158" s="822"/>
      <c r="CC158" s="822"/>
      <c r="CD158" s="822"/>
      <c r="CE158" s="822"/>
      <c r="CF158" s="822"/>
      <c r="CG158" s="822"/>
      <c r="CH158" s="822"/>
      <c r="CI158" s="822"/>
      <c r="CJ158" s="392"/>
      <c r="CK158" s="392"/>
      <c r="CL158" s="392"/>
      <c r="CM158" s="392"/>
      <c r="CN158" s="392"/>
      <c r="CO158" s="392"/>
      <c r="CP158" s="392"/>
      <c r="CQ158" s="392"/>
      <c r="CR158" s="392"/>
      <c r="CS158" s="392"/>
      <c r="CT158" s="392"/>
      <c r="CU158" s="392"/>
      <c r="CV158" s="392"/>
      <c r="CW158" s="392"/>
      <c r="CX158" s="392"/>
      <c r="CY158" s="392"/>
      <c r="CZ158" s="392"/>
      <c r="DA158" s="392"/>
      <c r="DB158" s="392"/>
      <c r="DC158" s="392"/>
    </row>
    <row r="159" spans="1:107" s="337" customFormat="1" ht="24">
      <c r="A159" s="37"/>
      <c r="B159" s="638" t="s">
        <v>23</v>
      </c>
      <c r="C159" s="639" t="s">
        <v>499</v>
      </c>
      <c r="D159" s="640" t="s">
        <v>1224</v>
      </c>
      <c r="E159" s="641">
        <v>551.08209536163713</v>
      </c>
      <c r="F159" s="639" t="s">
        <v>24</v>
      </c>
      <c r="G159" s="642">
        <v>5.3111068793247444E-2</v>
      </c>
      <c r="H159" s="639" t="s">
        <v>66</v>
      </c>
      <c r="I159" s="643">
        <v>0.99323947599043749</v>
      </c>
      <c r="J159" s="644" t="s">
        <v>25</v>
      </c>
      <c r="K159" s="644" t="s">
        <v>1052</v>
      </c>
      <c r="L159" s="645" t="s">
        <v>95</v>
      </c>
      <c r="M159" s="645" t="s">
        <v>92</v>
      </c>
      <c r="N159" s="646">
        <v>5.4034262912268671</v>
      </c>
      <c r="O159" s="647">
        <v>8.3723582249597559</v>
      </c>
      <c r="P159" s="646">
        <v>5.4034262912268671</v>
      </c>
      <c r="Q159" s="646">
        <v>7.2095306937153456</v>
      </c>
      <c r="R159" s="37"/>
      <c r="S159" s="639" t="s">
        <v>68</v>
      </c>
      <c r="T159" s="644" t="s">
        <v>63</v>
      </c>
      <c r="U159" s="639" t="s">
        <v>69</v>
      </c>
      <c r="V159" s="639" t="s">
        <v>69</v>
      </c>
      <c r="W159" s="639" t="s">
        <v>70</v>
      </c>
      <c r="X159" s="37"/>
      <c r="Y159" s="37"/>
      <c r="Z159" s="639" t="s">
        <v>78</v>
      </c>
      <c r="AA159" s="639" t="s">
        <v>78</v>
      </c>
      <c r="AB159" s="37"/>
      <c r="AC159" s="814">
        <v>12.202739726027396</v>
      </c>
      <c r="AD159" s="639" t="s">
        <v>72</v>
      </c>
      <c r="AE159" s="644" t="s">
        <v>73</v>
      </c>
      <c r="AF159" s="822"/>
      <c r="AG159" s="822"/>
      <c r="AH159" s="822"/>
      <c r="AI159" s="822"/>
      <c r="AJ159" s="822"/>
      <c r="AK159" s="822"/>
      <c r="AL159" s="822"/>
      <c r="AM159" s="822"/>
      <c r="AN159" s="822"/>
      <c r="AO159" s="822"/>
      <c r="AP159" s="822"/>
      <c r="AQ159" s="822"/>
      <c r="AR159" s="822"/>
      <c r="AS159" s="822"/>
      <c r="AT159" s="822"/>
      <c r="AU159" s="822"/>
      <c r="AV159" s="822"/>
      <c r="AW159" s="822"/>
      <c r="AX159" s="822"/>
      <c r="AY159" s="822"/>
      <c r="AZ159" s="822"/>
      <c r="BA159" s="822"/>
      <c r="BB159" s="822"/>
      <c r="BC159" s="822"/>
      <c r="BD159" s="822"/>
      <c r="BE159" s="822"/>
      <c r="BF159" s="822"/>
      <c r="BG159" s="822"/>
      <c r="BH159" s="822"/>
      <c r="BI159" s="822"/>
      <c r="BJ159" s="822"/>
      <c r="BK159" s="822"/>
      <c r="BL159" s="822"/>
      <c r="BM159" s="822"/>
      <c r="BN159" s="822"/>
      <c r="BO159" s="822"/>
      <c r="BP159" s="822"/>
      <c r="BQ159" s="822"/>
      <c r="BR159" s="822"/>
      <c r="BS159" s="822"/>
      <c r="BT159" s="822"/>
      <c r="BU159" s="822"/>
      <c r="BV159" s="822"/>
      <c r="BW159" s="822"/>
      <c r="BX159" s="822"/>
      <c r="BY159" s="822"/>
      <c r="BZ159" s="822"/>
      <c r="CA159" s="822"/>
      <c r="CB159" s="822"/>
      <c r="CC159" s="822"/>
      <c r="CD159" s="822"/>
      <c r="CE159" s="822"/>
      <c r="CF159" s="822"/>
      <c r="CG159" s="822"/>
      <c r="CH159" s="822"/>
      <c r="CI159" s="822"/>
      <c r="CJ159" s="392"/>
      <c r="CK159" s="392"/>
      <c r="CL159" s="392"/>
      <c r="CM159" s="392"/>
      <c r="CN159" s="392"/>
      <c r="CO159" s="392"/>
      <c r="CP159" s="392"/>
      <c r="CQ159" s="392"/>
      <c r="CR159" s="392"/>
      <c r="CS159" s="392"/>
      <c r="CT159" s="392"/>
      <c r="CU159" s="392"/>
      <c r="CV159" s="392"/>
      <c r="CW159" s="392"/>
      <c r="CX159" s="392"/>
      <c r="CY159" s="392"/>
      <c r="CZ159" s="392"/>
      <c r="DA159" s="392"/>
      <c r="DB159" s="392"/>
      <c r="DC159" s="392"/>
    </row>
    <row r="160" spans="1:107" s="337" customFormat="1" ht="24">
      <c r="A160" s="37"/>
      <c r="B160" s="638" t="s">
        <v>23</v>
      </c>
      <c r="C160" s="639" t="s">
        <v>499</v>
      </c>
      <c r="D160" s="640" t="s">
        <v>1224</v>
      </c>
      <c r="E160" s="641">
        <v>551.08209536163713</v>
      </c>
      <c r="F160" s="639" t="s">
        <v>24</v>
      </c>
      <c r="G160" s="642">
        <v>5.3111068793247444E-2</v>
      </c>
      <c r="H160" s="639" t="s">
        <v>66</v>
      </c>
      <c r="I160" s="643">
        <v>0.99323947599043749</v>
      </c>
      <c r="J160" s="644" t="s">
        <v>25</v>
      </c>
      <c r="K160" s="644" t="s">
        <v>1052</v>
      </c>
      <c r="L160" s="645" t="s">
        <v>95</v>
      </c>
      <c r="M160" s="645" t="s">
        <v>93</v>
      </c>
      <c r="N160" s="646">
        <v>5.4034262912268671</v>
      </c>
      <c r="O160" s="647" t="s">
        <v>870</v>
      </c>
      <c r="P160" s="646">
        <v>5.4034262912268671</v>
      </c>
      <c r="Q160" s="647" t="s">
        <v>870</v>
      </c>
      <c r="R160" s="37"/>
      <c r="S160" s="639" t="s">
        <v>68</v>
      </c>
      <c r="T160" s="644" t="s">
        <v>63</v>
      </c>
      <c r="U160" s="644" t="s">
        <v>44</v>
      </c>
      <c r="V160" s="644" t="s">
        <v>75</v>
      </c>
      <c r="W160" s="639" t="s">
        <v>70</v>
      </c>
      <c r="X160" s="37"/>
      <c r="Y160" s="37"/>
      <c r="Z160" s="639" t="s">
        <v>78</v>
      </c>
      <c r="AA160" s="639" t="s">
        <v>78</v>
      </c>
      <c r="AB160" s="37"/>
      <c r="AC160" s="814">
        <v>12.202739726027396</v>
      </c>
      <c r="AD160" s="639" t="s">
        <v>72</v>
      </c>
      <c r="AE160" s="644" t="s">
        <v>73</v>
      </c>
      <c r="AF160" s="822"/>
      <c r="AG160" s="822"/>
      <c r="AH160" s="822"/>
      <c r="AI160" s="822"/>
      <c r="AJ160" s="822"/>
      <c r="AK160" s="822"/>
      <c r="AL160" s="822"/>
      <c r="AM160" s="822"/>
      <c r="AN160" s="822"/>
      <c r="AO160" s="822"/>
      <c r="AP160" s="822"/>
      <c r="AQ160" s="822"/>
      <c r="AR160" s="822"/>
      <c r="AS160" s="822"/>
      <c r="AT160" s="822"/>
      <c r="AU160" s="822"/>
      <c r="AV160" s="822"/>
      <c r="AW160" s="822"/>
      <c r="AX160" s="822"/>
      <c r="AY160" s="822"/>
      <c r="AZ160" s="822"/>
      <c r="BA160" s="822"/>
      <c r="BB160" s="822"/>
      <c r="BC160" s="822"/>
      <c r="BD160" s="822"/>
      <c r="BE160" s="822"/>
      <c r="BF160" s="822"/>
      <c r="BG160" s="822"/>
      <c r="BH160" s="822"/>
      <c r="BI160" s="822"/>
      <c r="BJ160" s="822"/>
      <c r="BK160" s="822"/>
      <c r="BL160" s="822"/>
      <c r="BM160" s="822"/>
      <c r="BN160" s="822"/>
      <c r="BO160" s="822"/>
      <c r="BP160" s="822"/>
      <c r="BQ160" s="822"/>
      <c r="BR160" s="822"/>
      <c r="BS160" s="822"/>
      <c r="BT160" s="822"/>
      <c r="BU160" s="822"/>
      <c r="BV160" s="822"/>
      <c r="BW160" s="822"/>
      <c r="BX160" s="822"/>
      <c r="BY160" s="822"/>
      <c r="BZ160" s="822"/>
      <c r="CA160" s="822"/>
      <c r="CB160" s="822"/>
      <c r="CC160" s="822"/>
      <c r="CD160" s="822"/>
      <c r="CE160" s="822"/>
      <c r="CF160" s="822"/>
      <c r="CG160" s="822"/>
      <c r="CH160" s="822"/>
      <c r="CI160" s="822"/>
      <c r="CJ160" s="392"/>
      <c r="CK160" s="392"/>
      <c r="CL160" s="392"/>
      <c r="CM160" s="392"/>
      <c r="CN160" s="392"/>
      <c r="CO160" s="392"/>
      <c r="CP160" s="392"/>
      <c r="CQ160" s="392"/>
      <c r="CR160" s="392"/>
      <c r="CS160" s="392"/>
      <c r="CT160" s="392"/>
      <c r="CU160" s="392"/>
      <c r="CV160" s="392"/>
      <c r="CW160" s="392"/>
      <c r="CX160" s="392"/>
      <c r="CY160" s="392"/>
      <c r="CZ160" s="392"/>
      <c r="DA160" s="392"/>
      <c r="DB160" s="392"/>
      <c r="DC160" s="392"/>
    </row>
    <row r="161" spans="1:107" s="337" customFormat="1" ht="24">
      <c r="A161" s="37"/>
      <c r="B161" s="638" t="s">
        <v>23</v>
      </c>
      <c r="C161" s="639" t="s">
        <v>499</v>
      </c>
      <c r="D161" s="640" t="s">
        <v>1224</v>
      </c>
      <c r="E161" s="641">
        <v>551.08209536163713</v>
      </c>
      <c r="F161" s="639" t="s">
        <v>26</v>
      </c>
      <c r="G161" s="642">
        <v>0.17356226180788212</v>
      </c>
      <c r="H161" s="639" t="s">
        <v>66</v>
      </c>
      <c r="I161" s="643">
        <v>0.98263252310834825</v>
      </c>
      <c r="J161" s="644" t="s">
        <v>25</v>
      </c>
      <c r="K161" s="644" t="s">
        <v>1052</v>
      </c>
      <c r="L161" s="645" t="s">
        <v>95</v>
      </c>
      <c r="M161" s="645" t="s">
        <v>88</v>
      </c>
      <c r="N161" s="646">
        <v>63.76470327519516</v>
      </c>
      <c r="O161" s="647" t="s">
        <v>870</v>
      </c>
      <c r="P161" s="646">
        <v>60.576468111435396</v>
      </c>
      <c r="Q161" s="646" t="s">
        <v>870</v>
      </c>
      <c r="R161" s="37"/>
      <c r="S161" s="639" t="s">
        <v>68</v>
      </c>
      <c r="T161" s="644" t="s">
        <v>63</v>
      </c>
      <c r="U161" s="639" t="s">
        <v>69</v>
      </c>
      <c r="V161" s="639" t="s">
        <v>69</v>
      </c>
      <c r="W161" s="639" t="s">
        <v>70</v>
      </c>
      <c r="X161" s="37"/>
      <c r="Y161" s="37"/>
      <c r="Z161" s="639" t="s">
        <v>78</v>
      </c>
      <c r="AA161" s="639" t="s">
        <v>78</v>
      </c>
      <c r="AB161" s="37"/>
      <c r="AC161" s="814">
        <v>12.202739726027396</v>
      </c>
      <c r="AD161" s="639" t="s">
        <v>72</v>
      </c>
      <c r="AE161" s="644" t="s">
        <v>73</v>
      </c>
      <c r="AF161" s="822"/>
      <c r="AG161" s="822"/>
      <c r="AH161" s="822"/>
      <c r="AI161" s="822"/>
      <c r="AJ161" s="822"/>
      <c r="AK161" s="822"/>
      <c r="AL161" s="822"/>
      <c r="AM161" s="822"/>
      <c r="AN161" s="822"/>
      <c r="AO161" s="822"/>
      <c r="AP161" s="822"/>
      <c r="AQ161" s="822"/>
      <c r="AR161" s="822"/>
      <c r="AS161" s="822"/>
      <c r="AT161" s="822"/>
      <c r="AU161" s="822"/>
      <c r="AV161" s="822"/>
      <c r="AW161" s="822"/>
      <c r="AX161" s="822"/>
      <c r="AY161" s="822"/>
      <c r="AZ161" s="822"/>
      <c r="BA161" s="822"/>
      <c r="BB161" s="822"/>
      <c r="BC161" s="822"/>
      <c r="BD161" s="822"/>
      <c r="BE161" s="822"/>
      <c r="BF161" s="822"/>
      <c r="BG161" s="822"/>
      <c r="BH161" s="822"/>
      <c r="BI161" s="822"/>
      <c r="BJ161" s="822"/>
      <c r="BK161" s="822"/>
      <c r="BL161" s="822"/>
      <c r="BM161" s="822"/>
      <c r="BN161" s="822"/>
      <c r="BO161" s="822"/>
      <c r="BP161" s="822"/>
      <c r="BQ161" s="822"/>
      <c r="BR161" s="822"/>
      <c r="BS161" s="822"/>
      <c r="BT161" s="822"/>
      <c r="BU161" s="822"/>
      <c r="BV161" s="822"/>
      <c r="BW161" s="822"/>
      <c r="BX161" s="822"/>
      <c r="BY161" s="822"/>
      <c r="BZ161" s="822"/>
      <c r="CA161" s="822"/>
      <c r="CB161" s="822"/>
      <c r="CC161" s="822"/>
      <c r="CD161" s="822"/>
      <c r="CE161" s="822"/>
      <c r="CF161" s="822"/>
      <c r="CG161" s="822"/>
      <c r="CH161" s="822"/>
      <c r="CI161" s="822"/>
      <c r="CJ161" s="392"/>
      <c r="CK161" s="392"/>
      <c r="CL161" s="392"/>
      <c r="CM161" s="392"/>
      <c r="CN161" s="392"/>
      <c r="CO161" s="392"/>
      <c r="CP161" s="392"/>
      <c r="CQ161" s="392"/>
      <c r="CR161" s="392"/>
      <c r="CS161" s="392"/>
      <c r="CT161" s="392"/>
      <c r="CU161" s="392"/>
      <c r="CV161" s="392"/>
      <c r="CW161" s="392"/>
      <c r="CX161" s="392"/>
      <c r="CY161" s="392"/>
      <c r="CZ161" s="392"/>
      <c r="DA161" s="392"/>
      <c r="DB161" s="392"/>
      <c r="DC161" s="392"/>
    </row>
    <row r="162" spans="1:107" s="337" customFormat="1" ht="24">
      <c r="A162" s="37"/>
      <c r="B162" s="638" t="s">
        <v>23</v>
      </c>
      <c r="C162" s="639" t="s">
        <v>499</v>
      </c>
      <c r="D162" s="640" t="s">
        <v>1224</v>
      </c>
      <c r="E162" s="641">
        <v>551.08209536163713</v>
      </c>
      <c r="F162" s="639" t="s">
        <v>26</v>
      </c>
      <c r="G162" s="642">
        <v>0.17356226180788212</v>
      </c>
      <c r="H162" s="639" t="s">
        <v>66</v>
      </c>
      <c r="I162" s="643">
        <v>0.98263252310834825</v>
      </c>
      <c r="J162" s="644" t="s">
        <v>25</v>
      </c>
      <c r="K162" s="644" t="s">
        <v>1052</v>
      </c>
      <c r="L162" s="645" t="s">
        <v>95</v>
      </c>
      <c r="M162" s="645" t="s">
        <v>90</v>
      </c>
      <c r="N162" s="646">
        <v>63.76470327519516</v>
      </c>
      <c r="O162" s="647" t="s">
        <v>870</v>
      </c>
      <c r="P162" s="646">
        <v>60.576468111435396</v>
      </c>
      <c r="Q162" s="647" t="s">
        <v>870</v>
      </c>
      <c r="R162" s="37"/>
      <c r="S162" s="639" t="s">
        <v>68</v>
      </c>
      <c r="T162" s="644" t="s">
        <v>63</v>
      </c>
      <c r="U162" s="639" t="s">
        <v>69</v>
      </c>
      <c r="V162" s="639" t="s">
        <v>69</v>
      </c>
      <c r="W162" s="639" t="s">
        <v>70</v>
      </c>
      <c r="X162" s="37"/>
      <c r="Y162" s="37"/>
      <c r="Z162" s="639" t="s">
        <v>78</v>
      </c>
      <c r="AA162" s="639" t="s">
        <v>78</v>
      </c>
      <c r="AB162" s="37"/>
      <c r="AC162" s="814">
        <v>12.202739726027396</v>
      </c>
      <c r="AD162" s="639" t="s">
        <v>72</v>
      </c>
      <c r="AE162" s="644" t="s">
        <v>73</v>
      </c>
      <c r="AF162" s="822"/>
      <c r="AG162" s="822"/>
      <c r="AH162" s="822"/>
      <c r="AI162" s="822"/>
      <c r="AJ162" s="822"/>
      <c r="AK162" s="822"/>
      <c r="AL162" s="822"/>
      <c r="AM162" s="822"/>
      <c r="AN162" s="822"/>
      <c r="AO162" s="822"/>
      <c r="AP162" s="822"/>
      <c r="AQ162" s="822"/>
      <c r="AR162" s="822"/>
      <c r="AS162" s="822"/>
      <c r="AT162" s="822"/>
      <c r="AU162" s="822"/>
      <c r="AV162" s="822"/>
      <c r="AW162" s="822"/>
      <c r="AX162" s="822"/>
      <c r="AY162" s="822"/>
      <c r="AZ162" s="822"/>
      <c r="BA162" s="822"/>
      <c r="BB162" s="822"/>
      <c r="BC162" s="822"/>
      <c r="BD162" s="822"/>
      <c r="BE162" s="822"/>
      <c r="BF162" s="822"/>
      <c r="BG162" s="822"/>
      <c r="BH162" s="822"/>
      <c r="BI162" s="822"/>
      <c r="BJ162" s="822"/>
      <c r="BK162" s="822"/>
      <c r="BL162" s="822"/>
      <c r="BM162" s="822"/>
      <c r="BN162" s="822"/>
      <c r="BO162" s="822"/>
      <c r="BP162" s="822"/>
      <c r="BQ162" s="822"/>
      <c r="BR162" s="822"/>
      <c r="BS162" s="822"/>
      <c r="BT162" s="822"/>
      <c r="BU162" s="822"/>
      <c r="BV162" s="822"/>
      <c r="BW162" s="822"/>
      <c r="BX162" s="822"/>
      <c r="BY162" s="822"/>
      <c r="BZ162" s="822"/>
      <c r="CA162" s="822"/>
      <c r="CB162" s="822"/>
      <c r="CC162" s="822"/>
      <c r="CD162" s="822"/>
      <c r="CE162" s="822"/>
      <c r="CF162" s="822"/>
      <c r="CG162" s="822"/>
      <c r="CH162" s="822"/>
      <c r="CI162" s="822"/>
      <c r="CJ162" s="392"/>
      <c r="CK162" s="392"/>
      <c r="CL162" s="392"/>
      <c r="CM162" s="392"/>
      <c r="CN162" s="392"/>
      <c r="CO162" s="392"/>
      <c r="CP162" s="392"/>
      <c r="CQ162" s="392"/>
      <c r="CR162" s="392"/>
      <c r="CS162" s="392"/>
      <c r="CT162" s="392"/>
      <c r="CU162" s="392"/>
      <c r="CV162" s="392"/>
      <c r="CW162" s="392"/>
      <c r="CX162" s="392"/>
      <c r="CY162" s="392"/>
      <c r="CZ162" s="392"/>
      <c r="DA162" s="392"/>
      <c r="DB162" s="392"/>
      <c r="DC162" s="392"/>
    </row>
    <row r="163" spans="1:107" s="337" customFormat="1" ht="24">
      <c r="A163" s="37"/>
      <c r="B163" s="638" t="s">
        <v>23</v>
      </c>
      <c r="C163" s="639" t="s">
        <v>499</v>
      </c>
      <c r="D163" s="640" t="s">
        <v>1224</v>
      </c>
      <c r="E163" s="641">
        <v>551.08209536163713</v>
      </c>
      <c r="F163" s="639" t="s">
        <v>26</v>
      </c>
      <c r="G163" s="642">
        <v>0.17356226180788212</v>
      </c>
      <c r="H163" s="639" t="s">
        <v>66</v>
      </c>
      <c r="I163" s="643">
        <v>0.98263252310834825</v>
      </c>
      <c r="J163" s="644" t="s">
        <v>25</v>
      </c>
      <c r="K163" s="644" t="s">
        <v>1052</v>
      </c>
      <c r="L163" s="645" t="s">
        <v>95</v>
      </c>
      <c r="M163" s="645" t="s">
        <v>92</v>
      </c>
      <c r="N163" s="646">
        <v>63.76470327519516</v>
      </c>
      <c r="O163" s="647">
        <v>27.067941186289993</v>
      </c>
      <c r="P163" s="646">
        <v>60.576468111435396</v>
      </c>
      <c r="Q163" s="647">
        <v>23.308504910416385</v>
      </c>
      <c r="R163" s="37"/>
      <c r="S163" s="639" t="s">
        <v>68</v>
      </c>
      <c r="T163" s="644" t="s">
        <v>63</v>
      </c>
      <c r="U163" s="639" t="s">
        <v>69</v>
      </c>
      <c r="V163" s="639" t="s">
        <v>69</v>
      </c>
      <c r="W163" s="639" t="s">
        <v>70</v>
      </c>
      <c r="X163" s="37"/>
      <c r="Y163" s="37"/>
      <c r="Z163" s="639" t="s">
        <v>78</v>
      </c>
      <c r="AA163" s="639" t="s">
        <v>78</v>
      </c>
      <c r="AB163" s="37"/>
      <c r="AC163" s="814">
        <v>12.202739726027396</v>
      </c>
      <c r="AD163" s="639" t="s">
        <v>72</v>
      </c>
      <c r="AE163" s="644" t="s">
        <v>73</v>
      </c>
      <c r="AF163" s="822"/>
      <c r="AG163" s="822"/>
      <c r="AH163" s="822"/>
      <c r="AI163" s="822"/>
      <c r="AJ163" s="822"/>
      <c r="AK163" s="822"/>
      <c r="AL163" s="822"/>
      <c r="AM163" s="822"/>
      <c r="AN163" s="822"/>
      <c r="AO163" s="822"/>
      <c r="AP163" s="822"/>
      <c r="AQ163" s="822"/>
      <c r="AR163" s="822"/>
      <c r="AS163" s="822"/>
      <c r="AT163" s="822"/>
      <c r="AU163" s="822"/>
      <c r="AV163" s="822"/>
      <c r="AW163" s="822"/>
      <c r="AX163" s="822"/>
      <c r="AY163" s="822"/>
      <c r="AZ163" s="822"/>
      <c r="BA163" s="822"/>
      <c r="BB163" s="822"/>
      <c r="BC163" s="822"/>
      <c r="BD163" s="822"/>
      <c r="BE163" s="822"/>
      <c r="BF163" s="822"/>
      <c r="BG163" s="822"/>
      <c r="BH163" s="822"/>
      <c r="BI163" s="822"/>
      <c r="BJ163" s="822"/>
      <c r="BK163" s="822"/>
      <c r="BL163" s="822"/>
      <c r="BM163" s="822"/>
      <c r="BN163" s="822"/>
      <c r="BO163" s="822"/>
      <c r="BP163" s="822"/>
      <c r="BQ163" s="822"/>
      <c r="BR163" s="822"/>
      <c r="BS163" s="822"/>
      <c r="BT163" s="822"/>
      <c r="BU163" s="822"/>
      <c r="BV163" s="822"/>
      <c r="BW163" s="822"/>
      <c r="BX163" s="822"/>
      <c r="BY163" s="822"/>
      <c r="BZ163" s="822"/>
      <c r="CA163" s="822"/>
      <c r="CB163" s="822"/>
      <c r="CC163" s="822"/>
      <c r="CD163" s="822"/>
      <c r="CE163" s="822"/>
      <c r="CF163" s="822"/>
      <c r="CG163" s="822"/>
      <c r="CH163" s="822"/>
      <c r="CI163" s="822"/>
      <c r="CJ163" s="392"/>
      <c r="CK163" s="392"/>
      <c r="CL163" s="392"/>
      <c r="CM163" s="392"/>
      <c r="CN163" s="392"/>
      <c r="CO163" s="392"/>
      <c r="CP163" s="392"/>
      <c r="CQ163" s="392"/>
      <c r="CR163" s="392"/>
      <c r="CS163" s="392"/>
      <c r="CT163" s="392"/>
      <c r="CU163" s="392"/>
      <c r="CV163" s="392"/>
      <c r="CW163" s="392"/>
      <c r="CX163" s="392"/>
      <c r="CY163" s="392"/>
      <c r="CZ163" s="392"/>
      <c r="DA163" s="392"/>
      <c r="DB163" s="392"/>
      <c r="DC163" s="392"/>
    </row>
    <row r="164" spans="1:107" s="337" customFormat="1" ht="24">
      <c r="A164" s="37"/>
      <c r="B164" s="638" t="s">
        <v>23</v>
      </c>
      <c r="C164" s="639" t="s">
        <v>499</v>
      </c>
      <c r="D164" s="640" t="s">
        <v>1224</v>
      </c>
      <c r="E164" s="641">
        <v>551.08209536163713</v>
      </c>
      <c r="F164" s="639" t="s">
        <v>26</v>
      </c>
      <c r="G164" s="642">
        <v>0.17356226180788212</v>
      </c>
      <c r="H164" s="639" t="s">
        <v>66</v>
      </c>
      <c r="I164" s="643">
        <v>0.98263252310834825</v>
      </c>
      <c r="J164" s="644" t="s">
        <v>25</v>
      </c>
      <c r="K164" s="644" t="s">
        <v>1052</v>
      </c>
      <c r="L164" s="645" t="s">
        <v>95</v>
      </c>
      <c r="M164" s="645" t="s">
        <v>93</v>
      </c>
      <c r="N164" s="646">
        <v>63.76470327519516</v>
      </c>
      <c r="O164" s="647" t="s">
        <v>870</v>
      </c>
      <c r="P164" s="646">
        <v>60.576468111435396</v>
      </c>
      <c r="Q164" s="647" t="s">
        <v>870</v>
      </c>
      <c r="R164" s="37"/>
      <c r="S164" s="639" t="s">
        <v>68</v>
      </c>
      <c r="T164" s="644" t="s">
        <v>63</v>
      </c>
      <c r="U164" s="644" t="s">
        <v>44</v>
      </c>
      <c r="V164" s="644" t="s">
        <v>75</v>
      </c>
      <c r="W164" s="639" t="s">
        <v>70</v>
      </c>
      <c r="X164" s="37"/>
      <c r="Y164" s="37"/>
      <c r="Z164" s="639" t="s">
        <v>78</v>
      </c>
      <c r="AA164" s="639" t="s">
        <v>78</v>
      </c>
      <c r="AB164" s="37"/>
      <c r="AC164" s="814">
        <v>12.202739726027396</v>
      </c>
      <c r="AD164" s="639" t="s">
        <v>72</v>
      </c>
      <c r="AE164" s="644" t="s">
        <v>73</v>
      </c>
      <c r="AF164" s="822"/>
      <c r="AG164" s="822"/>
      <c r="AH164" s="822"/>
      <c r="AI164" s="822"/>
      <c r="AJ164" s="822"/>
      <c r="AK164" s="822"/>
      <c r="AL164" s="822"/>
      <c r="AM164" s="822"/>
      <c r="AN164" s="822"/>
      <c r="AO164" s="822"/>
      <c r="AP164" s="822"/>
      <c r="AQ164" s="822"/>
      <c r="AR164" s="822"/>
      <c r="AS164" s="822"/>
      <c r="AT164" s="822"/>
      <c r="AU164" s="822"/>
      <c r="AV164" s="822"/>
      <c r="AW164" s="822"/>
      <c r="AX164" s="822"/>
      <c r="AY164" s="822"/>
      <c r="AZ164" s="822"/>
      <c r="BA164" s="822"/>
      <c r="BB164" s="822"/>
      <c r="BC164" s="822"/>
      <c r="BD164" s="822"/>
      <c r="BE164" s="822"/>
      <c r="BF164" s="822"/>
      <c r="BG164" s="822"/>
      <c r="BH164" s="822"/>
      <c r="BI164" s="822"/>
      <c r="BJ164" s="822"/>
      <c r="BK164" s="822"/>
      <c r="BL164" s="822"/>
      <c r="BM164" s="822"/>
      <c r="BN164" s="822"/>
      <c r="BO164" s="822"/>
      <c r="BP164" s="822"/>
      <c r="BQ164" s="822"/>
      <c r="BR164" s="822"/>
      <c r="BS164" s="822"/>
      <c r="BT164" s="822"/>
      <c r="BU164" s="822"/>
      <c r="BV164" s="822"/>
      <c r="BW164" s="822"/>
      <c r="BX164" s="822"/>
      <c r="BY164" s="822"/>
      <c r="BZ164" s="822"/>
      <c r="CA164" s="822"/>
      <c r="CB164" s="822"/>
      <c r="CC164" s="822"/>
      <c r="CD164" s="822"/>
      <c r="CE164" s="822"/>
      <c r="CF164" s="822"/>
      <c r="CG164" s="822"/>
      <c r="CH164" s="822"/>
      <c r="CI164" s="822"/>
      <c r="CJ164" s="392"/>
      <c r="CK164" s="392"/>
      <c r="CL164" s="392"/>
      <c r="CM164" s="392"/>
      <c r="CN164" s="392"/>
      <c r="CO164" s="392"/>
      <c r="CP164" s="392"/>
      <c r="CQ164" s="392"/>
      <c r="CR164" s="392"/>
      <c r="CS164" s="392"/>
      <c r="CT164" s="392"/>
      <c r="CU164" s="392"/>
      <c r="CV164" s="392"/>
      <c r="CW164" s="392"/>
      <c r="CX164" s="392"/>
      <c r="CY164" s="392"/>
      <c r="CZ164" s="392"/>
      <c r="DA164" s="392"/>
      <c r="DB164" s="392"/>
      <c r="DC164" s="392"/>
    </row>
    <row r="165" spans="1:107" s="337" customFormat="1" ht="24">
      <c r="A165" s="37"/>
      <c r="B165" s="638" t="s">
        <v>23</v>
      </c>
      <c r="C165" s="639" t="s">
        <v>499</v>
      </c>
      <c r="D165" s="640" t="s">
        <v>1224</v>
      </c>
      <c r="E165" s="641">
        <v>551.08209536163713</v>
      </c>
      <c r="F165" s="639" t="s">
        <v>26</v>
      </c>
      <c r="G165" s="642">
        <v>0.17356226180788212</v>
      </c>
      <c r="H165" s="639" t="s">
        <v>66</v>
      </c>
      <c r="I165" s="643">
        <v>0.98263252310834825</v>
      </c>
      <c r="J165" s="644" t="s">
        <v>25</v>
      </c>
      <c r="K165" s="644" t="s">
        <v>1052</v>
      </c>
      <c r="L165" s="645" t="s">
        <v>24</v>
      </c>
      <c r="M165" s="645" t="s">
        <v>88</v>
      </c>
      <c r="N165" s="646">
        <v>59.938821078683446</v>
      </c>
      <c r="O165" s="647" t="s">
        <v>870</v>
      </c>
      <c r="P165" s="646">
        <v>55.794115365795761</v>
      </c>
      <c r="Q165" s="646" t="s">
        <v>870</v>
      </c>
      <c r="R165" s="37"/>
      <c r="S165" s="639" t="s">
        <v>68</v>
      </c>
      <c r="T165" s="644" t="s">
        <v>63</v>
      </c>
      <c r="U165" s="639" t="s">
        <v>69</v>
      </c>
      <c r="V165" s="639" t="s">
        <v>69</v>
      </c>
      <c r="W165" s="639" t="s">
        <v>70</v>
      </c>
      <c r="X165" s="37"/>
      <c r="Y165" s="37"/>
      <c r="Z165" s="639" t="s">
        <v>78</v>
      </c>
      <c r="AA165" s="639" t="s">
        <v>78</v>
      </c>
      <c r="AB165" s="37"/>
      <c r="AC165" s="814">
        <v>12.202739726027396</v>
      </c>
      <c r="AD165" s="639" t="s">
        <v>72</v>
      </c>
      <c r="AE165" s="644" t="s">
        <v>73</v>
      </c>
      <c r="AF165" s="822"/>
      <c r="AG165" s="822"/>
      <c r="AH165" s="822"/>
      <c r="AI165" s="822"/>
      <c r="AJ165" s="822"/>
      <c r="AK165" s="822"/>
      <c r="AL165" s="822"/>
      <c r="AM165" s="822"/>
      <c r="AN165" s="822"/>
      <c r="AO165" s="822"/>
      <c r="AP165" s="822"/>
      <c r="AQ165" s="822"/>
      <c r="AR165" s="822"/>
      <c r="AS165" s="822"/>
      <c r="AT165" s="822"/>
      <c r="AU165" s="822"/>
      <c r="AV165" s="822"/>
      <c r="AW165" s="822"/>
      <c r="AX165" s="822"/>
      <c r="AY165" s="822"/>
      <c r="AZ165" s="822"/>
      <c r="BA165" s="822"/>
      <c r="BB165" s="822"/>
      <c r="BC165" s="822"/>
      <c r="BD165" s="822"/>
      <c r="BE165" s="822"/>
      <c r="BF165" s="822"/>
      <c r="BG165" s="822"/>
      <c r="BH165" s="822"/>
      <c r="BI165" s="822"/>
      <c r="BJ165" s="822"/>
      <c r="BK165" s="822"/>
      <c r="BL165" s="822"/>
      <c r="BM165" s="822"/>
      <c r="BN165" s="822"/>
      <c r="BO165" s="822"/>
      <c r="BP165" s="822"/>
      <c r="BQ165" s="822"/>
      <c r="BR165" s="822"/>
      <c r="BS165" s="822"/>
      <c r="BT165" s="822"/>
      <c r="BU165" s="822"/>
      <c r="BV165" s="822"/>
      <c r="BW165" s="822"/>
      <c r="BX165" s="822"/>
      <c r="BY165" s="822"/>
      <c r="BZ165" s="822"/>
      <c r="CA165" s="822"/>
      <c r="CB165" s="822"/>
      <c r="CC165" s="822"/>
      <c r="CD165" s="822"/>
      <c r="CE165" s="822"/>
      <c r="CF165" s="822"/>
      <c r="CG165" s="822"/>
      <c r="CH165" s="822"/>
      <c r="CI165" s="822"/>
      <c r="CJ165" s="392"/>
      <c r="CK165" s="392"/>
      <c r="CL165" s="392"/>
      <c r="CM165" s="392"/>
      <c r="CN165" s="392"/>
      <c r="CO165" s="392"/>
      <c r="CP165" s="392"/>
      <c r="CQ165" s="392"/>
      <c r="CR165" s="392"/>
      <c r="CS165" s="392"/>
      <c r="CT165" s="392"/>
      <c r="CU165" s="392"/>
      <c r="CV165" s="392"/>
      <c r="CW165" s="392"/>
      <c r="CX165" s="392"/>
      <c r="CY165" s="392"/>
      <c r="CZ165" s="392"/>
      <c r="DA165" s="392"/>
      <c r="DB165" s="392"/>
      <c r="DC165" s="392"/>
    </row>
    <row r="166" spans="1:107" s="337" customFormat="1" ht="24">
      <c r="A166" s="37"/>
      <c r="B166" s="638" t="s">
        <v>23</v>
      </c>
      <c r="C166" s="639" t="s">
        <v>499</v>
      </c>
      <c r="D166" s="640" t="s">
        <v>1224</v>
      </c>
      <c r="E166" s="641">
        <v>551.08209536163713</v>
      </c>
      <c r="F166" s="639" t="s">
        <v>26</v>
      </c>
      <c r="G166" s="642">
        <v>0.17356226180788212</v>
      </c>
      <c r="H166" s="639" t="s">
        <v>66</v>
      </c>
      <c r="I166" s="643">
        <v>0.98263252310834825</v>
      </c>
      <c r="J166" s="644" t="s">
        <v>25</v>
      </c>
      <c r="K166" s="644" t="s">
        <v>1052</v>
      </c>
      <c r="L166" s="645" t="s">
        <v>24</v>
      </c>
      <c r="M166" s="645" t="s">
        <v>90</v>
      </c>
      <c r="N166" s="646">
        <v>59.938821078683446</v>
      </c>
      <c r="O166" s="647" t="s">
        <v>870</v>
      </c>
      <c r="P166" s="646">
        <v>55.794115365795761</v>
      </c>
      <c r="Q166" s="647" t="s">
        <v>870</v>
      </c>
      <c r="R166" s="37"/>
      <c r="S166" s="639" t="s">
        <v>68</v>
      </c>
      <c r="T166" s="644" t="s">
        <v>63</v>
      </c>
      <c r="U166" s="639" t="s">
        <v>69</v>
      </c>
      <c r="V166" s="639" t="s">
        <v>69</v>
      </c>
      <c r="W166" s="639" t="s">
        <v>70</v>
      </c>
      <c r="X166" s="37"/>
      <c r="Y166" s="37"/>
      <c r="Z166" s="639" t="s">
        <v>78</v>
      </c>
      <c r="AA166" s="639" t="s">
        <v>78</v>
      </c>
      <c r="AB166" s="37"/>
      <c r="AC166" s="814">
        <v>12.202739726027396</v>
      </c>
      <c r="AD166" s="639" t="s">
        <v>72</v>
      </c>
      <c r="AE166" s="644" t="s">
        <v>73</v>
      </c>
      <c r="AF166" s="822"/>
      <c r="AG166" s="822"/>
      <c r="AH166" s="822"/>
      <c r="AI166" s="822"/>
      <c r="AJ166" s="822"/>
      <c r="AK166" s="822"/>
      <c r="AL166" s="822"/>
      <c r="AM166" s="822"/>
      <c r="AN166" s="822"/>
      <c r="AO166" s="822"/>
      <c r="AP166" s="822"/>
      <c r="AQ166" s="822"/>
      <c r="AR166" s="822"/>
      <c r="AS166" s="822"/>
      <c r="AT166" s="822"/>
      <c r="AU166" s="822"/>
      <c r="AV166" s="822"/>
      <c r="AW166" s="822"/>
      <c r="AX166" s="822"/>
      <c r="AY166" s="822"/>
      <c r="AZ166" s="822"/>
      <c r="BA166" s="822"/>
      <c r="BB166" s="822"/>
      <c r="BC166" s="822"/>
      <c r="BD166" s="822"/>
      <c r="BE166" s="822"/>
      <c r="BF166" s="822"/>
      <c r="BG166" s="822"/>
      <c r="BH166" s="822"/>
      <c r="BI166" s="822"/>
      <c r="BJ166" s="822"/>
      <c r="BK166" s="822"/>
      <c r="BL166" s="822"/>
      <c r="BM166" s="822"/>
      <c r="BN166" s="822"/>
      <c r="BO166" s="822"/>
      <c r="BP166" s="822"/>
      <c r="BQ166" s="822"/>
      <c r="BR166" s="822"/>
      <c r="BS166" s="822"/>
      <c r="BT166" s="822"/>
      <c r="BU166" s="822"/>
      <c r="BV166" s="822"/>
      <c r="BW166" s="822"/>
      <c r="BX166" s="822"/>
      <c r="BY166" s="822"/>
      <c r="BZ166" s="822"/>
      <c r="CA166" s="822"/>
      <c r="CB166" s="822"/>
      <c r="CC166" s="822"/>
      <c r="CD166" s="822"/>
      <c r="CE166" s="822"/>
      <c r="CF166" s="822"/>
      <c r="CG166" s="822"/>
      <c r="CH166" s="822"/>
      <c r="CI166" s="822"/>
      <c r="CJ166" s="392"/>
      <c r="CK166" s="392"/>
      <c r="CL166" s="392"/>
      <c r="CM166" s="392"/>
      <c r="CN166" s="392"/>
      <c r="CO166" s="392"/>
      <c r="CP166" s="392"/>
      <c r="CQ166" s="392"/>
      <c r="CR166" s="392"/>
      <c r="CS166" s="392"/>
      <c r="CT166" s="392"/>
      <c r="CU166" s="392"/>
      <c r="CV166" s="392"/>
      <c r="CW166" s="392"/>
      <c r="CX166" s="392"/>
      <c r="CY166" s="392"/>
      <c r="CZ166" s="392"/>
      <c r="DA166" s="392"/>
      <c r="DB166" s="392"/>
      <c r="DC166" s="392"/>
    </row>
    <row r="167" spans="1:107" s="337" customFormat="1" ht="24">
      <c r="A167" s="37"/>
      <c r="B167" s="638" t="s">
        <v>23</v>
      </c>
      <c r="C167" s="639" t="s">
        <v>499</v>
      </c>
      <c r="D167" s="640" t="s">
        <v>1224</v>
      </c>
      <c r="E167" s="641">
        <v>551.08209536163713</v>
      </c>
      <c r="F167" s="639" t="s">
        <v>26</v>
      </c>
      <c r="G167" s="642">
        <v>0.17356226180788212</v>
      </c>
      <c r="H167" s="639" t="s">
        <v>66</v>
      </c>
      <c r="I167" s="643">
        <v>0.98263252310834825</v>
      </c>
      <c r="J167" s="644" t="s">
        <v>25</v>
      </c>
      <c r="K167" s="644" t="s">
        <v>1052</v>
      </c>
      <c r="L167" s="645" t="s">
        <v>24</v>
      </c>
      <c r="M167" s="645" t="s">
        <v>92</v>
      </c>
      <c r="N167" s="646">
        <v>59.938821078683446</v>
      </c>
      <c r="O167" s="647">
        <v>27.067941186289993</v>
      </c>
      <c r="P167" s="646">
        <v>55.794115365795761</v>
      </c>
      <c r="Q167" s="646">
        <v>23.308504910416385</v>
      </c>
      <c r="R167" s="37"/>
      <c r="S167" s="639" t="s">
        <v>68</v>
      </c>
      <c r="T167" s="644" t="s">
        <v>63</v>
      </c>
      <c r="U167" s="639" t="s">
        <v>69</v>
      </c>
      <c r="V167" s="639" t="s">
        <v>69</v>
      </c>
      <c r="W167" s="639" t="s">
        <v>70</v>
      </c>
      <c r="X167" s="37"/>
      <c r="Y167" s="37"/>
      <c r="Z167" s="639" t="s">
        <v>78</v>
      </c>
      <c r="AA167" s="639" t="s">
        <v>78</v>
      </c>
      <c r="AB167" s="37"/>
      <c r="AC167" s="814">
        <v>12.202739726027396</v>
      </c>
      <c r="AD167" s="639" t="s">
        <v>72</v>
      </c>
      <c r="AE167" s="644" t="s">
        <v>73</v>
      </c>
      <c r="AF167" s="822"/>
      <c r="AG167" s="822"/>
      <c r="AH167" s="822"/>
      <c r="AI167" s="822"/>
      <c r="AJ167" s="822"/>
      <c r="AK167" s="822"/>
      <c r="AL167" s="822"/>
      <c r="AM167" s="822"/>
      <c r="AN167" s="822"/>
      <c r="AO167" s="822"/>
      <c r="AP167" s="822"/>
      <c r="AQ167" s="822"/>
      <c r="AR167" s="822"/>
      <c r="AS167" s="822"/>
      <c r="AT167" s="822"/>
      <c r="AU167" s="822"/>
      <c r="AV167" s="822"/>
      <c r="AW167" s="822"/>
      <c r="AX167" s="822"/>
      <c r="AY167" s="822"/>
      <c r="AZ167" s="822"/>
      <c r="BA167" s="822"/>
      <c r="BB167" s="822"/>
      <c r="BC167" s="822"/>
      <c r="BD167" s="822"/>
      <c r="BE167" s="822"/>
      <c r="BF167" s="822"/>
      <c r="BG167" s="822"/>
      <c r="BH167" s="822"/>
      <c r="BI167" s="822"/>
      <c r="BJ167" s="822"/>
      <c r="BK167" s="822"/>
      <c r="BL167" s="822"/>
      <c r="BM167" s="822"/>
      <c r="BN167" s="822"/>
      <c r="BO167" s="822"/>
      <c r="BP167" s="822"/>
      <c r="BQ167" s="822"/>
      <c r="BR167" s="822"/>
      <c r="BS167" s="822"/>
      <c r="BT167" s="822"/>
      <c r="BU167" s="822"/>
      <c r="BV167" s="822"/>
      <c r="BW167" s="822"/>
      <c r="BX167" s="822"/>
      <c r="BY167" s="822"/>
      <c r="BZ167" s="822"/>
      <c r="CA167" s="822"/>
      <c r="CB167" s="822"/>
      <c r="CC167" s="822"/>
      <c r="CD167" s="822"/>
      <c r="CE167" s="822"/>
      <c r="CF167" s="822"/>
      <c r="CG167" s="822"/>
      <c r="CH167" s="822"/>
      <c r="CI167" s="822"/>
      <c r="CJ167" s="392"/>
      <c r="CK167" s="392"/>
      <c r="CL167" s="392"/>
      <c r="CM167" s="392"/>
      <c r="CN167" s="392"/>
      <c r="CO167" s="392"/>
      <c r="CP167" s="392"/>
      <c r="CQ167" s="392"/>
      <c r="CR167" s="392"/>
      <c r="CS167" s="392"/>
      <c r="CT167" s="392"/>
      <c r="CU167" s="392"/>
      <c r="CV167" s="392"/>
      <c r="CW167" s="392"/>
      <c r="CX167" s="392"/>
      <c r="CY167" s="392"/>
      <c r="CZ167" s="392"/>
      <c r="DA167" s="392"/>
      <c r="DB167" s="392"/>
      <c r="DC167" s="392"/>
    </row>
    <row r="168" spans="1:107" s="337" customFormat="1" ht="24">
      <c r="A168" s="37"/>
      <c r="B168" s="638" t="s">
        <v>23</v>
      </c>
      <c r="C168" s="639" t="s">
        <v>499</v>
      </c>
      <c r="D168" s="640" t="s">
        <v>1224</v>
      </c>
      <c r="E168" s="641">
        <v>551.08209536163713</v>
      </c>
      <c r="F168" s="639" t="s">
        <v>26</v>
      </c>
      <c r="G168" s="642">
        <v>0.17356226180788212</v>
      </c>
      <c r="H168" s="639" t="s">
        <v>66</v>
      </c>
      <c r="I168" s="643">
        <v>0.98263252310834825</v>
      </c>
      <c r="J168" s="644" t="s">
        <v>25</v>
      </c>
      <c r="K168" s="644" t="s">
        <v>1052</v>
      </c>
      <c r="L168" s="645" t="s">
        <v>24</v>
      </c>
      <c r="M168" s="645" t="s">
        <v>93</v>
      </c>
      <c r="N168" s="646">
        <v>59.938821078683446</v>
      </c>
      <c r="O168" s="647" t="s">
        <v>870</v>
      </c>
      <c r="P168" s="646">
        <v>55.794115365795761</v>
      </c>
      <c r="Q168" s="647" t="s">
        <v>870</v>
      </c>
      <c r="R168" s="37"/>
      <c r="S168" s="639" t="s">
        <v>68</v>
      </c>
      <c r="T168" s="644" t="s">
        <v>63</v>
      </c>
      <c r="U168" s="644" t="s">
        <v>44</v>
      </c>
      <c r="V168" s="644" t="s">
        <v>75</v>
      </c>
      <c r="W168" s="639" t="s">
        <v>70</v>
      </c>
      <c r="X168" s="37"/>
      <c r="Y168" s="37"/>
      <c r="Z168" s="639" t="s">
        <v>78</v>
      </c>
      <c r="AA168" s="639" t="s">
        <v>78</v>
      </c>
      <c r="AB168" s="37"/>
      <c r="AC168" s="814">
        <v>12.202739726027396</v>
      </c>
      <c r="AD168" s="639" t="s">
        <v>72</v>
      </c>
      <c r="AE168" s="644" t="s">
        <v>73</v>
      </c>
      <c r="AF168" s="822"/>
      <c r="AG168" s="822"/>
      <c r="AH168" s="822"/>
      <c r="AI168" s="822"/>
      <c r="AJ168" s="822"/>
      <c r="AK168" s="822"/>
      <c r="AL168" s="822"/>
      <c r="AM168" s="822"/>
      <c r="AN168" s="822"/>
      <c r="AO168" s="822"/>
      <c r="AP168" s="822"/>
      <c r="AQ168" s="822"/>
      <c r="AR168" s="822"/>
      <c r="AS168" s="822"/>
      <c r="AT168" s="822"/>
      <c r="AU168" s="822"/>
      <c r="AV168" s="822"/>
      <c r="AW168" s="822"/>
      <c r="AX168" s="822"/>
      <c r="AY168" s="822"/>
      <c r="AZ168" s="822"/>
      <c r="BA168" s="822"/>
      <c r="BB168" s="822"/>
      <c r="BC168" s="822"/>
      <c r="BD168" s="822"/>
      <c r="BE168" s="822"/>
      <c r="BF168" s="822"/>
      <c r="BG168" s="822"/>
      <c r="BH168" s="822"/>
      <c r="BI168" s="822"/>
      <c r="BJ168" s="822"/>
      <c r="BK168" s="822"/>
      <c r="BL168" s="822"/>
      <c r="BM168" s="822"/>
      <c r="BN168" s="822"/>
      <c r="BO168" s="822"/>
      <c r="BP168" s="822"/>
      <c r="BQ168" s="822"/>
      <c r="BR168" s="822"/>
      <c r="BS168" s="822"/>
      <c r="BT168" s="822"/>
      <c r="BU168" s="822"/>
      <c r="BV168" s="822"/>
      <c r="BW168" s="822"/>
      <c r="BX168" s="822"/>
      <c r="BY168" s="822"/>
      <c r="BZ168" s="822"/>
      <c r="CA168" s="822"/>
      <c r="CB168" s="822"/>
      <c r="CC168" s="822"/>
      <c r="CD168" s="822"/>
      <c r="CE168" s="822"/>
      <c r="CF168" s="822"/>
      <c r="CG168" s="822"/>
      <c r="CH168" s="822"/>
      <c r="CI168" s="822"/>
      <c r="CJ168" s="392"/>
      <c r="CK168" s="392"/>
      <c r="CL168" s="392"/>
      <c r="CM168" s="392"/>
      <c r="CN168" s="392"/>
      <c r="CO168" s="392"/>
      <c r="CP168" s="392"/>
      <c r="CQ168" s="392"/>
      <c r="CR168" s="392"/>
      <c r="CS168" s="392"/>
      <c r="CT168" s="392"/>
      <c r="CU168" s="392"/>
      <c r="CV168" s="392"/>
      <c r="CW168" s="392"/>
      <c r="CX168" s="392"/>
      <c r="CY168" s="392"/>
      <c r="CZ168" s="392"/>
      <c r="DA168" s="392"/>
      <c r="DB168" s="392"/>
      <c r="DC168" s="392"/>
    </row>
    <row r="169" spans="1:107" s="350" customFormat="1" ht="60">
      <c r="A169" s="37"/>
      <c r="B169" s="648" t="s">
        <v>23</v>
      </c>
      <c r="C169" s="649" t="s">
        <v>1149</v>
      </c>
      <c r="D169" s="650" t="s">
        <v>1220</v>
      </c>
      <c r="E169" s="651">
        <v>358.49365031662199</v>
      </c>
      <c r="F169" s="649" t="s">
        <v>27</v>
      </c>
      <c r="G169" s="652">
        <v>0.87983429857487527</v>
      </c>
      <c r="H169" s="649" t="s">
        <v>867</v>
      </c>
      <c r="I169" s="653">
        <v>0.87705985592721025</v>
      </c>
      <c r="J169" s="648" t="s">
        <v>1097</v>
      </c>
      <c r="K169" s="648" t="s">
        <v>1020</v>
      </c>
      <c r="L169" s="648" t="s">
        <v>960</v>
      </c>
      <c r="M169" s="648" t="s">
        <v>88</v>
      </c>
      <c r="N169" s="654">
        <v>37.135653933358483</v>
      </c>
      <c r="O169" s="654">
        <v>68.606184983454412</v>
      </c>
      <c r="P169" s="654">
        <v>30.279840899507679</v>
      </c>
      <c r="Q169" s="654" t="s">
        <v>1109</v>
      </c>
      <c r="R169" s="37"/>
      <c r="S169" s="649" t="s">
        <v>69</v>
      </c>
      <c r="T169" s="649" t="s">
        <v>69</v>
      </c>
      <c r="U169" s="649" t="s">
        <v>69</v>
      </c>
      <c r="V169" s="649" t="s">
        <v>69</v>
      </c>
      <c r="W169" s="649" t="s">
        <v>70</v>
      </c>
      <c r="X169" s="37"/>
      <c r="Y169" s="37"/>
      <c r="Z169" s="649" t="s">
        <v>78</v>
      </c>
      <c r="AA169" s="649" t="s">
        <v>78</v>
      </c>
      <c r="AB169" s="37"/>
      <c r="AC169" s="656">
        <v>9.4273972602739722</v>
      </c>
      <c r="AD169" s="657" t="s">
        <v>72</v>
      </c>
      <c r="AE169" s="655" t="s">
        <v>73</v>
      </c>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c r="CA169" s="393"/>
      <c r="CB169" s="393"/>
      <c r="CC169" s="393"/>
      <c r="CD169" s="393"/>
      <c r="CE169" s="393"/>
      <c r="CF169" s="393"/>
      <c r="CG169" s="393"/>
      <c r="CH169" s="393"/>
      <c r="CI169" s="393"/>
      <c r="CJ169" s="393"/>
      <c r="CK169" s="393"/>
      <c r="CL169" s="393"/>
      <c r="CM169" s="393"/>
      <c r="CN169" s="393"/>
      <c r="CO169" s="393"/>
      <c r="CP169" s="393"/>
      <c r="CQ169" s="393"/>
      <c r="CR169" s="393"/>
      <c r="CS169" s="393"/>
      <c r="CT169" s="393"/>
      <c r="CU169" s="393"/>
      <c r="CV169" s="393"/>
      <c r="CW169" s="393"/>
      <c r="CX169" s="393"/>
      <c r="CY169" s="393"/>
      <c r="CZ169" s="393"/>
      <c r="DA169" s="393"/>
      <c r="DB169" s="393"/>
      <c r="DC169" s="393"/>
    </row>
    <row r="170" spans="1:107" s="350" customFormat="1" ht="60">
      <c r="A170" s="37"/>
      <c r="B170" s="648" t="s">
        <v>23</v>
      </c>
      <c r="C170" s="649" t="s">
        <v>1149</v>
      </c>
      <c r="D170" s="650" t="s">
        <v>1220</v>
      </c>
      <c r="E170" s="651">
        <v>358.49365031662199</v>
      </c>
      <c r="F170" s="649" t="s">
        <v>27</v>
      </c>
      <c r="G170" s="652">
        <v>0.87983429857487527</v>
      </c>
      <c r="H170" s="649" t="s">
        <v>867</v>
      </c>
      <c r="I170" s="653">
        <v>0.87705985592721025</v>
      </c>
      <c r="J170" s="648" t="s">
        <v>1097</v>
      </c>
      <c r="K170" s="648" t="s">
        <v>1020</v>
      </c>
      <c r="L170" s="648" t="s">
        <v>960</v>
      </c>
      <c r="M170" s="648" t="s">
        <v>90</v>
      </c>
      <c r="N170" s="654">
        <v>37.135653933358483</v>
      </c>
      <c r="O170" s="654">
        <v>61.966876759249132</v>
      </c>
      <c r="P170" s="654">
        <v>30.279840899507679</v>
      </c>
      <c r="Q170" s="654" t="s">
        <v>871</v>
      </c>
      <c r="R170" s="37"/>
      <c r="S170" s="649" t="s">
        <v>69</v>
      </c>
      <c r="T170" s="649" t="s">
        <v>69</v>
      </c>
      <c r="U170" s="649" t="s">
        <v>69</v>
      </c>
      <c r="V170" s="649" t="s">
        <v>69</v>
      </c>
      <c r="W170" s="649" t="s">
        <v>70</v>
      </c>
      <c r="X170" s="37"/>
      <c r="Y170" s="37"/>
      <c r="Z170" s="649" t="s">
        <v>78</v>
      </c>
      <c r="AA170" s="649" t="s">
        <v>78</v>
      </c>
      <c r="AB170" s="37"/>
      <c r="AC170" s="656">
        <v>9.4273972602739722</v>
      </c>
      <c r="AD170" s="657" t="s">
        <v>72</v>
      </c>
      <c r="AE170" s="655" t="s">
        <v>73</v>
      </c>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c r="CA170" s="393"/>
      <c r="CB170" s="393"/>
      <c r="CC170" s="393"/>
      <c r="CD170" s="393"/>
      <c r="CE170" s="393"/>
      <c r="CF170" s="393"/>
      <c r="CG170" s="393"/>
      <c r="CH170" s="393"/>
      <c r="CI170" s="393"/>
      <c r="CJ170" s="393"/>
      <c r="CK170" s="393"/>
      <c r="CL170" s="393"/>
      <c r="CM170" s="393"/>
      <c r="CN170" s="393"/>
      <c r="CO170" s="393"/>
      <c r="CP170" s="393"/>
      <c r="CQ170" s="393"/>
      <c r="CR170" s="393"/>
      <c r="CS170" s="393"/>
      <c r="CT170" s="393"/>
      <c r="CU170" s="393"/>
      <c r="CV170" s="393"/>
      <c r="CW170" s="393"/>
      <c r="CX170" s="393"/>
      <c r="CY170" s="393"/>
      <c r="CZ170" s="393"/>
      <c r="DA170" s="393"/>
      <c r="DB170" s="393"/>
      <c r="DC170" s="393"/>
    </row>
    <row r="171" spans="1:107" s="350" customFormat="1" ht="60">
      <c r="A171" s="37"/>
      <c r="B171" s="648" t="s">
        <v>23</v>
      </c>
      <c r="C171" s="649" t="s">
        <v>1149</v>
      </c>
      <c r="D171" s="650" t="s">
        <v>1220</v>
      </c>
      <c r="E171" s="651">
        <v>358.49365031662199</v>
      </c>
      <c r="F171" s="649" t="s">
        <v>27</v>
      </c>
      <c r="G171" s="652">
        <v>0.87983429857487527</v>
      </c>
      <c r="H171" s="649" t="s">
        <v>867</v>
      </c>
      <c r="I171" s="653">
        <v>0.87705985592721025</v>
      </c>
      <c r="J171" s="648" t="s">
        <v>1097</v>
      </c>
      <c r="K171" s="648" t="s">
        <v>1020</v>
      </c>
      <c r="L171" s="648" t="s">
        <v>960</v>
      </c>
      <c r="M171" s="648" t="s">
        <v>91</v>
      </c>
      <c r="N171" s="654">
        <v>37.135653933358483</v>
      </c>
      <c r="O171" s="654" t="s">
        <v>870</v>
      </c>
      <c r="P171" s="654">
        <v>30.279840899507679</v>
      </c>
      <c r="Q171" s="654" t="s">
        <v>870</v>
      </c>
      <c r="R171" s="37"/>
      <c r="S171" s="655" t="s">
        <v>69</v>
      </c>
      <c r="T171" s="649" t="s">
        <v>69</v>
      </c>
      <c r="U171" s="655" t="s">
        <v>870</v>
      </c>
      <c r="V171" s="655" t="s">
        <v>870</v>
      </c>
      <c r="W171" s="649" t="s">
        <v>70</v>
      </c>
      <c r="X171" s="37"/>
      <c r="Y171" s="37"/>
      <c r="Z171" s="649" t="s">
        <v>78</v>
      </c>
      <c r="AA171" s="649" t="s">
        <v>78</v>
      </c>
      <c r="AB171" s="37"/>
      <c r="AC171" s="656">
        <v>9.4273972602739722</v>
      </c>
      <c r="AD171" s="657" t="s">
        <v>72</v>
      </c>
      <c r="AE171" s="655" t="s">
        <v>73</v>
      </c>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c r="CA171" s="393"/>
      <c r="CB171" s="393"/>
      <c r="CC171" s="393"/>
      <c r="CD171" s="393"/>
      <c r="CE171" s="393"/>
      <c r="CF171" s="393"/>
      <c r="CG171" s="393"/>
      <c r="CH171" s="393"/>
      <c r="CI171" s="393"/>
      <c r="CJ171" s="393"/>
      <c r="CK171" s="393"/>
      <c r="CL171" s="393"/>
      <c r="CM171" s="393"/>
      <c r="CN171" s="393"/>
      <c r="CO171" s="393"/>
      <c r="CP171" s="393"/>
      <c r="CQ171" s="393"/>
      <c r="CR171" s="393"/>
      <c r="CS171" s="393"/>
      <c r="CT171" s="393"/>
      <c r="CU171" s="393"/>
      <c r="CV171" s="393"/>
      <c r="CW171" s="393"/>
      <c r="CX171" s="393"/>
      <c r="CY171" s="393"/>
      <c r="CZ171" s="393"/>
      <c r="DA171" s="393"/>
      <c r="DB171" s="393"/>
      <c r="DC171" s="393"/>
    </row>
    <row r="172" spans="1:107" s="350" customFormat="1" ht="60">
      <c r="A172" s="37"/>
      <c r="B172" s="648" t="s">
        <v>23</v>
      </c>
      <c r="C172" s="649" t="s">
        <v>1149</v>
      </c>
      <c r="D172" s="650" t="s">
        <v>1220</v>
      </c>
      <c r="E172" s="651">
        <v>358.49365031662199</v>
      </c>
      <c r="F172" s="649" t="s">
        <v>27</v>
      </c>
      <c r="G172" s="652">
        <v>0.87983429857487527</v>
      </c>
      <c r="H172" s="649" t="s">
        <v>867</v>
      </c>
      <c r="I172" s="653">
        <v>0.87705985592721025</v>
      </c>
      <c r="J172" s="648" t="s">
        <v>1097</v>
      </c>
      <c r="K172" s="648" t="s">
        <v>1020</v>
      </c>
      <c r="L172" s="648" t="s">
        <v>960</v>
      </c>
      <c r="M172" s="648" t="s">
        <v>92</v>
      </c>
      <c r="N172" s="654">
        <v>37.135653933358483</v>
      </c>
      <c r="O172" s="654">
        <v>79.671698690463174</v>
      </c>
      <c r="P172" s="654">
        <v>30.279840899507679</v>
      </c>
      <c r="Q172" s="654">
        <v>17.704821931214031</v>
      </c>
      <c r="R172" s="37"/>
      <c r="S172" s="655" t="s">
        <v>69</v>
      </c>
      <c r="T172" s="649" t="s">
        <v>69</v>
      </c>
      <c r="U172" s="649" t="s">
        <v>69</v>
      </c>
      <c r="V172" s="649" t="s">
        <v>69</v>
      </c>
      <c r="W172" s="649" t="s">
        <v>70</v>
      </c>
      <c r="X172" s="37"/>
      <c r="Y172" s="37"/>
      <c r="Z172" s="649" t="s">
        <v>78</v>
      </c>
      <c r="AA172" s="649" t="s">
        <v>78</v>
      </c>
      <c r="AB172" s="37"/>
      <c r="AC172" s="656">
        <v>9.4273972602739722</v>
      </c>
      <c r="AD172" s="657" t="s">
        <v>72</v>
      </c>
      <c r="AE172" s="655" t="s">
        <v>73</v>
      </c>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c r="CA172" s="393"/>
      <c r="CB172" s="393"/>
      <c r="CC172" s="393"/>
      <c r="CD172" s="393"/>
      <c r="CE172" s="393"/>
      <c r="CF172" s="393"/>
      <c r="CG172" s="393"/>
      <c r="CH172" s="393"/>
      <c r="CI172" s="393"/>
      <c r="CJ172" s="393"/>
      <c r="CK172" s="393"/>
      <c r="CL172" s="393"/>
      <c r="CM172" s="393"/>
      <c r="CN172" s="393"/>
      <c r="CO172" s="393"/>
      <c r="CP172" s="393"/>
      <c r="CQ172" s="393"/>
      <c r="CR172" s="393"/>
      <c r="CS172" s="393"/>
      <c r="CT172" s="393"/>
      <c r="CU172" s="393"/>
      <c r="CV172" s="393"/>
      <c r="CW172" s="393"/>
      <c r="CX172" s="393"/>
      <c r="CY172" s="393"/>
      <c r="CZ172" s="393"/>
      <c r="DA172" s="393"/>
      <c r="DB172" s="393"/>
      <c r="DC172" s="393"/>
    </row>
    <row r="173" spans="1:107" s="350" customFormat="1" ht="60">
      <c r="A173" s="37"/>
      <c r="B173" s="648" t="s">
        <v>23</v>
      </c>
      <c r="C173" s="649" t="s">
        <v>1149</v>
      </c>
      <c r="D173" s="650" t="s">
        <v>1220</v>
      </c>
      <c r="E173" s="651">
        <v>358.49365031662199</v>
      </c>
      <c r="F173" s="649" t="s">
        <v>27</v>
      </c>
      <c r="G173" s="652">
        <v>0.87983429857487527</v>
      </c>
      <c r="H173" s="649" t="s">
        <v>867</v>
      </c>
      <c r="I173" s="653">
        <v>0.87705985592721025</v>
      </c>
      <c r="J173" s="648" t="s">
        <v>1097</v>
      </c>
      <c r="K173" s="648" t="s">
        <v>1020</v>
      </c>
      <c r="L173" s="648" t="s">
        <v>960</v>
      </c>
      <c r="M173" s="648" t="s">
        <v>93</v>
      </c>
      <c r="N173" s="654">
        <v>37.135653933358483</v>
      </c>
      <c r="O173" s="654">
        <v>84.097904173266699</v>
      </c>
      <c r="P173" s="654">
        <v>30.279840899507679</v>
      </c>
      <c r="Q173" s="654">
        <v>22.131027414017542</v>
      </c>
      <c r="R173" s="37"/>
      <c r="S173" s="649" t="s">
        <v>69</v>
      </c>
      <c r="T173" s="649" t="s">
        <v>69</v>
      </c>
      <c r="U173" s="655" t="s">
        <v>44</v>
      </c>
      <c r="V173" s="655" t="s">
        <v>75</v>
      </c>
      <c r="W173" s="649" t="s">
        <v>70</v>
      </c>
      <c r="X173" s="37"/>
      <c r="Y173" s="37"/>
      <c r="Z173" s="649" t="s">
        <v>78</v>
      </c>
      <c r="AA173" s="649" t="s">
        <v>78</v>
      </c>
      <c r="AB173" s="37"/>
      <c r="AC173" s="656">
        <v>9.4273972602739722</v>
      </c>
      <c r="AD173" s="657" t="s">
        <v>72</v>
      </c>
      <c r="AE173" s="655" t="s">
        <v>73</v>
      </c>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c r="CA173" s="393"/>
      <c r="CB173" s="393"/>
      <c r="CC173" s="393"/>
      <c r="CD173" s="393"/>
      <c r="CE173" s="393"/>
      <c r="CF173" s="393"/>
      <c r="CG173" s="393"/>
      <c r="CH173" s="393"/>
      <c r="CI173" s="393"/>
      <c r="CJ173" s="393"/>
      <c r="CK173" s="393"/>
      <c r="CL173" s="393"/>
      <c r="CM173" s="393"/>
      <c r="CN173" s="393"/>
      <c r="CO173" s="393"/>
      <c r="CP173" s="393"/>
      <c r="CQ173" s="393"/>
      <c r="CR173" s="393"/>
      <c r="CS173" s="393"/>
      <c r="CT173" s="393"/>
      <c r="CU173" s="393"/>
      <c r="CV173" s="393"/>
      <c r="CW173" s="393"/>
      <c r="CX173" s="393"/>
      <c r="CY173" s="393"/>
      <c r="CZ173" s="393"/>
      <c r="DA173" s="393"/>
      <c r="DB173" s="393"/>
      <c r="DC173" s="393"/>
    </row>
    <row r="174" spans="1:107" s="350" customFormat="1" ht="60">
      <c r="A174" s="37"/>
      <c r="B174" s="648" t="s">
        <v>23</v>
      </c>
      <c r="C174" s="649" t="s">
        <v>1149</v>
      </c>
      <c r="D174" s="650" t="s">
        <v>1220</v>
      </c>
      <c r="E174" s="651">
        <v>358.49365031662199</v>
      </c>
      <c r="F174" s="649" t="s">
        <v>27</v>
      </c>
      <c r="G174" s="652">
        <v>0.87983429857487527</v>
      </c>
      <c r="H174" s="649" t="s">
        <v>867</v>
      </c>
      <c r="I174" s="653">
        <v>0.87705985592721025</v>
      </c>
      <c r="J174" s="648" t="s">
        <v>1097</v>
      </c>
      <c r="K174" s="648" t="s">
        <v>1020</v>
      </c>
      <c r="L174" s="648" t="s">
        <v>15</v>
      </c>
      <c r="M174" s="648" t="s">
        <v>88</v>
      </c>
      <c r="N174" s="654">
        <v>64.584978109068985</v>
      </c>
      <c r="O174" s="654">
        <v>68.606184983454412</v>
      </c>
      <c r="P174" s="654">
        <v>55.197626639727552</v>
      </c>
      <c r="Q174" s="654" t="s">
        <v>1109</v>
      </c>
      <c r="R174" s="37"/>
      <c r="S174" s="649" t="s">
        <v>44</v>
      </c>
      <c r="T174" s="655" t="s">
        <v>63</v>
      </c>
      <c r="U174" s="649" t="s">
        <v>69</v>
      </c>
      <c r="V174" s="649" t="s">
        <v>69</v>
      </c>
      <c r="W174" s="649" t="s">
        <v>70</v>
      </c>
      <c r="X174" s="37"/>
      <c r="Y174" s="37"/>
      <c r="Z174" s="649" t="s">
        <v>78</v>
      </c>
      <c r="AA174" s="649" t="s">
        <v>78</v>
      </c>
      <c r="AB174" s="37"/>
      <c r="AC174" s="656">
        <v>9.4273972602739722</v>
      </c>
      <c r="AD174" s="657" t="s">
        <v>72</v>
      </c>
      <c r="AE174" s="655" t="s">
        <v>73</v>
      </c>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c r="CA174" s="393"/>
      <c r="CB174" s="393"/>
      <c r="CC174" s="393"/>
      <c r="CD174" s="393"/>
      <c r="CE174" s="393"/>
      <c r="CF174" s="393"/>
      <c r="CG174" s="393"/>
      <c r="CH174" s="393"/>
      <c r="CI174" s="393"/>
      <c r="CJ174" s="393"/>
      <c r="CK174" s="393"/>
      <c r="CL174" s="393"/>
      <c r="CM174" s="393"/>
      <c r="CN174" s="393"/>
      <c r="CO174" s="393"/>
      <c r="CP174" s="393"/>
      <c r="CQ174" s="393"/>
      <c r="CR174" s="393"/>
      <c r="CS174" s="393"/>
      <c r="CT174" s="393"/>
      <c r="CU174" s="393"/>
      <c r="CV174" s="393"/>
      <c r="CW174" s="393"/>
      <c r="CX174" s="393"/>
      <c r="CY174" s="393"/>
      <c r="CZ174" s="393"/>
      <c r="DA174" s="393"/>
      <c r="DB174" s="393"/>
      <c r="DC174" s="393"/>
    </row>
    <row r="175" spans="1:107" s="350" customFormat="1" ht="60">
      <c r="A175" s="37"/>
      <c r="B175" s="648" t="s">
        <v>23</v>
      </c>
      <c r="C175" s="649" t="s">
        <v>1149</v>
      </c>
      <c r="D175" s="650" t="s">
        <v>1220</v>
      </c>
      <c r="E175" s="651">
        <v>358.49365031662199</v>
      </c>
      <c r="F175" s="649" t="s">
        <v>27</v>
      </c>
      <c r="G175" s="652">
        <v>0.87983429857487527</v>
      </c>
      <c r="H175" s="649" t="s">
        <v>867</v>
      </c>
      <c r="I175" s="653">
        <v>0.87705985592721025</v>
      </c>
      <c r="J175" s="648" t="s">
        <v>1097</v>
      </c>
      <c r="K175" s="648" t="s">
        <v>1020</v>
      </c>
      <c r="L175" s="648" t="s">
        <v>15</v>
      </c>
      <c r="M175" s="648" t="s">
        <v>90</v>
      </c>
      <c r="N175" s="654">
        <v>64.584978109068985</v>
      </c>
      <c r="O175" s="654">
        <v>61.966876759249132</v>
      </c>
      <c r="P175" s="654">
        <v>55.197626639727552</v>
      </c>
      <c r="Q175" s="654" t="s">
        <v>871</v>
      </c>
      <c r="R175" s="37"/>
      <c r="S175" s="649" t="s">
        <v>44</v>
      </c>
      <c r="T175" s="655" t="s">
        <v>63</v>
      </c>
      <c r="U175" s="649" t="s">
        <v>69</v>
      </c>
      <c r="V175" s="649" t="s">
        <v>69</v>
      </c>
      <c r="W175" s="649" t="s">
        <v>70</v>
      </c>
      <c r="X175" s="37"/>
      <c r="Y175" s="37"/>
      <c r="Z175" s="649" t="s">
        <v>78</v>
      </c>
      <c r="AA175" s="649" t="s">
        <v>78</v>
      </c>
      <c r="AB175" s="37"/>
      <c r="AC175" s="656">
        <v>9.4273972602739722</v>
      </c>
      <c r="AD175" s="657" t="s">
        <v>72</v>
      </c>
      <c r="AE175" s="655" t="s">
        <v>73</v>
      </c>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c r="CA175" s="393"/>
      <c r="CB175" s="393"/>
      <c r="CC175" s="393"/>
      <c r="CD175" s="393"/>
      <c r="CE175" s="393"/>
      <c r="CF175" s="393"/>
      <c r="CG175" s="393"/>
      <c r="CH175" s="393"/>
      <c r="CI175" s="393"/>
      <c r="CJ175" s="393"/>
      <c r="CK175" s="393"/>
      <c r="CL175" s="393"/>
      <c r="CM175" s="393"/>
      <c r="CN175" s="393"/>
      <c r="CO175" s="393"/>
      <c r="CP175" s="393"/>
      <c r="CQ175" s="393"/>
      <c r="CR175" s="393"/>
      <c r="CS175" s="393"/>
      <c r="CT175" s="393"/>
      <c r="CU175" s="393"/>
      <c r="CV175" s="393"/>
      <c r="CW175" s="393"/>
      <c r="CX175" s="393"/>
      <c r="CY175" s="393"/>
      <c r="CZ175" s="393"/>
      <c r="DA175" s="393"/>
      <c r="DB175" s="393"/>
      <c r="DC175" s="393"/>
    </row>
    <row r="176" spans="1:107" s="350" customFormat="1" ht="60">
      <c r="A176" s="37"/>
      <c r="B176" s="648" t="s">
        <v>23</v>
      </c>
      <c r="C176" s="649" t="s">
        <v>1149</v>
      </c>
      <c r="D176" s="650" t="s">
        <v>1220</v>
      </c>
      <c r="E176" s="651">
        <v>358.49365031662199</v>
      </c>
      <c r="F176" s="649" t="s">
        <v>27</v>
      </c>
      <c r="G176" s="652">
        <v>0.87983429857487527</v>
      </c>
      <c r="H176" s="649" t="s">
        <v>867</v>
      </c>
      <c r="I176" s="653">
        <v>0.87705985592721025</v>
      </c>
      <c r="J176" s="648" t="s">
        <v>1097</v>
      </c>
      <c r="K176" s="648" t="s">
        <v>1020</v>
      </c>
      <c r="L176" s="648" t="s">
        <v>15</v>
      </c>
      <c r="M176" s="648" t="s">
        <v>91</v>
      </c>
      <c r="N176" s="654">
        <v>64.584978109068985</v>
      </c>
      <c r="O176" s="654" t="s">
        <v>870</v>
      </c>
      <c r="P176" s="654">
        <v>55.197626639727552</v>
      </c>
      <c r="Q176" s="654" t="s">
        <v>870</v>
      </c>
      <c r="R176" s="37"/>
      <c r="S176" s="649" t="s">
        <v>44</v>
      </c>
      <c r="T176" s="655" t="s">
        <v>63</v>
      </c>
      <c r="U176" s="655" t="s">
        <v>870</v>
      </c>
      <c r="V176" s="655" t="s">
        <v>870</v>
      </c>
      <c r="W176" s="649" t="s">
        <v>70</v>
      </c>
      <c r="X176" s="37"/>
      <c r="Y176" s="37"/>
      <c r="Z176" s="649" t="s">
        <v>78</v>
      </c>
      <c r="AA176" s="649" t="s">
        <v>78</v>
      </c>
      <c r="AB176" s="37"/>
      <c r="AC176" s="656">
        <v>9.4273972602739722</v>
      </c>
      <c r="AD176" s="657" t="s">
        <v>72</v>
      </c>
      <c r="AE176" s="655" t="s">
        <v>73</v>
      </c>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c r="CA176" s="393"/>
      <c r="CB176" s="393"/>
      <c r="CC176" s="393"/>
      <c r="CD176" s="393"/>
      <c r="CE176" s="393"/>
      <c r="CF176" s="393"/>
      <c r="CG176" s="393"/>
      <c r="CH176" s="393"/>
      <c r="CI176" s="393"/>
      <c r="CJ176" s="393"/>
      <c r="CK176" s="393"/>
      <c r="CL176" s="393"/>
      <c r="CM176" s="393"/>
      <c r="CN176" s="393"/>
      <c r="CO176" s="393"/>
      <c r="CP176" s="393"/>
      <c r="CQ176" s="393"/>
      <c r="CR176" s="393"/>
      <c r="CS176" s="393"/>
      <c r="CT176" s="393"/>
      <c r="CU176" s="393"/>
      <c r="CV176" s="393"/>
      <c r="CW176" s="393"/>
      <c r="CX176" s="393"/>
      <c r="CY176" s="393"/>
      <c r="CZ176" s="393"/>
      <c r="DA176" s="393"/>
      <c r="DB176" s="393"/>
      <c r="DC176" s="393"/>
    </row>
    <row r="177" spans="1:107" s="350" customFormat="1" ht="60">
      <c r="A177" s="37"/>
      <c r="B177" s="648" t="s">
        <v>23</v>
      </c>
      <c r="C177" s="649" t="s">
        <v>1149</v>
      </c>
      <c r="D177" s="650" t="s">
        <v>1220</v>
      </c>
      <c r="E177" s="651">
        <v>358.49365031662199</v>
      </c>
      <c r="F177" s="649" t="s">
        <v>27</v>
      </c>
      <c r="G177" s="652">
        <v>0.87983429857487527</v>
      </c>
      <c r="H177" s="649" t="s">
        <v>867</v>
      </c>
      <c r="I177" s="653">
        <v>0.87705985592721025</v>
      </c>
      <c r="J177" s="648" t="s">
        <v>1097</v>
      </c>
      <c r="K177" s="648" t="s">
        <v>1020</v>
      </c>
      <c r="L177" s="648" t="s">
        <v>15</v>
      </c>
      <c r="M177" s="648" t="s">
        <v>92</v>
      </c>
      <c r="N177" s="654">
        <v>64.584978109068985</v>
      </c>
      <c r="O177" s="654">
        <v>79.671698690463174</v>
      </c>
      <c r="P177" s="654">
        <v>55.197626639727552</v>
      </c>
      <c r="Q177" s="654">
        <v>17.704821931214031</v>
      </c>
      <c r="R177" s="37"/>
      <c r="S177" s="649" t="s">
        <v>44</v>
      </c>
      <c r="T177" s="655" t="s">
        <v>63</v>
      </c>
      <c r="U177" s="649" t="s">
        <v>69</v>
      </c>
      <c r="V177" s="649" t="s">
        <v>69</v>
      </c>
      <c r="W177" s="649" t="s">
        <v>70</v>
      </c>
      <c r="X177" s="37"/>
      <c r="Y177" s="37"/>
      <c r="Z177" s="649" t="s">
        <v>78</v>
      </c>
      <c r="AA177" s="649" t="s">
        <v>78</v>
      </c>
      <c r="AB177" s="37"/>
      <c r="AC177" s="656">
        <v>9.4273972602739722</v>
      </c>
      <c r="AD177" s="657" t="s">
        <v>72</v>
      </c>
      <c r="AE177" s="655" t="s">
        <v>73</v>
      </c>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c r="CA177" s="393"/>
      <c r="CB177" s="393"/>
      <c r="CC177" s="393"/>
      <c r="CD177" s="393"/>
      <c r="CE177" s="393"/>
      <c r="CF177" s="393"/>
      <c r="CG177" s="393"/>
      <c r="CH177" s="393"/>
      <c r="CI177" s="393"/>
      <c r="CJ177" s="393"/>
      <c r="CK177" s="393"/>
      <c r="CL177" s="393"/>
      <c r="CM177" s="393"/>
      <c r="CN177" s="393"/>
      <c r="CO177" s="393"/>
      <c r="CP177" s="393"/>
      <c r="CQ177" s="393"/>
      <c r="CR177" s="393"/>
      <c r="CS177" s="393"/>
      <c r="CT177" s="393"/>
      <c r="CU177" s="393"/>
      <c r="CV177" s="393"/>
      <c r="CW177" s="393"/>
      <c r="CX177" s="393"/>
      <c r="CY177" s="393"/>
      <c r="CZ177" s="393"/>
      <c r="DA177" s="393"/>
      <c r="DB177" s="393"/>
      <c r="DC177" s="393"/>
    </row>
    <row r="178" spans="1:107" s="350" customFormat="1" ht="60">
      <c r="A178" s="37"/>
      <c r="B178" s="648" t="s">
        <v>23</v>
      </c>
      <c r="C178" s="649" t="s">
        <v>1149</v>
      </c>
      <c r="D178" s="650" t="s">
        <v>1220</v>
      </c>
      <c r="E178" s="651">
        <v>358.49365031662199</v>
      </c>
      <c r="F178" s="649" t="s">
        <v>27</v>
      </c>
      <c r="G178" s="652">
        <v>0.87983429857487527</v>
      </c>
      <c r="H178" s="649" t="s">
        <v>867</v>
      </c>
      <c r="I178" s="653">
        <v>0.87705985592721025</v>
      </c>
      <c r="J178" s="648" t="s">
        <v>1097</v>
      </c>
      <c r="K178" s="648" t="s">
        <v>1020</v>
      </c>
      <c r="L178" s="648" t="s">
        <v>15</v>
      </c>
      <c r="M178" s="648" t="s">
        <v>93</v>
      </c>
      <c r="N178" s="654">
        <v>64.584978109068985</v>
      </c>
      <c r="O178" s="654">
        <v>84.097904173266699</v>
      </c>
      <c r="P178" s="654">
        <v>55.197626639727552</v>
      </c>
      <c r="Q178" s="654">
        <v>22.131027414017542</v>
      </c>
      <c r="R178" s="37"/>
      <c r="S178" s="649" t="s">
        <v>44</v>
      </c>
      <c r="T178" s="655" t="s">
        <v>63</v>
      </c>
      <c r="U178" s="655" t="s">
        <v>44</v>
      </c>
      <c r="V178" s="655" t="s">
        <v>75</v>
      </c>
      <c r="W178" s="649" t="s">
        <v>70</v>
      </c>
      <c r="X178" s="37"/>
      <c r="Y178" s="37"/>
      <c r="Z178" s="649" t="s">
        <v>78</v>
      </c>
      <c r="AA178" s="649" t="s">
        <v>78</v>
      </c>
      <c r="AB178" s="37"/>
      <c r="AC178" s="656">
        <v>9.4273972602739722</v>
      </c>
      <c r="AD178" s="657" t="s">
        <v>72</v>
      </c>
      <c r="AE178" s="655" t="s">
        <v>73</v>
      </c>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c r="CA178" s="393"/>
      <c r="CB178" s="393"/>
      <c r="CC178" s="393"/>
      <c r="CD178" s="393"/>
      <c r="CE178" s="393"/>
      <c r="CF178" s="393"/>
      <c r="CG178" s="393"/>
      <c r="CH178" s="393"/>
      <c r="CI178" s="393"/>
      <c r="CJ178" s="393"/>
      <c r="CK178" s="393"/>
      <c r="CL178" s="393"/>
      <c r="CM178" s="393"/>
      <c r="CN178" s="393"/>
      <c r="CO178" s="393"/>
      <c r="CP178" s="393"/>
      <c r="CQ178" s="393"/>
      <c r="CR178" s="393"/>
      <c r="CS178" s="393"/>
      <c r="CT178" s="393"/>
      <c r="CU178" s="393"/>
      <c r="CV178" s="393"/>
      <c r="CW178" s="393"/>
      <c r="CX178" s="393"/>
      <c r="CY178" s="393"/>
      <c r="CZ178" s="393"/>
      <c r="DA178" s="393"/>
      <c r="DB178" s="393"/>
      <c r="DC178" s="393"/>
    </row>
    <row r="179" spans="1:107" s="350" customFormat="1" ht="48">
      <c r="A179" s="37"/>
      <c r="B179" s="648" t="s">
        <v>23</v>
      </c>
      <c r="C179" s="649" t="s">
        <v>1149</v>
      </c>
      <c r="D179" s="650" t="s">
        <v>1220</v>
      </c>
      <c r="E179" s="651">
        <v>358.49365031662199</v>
      </c>
      <c r="F179" s="649" t="s">
        <v>24</v>
      </c>
      <c r="G179" s="652">
        <v>0.10528875835634517</v>
      </c>
      <c r="H179" s="649" t="s">
        <v>867</v>
      </c>
      <c r="I179" s="653">
        <v>0.99874040896385019</v>
      </c>
      <c r="J179" s="648" t="s">
        <v>25</v>
      </c>
      <c r="K179" s="648" t="s">
        <v>1020</v>
      </c>
      <c r="L179" s="648" t="s">
        <v>95</v>
      </c>
      <c r="M179" s="648" t="s">
        <v>88</v>
      </c>
      <c r="N179" s="654">
        <v>6.9683725514715551</v>
      </c>
      <c r="O179" s="654">
        <v>9.349056288344249</v>
      </c>
      <c r="P179" s="654">
        <v>6.9683725514715551</v>
      </c>
      <c r="Q179" s="654" t="s">
        <v>1109</v>
      </c>
      <c r="R179" s="37"/>
      <c r="S179" s="649" t="s">
        <v>44</v>
      </c>
      <c r="T179" s="655" t="s">
        <v>63</v>
      </c>
      <c r="U179" s="649" t="s">
        <v>69</v>
      </c>
      <c r="V179" s="649" t="s">
        <v>69</v>
      </c>
      <c r="W179" s="649" t="s">
        <v>70</v>
      </c>
      <c r="X179" s="37"/>
      <c r="Y179" s="37"/>
      <c r="Z179" s="649" t="s">
        <v>78</v>
      </c>
      <c r="AA179" s="649" t="s">
        <v>78</v>
      </c>
      <c r="AB179" s="37"/>
      <c r="AC179" s="656">
        <v>9.4273972602739722</v>
      </c>
      <c r="AD179" s="657" t="s">
        <v>72</v>
      </c>
      <c r="AE179" s="655" t="s">
        <v>73</v>
      </c>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c r="CA179" s="393"/>
      <c r="CB179" s="393"/>
      <c r="CC179" s="393"/>
      <c r="CD179" s="393"/>
      <c r="CE179" s="393"/>
      <c r="CF179" s="393"/>
      <c r="CG179" s="393"/>
      <c r="CH179" s="393"/>
      <c r="CI179" s="393"/>
      <c r="CJ179" s="393"/>
      <c r="CK179" s="393"/>
      <c r="CL179" s="393"/>
      <c r="CM179" s="393"/>
      <c r="CN179" s="393"/>
      <c r="CO179" s="393"/>
      <c r="CP179" s="393"/>
      <c r="CQ179" s="393"/>
      <c r="CR179" s="393"/>
      <c r="CS179" s="393"/>
      <c r="CT179" s="393"/>
      <c r="CU179" s="393"/>
      <c r="CV179" s="393"/>
      <c r="CW179" s="393"/>
      <c r="CX179" s="393"/>
      <c r="CY179" s="393"/>
      <c r="CZ179" s="393"/>
      <c r="DA179" s="393"/>
      <c r="DB179" s="393"/>
      <c r="DC179" s="393"/>
    </row>
    <row r="180" spans="1:107" s="350" customFormat="1" ht="48">
      <c r="A180" s="37"/>
      <c r="B180" s="648" t="s">
        <v>23</v>
      </c>
      <c r="C180" s="649" t="s">
        <v>1149</v>
      </c>
      <c r="D180" s="650" t="s">
        <v>1220</v>
      </c>
      <c r="E180" s="651">
        <v>358.49365031662199</v>
      </c>
      <c r="F180" s="649" t="s">
        <v>24</v>
      </c>
      <c r="G180" s="652">
        <v>0.10528875835634517</v>
      </c>
      <c r="H180" s="649" t="s">
        <v>867</v>
      </c>
      <c r="I180" s="653">
        <v>0.99874040896385019</v>
      </c>
      <c r="J180" s="648" t="s">
        <v>25</v>
      </c>
      <c r="K180" s="648" t="s">
        <v>1020</v>
      </c>
      <c r="L180" s="648" t="s">
        <v>95</v>
      </c>
      <c r="M180" s="648" t="s">
        <v>90</v>
      </c>
      <c r="N180" s="654">
        <v>6.9683725514715551</v>
      </c>
      <c r="O180" s="654">
        <v>8.4443089056012575</v>
      </c>
      <c r="P180" s="654">
        <v>6.9683725514715551</v>
      </c>
      <c r="Q180" s="654" t="s">
        <v>871</v>
      </c>
      <c r="R180" s="37"/>
      <c r="S180" s="649" t="s">
        <v>44</v>
      </c>
      <c r="T180" s="655" t="s">
        <v>63</v>
      </c>
      <c r="U180" s="649" t="s">
        <v>69</v>
      </c>
      <c r="V180" s="649" t="s">
        <v>69</v>
      </c>
      <c r="W180" s="649" t="s">
        <v>70</v>
      </c>
      <c r="X180" s="37"/>
      <c r="Y180" s="37"/>
      <c r="Z180" s="649" t="s">
        <v>78</v>
      </c>
      <c r="AA180" s="649" t="s">
        <v>78</v>
      </c>
      <c r="AB180" s="37"/>
      <c r="AC180" s="656">
        <v>9.4273972602739722</v>
      </c>
      <c r="AD180" s="657" t="s">
        <v>72</v>
      </c>
      <c r="AE180" s="655" t="s">
        <v>73</v>
      </c>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c r="CA180" s="393"/>
      <c r="CB180" s="393"/>
      <c r="CC180" s="393"/>
      <c r="CD180" s="393"/>
      <c r="CE180" s="393"/>
      <c r="CF180" s="393"/>
      <c r="CG180" s="393"/>
      <c r="CH180" s="393"/>
      <c r="CI180" s="393"/>
      <c r="CJ180" s="393"/>
      <c r="CK180" s="393"/>
      <c r="CL180" s="393"/>
      <c r="CM180" s="393"/>
      <c r="CN180" s="393"/>
      <c r="CO180" s="393"/>
      <c r="CP180" s="393"/>
      <c r="CQ180" s="393"/>
      <c r="CR180" s="393"/>
      <c r="CS180" s="393"/>
      <c r="CT180" s="393"/>
      <c r="CU180" s="393"/>
      <c r="CV180" s="393"/>
      <c r="CW180" s="393"/>
      <c r="CX180" s="393"/>
      <c r="CY180" s="393"/>
      <c r="CZ180" s="393"/>
      <c r="DA180" s="393"/>
      <c r="DB180" s="393"/>
      <c r="DC180" s="393"/>
    </row>
    <row r="181" spans="1:107" s="350" customFormat="1" ht="48">
      <c r="A181" s="37"/>
      <c r="B181" s="648" t="s">
        <v>23</v>
      </c>
      <c r="C181" s="649" t="s">
        <v>1149</v>
      </c>
      <c r="D181" s="650" t="s">
        <v>1220</v>
      </c>
      <c r="E181" s="651">
        <v>358.49365031662199</v>
      </c>
      <c r="F181" s="649" t="s">
        <v>24</v>
      </c>
      <c r="G181" s="652">
        <v>0.10528875835634517</v>
      </c>
      <c r="H181" s="649" t="s">
        <v>867</v>
      </c>
      <c r="I181" s="653">
        <v>0.99874040896385019</v>
      </c>
      <c r="J181" s="648" t="s">
        <v>25</v>
      </c>
      <c r="K181" s="648" t="s">
        <v>1020</v>
      </c>
      <c r="L181" s="648" t="s">
        <v>95</v>
      </c>
      <c r="M181" s="648" t="s">
        <v>91</v>
      </c>
      <c r="N181" s="654">
        <v>6.9683725514715551</v>
      </c>
      <c r="O181" s="654" t="s">
        <v>870</v>
      </c>
      <c r="P181" s="654">
        <v>6.9683725514715551</v>
      </c>
      <c r="Q181" s="654" t="s">
        <v>870</v>
      </c>
      <c r="R181" s="37"/>
      <c r="S181" s="649" t="s">
        <v>44</v>
      </c>
      <c r="T181" s="655" t="s">
        <v>63</v>
      </c>
      <c r="U181" s="655" t="s">
        <v>870</v>
      </c>
      <c r="V181" s="655" t="s">
        <v>870</v>
      </c>
      <c r="W181" s="649" t="s">
        <v>70</v>
      </c>
      <c r="X181" s="37"/>
      <c r="Y181" s="37"/>
      <c r="Z181" s="649" t="s">
        <v>78</v>
      </c>
      <c r="AA181" s="649" t="s">
        <v>78</v>
      </c>
      <c r="AB181" s="37"/>
      <c r="AC181" s="656">
        <v>9.4273972602739722</v>
      </c>
      <c r="AD181" s="657" t="s">
        <v>72</v>
      </c>
      <c r="AE181" s="655" t="s">
        <v>73</v>
      </c>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c r="CA181" s="393"/>
      <c r="CB181" s="393"/>
      <c r="CC181" s="393"/>
      <c r="CD181" s="393"/>
      <c r="CE181" s="393"/>
      <c r="CF181" s="393"/>
      <c r="CG181" s="393"/>
      <c r="CH181" s="393"/>
      <c r="CI181" s="393"/>
      <c r="CJ181" s="393"/>
      <c r="CK181" s="393"/>
      <c r="CL181" s="393"/>
      <c r="CM181" s="393"/>
      <c r="CN181" s="393"/>
      <c r="CO181" s="393"/>
      <c r="CP181" s="393"/>
      <c r="CQ181" s="393"/>
      <c r="CR181" s="393"/>
      <c r="CS181" s="393"/>
      <c r="CT181" s="393"/>
      <c r="CU181" s="393"/>
      <c r="CV181" s="393"/>
      <c r="CW181" s="393"/>
      <c r="CX181" s="393"/>
      <c r="CY181" s="393"/>
      <c r="CZ181" s="393"/>
      <c r="DA181" s="393"/>
      <c r="DB181" s="393"/>
      <c r="DC181" s="393"/>
    </row>
    <row r="182" spans="1:107" s="350" customFormat="1" ht="48">
      <c r="A182" s="37"/>
      <c r="B182" s="648" t="s">
        <v>23</v>
      </c>
      <c r="C182" s="649" t="s">
        <v>1149</v>
      </c>
      <c r="D182" s="650" t="s">
        <v>1220</v>
      </c>
      <c r="E182" s="651">
        <v>358.49365031662199</v>
      </c>
      <c r="F182" s="649" t="s">
        <v>24</v>
      </c>
      <c r="G182" s="652">
        <v>0.10528875835634517</v>
      </c>
      <c r="H182" s="649" t="s">
        <v>867</v>
      </c>
      <c r="I182" s="653">
        <v>0.99874040896385019</v>
      </c>
      <c r="J182" s="648" t="s">
        <v>25</v>
      </c>
      <c r="K182" s="648" t="s">
        <v>1020</v>
      </c>
      <c r="L182" s="648" t="s">
        <v>95</v>
      </c>
      <c r="M182" s="648" t="s">
        <v>92</v>
      </c>
      <c r="N182" s="654">
        <v>6.9683725514715551</v>
      </c>
      <c r="O182" s="654">
        <v>10.856968592915901</v>
      </c>
      <c r="P182" s="654">
        <v>6.9683725514715551</v>
      </c>
      <c r="Q182" s="654">
        <v>2.412659687314644</v>
      </c>
      <c r="R182" s="37"/>
      <c r="S182" s="649" t="s">
        <v>44</v>
      </c>
      <c r="T182" s="655" t="s">
        <v>63</v>
      </c>
      <c r="U182" s="649" t="s">
        <v>69</v>
      </c>
      <c r="V182" s="649" t="s">
        <v>69</v>
      </c>
      <c r="W182" s="649" t="s">
        <v>70</v>
      </c>
      <c r="X182" s="37"/>
      <c r="Y182" s="37"/>
      <c r="Z182" s="649" t="s">
        <v>78</v>
      </c>
      <c r="AA182" s="649" t="s">
        <v>78</v>
      </c>
      <c r="AB182" s="37"/>
      <c r="AC182" s="656">
        <v>9.4273972602739722</v>
      </c>
      <c r="AD182" s="657" t="s">
        <v>72</v>
      </c>
      <c r="AE182" s="655" t="s">
        <v>73</v>
      </c>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c r="CA182" s="393"/>
      <c r="CB182" s="393"/>
      <c r="CC182" s="393"/>
      <c r="CD182" s="393"/>
      <c r="CE182" s="393"/>
      <c r="CF182" s="393"/>
      <c r="CG182" s="393"/>
      <c r="CH182" s="393"/>
      <c r="CI182" s="393"/>
      <c r="CJ182" s="393"/>
      <c r="CK182" s="393"/>
      <c r="CL182" s="393"/>
      <c r="CM182" s="393"/>
      <c r="CN182" s="393"/>
      <c r="CO182" s="393"/>
      <c r="CP182" s="393"/>
      <c r="CQ182" s="393"/>
      <c r="CR182" s="393"/>
      <c r="CS182" s="393"/>
      <c r="CT182" s="393"/>
      <c r="CU182" s="393"/>
      <c r="CV182" s="393"/>
      <c r="CW182" s="393"/>
      <c r="CX182" s="393"/>
      <c r="CY182" s="393"/>
      <c r="CZ182" s="393"/>
      <c r="DA182" s="393"/>
      <c r="DB182" s="393"/>
      <c r="DC182" s="393"/>
    </row>
    <row r="183" spans="1:107" s="350" customFormat="1" ht="48">
      <c r="A183" s="37"/>
      <c r="B183" s="648" t="s">
        <v>23</v>
      </c>
      <c r="C183" s="649" t="s">
        <v>1149</v>
      </c>
      <c r="D183" s="650" t="s">
        <v>1220</v>
      </c>
      <c r="E183" s="651">
        <v>358.49365031662199</v>
      </c>
      <c r="F183" s="649" t="s">
        <v>24</v>
      </c>
      <c r="G183" s="652">
        <v>0.10528875835634517</v>
      </c>
      <c r="H183" s="649" t="s">
        <v>867</v>
      </c>
      <c r="I183" s="653">
        <v>0.99874040896385019</v>
      </c>
      <c r="J183" s="648" t="s">
        <v>25</v>
      </c>
      <c r="K183" s="648" t="s">
        <v>1020</v>
      </c>
      <c r="L183" s="648" t="s">
        <v>95</v>
      </c>
      <c r="M183" s="648" t="s">
        <v>93</v>
      </c>
      <c r="N183" s="654">
        <v>6.9683725514715551</v>
      </c>
      <c r="O183" s="654">
        <v>11.460133514744564</v>
      </c>
      <c r="P183" s="654">
        <v>6.9683725514715551</v>
      </c>
      <c r="Q183" s="654">
        <v>3.0158246091433054</v>
      </c>
      <c r="R183" s="37"/>
      <c r="S183" s="649" t="s">
        <v>44</v>
      </c>
      <c r="T183" s="655" t="s">
        <v>63</v>
      </c>
      <c r="U183" s="655" t="s">
        <v>44</v>
      </c>
      <c r="V183" s="655" t="s">
        <v>75</v>
      </c>
      <c r="W183" s="649" t="s">
        <v>70</v>
      </c>
      <c r="X183" s="37"/>
      <c r="Y183" s="37"/>
      <c r="Z183" s="649" t="s">
        <v>78</v>
      </c>
      <c r="AA183" s="649" t="s">
        <v>78</v>
      </c>
      <c r="AB183" s="37"/>
      <c r="AC183" s="656">
        <v>9.4273972602739722</v>
      </c>
      <c r="AD183" s="657" t="s">
        <v>72</v>
      </c>
      <c r="AE183" s="655" t="s">
        <v>73</v>
      </c>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c r="CA183" s="393"/>
      <c r="CB183" s="393"/>
      <c r="CC183" s="393"/>
      <c r="CD183" s="393"/>
      <c r="CE183" s="393"/>
      <c r="CF183" s="393"/>
      <c r="CG183" s="393"/>
      <c r="CH183" s="393"/>
      <c r="CI183" s="393"/>
      <c r="CJ183" s="393"/>
      <c r="CK183" s="393"/>
      <c r="CL183" s="393"/>
      <c r="CM183" s="393"/>
      <c r="CN183" s="393"/>
      <c r="CO183" s="393"/>
      <c r="CP183" s="393"/>
      <c r="CQ183" s="393"/>
      <c r="CR183" s="393"/>
      <c r="CS183" s="393"/>
      <c r="CT183" s="393"/>
      <c r="CU183" s="393"/>
      <c r="CV183" s="393"/>
      <c r="CW183" s="393"/>
      <c r="CX183" s="393"/>
      <c r="CY183" s="393"/>
      <c r="CZ183" s="393"/>
      <c r="DA183" s="393"/>
      <c r="DB183" s="393"/>
      <c r="DC183" s="393"/>
    </row>
    <row r="184" spans="1:107" s="350" customFormat="1" ht="60">
      <c r="A184" s="37"/>
      <c r="B184" s="464" t="s">
        <v>23</v>
      </c>
      <c r="C184" s="465" t="s">
        <v>1149</v>
      </c>
      <c r="D184" s="348" t="s">
        <v>1226</v>
      </c>
      <c r="E184" s="467">
        <v>1384.7695904387162</v>
      </c>
      <c r="F184" s="465" t="s">
        <v>27</v>
      </c>
      <c r="G184" s="468">
        <v>0.75850596809677506</v>
      </c>
      <c r="H184" s="465" t="s">
        <v>867</v>
      </c>
      <c r="I184" s="469">
        <v>0.67178807228513249</v>
      </c>
      <c r="J184" s="464" t="s">
        <v>1097</v>
      </c>
      <c r="K184" s="464" t="s">
        <v>1020</v>
      </c>
      <c r="L184" s="344" t="s">
        <v>1228</v>
      </c>
      <c r="M184" s="464" t="s">
        <v>88</v>
      </c>
      <c r="N184" s="475">
        <v>123.66455532884841</v>
      </c>
      <c r="O184" s="475">
        <v>174.99292464623329</v>
      </c>
      <c r="P184" s="475">
        <v>100.83417588352252</v>
      </c>
      <c r="Q184" s="475" t="s">
        <v>1109</v>
      </c>
      <c r="R184" s="37"/>
      <c r="S184" s="465" t="s">
        <v>69</v>
      </c>
      <c r="T184" s="465" t="s">
        <v>69</v>
      </c>
      <c r="U184" s="465" t="s">
        <v>69</v>
      </c>
      <c r="V184" s="465" t="s">
        <v>69</v>
      </c>
      <c r="W184" s="465" t="s">
        <v>70</v>
      </c>
      <c r="X184" s="37"/>
      <c r="Y184" s="37"/>
      <c r="Z184" s="465" t="s">
        <v>78</v>
      </c>
      <c r="AA184" s="465" t="s">
        <v>78</v>
      </c>
      <c r="AB184" s="37"/>
      <c r="AC184" s="474">
        <v>9.4273972602739722</v>
      </c>
      <c r="AD184" s="470" t="s">
        <v>72</v>
      </c>
      <c r="AE184" s="344" t="s">
        <v>73</v>
      </c>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c r="CA184" s="393"/>
      <c r="CB184" s="393"/>
      <c r="CC184" s="393"/>
      <c r="CD184" s="393"/>
      <c r="CE184" s="393"/>
      <c r="CF184" s="393"/>
      <c r="CG184" s="393"/>
      <c r="CH184" s="393"/>
      <c r="CI184" s="393"/>
      <c r="CJ184" s="393"/>
      <c r="CK184" s="393"/>
      <c r="CL184" s="393"/>
      <c r="CM184" s="393"/>
      <c r="CN184" s="393"/>
      <c r="CO184" s="393"/>
      <c r="CP184" s="393"/>
      <c r="CQ184" s="393"/>
      <c r="CR184" s="393"/>
      <c r="CS184" s="393"/>
      <c r="CT184" s="393"/>
      <c r="CU184" s="393"/>
      <c r="CV184" s="393"/>
      <c r="CW184" s="393"/>
      <c r="CX184" s="393"/>
      <c r="CY184" s="393"/>
      <c r="CZ184" s="393"/>
      <c r="DA184" s="393"/>
      <c r="DB184" s="393"/>
      <c r="DC184" s="393"/>
    </row>
    <row r="185" spans="1:107" s="350" customFormat="1" ht="60">
      <c r="A185" s="37"/>
      <c r="B185" s="464" t="s">
        <v>23</v>
      </c>
      <c r="C185" s="465" t="s">
        <v>1149</v>
      </c>
      <c r="D185" s="348" t="s">
        <v>1226</v>
      </c>
      <c r="E185" s="467">
        <v>1384.7695904387162</v>
      </c>
      <c r="F185" s="465" t="s">
        <v>27</v>
      </c>
      <c r="G185" s="468">
        <v>0.75850596809677506</v>
      </c>
      <c r="H185" s="465" t="s">
        <v>867</v>
      </c>
      <c r="I185" s="469">
        <v>0.67178807228513249</v>
      </c>
      <c r="J185" s="464" t="s">
        <v>1097</v>
      </c>
      <c r="K185" s="464" t="s">
        <v>1020</v>
      </c>
      <c r="L185" s="344" t="s">
        <v>1228</v>
      </c>
      <c r="M185" s="464" t="s">
        <v>90</v>
      </c>
      <c r="N185" s="475">
        <v>123.66455532884841</v>
      </c>
      <c r="O185" s="475">
        <v>158.0581254869204</v>
      </c>
      <c r="P185" s="475">
        <v>100.83417588352252</v>
      </c>
      <c r="Q185" s="475" t="s">
        <v>871</v>
      </c>
      <c r="R185" s="37"/>
      <c r="S185" s="465" t="s">
        <v>69</v>
      </c>
      <c r="T185" s="465" t="s">
        <v>69</v>
      </c>
      <c r="U185" s="465" t="s">
        <v>69</v>
      </c>
      <c r="V185" s="465" t="s">
        <v>69</v>
      </c>
      <c r="W185" s="465" t="s">
        <v>70</v>
      </c>
      <c r="X185" s="37"/>
      <c r="Y185" s="37"/>
      <c r="Z185" s="465" t="s">
        <v>78</v>
      </c>
      <c r="AA185" s="465" t="s">
        <v>78</v>
      </c>
      <c r="AB185" s="37"/>
      <c r="AC185" s="474">
        <v>9.4273972602739722</v>
      </c>
      <c r="AD185" s="470" t="s">
        <v>72</v>
      </c>
      <c r="AE185" s="344" t="s">
        <v>73</v>
      </c>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c r="CA185" s="393"/>
      <c r="CB185" s="393"/>
      <c r="CC185" s="393"/>
      <c r="CD185" s="393"/>
      <c r="CE185" s="393"/>
      <c r="CF185" s="393"/>
      <c r="CG185" s="393"/>
      <c r="CH185" s="393"/>
      <c r="CI185" s="393"/>
      <c r="CJ185" s="393"/>
      <c r="CK185" s="393"/>
      <c r="CL185" s="393"/>
      <c r="CM185" s="393"/>
      <c r="CN185" s="393"/>
      <c r="CO185" s="393"/>
      <c r="CP185" s="393"/>
      <c r="CQ185" s="393"/>
      <c r="CR185" s="393"/>
      <c r="CS185" s="393"/>
      <c r="CT185" s="393"/>
      <c r="CU185" s="393"/>
      <c r="CV185" s="393"/>
      <c r="CW185" s="393"/>
      <c r="CX185" s="393"/>
      <c r="CY185" s="393"/>
      <c r="CZ185" s="393"/>
      <c r="DA185" s="393"/>
      <c r="DB185" s="393"/>
      <c r="DC185" s="393"/>
    </row>
    <row r="186" spans="1:107" s="350" customFormat="1" ht="60">
      <c r="A186" s="37"/>
      <c r="B186" s="464" t="s">
        <v>23</v>
      </c>
      <c r="C186" s="465" t="s">
        <v>1149</v>
      </c>
      <c r="D186" s="348" t="s">
        <v>1226</v>
      </c>
      <c r="E186" s="467">
        <v>1384.7695904387162</v>
      </c>
      <c r="F186" s="465" t="s">
        <v>27</v>
      </c>
      <c r="G186" s="468">
        <v>0.75850596809677506</v>
      </c>
      <c r="H186" s="465" t="s">
        <v>867</v>
      </c>
      <c r="I186" s="469">
        <v>0.67178807228513249</v>
      </c>
      <c r="J186" s="464" t="s">
        <v>1097</v>
      </c>
      <c r="K186" s="464" t="s">
        <v>1020</v>
      </c>
      <c r="L186" s="344" t="s">
        <v>1228</v>
      </c>
      <c r="M186" s="464" t="s">
        <v>91</v>
      </c>
      <c r="N186" s="475">
        <v>123.66455532884841</v>
      </c>
      <c r="O186" s="475" t="s">
        <v>870</v>
      </c>
      <c r="P186" s="475">
        <v>100.83417588352252</v>
      </c>
      <c r="Q186" s="475" t="s">
        <v>870</v>
      </c>
      <c r="R186" s="37"/>
      <c r="S186" s="465" t="s">
        <v>69</v>
      </c>
      <c r="T186" s="465" t="s">
        <v>69</v>
      </c>
      <c r="U186" s="344" t="s">
        <v>870</v>
      </c>
      <c r="V186" s="344" t="s">
        <v>870</v>
      </c>
      <c r="W186" s="465" t="s">
        <v>70</v>
      </c>
      <c r="X186" s="37"/>
      <c r="Y186" s="37"/>
      <c r="Z186" s="465" t="s">
        <v>78</v>
      </c>
      <c r="AA186" s="465" t="s">
        <v>78</v>
      </c>
      <c r="AB186" s="37"/>
      <c r="AC186" s="474">
        <v>9.4273972602739722</v>
      </c>
      <c r="AD186" s="470" t="s">
        <v>72</v>
      </c>
      <c r="AE186" s="344" t="s">
        <v>73</v>
      </c>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c r="CA186" s="393"/>
      <c r="CB186" s="393"/>
      <c r="CC186" s="393"/>
      <c r="CD186" s="393"/>
      <c r="CE186" s="393"/>
      <c r="CF186" s="393"/>
      <c r="CG186" s="393"/>
      <c r="CH186" s="393"/>
      <c r="CI186" s="393"/>
      <c r="CJ186" s="393"/>
      <c r="CK186" s="393"/>
      <c r="CL186" s="393"/>
      <c r="CM186" s="393"/>
      <c r="CN186" s="393"/>
      <c r="CO186" s="393"/>
      <c r="CP186" s="393"/>
      <c r="CQ186" s="393"/>
      <c r="CR186" s="393"/>
      <c r="CS186" s="393"/>
      <c r="CT186" s="393"/>
      <c r="CU186" s="393"/>
      <c r="CV186" s="393"/>
      <c r="CW186" s="393"/>
      <c r="CX186" s="393"/>
      <c r="CY186" s="393"/>
      <c r="CZ186" s="393"/>
      <c r="DA186" s="393"/>
      <c r="DB186" s="393"/>
      <c r="DC186" s="393"/>
    </row>
    <row r="187" spans="1:107" s="350" customFormat="1" ht="60">
      <c r="A187" s="37"/>
      <c r="B187" s="464" t="s">
        <v>23</v>
      </c>
      <c r="C187" s="465" t="s">
        <v>1149</v>
      </c>
      <c r="D187" s="348" t="s">
        <v>1226</v>
      </c>
      <c r="E187" s="467">
        <v>1384.7695904387162</v>
      </c>
      <c r="F187" s="465" t="s">
        <v>27</v>
      </c>
      <c r="G187" s="468">
        <v>0.75850596809677506</v>
      </c>
      <c r="H187" s="465" t="s">
        <v>867</v>
      </c>
      <c r="I187" s="469">
        <v>0.67178807228513249</v>
      </c>
      <c r="J187" s="464" t="s">
        <v>1097</v>
      </c>
      <c r="K187" s="464" t="s">
        <v>1020</v>
      </c>
      <c r="L187" s="344" t="s">
        <v>1228</v>
      </c>
      <c r="M187" s="464" t="s">
        <v>92</v>
      </c>
      <c r="N187" s="475">
        <v>123.66455532884841</v>
      </c>
      <c r="O187" s="475">
        <v>203.21758991175483</v>
      </c>
      <c r="P187" s="475">
        <v>100.83417588352252</v>
      </c>
      <c r="Q187" s="475">
        <v>45.159464424834383</v>
      </c>
      <c r="R187" s="37"/>
      <c r="S187" s="465" t="s">
        <v>69</v>
      </c>
      <c r="T187" s="465" t="s">
        <v>69</v>
      </c>
      <c r="U187" s="465" t="s">
        <v>69</v>
      </c>
      <c r="V187" s="465" t="s">
        <v>69</v>
      </c>
      <c r="W187" s="465" t="s">
        <v>70</v>
      </c>
      <c r="X187" s="37"/>
      <c r="Y187" s="37"/>
      <c r="Z187" s="465" t="s">
        <v>78</v>
      </c>
      <c r="AA187" s="465" t="s">
        <v>78</v>
      </c>
      <c r="AB187" s="37"/>
      <c r="AC187" s="474">
        <v>9.4273972602739722</v>
      </c>
      <c r="AD187" s="470" t="s">
        <v>72</v>
      </c>
      <c r="AE187" s="344" t="s">
        <v>73</v>
      </c>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c r="CA187" s="393"/>
      <c r="CB187" s="393"/>
      <c r="CC187" s="393"/>
      <c r="CD187" s="393"/>
      <c r="CE187" s="393"/>
      <c r="CF187" s="393"/>
      <c r="CG187" s="393"/>
      <c r="CH187" s="393"/>
      <c r="CI187" s="393"/>
      <c r="CJ187" s="393"/>
      <c r="CK187" s="393"/>
      <c r="CL187" s="393"/>
      <c r="CM187" s="393"/>
      <c r="CN187" s="393"/>
      <c r="CO187" s="393"/>
      <c r="CP187" s="393"/>
      <c r="CQ187" s="393"/>
      <c r="CR187" s="393"/>
      <c r="CS187" s="393"/>
      <c r="CT187" s="393"/>
      <c r="CU187" s="393"/>
      <c r="CV187" s="393"/>
      <c r="CW187" s="393"/>
      <c r="CX187" s="393"/>
      <c r="CY187" s="393"/>
      <c r="CZ187" s="393"/>
      <c r="DA187" s="393"/>
      <c r="DB187" s="393"/>
      <c r="DC187" s="393"/>
    </row>
    <row r="188" spans="1:107" s="350" customFormat="1" ht="60">
      <c r="A188" s="37"/>
      <c r="B188" s="464" t="s">
        <v>23</v>
      </c>
      <c r="C188" s="465" t="s">
        <v>1149</v>
      </c>
      <c r="D188" s="348" t="s">
        <v>1226</v>
      </c>
      <c r="E188" s="467">
        <v>1384.7695904387162</v>
      </c>
      <c r="F188" s="465" t="s">
        <v>27</v>
      </c>
      <c r="G188" s="468">
        <v>0.75850596809677506</v>
      </c>
      <c r="H188" s="465" t="s">
        <v>867</v>
      </c>
      <c r="I188" s="469">
        <v>0.67178807228513249</v>
      </c>
      <c r="J188" s="464" t="s">
        <v>1097</v>
      </c>
      <c r="K188" s="464" t="s">
        <v>1020</v>
      </c>
      <c r="L188" s="344" t="s">
        <v>1228</v>
      </c>
      <c r="M188" s="464" t="s">
        <v>93</v>
      </c>
      <c r="N188" s="475">
        <v>123.66455532884841</v>
      </c>
      <c r="O188" s="475">
        <v>214.50745601796345</v>
      </c>
      <c r="P188" s="475">
        <v>100.83417588352252</v>
      </c>
      <c r="Q188" s="475">
        <v>56.449330531042989</v>
      </c>
      <c r="R188" s="37"/>
      <c r="S188" s="465" t="s">
        <v>69</v>
      </c>
      <c r="T188" s="465" t="s">
        <v>69</v>
      </c>
      <c r="U188" s="344" t="s">
        <v>44</v>
      </c>
      <c r="V188" s="344" t="s">
        <v>75</v>
      </c>
      <c r="W188" s="465" t="s">
        <v>70</v>
      </c>
      <c r="X188" s="37"/>
      <c r="Y188" s="37"/>
      <c r="Z188" s="465" t="s">
        <v>78</v>
      </c>
      <c r="AA188" s="465" t="s">
        <v>78</v>
      </c>
      <c r="AB188" s="37"/>
      <c r="AC188" s="474">
        <v>9.4273972602739722</v>
      </c>
      <c r="AD188" s="470" t="s">
        <v>72</v>
      </c>
      <c r="AE188" s="344" t="s">
        <v>73</v>
      </c>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c r="CA188" s="393"/>
      <c r="CB188" s="393"/>
      <c r="CC188" s="393"/>
      <c r="CD188" s="393"/>
      <c r="CE188" s="393"/>
      <c r="CF188" s="393"/>
      <c r="CG188" s="393"/>
      <c r="CH188" s="393"/>
      <c r="CI188" s="393"/>
      <c r="CJ188" s="393"/>
      <c r="CK188" s="393"/>
      <c r="CL188" s="393"/>
      <c r="CM188" s="393"/>
      <c r="CN188" s="393"/>
      <c r="CO188" s="393"/>
      <c r="CP188" s="393"/>
      <c r="CQ188" s="393"/>
      <c r="CR188" s="393"/>
      <c r="CS188" s="393"/>
      <c r="CT188" s="393"/>
      <c r="CU188" s="393"/>
      <c r="CV188" s="393"/>
      <c r="CW188" s="393"/>
      <c r="CX188" s="393"/>
      <c r="CY188" s="393"/>
      <c r="CZ188" s="393"/>
      <c r="DA188" s="393"/>
      <c r="DB188" s="393"/>
      <c r="DC188" s="393"/>
    </row>
    <row r="189" spans="1:107" s="350" customFormat="1" ht="60">
      <c r="A189" s="37"/>
      <c r="B189" s="464" t="s">
        <v>23</v>
      </c>
      <c r="C189" s="465" t="s">
        <v>1149</v>
      </c>
      <c r="D189" s="348" t="s">
        <v>1226</v>
      </c>
      <c r="E189" s="467">
        <v>1384.7695904387162</v>
      </c>
      <c r="F189" s="465" t="s">
        <v>27</v>
      </c>
      <c r="G189" s="468">
        <v>0.75850596809677506</v>
      </c>
      <c r="H189" s="465" t="s">
        <v>867</v>
      </c>
      <c r="I189" s="469">
        <v>0.67178807228513249</v>
      </c>
      <c r="J189" s="464" t="s">
        <v>1097</v>
      </c>
      <c r="K189" s="464" t="s">
        <v>1020</v>
      </c>
      <c r="L189" s="465" t="s">
        <v>1227</v>
      </c>
      <c r="M189" s="464" t="s">
        <v>88</v>
      </c>
      <c r="N189" s="475">
        <v>215.07289498965625</v>
      </c>
      <c r="O189" s="475">
        <v>174.99292464623329</v>
      </c>
      <c r="P189" s="475">
        <v>183.81229978767132</v>
      </c>
      <c r="Q189" s="475" t="s">
        <v>1109</v>
      </c>
      <c r="R189" s="37"/>
      <c r="S189" s="465" t="s">
        <v>44</v>
      </c>
      <c r="T189" s="465" t="s">
        <v>63</v>
      </c>
      <c r="U189" s="465" t="s">
        <v>69</v>
      </c>
      <c r="V189" s="465" t="s">
        <v>69</v>
      </c>
      <c r="W189" s="465" t="s">
        <v>70</v>
      </c>
      <c r="X189" s="37"/>
      <c r="Y189" s="37"/>
      <c r="Z189" s="465" t="s">
        <v>78</v>
      </c>
      <c r="AA189" s="465" t="s">
        <v>78</v>
      </c>
      <c r="AB189" s="37"/>
      <c r="AC189" s="474">
        <v>9.4273972602739722</v>
      </c>
      <c r="AD189" s="470" t="s">
        <v>72</v>
      </c>
      <c r="AE189" s="344" t="s">
        <v>73</v>
      </c>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c r="CA189" s="393"/>
      <c r="CB189" s="393"/>
      <c r="CC189" s="393"/>
      <c r="CD189" s="393"/>
      <c r="CE189" s="393"/>
      <c r="CF189" s="393"/>
      <c r="CG189" s="393"/>
      <c r="CH189" s="393"/>
      <c r="CI189" s="393"/>
      <c r="CJ189" s="393"/>
      <c r="CK189" s="393"/>
      <c r="CL189" s="393"/>
      <c r="CM189" s="393"/>
      <c r="CN189" s="393"/>
      <c r="CO189" s="393"/>
      <c r="CP189" s="393"/>
      <c r="CQ189" s="393"/>
      <c r="CR189" s="393"/>
      <c r="CS189" s="393"/>
      <c r="CT189" s="393"/>
      <c r="CU189" s="393"/>
      <c r="CV189" s="393"/>
      <c r="CW189" s="393"/>
      <c r="CX189" s="393"/>
      <c r="CY189" s="393"/>
      <c r="CZ189" s="393"/>
      <c r="DA189" s="393"/>
      <c r="DB189" s="393"/>
      <c r="DC189" s="393"/>
    </row>
    <row r="190" spans="1:107" s="350" customFormat="1" ht="60">
      <c r="A190" s="37"/>
      <c r="B190" s="464" t="s">
        <v>23</v>
      </c>
      <c r="C190" s="465" t="s">
        <v>1149</v>
      </c>
      <c r="D190" s="348" t="s">
        <v>1226</v>
      </c>
      <c r="E190" s="467">
        <v>1384.7695904387162</v>
      </c>
      <c r="F190" s="465" t="s">
        <v>27</v>
      </c>
      <c r="G190" s="468">
        <v>0.75850596809677506</v>
      </c>
      <c r="H190" s="465" t="s">
        <v>867</v>
      </c>
      <c r="I190" s="469">
        <v>0.67178807228513249</v>
      </c>
      <c r="J190" s="464" t="s">
        <v>1097</v>
      </c>
      <c r="K190" s="464" t="s">
        <v>1020</v>
      </c>
      <c r="L190" s="465" t="s">
        <v>1227</v>
      </c>
      <c r="M190" s="464" t="s">
        <v>90</v>
      </c>
      <c r="N190" s="475">
        <v>215.07289498965625</v>
      </c>
      <c r="O190" s="475">
        <v>158.0581254869204</v>
      </c>
      <c r="P190" s="475">
        <v>183.81229978767132</v>
      </c>
      <c r="Q190" s="475" t="s">
        <v>871</v>
      </c>
      <c r="R190" s="37"/>
      <c r="S190" s="465" t="s">
        <v>44</v>
      </c>
      <c r="T190" s="465" t="s">
        <v>63</v>
      </c>
      <c r="U190" s="465" t="s">
        <v>69</v>
      </c>
      <c r="V190" s="465" t="s">
        <v>69</v>
      </c>
      <c r="W190" s="465" t="s">
        <v>70</v>
      </c>
      <c r="X190" s="37"/>
      <c r="Y190" s="37"/>
      <c r="Z190" s="465" t="s">
        <v>78</v>
      </c>
      <c r="AA190" s="465" t="s">
        <v>78</v>
      </c>
      <c r="AB190" s="37"/>
      <c r="AC190" s="474">
        <v>9.4273972602739722</v>
      </c>
      <c r="AD190" s="470" t="s">
        <v>72</v>
      </c>
      <c r="AE190" s="344" t="s">
        <v>73</v>
      </c>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c r="CA190" s="393"/>
      <c r="CB190" s="393"/>
      <c r="CC190" s="393"/>
      <c r="CD190" s="393"/>
      <c r="CE190" s="393"/>
      <c r="CF190" s="393"/>
      <c r="CG190" s="393"/>
      <c r="CH190" s="393"/>
      <c r="CI190" s="393"/>
      <c r="CJ190" s="393"/>
      <c r="CK190" s="393"/>
      <c r="CL190" s="393"/>
      <c r="CM190" s="393"/>
      <c r="CN190" s="393"/>
      <c r="CO190" s="393"/>
      <c r="CP190" s="393"/>
      <c r="CQ190" s="393"/>
      <c r="CR190" s="393"/>
      <c r="CS190" s="393"/>
      <c r="CT190" s="393"/>
      <c r="CU190" s="393"/>
      <c r="CV190" s="393"/>
      <c r="CW190" s="393"/>
      <c r="CX190" s="393"/>
      <c r="CY190" s="393"/>
      <c r="CZ190" s="393"/>
      <c r="DA190" s="393"/>
      <c r="DB190" s="393"/>
      <c r="DC190" s="393"/>
    </row>
    <row r="191" spans="1:107" s="350" customFormat="1" ht="60">
      <c r="A191" s="37"/>
      <c r="B191" s="464" t="s">
        <v>23</v>
      </c>
      <c r="C191" s="465" t="s">
        <v>1149</v>
      </c>
      <c r="D191" s="348" t="s">
        <v>1226</v>
      </c>
      <c r="E191" s="467">
        <v>1384.7695904387162</v>
      </c>
      <c r="F191" s="465" t="s">
        <v>27</v>
      </c>
      <c r="G191" s="468">
        <v>0.75850596809677506</v>
      </c>
      <c r="H191" s="465" t="s">
        <v>867</v>
      </c>
      <c r="I191" s="469">
        <v>0.67178807228513249</v>
      </c>
      <c r="J191" s="464" t="s">
        <v>1097</v>
      </c>
      <c r="K191" s="464" t="s">
        <v>1020</v>
      </c>
      <c r="L191" s="465" t="s">
        <v>1227</v>
      </c>
      <c r="M191" s="464" t="s">
        <v>91</v>
      </c>
      <c r="N191" s="475">
        <v>215.07289498965625</v>
      </c>
      <c r="O191" s="475" t="s">
        <v>870</v>
      </c>
      <c r="P191" s="475">
        <v>183.81229978767132</v>
      </c>
      <c r="Q191" s="475" t="s">
        <v>870</v>
      </c>
      <c r="R191" s="37"/>
      <c r="S191" s="465" t="s">
        <v>44</v>
      </c>
      <c r="T191" s="465" t="s">
        <v>63</v>
      </c>
      <c r="U191" s="465" t="s">
        <v>870</v>
      </c>
      <c r="V191" s="465" t="s">
        <v>870</v>
      </c>
      <c r="W191" s="465" t="s">
        <v>70</v>
      </c>
      <c r="X191" s="37"/>
      <c r="Y191" s="37"/>
      <c r="Z191" s="465" t="s">
        <v>78</v>
      </c>
      <c r="AA191" s="465" t="s">
        <v>78</v>
      </c>
      <c r="AB191" s="37"/>
      <c r="AC191" s="474">
        <v>9.4273972602739722</v>
      </c>
      <c r="AD191" s="470" t="s">
        <v>72</v>
      </c>
      <c r="AE191" s="344" t="s">
        <v>73</v>
      </c>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c r="CA191" s="393"/>
      <c r="CB191" s="393"/>
      <c r="CC191" s="393"/>
      <c r="CD191" s="393"/>
      <c r="CE191" s="393"/>
      <c r="CF191" s="393"/>
      <c r="CG191" s="393"/>
      <c r="CH191" s="393"/>
      <c r="CI191" s="393"/>
      <c r="CJ191" s="393"/>
      <c r="CK191" s="393"/>
      <c r="CL191" s="393"/>
      <c r="CM191" s="393"/>
      <c r="CN191" s="393"/>
      <c r="CO191" s="393"/>
      <c r="CP191" s="393"/>
      <c r="CQ191" s="393"/>
      <c r="CR191" s="393"/>
      <c r="CS191" s="393"/>
      <c r="CT191" s="393"/>
      <c r="CU191" s="393"/>
      <c r="CV191" s="393"/>
      <c r="CW191" s="393"/>
      <c r="CX191" s="393"/>
      <c r="CY191" s="393"/>
      <c r="CZ191" s="393"/>
      <c r="DA191" s="393"/>
      <c r="DB191" s="393"/>
      <c r="DC191" s="393"/>
    </row>
    <row r="192" spans="1:107" s="350" customFormat="1" ht="60">
      <c r="A192" s="37"/>
      <c r="B192" s="464" t="s">
        <v>23</v>
      </c>
      <c r="C192" s="465" t="s">
        <v>1149</v>
      </c>
      <c r="D192" s="348" t="s">
        <v>1226</v>
      </c>
      <c r="E192" s="467">
        <v>1384.7695904387162</v>
      </c>
      <c r="F192" s="465" t="s">
        <v>27</v>
      </c>
      <c r="G192" s="468">
        <v>0.75850596809677506</v>
      </c>
      <c r="H192" s="465" t="s">
        <v>867</v>
      </c>
      <c r="I192" s="469">
        <v>0.67178807228513249</v>
      </c>
      <c r="J192" s="464" t="s">
        <v>1097</v>
      </c>
      <c r="K192" s="464" t="s">
        <v>1020</v>
      </c>
      <c r="L192" s="465" t="s">
        <v>1227</v>
      </c>
      <c r="M192" s="464" t="s">
        <v>92</v>
      </c>
      <c r="N192" s="475">
        <v>215.07289498965625</v>
      </c>
      <c r="O192" s="475">
        <v>203.21758991175483</v>
      </c>
      <c r="P192" s="475">
        <v>183.81229978767132</v>
      </c>
      <c r="Q192" s="475">
        <v>45.159464424834383</v>
      </c>
      <c r="R192" s="37"/>
      <c r="S192" s="465" t="s">
        <v>44</v>
      </c>
      <c r="T192" s="465" t="s">
        <v>63</v>
      </c>
      <c r="U192" s="465" t="s">
        <v>69</v>
      </c>
      <c r="V192" s="465" t="s">
        <v>69</v>
      </c>
      <c r="W192" s="465" t="s">
        <v>70</v>
      </c>
      <c r="X192" s="37"/>
      <c r="Y192" s="37"/>
      <c r="Z192" s="465" t="s">
        <v>78</v>
      </c>
      <c r="AA192" s="465" t="s">
        <v>78</v>
      </c>
      <c r="AB192" s="37"/>
      <c r="AC192" s="474">
        <v>9.4273972602739722</v>
      </c>
      <c r="AD192" s="470" t="s">
        <v>72</v>
      </c>
      <c r="AE192" s="344" t="s">
        <v>73</v>
      </c>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c r="CA192" s="393"/>
      <c r="CB192" s="393"/>
      <c r="CC192" s="393"/>
      <c r="CD192" s="393"/>
      <c r="CE192" s="393"/>
      <c r="CF192" s="393"/>
      <c r="CG192" s="393"/>
      <c r="CH192" s="393"/>
      <c r="CI192" s="393"/>
      <c r="CJ192" s="393"/>
      <c r="CK192" s="393"/>
      <c r="CL192" s="393"/>
      <c r="CM192" s="393"/>
      <c r="CN192" s="393"/>
      <c r="CO192" s="393"/>
      <c r="CP192" s="393"/>
      <c r="CQ192" s="393"/>
      <c r="CR192" s="393"/>
      <c r="CS192" s="393"/>
      <c r="CT192" s="393"/>
      <c r="CU192" s="393"/>
      <c r="CV192" s="393"/>
      <c r="CW192" s="393"/>
      <c r="CX192" s="393"/>
      <c r="CY192" s="393"/>
      <c r="CZ192" s="393"/>
      <c r="DA192" s="393"/>
      <c r="DB192" s="393"/>
      <c r="DC192" s="393"/>
    </row>
    <row r="193" spans="1:107" s="350" customFormat="1" ht="60">
      <c r="A193" s="37"/>
      <c r="B193" s="464" t="s">
        <v>23</v>
      </c>
      <c r="C193" s="465" t="s">
        <v>1149</v>
      </c>
      <c r="D193" s="348" t="s">
        <v>1226</v>
      </c>
      <c r="E193" s="467">
        <v>1384.7695904387162</v>
      </c>
      <c r="F193" s="465" t="s">
        <v>27</v>
      </c>
      <c r="G193" s="468">
        <v>0.75850596809677506</v>
      </c>
      <c r="H193" s="465" t="s">
        <v>867</v>
      </c>
      <c r="I193" s="469">
        <v>0.67178807228513249</v>
      </c>
      <c r="J193" s="464" t="s">
        <v>1097</v>
      </c>
      <c r="K193" s="464" t="s">
        <v>1020</v>
      </c>
      <c r="L193" s="465" t="s">
        <v>1227</v>
      </c>
      <c r="M193" s="464" t="s">
        <v>93</v>
      </c>
      <c r="N193" s="475">
        <v>215.07289498965625</v>
      </c>
      <c r="O193" s="475">
        <v>214.50745601796345</v>
      </c>
      <c r="P193" s="475">
        <v>183.81229978767132</v>
      </c>
      <c r="Q193" s="475">
        <v>56.449330531042989</v>
      </c>
      <c r="R193" s="37"/>
      <c r="S193" s="465" t="s">
        <v>44</v>
      </c>
      <c r="T193" s="465" t="s">
        <v>63</v>
      </c>
      <c r="U193" s="465" t="s">
        <v>44</v>
      </c>
      <c r="V193" s="465" t="s">
        <v>75</v>
      </c>
      <c r="W193" s="465" t="s">
        <v>70</v>
      </c>
      <c r="X193" s="37"/>
      <c r="Y193" s="37"/>
      <c r="Z193" s="465" t="s">
        <v>78</v>
      </c>
      <c r="AA193" s="465" t="s">
        <v>78</v>
      </c>
      <c r="AB193" s="37"/>
      <c r="AC193" s="474">
        <v>9.4273972602739722</v>
      </c>
      <c r="AD193" s="470" t="s">
        <v>72</v>
      </c>
      <c r="AE193" s="344" t="s">
        <v>73</v>
      </c>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c r="CA193" s="393"/>
      <c r="CB193" s="393"/>
      <c r="CC193" s="393"/>
      <c r="CD193" s="393"/>
      <c r="CE193" s="393"/>
      <c r="CF193" s="393"/>
      <c r="CG193" s="393"/>
      <c r="CH193" s="393"/>
      <c r="CI193" s="393"/>
      <c r="CJ193" s="393"/>
      <c r="CK193" s="393"/>
      <c r="CL193" s="393"/>
      <c r="CM193" s="393"/>
      <c r="CN193" s="393"/>
      <c r="CO193" s="393"/>
      <c r="CP193" s="393"/>
      <c r="CQ193" s="393"/>
      <c r="CR193" s="393"/>
      <c r="CS193" s="393"/>
      <c r="CT193" s="393"/>
      <c r="CU193" s="393"/>
      <c r="CV193" s="393"/>
      <c r="CW193" s="393"/>
      <c r="CX193" s="393"/>
      <c r="CY193" s="393"/>
      <c r="CZ193" s="393"/>
      <c r="DA193" s="393"/>
      <c r="DB193" s="393"/>
      <c r="DC193" s="393"/>
    </row>
    <row r="194" spans="1:107" s="350" customFormat="1" ht="48">
      <c r="A194" s="37"/>
      <c r="B194" s="464" t="s">
        <v>23</v>
      </c>
      <c r="C194" s="465" t="s">
        <v>1149</v>
      </c>
      <c r="D194" s="348" t="s">
        <v>1226</v>
      </c>
      <c r="E194" s="467">
        <v>1384.7695904387162</v>
      </c>
      <c r="F194" s="344" t="s">
        <v>1245</v>
      </c>
      <c r="G194" s="468">
        <v>0.19954829052517753</v>
      </c>
      <c r="H194" s="465" t="s">
        <v>867</v>
      </c>
      <c r="I194" s="469">
        <v>0.85020861427716821</v>
      </c>
      <c r="J194" s="352" t="s">
        <v>994</v>
      </c>
      <c r="K194" s="464" t="s">
        <v>1020</v>
      </c>
      <c r="L194" s="352" t="s">
        <v>995</v>
      </c>
      <c r="M194" s="464" t="s">
        <v>88</v>
      </c>
      <c r="N194" s="475">
        <v>53.443735384197936</v>
      </c>
      <c r="O194" s="475">
        <v>58.264323898219779</v>
      </c>
      <c r="P194" s="475">
        <v>43.698445369637525</v>
      </c>
      <c r="Q194" s="475" t="s">
        <v>1109</v>
      </c>
      <c r="R194" s="37"/>
      <c r="S194" s="465" t="s">
        <v>69</v>
      </c>
      <c r="T194" s="465" t="s">
        <v>69</v>
      </c>
      <c r="U194" s="465" t="s">
        <v>69</v>
      </c>
      <c r="V194" s="465" t="s">
        <v>69</v>
      </c>
      <c r="W194" s="465" t="s">
        <v>70</v>
      </c>
      <c r="X194" s="37"/>
      <c r="Y194" s="37"/>
      <c r="Z194" s="465" t="s">
        <v>78</v>
      </c>
      <c r="AA194" s="465" t="s">
        <v>78</v>
      </c>
      <c r="AB194" s="37"/>
      <c r="AC194" s="474">
        <v>9.4273972602739722</v>
      </c>
      <c r="AD194" s="470" t="s">
        <v>72</v>
      </c>
      <c r="AE194" s="344" t="s">
        <v>73</v>
      </c>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c r="CA194" s="393"/>
      <c r="CB194" s="393"/>
      <c r="CC194" s="393"/>
      <c r="CD194" s="393"/>
      <c r="CE194" s="393"/>
      <c r="CF194" s="393"/>
      <c r="CG194" s="393"/>
      <c r="CH194" s="393"/>
      <c r="CI194" s="393"/>
      <c r="CJ194" s="393"/>
      <c r="CK194" s="393"/>
      <c r="CL194" s="393"/>
      <c r="CM194" s="393"/>
      <c r="CN194" s="393"/>
      <c r="CO194" s="393"/>
      <c r="CP194" s="393"/>
      <c r="CQ194" s="393"/>
      <c r="CR194" s="393"/>
      <c r="CS194" s="393"/>
      <c r="CT194" s="393"/>
      <c r="CU194" s="393"/>
      <c r="CV194" s="393"/>
      <c r="CW194" s="393"/>
      <c r="CX194" s="393"/>
      <c r="CY194" s="393"/>
      <c r="CZ194" s="393"/>
      <c r="DA194" s="393"/>
      <c r="DB194" s="393"/>
      <c r="DC194" s="393"/>
    </row>
    <row r="195" spans="1:107" s="350" customFormat="1" ht="48">
      <c r="A195" s="37"/>
      <c r="B195" s="464" t="s">
        <v>23</v>
      </c>
      <c r="C195" s="465" t="s">
        <v>1149</v>
      </c>
      <c r="D195" s="348" t="s">
        <v>1226</v>
      </c>
      <c r="E195" s="467">
        <v>1384.7695904387162</v>
      </c>
      <c r="F195" s="344" t="s">
        <v>1245</v>
      </c>
      <c r="G195" s="468">
        <v>0.19954829052517753</v>
      </c>
      <c r="H195" s="465" t="s">
        <v>867</v>
      </c>
      <c r="I195" s="469">
        <v>0.85020861427716821</v>
      </c>
      <c r="J195" s="352" t="s">
        <v>994</v>
      </c>
      <c r="K195" s="464" t="s">
        <v>1020</v>
      </c>
      <c r="L195" s="352" t="s">
        <v>995</v>
      </c>
      <c r="M195" s="464" t="s">
        <v>90</v>
      </c>
      <c r="N195" s="475">
        <v>53.443735384197936</v>
      </c>
      <c r="O195" s="475">
        <v>52.625840940327542</v>
      </c>
      <c r="P195" s="475">
        <v>43.698445369637525</v>
      </c>
      <c r="Q195" s="475" t="s">
        <v>871</v>
      </c>
      <c r="R195" s="37"/>
      <c r="S195" s="465" t="s">
        <v>44</v>
      </c>
      <c r="T195" s="465" t="s">
        <v>69</v>
      </c>
      <c r="U195" s="465" t="s">
        <v>69</v>
      </c>
      <c r="V195" s="465" t="s">
        <v>69</v>
      </c>
      <c r="W195" s="465" t="s">
        <v>70</v>
      </c>
      <c r="X195" s="37"/>
      <c r="Y195" s="37"/>
      <c r="Z195" s="465" t="s">
        <v>78</v>
      </c>
      <c r="AA195" s="465" t="s">
        <v>78</v>
      </c>
      <c r="AB195" s="37"/>
      <c r="AC195" s="474">
        <v>9.4273972602739722</v>
      </c>
      <c r="AD195" s="470" t="s">
        <v>72</v>
      </c>
      <c r="AE195" s="344" t="s">
        <v>73</v>
      </c>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c r="CA195" s="393"/>
      <c r="CB195" s="393"/>
      <c r="CC195" s="393"/>
      <c r="CD195" s="393"/>
      <c r="CE195" s="393"/>
      <c r="CF195" s="393"/>
      <c r="CG195" s="393"/>
      <c r="CH195" s="393"/>
      <c r="CI195" s="393"/>
      <c r="CJ195" s="393"/>
      <c r="CK195" s="393"/>
      <c r="CL195" s="393"/>
      <c r="CM195" s="393"/>
      <c r="CN195" s="393"/>
      <c r="CO195" s="393"/>
      <c r="CP195" s="393"/>
      <c r="CQ195" s="393"/>
      <c r="CR195" s="393"/>
      <c r="CS195" s="393"/>
      <c r="CT195" s="393"/>
      <c r="CU195" s="393"/>
      <c r="CV195" s="393"/>
      <c r="CW195" s="393"/>
      <c r="CX195" s="393"/>
      <c r="CY195" s="393"/>
      <c r="CZ195" s="393"/>
      <c r="DA195" s="393"/>
      <c r="DB195" s="393"/>
      <c r="DC195" s="393"/>
    </row>
    <row r="196" spans="1:107" s="350" customFormat="1" ht="48">
      <c r="A196" s="37"/>
      <c r="B196" s="464" t="s">
        <v>23</v>
      </c>
      <c r="C196" s="465" t="s">
        <v>1149</v>
      </c>
      <c r="D196" s="348" t="s">
        <v>1226</v>
      </c>
      <c r="E196" s="467">
        <v>1384.7695904387162</v>
      </c>
      <c r="F196" s="344" t="s">
        <v>1245</v>
      </c>
      <c r="G196" s="468">
        <v>0.19954829052517753</v>
      </c>
      <c r="H196" s="465" t="s">
        <v>867</v>
      </c>
      <c r="I196" s="469">
        <v>0.85020861427716821</v>
      </c>
      <c r="J196" s="352" t="s">
        <v>994</v>
      </c>
      <c r="K196" s="464" t="s">
        <v>1020</v>
      </c>
      <c r="L196" s="352" t="s">
        <v>995</v>
      </c>
      <c r="M196" s="464" t="s">
        <v>91</v>
      </c>
      <c r="N196" s="475">
        <v>53.443735384197936</v>
      </c>
      <c r="O196" s="475" t="s">
        <v>870</v>
      </c>
      <c r="P196" s="475">
        <v>43.698445369637525</v>
      </c>
      <c r="Q196" s="475" t="s">
        <v>870</v>
      </c>
      <c r="R196" s="37"/>
      <c r="S196" s="465" t="s">
        <v>44</v>
      </c>
      <c r="T196" s="465" t="s">
        <v>69</v>
      </c>
      <c r="U196" s="344" t="s">
        <v>870</v>
      </c>
      <c r="V196" s="344" t="s">
        <v>870</v>
      </c>
      <c r="W196" s="465" t="s">
        <v>70</v>
      </c>
      <c r="X196" s="37"/>
      <c r="Y196" s="37"/>
      <c r="Z196" s="465" t="s">
        <v>78</v>
      </c>
      <c r="AA196" s="465" t="s">
        <v>78</v>
      </c>
      <c r="AB196" s="37"/>
      <c r="AC196" s="474">
        <v>9.4273972602739722</v>
      </c>
      <c r="AD196" s="470" t="s">
        <v>72</v>
      </c>
      <c r="AE196" s="344" t="s">
        <v>73</v>
      </c>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c r="CA196" s="393"/>
      <c r="CB196" s="393"/>
      <c r="CC196" s="393"/>
      <c r="CD196" s="393"/>
      <c r="CE196" s="393"/>
      <c r="CF196" s="393"/>
      <c r="CG196" s="393"/>
      <c r="CH196" s="393"/>
      <c r="CI196" s="393"/>
      <c r="CJ196" s="393"/>
      <c r="CK196" s="393"/>
      <c r="CL196" s="393"/>
      <c r="CM196" s="393"/>
      <c r="CN196" s="393"/>
      <c r="CO196" s="393"/>
      <c r="CP196" s="393"/>
      <c r="CQ196" s="393"/>
      <c r="CR196" s="393"/>
      <c r="CS196" s="393"/>
      <c r="CT196" s="393"/>
      <c r="CU196" s="393"/>
      <c r="CV196" s="393"/>
      <c r="CW196" s="393"/>
      <c r="CX196" s="393"/>
      <c r="CY196" s="393"/>
      <c r="CZ196" s="393"/>
      <c r="DA196" s="393"/>
      <c r="DB196" s="393"/>
      <c r="DC196" s="393"/>
    </row>
    <row r="197" spans="1:107" s="350" customFormat="1" ht="48">
      <c r="A197" s="37"/>
      <c r="B197" s="464" t="s">
        <v>23</v>
      </c>
      <c r="C197" s="465" t="s">
        <v>1149</v>
      </c>
      <c r="D197" s="348" t="s">
        <v>1226</v>
      </c>
      <c r="E197" s="467">
        <v>1384.7695904387162</v>
      </c>
      <c r="F197" s="344" t="s">
        <v>1245</v>
      </c>
      <c r="G197" s="468">
        <v>0.19954829052517753</v>
      </c>
      <c r="H197" s="465" t="s">
        <v>867</v>
      </c>
      <c r="I197" s="469">
        <v>0.85020861427716821</v>
      </c>
      <c r="J197" s="352" t="s">
        <v>994</v>
      </c>
      <c r="K197" s="464" t="s">
        <v>1020</v>
      </c>
      <c r="L197" s="352" t="s">
        <v>995</v>
      </c>
      <c r="M197" s="464" t="s">
        <v>92</v>
      </c>
      <c r="N197" s="475">
        <v>53.443735384197936</v>
      </c>
      <c r="O197" s="475">
        <v>67.661795494706837</v>
      </c>
      <c r="P197" s="475">
        <v>43.698445369637525</v>
      </c>
      <c r="Q197" s="475">
        <v>15.035954554379289</v>
      </c>
      <c r="R197" s="37"/>
      <c r="S197" s="465" t="s">
        <v>44</v>
      </c>
      <c r="T197" s="465" t="s">
        <v>69</v>
      </c>
      <c r="U197" s="465" t="s">
        <v>69</v>
      </c>
      <c r="V197" s="465" t="s">
        <v>69</v>
      </c>
      <c r="W197" s="465" t="s">
        <v>70</v>
      </c>
      <c r="X197" s="37"/>
      <c r="Y197" s="37"/>
      <c r="Z197" s="465" t="s">
        <v>78</v>
      </c>
      <c r="AA197" s="465" t="s">
        <v>78</v>
      </c>
      <c r="AB197" s="37"/>
      <c r="AC197" s="474">
        <v>9.4273972602739722</v>
      </c>
      <c r="AD197" s="470" t="s">
        <v>72</v>
      </c>
      <c r="AE197" s="344" t="s">
        <v>73</v>
      </c>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c r="CA197" s="393"/>
      <c r="CB197" s="393"/>
      <c r="CC197" s="393"/>
      <c r="CD197" s="393"/>
      <c r="CE197" s="393"/>
      <c r="CF197" s="393"/>
      <c r="CG197" s="393"/>
      <c r="CH197" s="393"/>
      <c r="CI197" s="393"/>
      <c r="CJ197" s="393"/>
      <c r="CK197" s="393"/>
      <c r="CL197" s="393"/>
      <c r="CM197" s="393"/>
      <c r="CN197" s="393"/>
      <c r="CO197" s="393"/>
      <c r="CP197" s="393"/>
      <c r="CQ197" s="393"/>
      <c r="CR197" s="393"/>
      <c r="CS197" s="393"/>
      <c r="CT197" s="393"/>
      <c r="CU197" s="393"/>
      <c r="CV197" s="393"/>
      <c r="CW197" s="393"/>
      <c r="CX197" s="393"/>
      <c r="CY197" s="393"/>
      <c r="CZ197" s="393"/>
      <c r="DA197" s="393"/>
      <c r="DB197" s="393"/>
      <c r="DC197" s="393"/>
    </row>
    <row r="198" spans="1:107" s="350" customFormat="1" ht="48">
      <c r="A198" s="37"/>
      <c r="B198" s="464" t="s">
        <v>23</v>
      </c>
      <c r="C198" s="465" t="s">
        <v>1149</v>
      </c>
      <c r="D198" s="348" t="s">
        <v>1226</v>
      </c>
      <c r="E198" s="467">
        <v>1384.7695904387162</v>
      </c>
      <c r="F198" s="344" t="s">
        <v>1245</v>
      </c>
      <c r="G198" s="468">
        <v>0.19954829052517753</v>
      </c>
      <c r="H198" s="465" t="s">
        <v>867</v>
      </c>
      <c r="I198" s="469">
        <v>0.85020861427716821</v>
      </c>
      <c r="J198" s="352" t="s">
        <v>994</v>
      </c>
      <c r="K198" s="464" t="s">
        <v>1020</v>
      </c>
      <c r="L198" s="352" t="s">
        <v>995</v>
      </c>
      <c r="M198" s="464" t="s">
        <v>93</v>
      </c>
      <c r="N198" s="475">
        <v>53.443735384197936</v>
      </c>
      <c r="O198" s="475">
        <v>71.420784133301666</v>
      </c>
      <c r="P198" s="475">
        <v>43.698445369637525</v>
      </c>
      <c r="Q198" s="475">
        <v>18.794943192974117</v>
      </c>
      <c r="R198" s="37"/>
      <c r="S198" s="465" t="s">
        <v>44</v>
      </c>
      <c r="T198" s="465" t="s">
        <v>69</v>
      </c>
      <c r="U198" s="344" t="s">
        <v>44</v>
      </c>
      <c r="V198" s="344" t="s">
        <v>75</v>
      </c>
      <c r="W198" s="465" t="s">
        <v>70</v>
      </c>
      <c r="X198" s="37"/>
      <c r="Y198" s="37"/>
      <c r="Z198" s="465" t="s">
        <v>78</v>
      </c>
      <c r="AA198" s="465" t="s">
        <v>78</v>
      </c>
      <c r="AB198" s="37"/>
      <c r="AC198" s="474">
        <v>9.4273972602739722</v>
      </c>
      <c r="AD198" s="470" t="s">
        <v>72</v>
      </c>
      <c r="AE198" s="344" t="s">
        <v>73</v>
      </c>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c r="CA198" s="393"/>
      <c r="CB198" s="393"/>
      <c r="CC198" s="393"/>
      <c r="CD198" s="393"/>
      <c r="CE198" s="393"/>
      <c r="CF198" s="393"/>
      <c r="CG198" s="393"/>
      <c r="CH198" s="393"/>
      <c r="CI198" s="393"/>
      <c r="CJ198" s="393"/>
      <c r="CK198" s="393"/>
      <c r="CL198" s="393"/>
      <c r="CM198" s="393"/>
      <c r="CN198" s="393"/>
      <c r="CO198" s="393"/>
      <c r="CP198" s="393"/>
      <c r="CQ198" s="393"/>
      <c r="CR198" s="393"/>
      <c r="CS198" s="393"/>
      <c r="CT198" s="393"/>
      <c r="CU198" s="393"/>
      <c r="CV198" s="393"/>
      <c r="CW198" s="393"/>
      <c r="CX198" s="393"/>
      <c r="CY198" s="393"/>
      <c r="CZ198" s="393"/>
      <c r="DA198" s="393"/>
      <c r="DB198" s="393"/>
      <c r="DC198" s="393"/>
    </row>
    <row r="199" spans="1:107" s="350" customFormat="1" ht="48">
      <c r="A199" s="37"/>
      <c r="B199" s="464" t="s">
        <v>23</v>
      </c>
      <c r="C199" s="465" t="s">
        <v>1149</v>
      </c>
      <c r="D199" s="348" t="s">
        <v>1226</v>
      </c>
      <c r="E199" s="467">
        <v>1384.7695904387162</v>
      </c>
      <c r="F199" s="344" t="s">
        <v>1245</v>
      </c>
      <c r="G199" s="468">
        <v>0.19954829052517753</v>
      </c>
      <c r="H199" s="465" t="s">
        <v>867</v>
      </c>
      <c r="I199" s="469">
        <v>0.85020861427716821</v>
      </c>
      <c r="J199" s="352" t="s">
        <v>994</v>
      </c>
      <c r="K199" s="464" t="s">
        <v>1020</v>
      </c>
      <c r="L199" s="352" t="s">
        <v>1227</v>
      </c>
      <c r="M199" s="464" t="s">
        <v>88</v>
      </c>
      <c r="N199" s="475">
        <v>119.17180542829573</v>
      </c>
      <c r="O199" s="475">
        <v>58.264323898219779</v>
      </c>
      <c r="P199" s="475">
        <v>111.4608458380016</v>
      </c>
      <c r="Q199" s="475" t="s">
        <v>1109</v>
      </c>
      <c r="R199" s="37"/>
      <c r="S199" s="465" t="s">
        <v>44</v>
      </c>
      <c r="T199" s="344" t="s">
        <v>63</v>
      </c>
      <c r="U199" s="465" t="s">
        <v>69</v>
      </c>
      <c r="V199" s="465" t="s">
        <v>69</v>
      </c>
      <c r="W199" s="465" t="s">
        <v>70</v>
      </c>
      <c r="X199" s="37"/>
      <c r="Y199" s="37"/>
      <c r="Z199" s="465" t="s">
        <v>78</v>
      </c>
      <c r="AA199" s="465" t="s">
        <v>78</v>
      </c>
      <c r="AB199" s="37"/>
      <c r="AC199" s="474">
        <v>9.4273972602739722</v>
      </c>
      <c r="AD199" s="470" t="s">
        <v>72</v>
      </c>
      <c r="AE199" s="344" t="s">
        <v>73</v>
      </c>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c r="CA199" s="393"/>
      <c r="CB199" s="393"/>
      <c r="CC199" s="393"/>
      <c r="CD199" s="393"/>
      <c r="CE199" s="393"/>
      <c r="CF199" s="393"/>
      <c r="CG199" s="393"/>
      <c r="CH199" s="393"/>
      <c r="CI199" s="393"/>
      <c r="CJ199" s="393"/>
      <c r="CK199" s="393"/>
      <c r="CL199" s="393"/>
      <c r="CM199" s="393"/>
      <c r="CN199" s="393"/>
      <c r="CO199" s="393"/>
      <c r="CP199" s="393"/>
      <c r="CQ199" s="393"/>
      <c r="CR199" s="393"/>
      <c r="CS199" s="393"/>
      <c r="CT199" s="393"/>
      <c r="CU199" s="393"/>
      <c r="CV199" s="393"/>
      <c r="CW199" s="393"/>
      <c r="CX199" s="393"/>
      <c r="CY199" s="393"/>
      <c r="CZ199" s="393"/>
      <c r="DA199" s="393"/>
      <c r="DB199" s="393"/>
      <c r="DC199" s="393"/>
    </row>
    <row r="200" spans="1:107" s="350" customFormat="1" ht="48">
      <c r="A200" s="37"/>
      <c r="B200" s="464" t="s">
        <v>23</v>
      </c>
      <c r="C200" s="465" t="s">
        <v>1149</v>
      </c>
      <c r="D200" s="348" t="s">
        <v>1226</v>
      </c>
      <c r="E200" s="467">
        <v>1384.7695904387162</v>
      </c>
      <c r="F200" s="344" t="s">
        <v>1245</v>
      </c>
      <c r="G200" s="468">
        <v>0.19954829052517753</v>
      </c>
      <c r="H200" s="465" t="s">
        <v>867</v>
      </c>
      <c r="I200" s="469">
        <v>0.85020861427716821</v>
      </c>
      <c r="J200" s="352" t="s">
        <v>994</v>
      </c>
      <c r="K200" s="464" t="s">
        <v>1020</v>
      </c>
      <c r="L200" s="352" t="s">
        <v>1227</v>
      </c>
      <c r="M200" s="464" t="s">
        <v>90</v>
      </c>
      <c r="N200" s="475">
        <v>119.17180542829573</v>
      </c>
      <c r="O200" s="475">
        <v>52.625840940327542</v>
      </c>
      <c r="P200" s="475">
        <v>111.4608458380016</v>
      </c>
      <c r="Q200" s="475" t="s">
        <v>871</v>
      </c>
      <c r="R200" s="37"/>
      <c r="S200" s="465" t="s">
        <v>44</v>
      </c>
      <c r="T200" s="344" t="s">
        <v>63</v>
      </c>
      <c r="U200" s="465" t="s">
        <v>69</v>
      </c>
      <c r="V200" s="465" t="s">
        <v>69</v>
      </c>
      <c r="W200" s="465" t="s">
        <v>70</v>
      </c>
      <c r="X200" s="37"/>
      <c r="Y200" s="37"/>
      <c r="Z200" s="465" t="s">
        <v>78</v>
      </c>
      <c r="AA200" s="465" t="s">
        <v>78</v>
      </c>
      <c r="AB200" s="37"/>
      <c r="AC200" s="474">
        <v>9.4273972602739722</v>
      </c>
      <c r="AD200" s="470" t="s">
        <v>72</v>
      </c>
      <c r="AE200" s="344" t="s">
        <v>73</v>
      </c>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c r="CA200" s="393"/>
      <c r="CB200" s="393"/>
      <c r="CC200" s="393"/>
      <c r="CD200" s="393"/>
      <c r="CE200" s="393"/>
      <c r="CF200" s="393"/>
      <c r="CG200" s="393"/>
      <c r="CH200" s="393"/>
      <c r="CI200" s="393"/>
      <c r="CJ200" s="393"/>
      <c r="CK200" s="393"/>
      <c r="CL200" s="393"/>
      <c r="CM200" s="393"/>
      <c r="CN200" s="393"/>
      <c r="CO200" s="393"/>
      <c r="CP200" s="393"/>
      <c r="CQ200" s="393"/>
      <c r="CR200" s="393"/>
      <c r="CS200" s="393"/>
      <c r="CT200" s="393"/>
      <c r="CU200" s="393"/>
      <c r="CV200" s="393"/>
      <c r="CW200" s="393"/>
      <c r="CX200" s="393"/>
      <c r="CY200" s="393"/>
      <c r="CZ200" s="393"/>
      <c r="DA200" s="393"/>
      <c r="DB200" s="393"/>
      <c r="DC200" s="393"/>
    </row>
    <row r="201" spans="1:107" s="350" customFormat="1" ht="48">
      <c r="A201" s="37"/>
      <c r="B201" s="464" t="s">
        <v>23</v>
      </c>
      <c r="C201" s="465" t="s">
        <v>1149</v>
      </c>
      <c r="D201" s="348" t="s">
        <v>1226</v>
      </c>
      <c r="E201" s="467">
        <v>1384.7695904387162</v>
      </c>
      <c r="F201" s="344" t="s">
        <v>1245</v>
      </c>
      <c r="G201" s="468">
        <v>0.19954829052517753</v>
      </c>
      <c r="H201" s="465" t="s">
        <v>867</v>
      </c>
      <c r="I201" s="469">
        <v>0.85020861427716821</v>
      </c>
      <c r="J201" s="352" t="s">
        <v>994</v>
      </c>
      <c r="K201" s="464" t="s">
        <v>1020</v>
      </c>
      <c r="L201" s="352" t="s">
        <v>1227</v>
      </c>
      <c r="M201" s="464" t="s">
        <v>91</v>
      </c>
      <c r="N201" s="475">
        <v>119.17180542829573</v>
      </c>
      <c r="O201" s="475" t="s">
        <v>870</v>
      </c>
      <c r="P201" s="475">
        <v>111.4608458380016</v>
      </c>
      <c r="Q201" s="475" t="s">
        <v>870</v>
      </c>
      <c r="R201" s="37"/>
      <c r="S201" s="465" t="s">
        <v>44</v>
      </c>
      <c r="T201" s="344" t="s">
        <v>63</v>
      </c>
      <c r="U201" s="344" t="s">
        <v>870</v>
      </c>
      <c r="V201" s="344" t="s">
        <v>870</v>
      </c>
      <c r="W201" s="465" t="s">
        <v>70</v>
      </c>
      <c r="X201" s="37"/>
      <c r="Y201" s="37"/>
      <c r="Z201" s="465" t="s">
        <v>78</v>
      </c>
      <c r="AA201" s="465" t="s">
        <v>78</v>
      </c>
      <c r="AB201" s="37"/>
      <c r="AC201" s="474">
        <v>9.4273972602739722</v>
      </c>
      <c r="AD201" s="470" t="s">
        <v>72</v>
      </c>
      <c r="AE201" s="344" t="s">
        <v>73</v>
      </c>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c r="CA201" s="393"/>
      <c r="CB201" s="393"/>
      <c r="CC201" s="393"/>
      <c r="CD201" s="393"/>
      <c r="CE201" s="393"/>
      <c r="CF201" s="393"/>
      <c r="CG201" s="393"/>
      <c r="CH201" s="393"/>
      <c r="CI201" s="393"/>
      <c r="CJ201" s="393"/>
      <c r="CK201" s="393"/>
      <c r="CL201" s="393"/>
      <c r="CM201" s="393"/>
      <c r="CN201" s="393"/>
      <c r="CO201" s="393"/>
      <c r="CP201" s="393"/>
      <c r="CQ201" s="393"/>
      <c r="CR201" s="393"/>
      <c r="CS201" s="393"/>
      <c r="CT201" s="393"/>
      <c r="CU201" s="393"/>
      <c r="CV201" s="393"/>
      <c r="CW201" s="393"/>
      <c r="CX201" s="393"/>
      <c r="CY201" s="393"/>
      <c r="CZ201" s="393"/>
      <c r="DA201" s="393"/>
      <c r="DB201" s="393"/>
      <c r="DC201" s="393"/>
    </row>
    <row r="202" spans="1:107" s="350" customFormat="1" ht="48">
      <c r="A202" s="37"/>
      <c r="B202" s="464" t="s">
        <v>23</v>
      </c>
      <c r="C202" s="465" t="s">
        <v>1149</v>
      </c>
      <c r="D202" s="348" t="s">
        <v>1226</v>
      </c>
      <c r="E202" s="467">
        <v>1384.7695904387162</v>
      </c>
      <c r="F202" s="344" t="s">
        <v>1245</v>
      </c>
      <c r="G202" s="468">
        <v>0.19954829052517753</v>
      </c>
      <c r="H202" s="465" t="s">
        <v>867</v>
      </c>
      <c r="I202" s="469">
        <v>0.85020861427716821</v>
      </c>
      <c r="J202" s="352" t="s">
        <v>994</v>
      </c>
      <c r="K202" s="464" t="s">
        <v>1020</v>
      </c>
      <c r="L202" s="352" t="s">
        <v>1227</v>
      </c>
      <c r="M202" s="464" t="s">
        <v>92</v>
      </c>
      <c r="N202" s="475">
        <v>119.17180542829573</v>
      </c>
      <c r="O202" s="475">
        <v>67.661795494706837</v>
      </c>
      <c r="P202" s="475">
        <v>111.4608458380016</v>
      </c>
      <c r="Q202" s="475">
        <v>15.035954554379289</v>
      </c>
      <c r="R202" s="37"/>
      <c r="S202" s="465" t="s">
        <v>44</v>
      </c>
      <c r="T202" s="344" t="s">
        <v>63</v>
      </c>
      <c r="U202" s="465" t="s">
        <v>69</v>
      </c>
      <c r="V202" s="465" t="s">
        <v>69</v>
      </c>
      <c r="W202" s="465" t="s">
        <v>70</v>
      </c>
      <c r="X202" s="37"/>
      <c r="Y202" s="37"/>
      <c r="Z202" s="465" t="s">
        <v>78</v>
      </c>
      <c r="AA202" s="465" t="s">
        <v>78</v>
      </c>
      <c r="AB202" s="37"/>
      <c r="AC202" s="474">
        <v>9.4273972602739722</v>
      </c>
      <c r="AD202" s="470" t="s">
        <v>72</v>
      </c>
      <c r="AE202" s="344" t="s">
        <v>73</v>
      </c>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c r="CA202" s="393"/>
      <c r="CB202" s="393"/>
      <c r="CC202" s="393"/>
      <c r="CD202" s="393"/>
      <c r="CE202" s="393"/>
      <c r="CF202" s="393"/>
      <c r="CG202" s="393"/>
      <c r="CH202" s="393"/>
      <c r="CI202" s="393"/>
      <c r="CJ202" s="393"/>
      <c r="CK202" s="393"/>
      <c r="CL202" s="393"/>
      <c r="CM202" s="393"/>
      <c r="CN202" s="393"/>
      <c r="CO202" s="393"/>
      <c r="CP202" s="393"/>
      <c r="CQ202" s="393"/>
      <c r="CR202" s="393"/>
      <c r="CS202" s="393"/>
      <c r="CT202" s="393"/>
      <c r="CU202" s="393"/>
      <c r="CV202" s="393"/>
      <c r="CW202" s="393"/>
      <c r="CX202" s="393"/>
      <c r="CY202" s="393"/>
      <c r="CZ202" s="393"/>
      <c r="DA202" s="393"/>
      <c r="DB202" s="393"/>
      <c r="DC202" s="393"/>
    </row>
    <row r="203" spans="1:107" s="350" customFormat="1" ht="48">
      <c r="A203" s="37"/>
      <c r="B203" s="464" t="s">
        <v>23</v>
      </c>
      <c r="C203" s="465" t="s">
        <v>1149</v>
      </c>
      <c r="D203" s="348" t="s">
        <v>1226</v>
      </c>
      <c r="E203" s="467">
        <v>1384.7695904387162</v>
      </c>
      <c r="F203" s="344" t="s">
        <v>1245</v>
      </c>
      <c r="G203" s="468">
        <v>0.19954829052517753</v>
      </c>
      <c r="H203" s="465" t="s">
        <v>867</v>
      </c>
      <c r="I203" s="469">
        <v>0.85020861427716821</v>
      </c>
      <c r="J203" s="352" t="s">
        <v>994</v>
      </c>
      <c r="K203" s="464" t="s">
        <v>1020</v>
      </c>
      <c r="L203" s="352" t="s">
        <v>1227</v>
      </c>
      <c r="M203" s="464" t="s">
        <v>93</v>
      </c>
      <c r="N203" s="475">
        <v>119.17180542829573</v>
      </c>
      <c r="O203" s="475">
        <v>71.420784133301666</v>
      </c>
      <c r="P203" s="475">
        <v>111.4608458380016</v>
      </c>
      <c r="Q203" s="475">
        <v>18.794943192974117</v>
      </c>
      <c r="R203" s="37"/>
      <c r="S203" s="465" t="s">
        <v>44</v>
      </c>
      <c r="T203" s="344" t="s">
        <v>63</v>
      </c>
      <c r="U203" s="344" t="s">
        <v>44</v>
      </c>
      <c r="V203" s="344" t="s">
        <v>75</v>
      </c>
      <c r="W203" s="465" t="s">
        <v>70</v>
      </c>
      <c r="X203" s="37"/>
      <c r="Y203" s="37"/>
      <c r="Z203" s="465" t="s">
        <v>78</v>
      </c>
      <c r="AA203" s="465" t="s">
        <v>78</v>
      </c>
      <c r="AB203" s="37"/>
      <c r="AC203" s="474">
        <v>9.4273972602739722</v>
      </c>
      <c r="AD203" s="470" t="s">
        <v>72</v>
      </c>
      <c r="AE203" s="344" t="s">
        <v>73</v>
      </c>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c r="CA203" s="393"/>
      <c r="CB203" s="393"/>
      <c r="CC203" s="393"/>
      <c r="CD203" s="393"/>
      <c r="CE203" s="393"/>
      <c r="CF203" s="393"/>
      <c r="CG203" s="393"/>
      <c r="CH203" s="393"/>
      <c r="CI203" s="393"/>
      <c r="CJ203" s="393"/>
      <c r="CK203" s="393"/>
      <c r="CL203" s="393"/>
      <c r="CM203" s="393"/>
      <c r="CN203" s="393"/>
      <c r="CO203" s="393"/>
      <c r="CP203" s="393"/>
      <c r="CQ203" s="393"/>
      <c r="CR203" s="393"/>
      <c r="CS203" s="393"/>
      <c r="CT203" s="393"/>
      <c r="CU203" s="393"/>
      <c r="CV203" s="393"/>
      <c r="CW203" s="393"/>
      <c r="CX203" s="393"/>
      <c r="CY203" s="393"/>
      <c r="CZ203" s="393"/>
      <c r="DA203" s="393"/>
      <c r="DB203" s="393"/>
      <c r="DC203" s="393"/>
    </row>
    <row r="204" spans="1:107" s="350" customFormat="1" ht="48">
      <c r="A204" s="37"/>
      <c r="B204" s="464" t="s">
        <v>23</v>
      </c>
      <c r="C204" s="465" t="s">
        <v>1149</v>
      </c>
      <c r="D204" s="348" t="s">
        <v>1226</v>
      </c>
      <c r="E204" s="467">
        <v>1384.7695904387162</v>
      </c>
      <c r="F204" s="344" t="s">
        <v>1245</v>
      </c>
      <c r="G204" s="468">
        <v>0.19954829052517753</v>
      </c>
      <c r="H204" s="465" t="s">
        <v>867</v>
      </c>
      <c r="I204" s="469">
        <v>0.85020861427716821</v>
      </c>
      <c r="J204" s="352" t="s">
        <v>994</v>
      </c>
      <c r="K204" s="464" t="s">
        <v>1020</v>
      </c>
      <c r="L204" s="464" t="s">
        <v>101</v>
      </c>
      <c r="M204" s="464" t="s">
        <v>88</v>
      </c>
      <c r="N204" s="475">
        <v>30.269593789578746</v>
      </c>
      <c r="O204" s="475">
        <v>58.264323898219779</v>
      </c>
      <c r="P204" s="475">
        <v>30.269593789578746</v>
      </c>
      <c r="Q204" s="475" t="s">
        <v>1109</v>
      </c>
      <c r="R204" s="37"/>
      <c r="S204" s="344" t="s">
        <v>68</v>
      </c>
      <c r="T204" s="344" t="s">
        <v>63</v>
      </c>
      <c r="U204" s="465" t="s">
        <v>69</v>
      </c>
      <c r="V204" s="465" t="s">
        <v>69</v>
      </c>
      <c r="W204" s="465" t="s">
        <v>70</v>
      </c>
      <c r="X204" s="37"/>
      <c r="Y204" s="37"/>
      <c r="Z204" s="465" t="s">
        <v>78</v>
      </c>
      <c r="AA204" s="465" t="s">
        <v>78</v>
      </c>
      <c r="AB204" s="37"/>
      <c r="AC204" s="474">
        <v>9.4273972602739722</v>
      </c>
      <c r="AD204" s="470" t="s">
        <v>72</v>
      </c>
      <c r="AE204" s="344" t="s">
        <v>73</v>
      </c>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c r="CA204" s="393"/>
      <c r="CB204" s="393"/>
      <c r="CC204" s="393"/>
      <c r="CD204" s="393"/>
      <c r="CE204" s="393"/>
      <c r="CF204" s="393"/>
      <c r="CG204" s="393"/>
      <c r="CH204" s="393"/>
      <c r="CI204" s="393"/>
      <c r="CJ204" s="393"/>
      <c r="CK204" s="393"/>
      <c r="CL204" s="393"/>
      <c r="CM204" s="393"/>
      <c r="CN204" s="393"/>
      <c r="CO204" s="393"/>
      <c r="CP204" s="393"/>
      <c r="CQ204" s="393"/>
      <c r="CR204" s="393"/>
      <c r="CS204" s="393"/>
      <c r="CT204" s="393"/>
      <c r="CU204" s="393"/>
      <c r="CV204" s="393"/>
      <c r="CW204" s="393"/>
      <c r="CX204" s="393"/>
      <c r="CY204" s="393"/>
      <c r="CZ204" s="393"/>
      <c r="DA204" s="393"/>
      <c r="DB204" s="393"/>
      <c r="DC204" s="393"/>
    </row>
    <row r="205" spans="1:107" s="350" customFormat="1" ht="48">
      <c r="A205" s="37"/>
      <c r="B205" s="352" t="s">
        <v>23</v>
      </c>
      <c r="C205" s="465" t="s">
        <v>1149</v>
      </c>
      <c r="D205" s="348" t="s">
        <v>1226</v>
      </c>
      <c r="E205" s="467">
        <v>1384.7695904387162</v>
      </c>
      <c r="F205" s="344" t="s">
        <v>1245</v>
      </c>
      <c r="G205" s="468">
        <v>0.19954829052517753</v>
      </c>
      <c r="H205" s="465" t="s">
        <v>867</v>
      </c>
      <c r="I205" s="469">
        <v>0.85020861427716821</v>
      </c>
      <c r="J205" s="352" t="s">
        <v>994</v>
      </c>
      <c r="K205" s="464" t="s">
        <v>1020</v>
      </c>
      <c r="L205" s="464" t="s">
        <v>101</v>
      </c>
      <c r="M205" s="464" t="s">
        <v>90</v>
      </c>
      <c r="N205" s="475">
        <v>30.269593789578746</v>
      </c>
      <c r="O205" s="475">
        <v>52.625840940327542</v>
      </c>
      <c r="P205" s="475">
        <v>30.269593789578746</v>
      </c>
      <c r="Q205" s="475" t="s">
        <v>871</v>
      </c>
      <c r="R205" s="37"/>
      <c r="S205" s="344" t="s">
        <v>68</v>
      </c>
      <c r="T205" s="344" t="s">
        <v>63</v>
      </c>
      <c r="U205" s="465" t="s">
        <v>69</v>
      </c>
      <c r="V205" s="465" t="s">
        <v>69</v>
      </c>
      <c r="W205" s="465" t="s">
        <v>70</v>
      </c>
      <c r="X205" s="37"/>
      <c r="Y205" s="37"/>
      <c r="Z205" s="465" t="s">
        <v>78</v>
      </c>
      <c r="AA205" s="465" t="s">
        <v>78</v>
      </c>
      <c r="AB205" s="37"/>
      <c r="AC205" s="474">
        <v>9.4273972602739722</v>
      </c>
      <c r="AD205" s="470" t="s">
        <v>72</v>
      </c>
      <c r="AE205" s="344" t="s">
        <v>73</v>
      </c>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c r="CA205" s="393"/>
      <c r="CB205" s="393"/>
      <c r="CC205" s="393"/>
      <c r="CD205" s="393"/>
      <c r="CE205" s="393"/>
      <c r="CF205" s="393"/>
      <c r="CG205" s="393"/>
      <c r="CH205" s="393"/>
      <c r="CI205" s="393"/>
      <c r="CJ205" s="393"/>
      <c r="CK205" s="393"/>
      <c r="CL205" s="393"/>
      <c r="CM205" s="393"/>
      <c r="CN205" s="393"/>
      <c r="CO205" s="393"/>
      <c r="CP205" s="393"/>
      <c r="CQ205" s="393"/>
      <c r="CR205" s="393"/>
      <c r="CS205" s="393"/>
      <c r="CT205" s="393"/>
      <c r="CU205" s="393"/>
      <c r="CV205" s="393"/>
      <c r="CW205" s="393"/>
      <c r="CX205" s="393"/>
      <c r="CY205" s="393"/>
      <c r="CZ205" s="393"/>
      <c r="DA205" s="393"/>
      <c r="DB205" s="393"/>
      <c r="DC205" s="393"/>
    </row>
    <row r="206" spans="1:107" s="350" customFormat="1" ht="48">
      <c r="A206" s="37"/>
      <c r="B206" s="464" t="s">
        <v>23</v>
      </c>
      <c r="C206" s="465" t="s">
        <v>1149</v>
      </c>
      <c r="D206" s="348" t="s">
        <v>1226</v>
      </c>
      <c r="E206" s="467">
        <v>1384.7695904387162</v>
      </c>
      <c r="F206" s="344" t="s">
        <v>1245</v>
      </c>
      <c r="G206" s="468">
        <v>0.19954829052517753</v>
      </c>
      <c r="H206" s="465" t="s">
        <v>867</v>
      </c>
      <c r="I206" s="469">
        <v>0.85020861427716821</v>
      </c>
      <c r="J206" s="352" t="s">
        <v>994</v>
      </c>
      <c r="K206" s="464" t="s">
        <v>1020</v>
      </c>
      <c r="L206" s="464" t="s">
        <v>101</v>
      </c>
      <c r="M206" s="464" t="s">
        <v>91</v>
      </c>
      <c r="N206" s="475">
        <v>30.269593789578746</v>
      </c>
      <c r="O206" s="475" t="s">
        <v>870</v>
      </c>
      <c r="P206" s="475">
        <v>30.269593789578746</v>
      </c>
      <c r="Q206" s="475" t="s">
        <v>870</v>
      </c>
      <c r="R206" s="37"/>
      <c r="S206" s="344" t="s">
        <v>68</v>
      </c>
      <c r="T206" s="344" t="s">
        <v>63</v>
      </c>
      <c r="U206" s="344" t="s">
        <v>870</v>
      </c>
      <c r="V206" s="344" t="s">
        <v>870</v>
      </c>
      <c r="W206" s="465" t="s">
        <v>70</v>
      </c>
      <c r="X206" s="37"/>
      <c r="Y206" s="37"/>
      <c r="Z206" s="465" t="s">
        <v>78</v>
      </c>
      <c r="AA206" s="465" t="s">
        <v>78</v>
      </c>
      <c r="AB206" s="37"/>
      <c r="AC206" s="474">
        <v>9.4273972602739722</v>
      </c>
      <c r="AD206" s="470" t="s">
        <v>72</v>
      </c>
      <c r="AE206" s="344" t="s">
        <v>73</v>
      </c>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c r="CA206" s="393"/>
      <c r="CB206" s="393"/>
      <c r="CC206" s="393"/>
      <c r="CD206" s="393"/>
      <c r="CE206" s="393"/>
      <c r="CF206" s="393"/>
      <c r="CG206" s="393"/>
      <c r="CH206" s="393"/>
      <c r="CI206" s="393"/>
      <c r="CJ206" s="393"/>
      <c r="CK206" s="393"/>
      <c r="CL206" s="393"/>
      <c r="CM206" s="393"/>
      <c r="CN206" s="393"/>
      <c r="CO206" s="393"/>
      <c r="CP206" s="393"/>
      <c r="CQ206" s="393"/>
      <c r="CR206" s="393"/>
      <c r="CS206" s="393"/>
      <c r="CT206" s="393"/>
      <c r="CU206" s="393"/>
      <c r="CV206" s="393"/>
      <c r="CW206" s="393"/>
      <c r="CX206" s="393"/>
      <c r="CY206" s="393"/>
      <c r="CZ206" s="393"/>
      <c r="DA206" s="393"/>
      <c r="DB206" s="393"/>
      <c r="DC206" s="393"/>
    </row>
    <row r="207" spans="1:107" s="350" customFormat="1" ht="48">
      <c r="A207" s="37"/>
      <c r="B207" s="464" t="s">
        <v>23</v>
      </c>
      <c r="C207" s="465" t="s">
        <v>1149</v>
      </c>
      <c r="D207" s="348" t="s">
        <v>1226</v>
      </c>
      <c r="E207" s="467">
        <v>1384.7695904387162</v>
      </c>
      <c r="F207" s="344" t="s">
        <v>1245</v>
      </c>
      <c r="G207" s="468">
        <v>0.19954829052517753</v>
      </c>
      <c r="H207" s="465" t="s">
        <v>867</v>
      </c>
      <c r="I207" s="469">
        <v>0.85020861427716821</v>
      </c>
      <c r="J207" s="352" t="s">
        <v>994</v>
      </c>
      <c r="K207" s="464" t="s">
        <v>1020</v>
      </c>
      <c r="L207" s="464" t="s">
        <v>101</v>
      </c>
      <c r="M207" s="464" t="s">
        <v>92</v>
      </c>
      <c r="N207" s="475">
        <v>30.269593789578746</v>
      </c>
      <c r="O207" s="475">
        <v>67.661795494706837</v>
      </c>
      <c r="P207" s="475">
        <v>30.269593789578746</v>
      </c>
      <c r="Q207" s="475">
        <v>15.035954554379289</v>
      </c>
      <c r="R207" s="37"/>
      <c r="S207" s="344" t="s">
        <v>68</v>
      </c>
      <c r="T207" s="344" t="s">
        <v>63</v>
      </c>
      <c r="U207" s="465" t="s">
        <v>69</v>
      </c>
      <c r="V207" s="465" t="s">
        <v>69</v>
      </c>
      <c r="W207" s="465" t="s">
        <v>70</v>
      </c>
      <c r="X207" s="37"/>
      <c r="Y207" s="37"/>
      <c r="Z207" s="465" t="s">
        <v>78</v>
      </c>
      <c r="AA207" s="465" t="s">
        <v>78</v>
      </c>
      <c r="AB207" s="37"/>
      <c r="AC207" s="474">
        <v>9.4273972602739722</v>
      </c>
      <c r="AD207" s="470" t="s">
        <v>72</v>
      </c>
      <c r="AE207" s="344" t="s">
        <v>73</v>
      </c>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c r="CA207" s="393"/>
      <c r="CB207" s="393"/>
      <c r="CC207" s="393"/>
      <c r="CD207" s="393"/>
      <c r="CE207" s="393"/>
      <c r="CF207" s="393"/>
      <c r="CG207" s="393"/>
      <c r="CH207" s="393"/>
      <c r="CI207" s="393"/>
      <c r="CJ207" s="393"/>
      <c r="CK207" s="393"/>
      <c r="CL207" s="393"/>
      <c r="CM207" s="393"/>
      <c r="CN207" s="393"/>
      <c r="CO207" s="393"/>
      <c r="CP207" s="393"/>
      <c r="CQ207" s="393"/>
      <c r="CR207" s="393"/>
      <c r="CS207" s="393"/>
      <c r="CT207" s="393"/>
      <c r="CU207" s="393"/>
      <c r="CV207" s="393"/>
      <c r="CW207" s="393"/>
      <c r="CX207" s="393"/>
      <c r="CY207" s="393"/>
      <c r="CZ207" s="393"/>
      <c r="DA207" s="393"/>
      <c r="DB207" s="393"/>
      <c r="DC207" s="393"/>
    </row>
    <row r="208" spans="1:107" s="350" customFormat="1" ht="48">
      <c r="A208" s="37"/>
      <c r="B208" s="464" t="s">
        <v>23</v>
      </c>
      <c r="C208" s="465" t="s">
        <v>1149</v>
      </c>
      <c r="D208" s="348" t="s">
        <v>1226</v>
      </c>
      <c r="E208" s="467">
        <v>1384.7695904387162</v>
      </c>
      <c r="F208" s="344" t="s">
        <v>1245</v>
      </c>
      <c r="G208" s="468">
        <v>0.19954829052517753</v>
      </c>
      <c r="H208" s="465" t="s">
        <v>867</v>
      </c>
      <c r="I208" s="469">
        <v>0.85020861427716821</v>
      </c>
      <c r="J208" s="352" t="s">
        <v>994</v>
      </c>
      <c r="K208" s="464" t="s">
        <v>1020</v>
      </c>
      <c r="L208" s="464" t="s">
        <v>101</v>
      </c>
      <c r="M208" s="464" t="s">
        <v>93</v>
      </c>
      <c r="N208" s="475">
        <v>30.269593789578746</v>
      </c>
      <c r="O208" s="475">
        <v>71.420784133301666</v>
      </c>
      <c r="P208" s="475">
        <v>30.269593789578746</v>
      </c>
      <c r="Q208" s="475">
        <v>18.794943192974117</v>
      </c>
      <c r="R208" s="37"/>
      <c r="S208" s="344" t="s">
        <v>68</v>
      </c>
      <c r="T208" s="344" t="s">
        <v>63</v>
      </c>
      <c r="U208" s="344" t="s">
        <v>44</v>
      </c>
      <c r="V208" s="344" t="s">
        <v>75</v>
      </c>
      <c r="W208" s="465" t="s">
        <v>70</v>
      </c>
      <c r="X208" s="37"/>
      <c r="Y208" s="37"/>
      <c r="Z208" s="465" t="s">
        <v>78</v>
      </c>
      <c r="AA208" s="465" t="s">
        <v>78</v>
      </c>
      <c r="AB208" s="37"/>
      <c r="AC208" s="474">
        <v>9.4273972602739722</v>
      </c>
      <c r="AD208" s="470" t="s">
        <v>72</v>
      </c>
      <c r="AE208" s="344" t="s">
        <v>73</v>
      </c>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c r="CA208" s="393"/>
      <c r="CB208" s="393"/>
      <c r="CC208" s="393"/>
      <c r="CD208" s="393"/>
      <c r="CE208" s="393"/>
      <c r="CF208" s="393"/>
      <c r="CG208" s="393"/>
      <c r="CH208" s="393"/>
      <c r="CI208" s="393"/>
      <c r="CJ208" s="393"/>
      <c r="CK208" s="393"/>
      <c r="CL208" s="393"/>
      <c r="CM208" s="393"/>
      <c r="CN208" s="393"/>
      <c r="CO208" s="393"/>
      <c r="CP208" s="393"/>
      <c r="CQ208" s="393"/>
      <c r="CR208" s="393"/>
      <c r="CS208" s="393"/>
      <c r="CT208" s="393"/>
      <c r="CU208" s="393"/>
      <c r="CV208" s="393"/>
      <c r="CW208" s="393"/>
      <c r="CX208" s="393"/>
      <c r="CY208" s="393"/>
      <c r="CZ208" s="393"/>
      <c r="DA208" s="393"/>
      <c r="DB208" s="393"/>
      <c r="DC208" s="393"/>
    </row>
    <row r="209" spans="1:107" s="350" customFormat="1" ht="48">
      <c r="A209" s="37"/>
      <c r="B209" s="464" t="s">
        <v>23</v>
      </c>
      <c r="C209" s="465" t="s">
        <v>1149</v>
      </c>
      <c r="D209" s="348" t="s">
        <v>1226</v>
      </c>
      <c r="E209" s="467">
        <v>1384.7695904387162</v>
      </c>
      <c r="F209" s="344" t="s">
        <v>1245</v>
      </c>
      <c r="G209" s="468">
        <v>0.19954829052517753</v>
      </c>
      <c r="H209" s="465" t="s">
        <v>867</v>
      </c>
      <c r="I209" s="469">
        <v>0.85020861427716821</v>
      </c>
      <c r="J209" s="352" t="s">
        <v>994</v>
      </c>
      <c r="K209" s="464" t="s">
        <v>1020</v>
      </c>
      <c r="L209" s="352" t="s">
        <v>1228</v>
      </c>
      <c r="M209" s="464" t="s">
        <v>88</v>
      </c>
      <c r="N209" s="475">
        <v>42.290260173582709</v>
      </c>
      <c r="O209" s="475">
        <v>58.264323898219779</v>
      </c>
      <c r="P209" s="475">
        <v>32.015980664326712</v>
      </c>
      <c r="Q209" s="475" t="s">
        <v>1109</v>
      </c>
      <c r="R209" s="37"/>
      <c r="S209" s="465" t="s">
        <v>69</v>
      </c>
      <c r="T209" s="465" t="s">
        <v>69</v>
      </c>
      <c r="U209" s="465" t="s">
        <v>69</v>
      </c>
      <c r="V209" s="465" t="s">
        <v>69</v>
      </c>
      <c r="W209" s="465" t="s">
        <v>70</v>
      </c>
      <c r="X209" s="37"/>
      <c r="Y209" s="37"/>
      <c r="Z209" s="465" t="s">
        <v>78</v>
      </c>
      <c r="AA209" s="465" t="s">
        <v>78</v>
      </c>
      <c r="AB209" s="37"/>
      <c r="AC209" s="474">
        <v>9.4273972602739722</v>
      </c>
      <c r="AD209" s="470" t="s">
        <v>72</v>
      </c>
      <c r="AE209" s="344" t="s">
        <v>73</v>
      </c>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c r="CA209" s="393"/>
      <c r="CB209" s="393"/>
      <c r="CC209" s="393"/>
      <c r="CD209" s="393"/>
      <c r="CE209" s="393"/>
      <c r="CF209" s="393"/>
      <c r="CG209" s="393"/>
      <c r="CH209" s="393"/>
      <c r="CI209" s="393"/>
      <c r="CJ209" s="393"/>
      <c r="CK209" s="393"/>
      <c r="CL209" s="393"/>
      <c r="CM209" s="393"/>
      <c r="CN209" s="393"/>
      <c r="CO209" s="393"/>
      <c r="CP209" s="393"/>
      <c r="CQ209" s="393"/>
      <c r="CR209" s="393"/>
      <c r="CS209" s="393"/>
      <c r="CT209" s="393"/>
      <c r="CU209" s="393"/>
      <c r="CV209" s="393"/>
      <c r="CW209" s="393"/>
      <c r="CX209" s="393"/>
      <c r="CY209" s="393"/>
      <c r="CZ209" s="393"/>
      <c r="DA209" s="393"/>
      <c r="DB209" s="393"/>
      <c r="DC209" s="393"/>
    </row>
    <row r="210" spans="1:107" s="350" customFormat="1" ht="48">
      <c r="A210" s="37"/>
      <c r="B210" s="464" t="s">
        <v>23</v>
      </c>
      <c r="C210" s="465" t="s">
        <v>1149</v>
      </c>
      <c r="D210" s="348" t="s">
        <v>1226</v>
      </c>
      <c r="E210" s="467">
        <v>1384.7695904387162</v>
      </c>
      <c r="F210" s="344" t="s">
        <v>1245</v>
      </c>
      <c r="G210" s="468">
        <v>0.19954829052517753</v>
      </c>
      <c r="H210" s="465" t="s">
        <v>867</v>
      </c>
      <c r="I210" s="469">
        <v>0.85020861427716821</v>
      </c>
      <c r="J210" s="352" t="s">
        <v>994</v>
      </c>
      <c r="K210" s="464" t="s">
        <v>1020</v>
      </c>
      <c r="L210" s="352" t="s">
        <v>1228</v>
      </c>
      <c r="M210" s="464" t="s">
        <v>90</v>
      </c>
      <c r="N210" s="475">
        <v>42.290260173582709</v>
      </c>
      <c r="O210" s="475">
        <v>52.625840940327542</v>
      </c>
      <c r="P210" s="475">
        <v>32.015980664326712</v>
      </c>
      <c r="Q210" s="475" t="s">
        <v>871</v>
      </c>
      <c r="R210" s="37"/>
      <c r="S210" s="465" t="s">
        <v>69</v>
      </c>
      <c r="T210" s="465" t="s">
        <v>69</v>
      </c>
      <c r="U210" s="465" t="s">
        <v>69</v>
      </c>
      <c r="V210" s="465" t="s">
        <v>69</v>
      </c>
      <c r="W210" s="465" t="s">
        <v>70</v>
      </c>
      <c r="X210" s="37"/>
      <c r="Y210" s="37"/>
      <c r="Z210" s="465" t="s">
        <v>78</v>
      </c>
      <c r="AA210" s="465" t="s">
        <v>78</v>
      </c>
      <c r="AB210" s="37"/>
      <c r="AC210" s="474">
        <v>9.4273972602739722</v>
      </c>
      <c r="AD210" s="470" t="s">
        <v>72</v>
      </c>
      <c r="AE210" s="344" t="s">
        <v>73</v>
      </c>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c r="CA210" s="393"/>
      <c r="CB210" s="393"/>
      <c r="CC210" s="393"/>
      <c r="CD210" s="393"/>
      <c r="CE210" s="393"/>
      <c r="CF210" s="393"/>
      <c r="CG210" s="393"/>
      <c r="CH210" s="393"/>
      <c r="CI210" s="393"/>
      <c r="CJ210" s="393"/>
      <c r="CK210" s="393"/>
      <c r="CL210" s="393"/>
      <c r="CM210" s="393"/>
      <c r="CN210" s="393"/>
      <c r="CO210" s="393"/>
      <c r="CP210" s="393"/>
      <c r="CQ210" s="393"/>
      <c r="CR210" s="393"/>
      <c r="CS210" s="393"/>
      <c r="CT210" s="393"/>
      <c r="CU210" s="393"/>
      <c r="CV210" s="393"/>
      <c r="CW210" s="393"/>
      <c r="CX210" s="393"/>
      <c r="CY210" s="393"/>
      <c r="CZ210" s="393"/>
      <c r="DA210" s="393"/>
      <c r="DB210" s="393"/>
      <c r="DC210" s="393"/>
    </row>
    <row r="211" spans="1:107" s="350" customFormat="1" ht="48">
      <c r="A211" s="37"/>
      <c r="B211" s="464" t="s">
        <v>23</v>
      </c>
      <c r="C211" s="465" t="s">
        <v>1149</v>
      </c>
      <c r="D211" s="348" t="s">
        <v>1226</v>
      </c>
      <c r="E211" s="467">
        <v>1384.7695904387162</v>
      </c>
      <c r="F211" s="344" t="s">
        <v>1245</v>
      </c>
      <c r="G211" s="468">
        <v>0.19954829052517753</v>
      </c>
      <c r="H211" s="465" t="s">
        <v>867</v>
      </c>
      <c r="I211" s="469">
        <v>0.85020861427716821</v>
      </c>
      <c r="J211" s="352" t="s">
        <v>994</v>
      </c>
      <c r="K211" s="464" t="s">
        <v>1020</v>
      </c>
      <c r="L211" s="352" t="s">
        <v>1228</v>
      </c>
      <c r="M211" s="464" t="s">
        <v>91</v>
      </c>
      <c r="N211" s="475">
        <v>42.290260173582709</v>
      </c>
      <c r="O211" s="475" t="s">
        <v>870</v>
      </c>
      <c r="P211" s="475">
        <v>32.015980664326712</v>
      </c>
      <c r="Q211" s="475" t="s">
        <v>870</v>
      </c>
      <c r="R211" s="37"/>
      <c r="S211" s="465" t="s">
        <v>69</v>
      </c>
      <c r="T211" s="465" t="s">
        <v>69</v>
      </c>
      <c r="U211" s="344" t="s">
        <v>870</v>
      </c>
      <c r="V211" s="344" t="s">
        <v>870</v>
      </c>
      <c r="W211" s="465" t="s">
        <v>70</v>
      </c>
      <c r="X211" s="37"/>
      <c r="Y211" s="37"/>
      <c r="Z211" s="465" t="s">
        <v>78</v>
      </c>
      <c r="AA211" s="465" t="s">
        <v>78</v>
      </c>
      <c r="AB211" s="37"/>
      <c r="AC211" s="474">
        <v>9.4273972602739722</v>
      </c>
      <c r="AD211" s="470" t="s">
        <v>72</v>
      </c>
      <c r="AE211" s="344" t="s">
        <v>73</v>
      </c>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c r="CA211" s="393"/>
      <c r="CB211" s="393"/>
      <c r="CC211" s="393"/>
      <c r="CD211" s="393"/>
      <c r="CE211" s="393"/>
      <c r="CF211" s="393"/>
      <c r="CG211" s="393"/>
      <c r="CH211" s="393"/>
      <c r="CI211" s="393"/>
      <c r="CJ211" s="393"/>
      <c r="CK211" s="393"/>
      <c r="CL211" s="393"/>
      <c r="CM211" s="393"/>
      <c r="CN211" s="393"/>
      <c r="CO211" s="393"/>
      <c r="CP211" s="393"/>
      <c r="CQ211" s="393"/>
      <c r="CR211" s="393"/>
      <c r="CS211" s="393"/>
      <c r="CT211" s="393"/>
      <c r="CU211" s="393"/>
      <c r="CV211" s="393"/>
      <c r="CW211" s="393"/>
      <c r="CX211" s="393"/>
      <c r="CY211" s="393"/>
      <c r="CZ211" s="393"/>
      <c r="DA211" s="393"/>
      <c r="DB211" s="393"/>
      <c r="DC211" s="393"/>
    </row>
    <row r="212" spans="1:107" s="350" customFormat="1" ht="48">
      <c r="A212" s="37"/>
      <c r="B212" s="464" t="s">
        <v>23</v>
      </c>
      <c r="C212" s="465" t="s">
        <v>1149</v>
      </c>
      <c r="D212" s="348" t="s">
        <v>1226</v>
      </c>
      <c r="E212" s="467">
        <v>1384.7695904387162</v>
      </c>
      <c r="F212" s="344" t="s">
        <v>1245</v>
      </c>
      <c r="G212" s="468">
        <v>0.19954829052517753</v>
      </c>
      <c r="H212" s="465" t="s">
        <v>867</v>
      </c>
      <c r="I212" s="469">
        <v>0.85020861427716821</v>
      </c>
      <c r="J212" s="352" t="s">
        <v>994</v>
      </c>
      <c r="K212" s="464" t="s">
        <v>1020</v>
      </c>
      <c r="L212" s="352" t="s">
        <v>1228</v>
      </c>
      <c r="M212" s="464" t="s">
        <v>92</v>
      </c>
      <c r="N212" s="475">
        <v>42.290260173582709</v>
      </c>
      <c r="O212" s="475">
        <v>67.661795494706837</v>
      </c>
      <c r="P212" s="475">
        <v>32.015980664326712</v>
      </c>
      <c r="Q212" s="475">
        <v>15.035954554379289</v>
      </c>
      <c r="R212" s="37"/>
      <c r="S212" s="465" t="s">
        <v>69</v>
      </c>
      <c r="T212" s="465" t="s">
        <v>69</v>
      </c>
      <c r="U212" s="465" t="s">
        <v>69</v>
      </c>
      <c r="V212" s="465" t="s">
        <v>69</v>
      </c>
      <c r="W212" s="465" t="s">
        <v>70</v>
      </c>
      <c r="X212" s="37"/>
      <c r="Y212" s="37"/>
      <c r="Z212" s="465" t="s">
        <v>78</v>
      </c>
      <c r="AA212" s="465" t="s">
        <v>78</v>
      </c>
      <c r="AB212" s="37"/>
      <c r="AC212" s="474">
        <v>9.4273972602739722</v>
      </c>
      <c r="AD212" s="470" t="s">
        <v>72</v>
      </c>
      <c r="AE212" s="344" t="s">
        <v>73</v>
      </c>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c r="CA212" s="393"/>
      <c r="CB212" s="393"/>
      <c r="CC212" s="393"/>
      <c r="CD212" s="393"/>
      <c r="CE212" s="393"/>
      <c r="CF212" s="393"/>
      <c r="CG212" s="393"/>
      <c r="CH212" s="393"/>
      <c r="CI212" s="393"/>
      <c r="CJ212" s="393"/>
      <c r="CK212" s="393"/>
      <c r="CL212" s="393"/>
      <c r="CM212" s="393"/>
      <c r="CN212" s="393"/>
      <c r="CO212" s="393"/>
      <c r="CP212" s="393"/>
      <c r="CQ212" s="393"/>
      <c r="CR212" s="393"/>
      <c r="CS212" s="393"/>
      <c r="CT212" s="393"/>
      <c r="CU212" s="393"/>
      <c r="CV212" s="393"/>
      <c r="CW212" s="393"/>
      <c r="CX212" s="393"/>
      <c r="CY212" s="393"/>
      <c r="CZ212" s="393"/>
      <c r="DA212" s="393"/>
      <c r="DB212" s="393"/>
      <c r="DC212" s="393"/>
    </row>
    <row r="213" spans="1:107" s="350" customFormat="1" ht="48">
      <c r="A213" s="37"/>
      <c r="B213" s="464" t="s">
        <v>23</v>
      </c>
      <c r="C213" s="465" t="s">
        <v>1149</v>
      </c>
      <c r="D213" s="348" t="s">
        <v>1226</v>
      </c>
      <c r="E213" s="467">
        <v>1384.7695904387162</v>
      </c>
      <c r="F213" s="344" t="s">
        <v>1245</v>
      </c>
      <c r="G213" s="468">
        <v>0.19954829052517753</v>
      </c>
      <c r="H213" s="465" t="s">
        <v>867</v>
      </c>
      <c r="I213" s="469">
        <v>0.85020861427716821</v>
      </c>
      <c r="J213" s="352" t="s">
        <v>994</v>
      </c>
      <c r="K213" s="464" t="s">
        <v>1020</v>
      </c>
      <c r="L213" s="352" t="s">
        <v>1228</v>
      </c>
      <c r="M213" s="464" t="s">
        <v>93</v>
      </c>
      <c r="N213" s="475">
        <v>42.290260173582709</v>
      </c>
      <c r="O213" s="475">
        <v>71.420784133301666</v>
      </c>
      <c r="P213" s="475">
        <v>32.015980664326712</v>
      </c>
      <c r="Q213" s="475">
        <v>18.794943192974117</v>
      </c>
      <c r="R213" s="37"/>
      <c r="S213" s="465" t="s">
        <v>69</v>
      </c>
      <c r="T213" s="465" t="s">
        <v>69</v>
      </c>
      <c r="U213" s="344" t="s">
        <v>44</v>
      </c>
      <c r="V213" s="344" t="s">
        <v>75</v>
      </c>
      <c r="W213" s="465" t="s">
        <v>70</v>
      </c>
      <c r="X213" s="37"/>
      <c r="Y213" s="37"/>
      <c r="Z213" s="465" t="s">
        <v>78</v>
      </c>
      <c r="AA213" s="465" t="s">
        <v>78</v>
      </c>
      <c r="AB213" s="37"/>
      <c r="AC213" s="474">
        <v>9.4273972602739722</v>
      </c>
      <c r="AD213" s="470" t="s">
        <v>72</v>
      </c>
      <c r="AE213" s="344" t="s">
        <v>73</v>
      </c>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c r="CA213" s="393"/>
      <c r="CB213" s="393"/>
      <c r="CC213" s="393"/>
      <c r="CD213" s="393"/>
      <c r="CE213" s="393"/>
      <c r="CF213" s="393"/>
      <c r="CG213" s="393"/>
      <c r="CH213" s="393"/>
      <c r="CI213" s="393"/>
      <c r="CJ213" s="393"/>
      <c r="CK213" s="393"/>
      <c r="CL213" s="393"/>
      <c r="CM213" s="393"/>
      <c r="CN213" s="393"/>
      <c r="CO213" s="393"/>
      <c r="CP213" s="393"/>
      <c r="CQ213" s="393"/>
      <c r="CR213" s="393"/>
      <c r="CS213" s="393"/>
      <c r="CT213" s="393"/>
      <c r="CU213" s="393"/>
      <c r="CV213" s="393"/>
      <c r="CW213" s="393"/>
      <c r="CX213" s="393"/>
      <c r="CY213" s="393"/>
      <c r="CZ213" s="393"/>
      <c r="DA213" s="393"/>
      <c r="DB213" s="393"/>
      <c r="DC213" s="393"/>
    </row>
    <row r="214" spans="1:107" s="303" customFormat="1" ht="33.75">
      <c r="A214" s="37"/>
      <c r="B214" s="325" t="s">
        <v>23</v>
      </c>
      <c r="C214" s="320" t="s">
        <v>100</v>
      </c>
      <c r="D214" s="320" t="s">
        <v>1226</v>
      </c>
      <c r="E214" s="324">
        <v>536.81628000000001</v>
      </c>
      <c r="F214" s="320" t="s">
        <v>1245</v>
      </c>
      <c r="G214" s="319" t="s">
        <v>935</v>
      </c>
      <c r="H214" s="320" t="s">
        <v>66</v>
      </c>
      <c r="I214" s="319" t="s">
        <v>935</v>
      </c>
      <c r="J214" s="320" t="s">
        <v>994</v>
      </c>
      <c r="K214" s="320" t="s">
        <v>1020</v>
      </c>
      <c r="L214" s="320" t="s">
        <v>995</v>
      </c>
      <c r="M214" s="320" t="s">
        <v>88</v>
      </c>
      <c r="N214" s="321" t="s">
        <v>98</v>
      </c>
      <c r="O214" s="321" t="s">
        <v>98</v>
      </c>
      <c r="P214" s="321" t="s">
        <v>98</v>
      </c>
      <c r="Q214" s="321" t="s">
        <v>1109</v>
      </c>
      <c r="R214" s="37"/>
      <c r="S214" s="322" t="s">
        <v>44</v>
      </c>
      <c r="T214" s="322" t="s">
        <v>69</v>
      </c>
      <c r="U214" s="322" t="s">
        <v>69</v>
      </c>
      <c r="V214" s="322" t="s">
        <v>69</v>
      </c>
      <c r="W214" s="322" t="s">
        <v>70</v>
      </c>
      <c r="X214" s="37"/>
      <c r="Y214" s="37"/>
      <c r="Z214" s="322" t="s">
        <v>78</v>
      </c>
      <c r="AA214" s="322" t="s">
        <v>78</v>
      </c>
      <c r="AB214" s="37"/>
      <c r="AC214" s="324">
        <v>17</v>
      </c>
      <c r="AD214" s="324" t="s">
        <v>72</v>
      </c>
      <c r="AE214" s="322" t="s">
        <v>73</v>
      </c>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c r="CA214" s="393"/>
      <c r="CB214" s="393"/>
      <c r="CC214" s="393"/>
      <c r="CD214" s="393"/>
      <c r="CE214" s="393"/>
      <c r="CF214" s="393"/>
      <c r="CG214" s="393"/>
      <c r="CH214" s="393"/>
      <c r="CI214" s="393"/>
      <c r="CJ214" s="390"/>
      <c r="CK214" s="390"/>
      <c r="CL214" s="390"/>
      <c r="CM214" s="390"/>
      <c r="CN214" s="390"/>
      <c r="CO214" s="390"/>
      <c r="CP214" s="390"/>
      <c r="CQ214" s="390"/>
      <c r="CR214" s="390"/>
      <c r="CS214" s="390"/>
      <c r="CT214" s="390"/>
      <c r="CU214" s="390"/>
      <c r="CV214" s="390"/>
      <c r="CW214" s="390"/>
      <c r="CX214" s="390"/>
      <c r="CY214" s="390"/>
      <c r="CZ214" s="390"/>
      <c r="DA214" s="390"/>
      <c r="DB214" s="390"/>
      <c r="DC214" s="390"/>
    </row>
    <row r="215" spans="1:107" s="303" customFormat="1" ht="33.75">
      <c r="A215" s="37"/>
      <c r="B215" s="325" t="s">
        <v>23</v>
      </c>
      <c r="C215" s="320" t="s">
        <v>100</v>
      </c>
      <c r="D215" s="320" t="s">
        <v>1226</v>
      </c>
      <c r="E215" s="324">
        <v>536.81628000000001</v>
      </c>
      <c r="F215" s="320" t="s">
        <v>1245</v>
      </c>
      <c r="G215" s="319" t="s">
        <v>935</v>
      </c>
      <c r="H215" s="320" t="s">
        <v>66</v>
      </c>
      <c r="I215" s="319" t="s">
        <v>935</v>
      </c>
      <c r="J215" s="320" t="s">
        <v>994</v>
      </c>
      <c r="K215" s="320" t="s">
        <v>1020</v>
      </c>
      <c r="L215" s="320" t="s">
        <v>995</v>
      </c>
      <c r="M215" s="320" t="s">
        <v>90</v>
      </c>
      <c r="N215" s="321" t="s">
        <v>98</v>
      </c>
      <c r="O215" s="321" t="s">
        <v>98</v>
      </c>
      <c r="P215" s="321" t="s">
        <v>98</v>
      </c>
      <c r="Q215" s="321" t="s">
        <v>871</v>
      </c>
      <c r="R215" s="37"/>
      <c r="S215" s="322" t="s">
        <v>44</v>
      </c>
      <c r="T215" s="322" t="s">
        <v>69</v>
      </c>
      <c r="U215" s="322" t="s">
        <v>69</v>
      </c>
      <c r="V215" s="322" t="s">
        <v>69</v>
      </c>
      <c r="W215" s="322" t="s">
        <v>70</v>
      </c>
      <c r="X215" s="37"/>
      <c r="Y215" s="37"/>
      <c r="Z215" s="322" t="s">
        <v>78</v>
      </c>
      <c r="AA215" s="322" t="s">
        <v>78</v>
      </c>
      <c r="AB215" s="37"/>
      <c r="AC215" s="324">
        <v>17</v>
      </c>
      <c r="AD215" s="324" t="s">
        <v>72</v>
      </c>
      <c r="AE215" s="322" t="s">
        <v>73</v>
      </c>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c r="CA215" s="393"/>
      <c r="CB215" s="393"/>
      <c r="CC215" s="393"/>
      <c r="CD215" s="393"/>
      <c r="CE215" s="393"/>
      <c r="CF215" s="393"/>
      <c r="CG215" s="393"/>
      <c r="CH215" s="393"/>
      <c r="CI215" s="393"/>
      <c r="CJ215" s="390"/>
      <c r="CK215" s="390"/>
      <c r="CL215" s="390"/>
      <c r="CM215" s="390"/>
      <c r="CN215" s="390"/>
      <c r="CO215" s="390"/>
      <c r="CP215" s="390"/>
      <c r="CQ215" s="390"/>
      <c r="CR215" s="390"/>
      <c r="CS215" s="390"/>
      <c r="CT215" s="390"/>
      <c r="CU215" s="390"/>
      <c r="CV215" s="390"/>
      <c r="CW215" s="390"/>
      <c r="CX215" s="390"/>
      <c r="CY215" s="390"/>
      <c r="CZ215" s="390"/>
      <c r="DA215" s="390"/>
      <c r="DB215" s="390"/>
      <c r="DC215" s="390"/>
    </row>
    <row r="216" spans="1:107" s="303" customFormat="1" ht="33.75">
      <c r="A216" s="37"/>
      <c r="B216" s="325" t="s">
        <v>23</v>
      </c>
      <c r="C216" s="320" t="s">
        <v>100</v>
      </c>
      <c r="D216" s="320" t="s">
        <v>1226</v>
      </c>
      <c r="E216" s="324">
        <v>536.81628000000001</v>
      </c>
      <c r="F216" s="320" t="s">
        <v>1245</v>
      </c>
      <c r="G216" s="319" t="s">
        <v>935</v>
      </c>
      <c r="H216" s="320" t="s">
        <v>66</v>
      </c>
      <c r="I216" s="319" t="s">
        <v>935</v>
      </c>
      <c r="J216" s="320" t="s">
        <v>994</v>
      </c>
      <c r="K216" s="320" t="s">
        <v>1020</v>
      </c>
      <c r="L216" s="320" t="s">
        <v>995</v>
      </c>
      <c r="M216" s="320" t="s">
        <v>91</v>
      </c>
      <c r="N216" s="321" t="s">
        <v>98</v>
      </c>
      <c r="O216" s="321" t="s">
        <v>870</v>
      </c>
      <c r="P216" s="321" t="s">
        <v>98</v>
      </c>
      <c r="Q216" s="321" t="s">
        <v>870</v>
      </c>
      <c r="R216" s="37"/>
      <c r="S216" s="322" t="s">
        <v>44</v>
      </c>
      <c r="T216" s="322" t="s">
        <v>69</v>
      </c>
      <c r="U216" s="322" t="s">
        <v>69</v>
      </c>
      <c r="V216" s="322" t="s">
        <v>69</v>
      </c>
      <c r="W216" s="322" t="s">
        <v>70</v>
      </c>
      <c r="X216" s="37"/>
      <c r="Y216" s="37"/>
      <c r="Z216" s="322" t="s">
        <v>78</v>
      </c>
      <c r="AA216" s="322" t="s">
        <v>78</v>
      </c>
      <c r="AB216" s="37"/>
      <c r="AC216" s="324">
        <v>17</v>
      </c>
      <c r="AD216" s="324" t="s">
        <v>72</v>
      </c>
      <c r="AE216" s="322" t="s">
        <v>73</v>
      </c>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c r="CA216" s="393"/>
      <c r="CB216" s="393"/>
      <c r="CC216" s="393"/>
      <c r="CD216" s="393"/>
      <c r="CE216" s="393"/>
      <c r="CF216" s="393"/>
      <c r="CG216" s="393"/>
      <c r="CH216" s="393"/>
      <c r="CI216" s="393"/>
      <c r="CJ216" s="390"/>
      <c r="CK216" s="390"/>
      <c r="CL216" s="390"/>
      <c r="CM216" s="390"/>
      <c r="CN216" s="390"/>
      <c r="CO216" s="390"/>
      <c r="CP216" s="390"/>
      <c r="CQ216" s="390"/>
      <c r="CR216" s="390"/>
      <c r="CS216" s="390"/>
      <c r="CT216" s="390"/>
      <c r="CU216" s="390"/>
      <c r="CV216" s="390"/>
      <c r="CW216" s="390"/>
      <c r="CX216" s="390"/>
      <c r="CY216" s="390"/>
      <c r="CZ216" s="390"/>
      <c r="DA216" s="390"/>
      <c r="DB216" s="390"/>
      <c r="DC216" s="390"/>
    </row>
    <row r="217" spans="1:107" s="303" customFormat="1" ht="33.75">
      <c r="A217" s="37"/>
      <c r="B217" s="325" t="s">
        <v>23</v>
      </c>
      <c r="C217" s="320" t="s">
        <v>100</v>
      </c>
      <c r="D217" s="320" t="s">
        <v>1226</v>
      </c>
      <c r="E217" s="324">
        <v>536.81628000000001</v>
      </c>
      <c r="F217" s="320" t="s">
        <v>1245</v>
      </c>
      <c r="G217" s="319" t="s">
        <v>935</v>
      </c>
      <c r="H217" s="320" t="s">
        <v>66</v>
      </c>
      <c r="I217" s="319" t="s">
        <v>935</v>
      </c>
      <c r="J217" s="320" t="s">
        <v>994</v>
      </c>
      <c r="K217" s="320" t="s">
        <v>1020</v>
      </c>
      <c r="L217" s="320" t="s">
        <v>995</v>
      </c>
      <c r="M217" s="320" t="s">
        <v>92</v>
      </c>
      <c r="N217" s="321" t="s">
        <v>98</v>
      </c>
      <c r="O217" s="321" t="s">
        <v>935</v>
      </c>
      <c r="P217" s="321" t="s">
        <v>98</v>
      </c>
      <c r="Q217" s="321" t="s">
        <v>1055</v>
      </c>
      <c r="R217" s="37"/>
      <c r="S217" s="322" t="s">
        <v>44</v>
      </c>
      <c r="T217" s="322" t="s">
        <v>69</v>
      </c>
      <c r="U217" s="322" t="s">
        <v>69</v>
      </c>
      <c r="V217" s="322" t="s">
        <v>69</v>
      </c>
      <c r="W217" s="322" t="s">
        <v>70</v>
      </c>
      <c r="X217" s="37"/>
      <c r="Y217" s="37"/>
      <c r="Z217" s="322" t="s">
        <v>78</v>
      </c>
      <c r="AA217" s="322" t="s">
        <v>78</v>
      </c>
      <c r="AB217" s="37"/>
      <c r="AC217" s="324">
        <v>17</v>
      </c>
      <c r="AD217" s="324" t="s">
        <v>72</v>
      </c>
      <c r="AE217" s="322" t="s">
        <v>73</v>
      </c>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c r="CA217" s="393"/>
      <c r="CB217" s="393"/>
      <c r="CC217" s="393"/>
      <c r="CD217" s="393"/>
      <c r="CE217" s="393"/>
      <c r="CF217" s="393"/>
      <c r="CG217" s="393"/>
      <c r="CH217" s="393"/>
      <c r="CI217" s="393"/>
      <c r="CJ217" s="390"/>
      <c r="CK217" s="390"/>
      <c r="CL217" s="390"/>
      <c r="CM217" s="390"/>
      <c r="CN217" s="390"/>
      <c r="CO217" s="390"/>
      <c r="CP217" s="390"/>
      <c r="CQ217" s="390"/>
      <c r="CR217" s="390"/>
      <c r="CS217" s="390"/>
      <c r="CT217" s="390"/>
      <c r="CU217" s="390"/>
      <c r="CV217" s="390"/>
      <c r="CW217" s="390"/>
      <c r="CX217" s="390"/>
      <c r="CY217" s="390"/>
      <c r="CZ217" s="390"/>
      <c r="DA217" s="390"/>
      <c r="DB217" s="390"/>
      <c r="DC217" s="390"/>
    </row>
    <row r="218" spans="1:107" s="303" customFormat="1" ht="33.75">
      <c r="A218" s="37"/>
      <c r="B218" s="325" t="s">
        <v>23</v>
      </c>
      <c r="C218" s="320" t="s">
        <v>100</v>
      </c>
      <c r="D218" s="320" t="s">
        <v>1226</v>
      </c>
      <c r="E218" s="324">
        <v>536.81628000000001</v>
      </c>
      <c r="F218" s="320" t="s">
        <v>1245</v>
      </c>
      <c r="G218" s="319" t="s">
        <v>935</v>
      </c>
      <c r="H218" s="320" t="s">
        <v>66</v>
      </c>
      <c r="I218" s="319" t="s">
        <v>935</v>
      </c>
      <c r="J218" s="320" t="s">
        <v>994</v>
      </c>
      <c r="K218" s="320" t="s">
        <v>1020</v>
      </c>
      <c r="L218" s="320" t="s">
        <v>995</v>
      </c>
      <c r="M218" s="320" t="s">
        <v>93</v>
      </c>
      <c r="N218" s="321" t="s">
        <v>98</v>
      </c>
      <c r="O218" s="321" t="s">
        <v>935</v>
      </c>
      <c r="P218" s="321" t="s">
        <v>98</v>
      </c>
      <c r="Q218" s="321" t="s">
        <v>1055</v>
      </c>
      <c r="R218" s="37"/>
      <c r="S218" s="322" t="s">
        <v>44</v>
      </c>
      <c r="T218" s="322" t="s">
        <v>69</v>
      </c>
      <c r="U218" s="322" t="s">
        <v>44</v>
      </c>
      <c r="V218" s="322" t="s">
        <v>75</v>
      </c>
      <c r="W218" s="322" t="s">
        <v>70</v>
      </c>
      <c r="X218" s="37"/>
      <c r="Y218" s="37"/>
      <c r="Z218" s="322" t="s">
        <v>78</v>
      </c>
      <c r="AA218" s="322" t="s">
        <v>78</v>
      </c>
      <c r="AB218" s="37"/>
      <c r="AC218" s="324">
        <v>17</v>
      </c>
      <c r="AD218" s="324" t="s">
        <v>72</v>
      </c>
      <c r="AE218" s="322" t="s">
        <v>73</v>
      </c>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c r="CA218" s="393"/>
      <c r="CB218" s="393"/>
      <c r="CC218" s="393"/>
      <c r="CD218" s="393"/>
      <c r="CE218" s="393"/>
      <c r="CF218" s="393"/>
      <c r="CG218" s="393"/>
      <c r="CH218" s="393"/>
      <c r="CI218" s="393"/>
      <c r="CJ218" s="390"/>
      <c r="CK218" s="390"/>
      <c r="CL218" s="390"/>
      <c r="CM218" s="390"/>
      <c r="CN218" s="390"/>
      <c r="CO218" s="390"/>
      <c r="CP218" s="390"/>
      <c r="CQ218" s="390"/>
      <c r="CR218" s="390"/>
      <c r="CS218" s="390"/>
      <c r="CT218" s="390"/>
      <c r="CU218" s="390"/>
      <c r="CV218" s="390"/>
      <c r="CW218" s="390"/>
      <c r="CX218" s="390"/>
      <c r="CY218" s="390"/>
      <c r="CZ218" s="390"/>
      <c r="DA218" s="390"/>
      <c r="DB218" s="390"/>
      <c r="DC218" s="390"/>
    </row>
    <row r="219" spans="1:107" s="303" customFormat="1" ht="33.75">
      <c r="A219" s="37"/>
      <c r="B219" s="325" t="s">
        <v>23</v>
      </c>
      <c r="C219" s="320" t="s">
        <v>100</v>
      </c>
      <c r="D219" s="320" t="s">
        <v>1226</v>
      </c>
      <c r="E219" s="324">
        <v>536.81628000000001</v>
      </c>
      <c r="F219" s="320" t="s">
        <v>1245</v>
      </c>
      <c r="G219" s="319" t="s">
        <v>935</v>
      </c>
      <c r="H219" s="320" t="s">
        <v>66</v>
      </c>
      <c r="I219" s="319" t="s">
        <v>935</v>
      </c>
      <c r="J219" s="320" t="s">
        <v>994</v>
      </c>
      <c r="K219" s="320" t="s">
        <v>1020</v>
      </c>
      <c r="L219" s="320" t="s">
        <v>1227</v>
      </c>
      <c r="M219" s="320" t="s">
        <v>88</v>
      </c>
      <c r="N219" s="321" t="s">
        <v>98</v>
      </c>
      <c r="O219" s="321" t="s">
        <v>98</v>
      </c>
      <c r="P219" s="321" t="s">
        <v>98</v>
      </c>
      <c r="Q219" s="321" t="s">
        <v>1109</v>
      </c>
      <c r="R219" s="37"/>
      <c r="S219" s="322" t="s">
        <v>44</v>
      </c>
      <c r="T219" s="322" t="s">
        <v>75</v>
      </c>
      <c r="U219" s="322" t="s">
        <v>69</v>
      </c>
      <c r="V219" s="322" t="s">
        <v>69</v>
      </c>
      <c r="W219" s="322" t="s">
        <v>70</v>
      </c>
      <c r="X219" s="37"/>
      <c r="Y219" s="37"/>
      <c r="Z219" s="322" t="s">
        <v>78</v>
      </c>
      <c r="AA219" s="322" t="s">
        <v>78</v>
      </c>
      <c r="AB219" s="37"/>
      <c r="AC219" s="324">
        <v>17</v>
      </c>
      <c r="AD219" s="324" t="s">
        <v>72</v>
      </c>
      <c r="AE219" s="322" t="s">
        <v>73</v>
      </c>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c r="CA219" s="393"/>
      <c r="CB219" s="393"/>
      <c r="CC219" s="393"/>
      <c r="CD219" s="393"/>
      <c r="CE219" s="393"/>
      <c r="CF219" s="393"/>
      <c r="CG219" s="393"/>
      <c r="CH219" s="393"/>
      <c r="CI219" s="393"/>
      <c r="CJ219" s="390"/>
      <c r="CK219" s="390"/>
      <c r="CL219" s="390"/>
      <c r="CM219" s="390"/>
      <c r="CN219" s="390"/>
      <c r="CO219" s="390"/>
      <c r="CP219" s="390"/>
      <c r="CQ219" s="390"/>
      <c r="CR219" s="390"/>
      <c r="CS219" s="390"/>
      <c r="CT219" s="390"/>
      <c r="CU219" s="390"/>
      <c r="CV219" s="390"/>
      <c r="CW219" s="390"/>
      <c r="CX219" s="390"/>
      <c r="CY219" s="390"/>
      <c r="CZ219" s="390"/>
      <c r="DA219" s="390"/>
      <c r="DB219" s="390"/>
      <c r="DC219" s="390"/>
    </row>
    <row r="220" spans="1:107" s="303" customFormat="1" ht="33.75">
      <c r="A220" s="37"/>
      <c r="B220" s="325" t="s">
        <v>23</v>
      </c>
      <c r="C220" s="320" t="s">
        <v>100</v>
      </c>
      <c r="D220" s="320" t="s">
        <v>1226</v>
      </c>
      <c r="E220" s="324">
        <v>536.81628000000001</v>
      </c>
      <c r="F220" s="320" t="s">
        <v>1245</v>
      </c>
      <c r="G220" s="319" t="s">
        <v>935</v>
      </c>
      <c r="H220" s="320" t="s">
        <v>66</v>
      </c>
      <c r="I220" s="319" t="s">
        <v>935</v>
      </c>
      <c r="J220" s="320" t="s">
        <v>994</v>
      </c>
      <c r="K220" s="320" t="s">
        <v>1020</v>
      </c>
      <c r="L220" s="320" t="s">
        <v>1227</v>
      </c>
      <c r="M220" s="320" t="s">
        <v>90</v>
      </c>
      <c r="N220" s="321" t="s">
        <v>98</v>
      </c>
      <c r="O220" s="321" t="s">
        <v>98</v>
      </c>
      <c r="P220" s="321" t="s">
        <v>98</v>
      </c>
      <c r="Q220" s="321" t="s">
        <v>871</v>
      </c>
      <c r="R220" s="37"/>
      <c r="S220" s="322" t="s">
        <v>44</v>
      </c>
      <c r="T220" s="322" t="s">
        <v>75</v>
      </c>
      <c r="U220" s="322" t="s">
        <v>69</v>
      </c>
      <c r="V220" s="322" t="s">
        <v>69</v>
      </c>
      <c r="W220" s="322" t="s">
        <v>70</v>
      </c>
      <c r="X220" s="37"/>
      <c r="Y220" s="37"/>
      <c r="Z220" s="322" t="s">
        <v>78</v>
      </c>
      <c r="AA220" s="322" t="s">
        <v>78</v>
      </c>
      <c r="AB220" s="37"/>
      <c r="AC220" s="324">
        <v>17</v>
      </c>
      <c r="AD220" s="324" t="s">
        <v>72</v>
      </c>
      <c r="AE220" s="322" t="s">
        <v>73</v>
      </c>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c r="CA220" s="393"/>
      <c r="CB220" s="393"/>
      <c r="CC220" s="393"/>
      <c r="CD220" s="393"/>
      <c r="CE220" s="393"/>
      <c r="CF220" s="393"/>
      <c r="CG220" s="393"/>
      <c r="CH220" s="393"/>
      <c r="CI220" s="393"/>
      <c r="CJ220" s="390"/>
      <c r="CK220" s="390"/>
      <c r="CL220" s="390"/>
      <c r="CM220" s="390"/>
      <c r="CN220" s="390"/>
      <c r="CO220" s="390"/>
      <c r="CP220" s="390"/>
      <c r="CQ220" s="390"/>
      <c r="CR220" s="390"/>
      <c r="CS220" s="390"/>
      <c r="CT220" s="390"/>
      <c r="CU220" s="390"/>
      <c r="CV220" s="390"/>
      <c r="CW220" s="390"/>
      <c r="CX220" s="390"/>
      <c r="CY220" s="390"/>
      <c r="CZ220" s="390"/>
      <c r="DA220" s="390"/>
      <c r="DB220" s="390"/>
      <c r="DC220" s="390"/>
    </row>
    <row r="221" spans="1:107" s="303" customFormat="1" ht="33.75">
      <c r="A221" s="37"/>
      <c r="B221" s="325" t="s">
        <v>23</v>
      </c>
      <c r="C221" s="320" t="s">
        <v>100</v>
      </c>
      <c r="D221" s="320" t="s">
        <v>1226</v>
      </c>
      <c r="E221" s="324">
        <v>536.81628000000001</v>
      </c>
      <c r="F221" s="320" t="s">
        <v>1245</v>
      </c>
      <c r="G221" s="319" t="s">
        <v>935</v>
      </c>
      <c r="H221" s="320" t="s">
        <v>66</v>
      </c>
      <c r="I221" s="319" t="s">
        <v>935</v>
      </c>
      <c r="J221" s="320" t="s">
        <v>994</v>
      </c>
      <c r="K221" s="320" t="s">
        <v>1020</v>
      </c>
      <c r="L221" s="320" t="s">
        <v>1227</v>
      </c>
      <c r="M221" s="320" t="s">
        <v>91</v>
      </c>
      <c r="N221" s="321" t="s">
        <v>98</v>
      </c>
      <c r="O221" s="321" t="s">
        <v>870</v>
      </c>
      <c r="P221" s="321" t="s">
        <v>98</v>
      </c>
      <c r="Q221" s="321" t="s">
        <v>870</v>
      </c>
      <c r="R221" s="37"/>
      <c r="S221" s="322" t="s">
        <v>44</v>
      </c>
      <c r="T221" s="322" t="s">
        <v>75</v>
      </c>
      <c r="U221" s="322" t="s">
        <v>69</v>
      </c>
      <c r="V221" s="322" t="s">
        <v>69</v>
      </c>
      <c r="W221" s="322" t="s">
        <v>70</v>
      </c>
      <c r="X221" s="37"/>
      <c r="Y221" s="37"/>
      <c r="Z221" s="322" t="s">
        <v>78</v>
      </c>
      <c r="AA221" s="322" t="s">
        <v>78</v>
      </c>
      <c r="AB221" s="37"/>
      <c r="AC221" s="324">
        <v>17</v>
      </c>
      <c r="AD221" s="324" t="s">
        <v>72</v>
      </c>
      <c r="AE221" s="322" t="s">
        <v>73</v>
      </c>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c r="CA221" s="393"/>
      <c r="CB221" s="393"/>
      <c r="CC221" s="393"/>
      <c r="CD221" s="393"/>
      <c r="CE221" s="393"/>
      <c r="CF221" s="393"/>
      <c r="CG221" s="393"/>
      <c r="CH221" s="393"/>
      <c r="CI221" s="393"/>
      <c r="CJ221" s="390"/>
      <c r="CK221" s="390"/>
      <c r="CL221" s="390"/>
      <c r="CM221" s="390"/>
      <c r="CN221" s="390"/>
      <c r="CO221" s="390"/>
      <c r="CP221" s="390"/>
      <c r="CQ221" s="390"/>
      <c r="CR221" s="390"/>
      <c r="CS221" s="390"/>
      <c r="CT221" s="390"/>
      <c r="CU221" s="390"/>
      <c r="CV221" s="390"/>
      <c r="CW221" s="390"/>
      <c r="CX221" s="390"/>
      <c r="CY221" s="390"/>
      <c r="CZ221" s="390"/>
      <c r="DA221" s="390"/>
      <c r="DB221" s="390"/>
      <c r="DC221" s="390"/>
    </row>
    <row r="222" spans="1:107" s="303" customFormat="1" ht="33.75">
      <c r="A222" s="37"/>
      <c r="B222" s="325" t="s">
        <v>23</v>
      </c>
      <c r="C222" s="320" t="s">
        <v>100</v>
      </c>
      <c r="D222" s="320" t="s">
        <v>1226</v>
      </c>
      <c r="E222" s="324">
        <v>536.81628000000001</v>
      </c>
      <c r="F222" s="320" t="s">
        <v>1245</v>
      </c>
      <c r="G222" s="319" t="s">
        <v>935</v>
      </c>
      <c r="H222" s="320" t="s">
        <v>66</v>
      </c>
      <c r="I222" s="319" t="s">
        <v>935</v>
      </c>
      <c r="J222" s="320" t="s">
        <v>994</v>
      </c>
      <c r="K222" s="320" t="s">
        <v>1020</v>
      </c>
      <c r="L222" s="320" t="s">
        <v>1227</v>
      </c>
      <c r="M222" s="320" t="s">
        <v>92</v>
      </c>
      <c r="N222" s="321" t="s">
        <v>98</v>
      </c>
      <c r="O222" s="321" t="s">
        <v>935</v>
      </c>
      <c r="P222" s="321" t="s">
        <v>98</v>
      </c>
      <c r="Q222" s="321" t="s">
        <v>1055</v>
      </c>
      <c r="R222" s="37"/>
      <c r="S222" s="322" t="s">
        <v>44</v>
      </c>
      <c r="T222" s="322" t="s">
        <v>75</v>
      </c>
      <c r="U222" s="322" t="s">
        <v>69</v>
      </c>
      <c r="V222" s="322" t="s">
        <v>69</v>
      </c>
      <c r="W222" s="322" t="s">
        <v>70</v>
      </c>
      <c r="X222" s="37"/>
      <c r="Y222" s="37"/>
      <c r="Z222" s="322" t="s">
        <v>78</v>
      </c>
      <c r="AA222" s="322" t="s">
        <v>78</v>
      </c>
      <c r="AB222" s="37"/>
      <c r="AC222" s="324">
        <v>17</v>
      </c>
      <c r="AD222" s="324" t="s">
        <v>72</v>
      </c>
      <c r="AE222" s="322" t="s">
        <v>73</v>
      </c>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c r="CA222" s="393"/>
      <c r="CB222" s="393"/>
      <c r="CC222" s="393"/>
      <c r="CD222" s="393"/>
      <c r="CE222" s="393"/>
      <c r="CF222" s="393"/>
      <c r="CG222" s="393"/>
      <c r="CH222" s="393"/>
      <c r="CI222" s="393"/>
      <c r="CJ222" s="390"/>
      <c r="CK222" s="390"/>
      <c r="CL222" s="390"/>
      <c r="CM222" s="390"/>
      <c r="CN222" s="390"/>
      <c r="CO222" s="390"/>
      <c r="CP222" s="390"/>
      <c r="CQ222" s="390"/>
      <c r="CR222" s="390"/>
      <c r="CS222" s="390"/>
      <c r="CT222" s="390"/>
      <c r="CU222" s="390"/>
      <c r="CV222" s="390"/>
      <c r="CW222" s="390"/>
      <c r="CX222" s="390"/>
      <c r="CY222" s="390"/>
      <c r="CZ222" s="390"/>
      <c r="DA222" s="390"/>
      <c r="DB222" s="390"/>
      <c r="DC222" s="390"/>
    </row>
    <row r="223" spans="1:107" s="303" customFormat="1" ht="33.75">
      <c r="A223" s="37"/>
      <c r="B223" s="325" t="s">
        <v>23</v>
      </c>
      <c r="C223" s="320" t="s">
        <v>100</v>
      </c>
      <c r="D223" s="320" t="s">
        <v>1226</v>
      </c>
      <c r="E223" s="324">
        <v>536.81628000000001</v>
      </c>
      <c r="F223" s="320" t="s">
        <v>1245</v>
      </c>
      <c r="G223" s="319" t="s">
        <v>935</v>
      </c>
      <c r="H223" s="320" t="s">
        <v>66</v>
      </c>
      <c r="I223" s="319" t="s">
        <v>935</v>
      </c>
      <c r="J223" s="320" t="s">
        <v>994</v>
      </c>
      <c r="K223" s="320" t="s">
        <v>1020</v>
      </c>
      <c r="L223" s="320" t="s">
        <v>1227</v>
      </c>
      <c r="M223" s="320" t="s">
        <v>93</v>
      </c>
      <c r="N223" s="321" t="s">
        <v>98</v>
      </c>
      <c r="O223" s="321" t="s">
        <v>935</v>
      </c>
      <c r="P223" s="321" t="s">
        <v>98</v>
      </c>
      <c r="Q223" s="321" t="s">
        <v>1055</v>
      </c>
      <c r="R223" s="37"/>
      <c r="S223" s="322" t="s">
        <v>44</v>
      </c>
      <c r="T223" s="322" t="s">
        <v>75</v>
      </c>
      <c r="U223" s="322" t="s">
        <v>44</v>
      </c>
      <c r="V223" s="322" t="s">
        <v>75</v>
      </c>
      <c r="W223" s="322" t="s">
        <v>70</v>
      </c>
      <c r="X223" s="37"/>
      <c r="Y223" s="37"/>
      <c r="Z223" s="322" t="s">
        <v>78</v>
      </c>
      <c r="AA223" s="322" t="s">
        <v>78</v>
      </c>
      <c r="AB223" s="37"/>
      <c r="AC223" s="324">
        <v>17</v>
      </c>
      <c r="AD223" s="324" t="s">
        <v>72</v>
      </c>
      <c r="AE223" s="322" t="s">
        <v>73</v>
      </c>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c r="CA223" s="393"/>
      <c r="CB223" s="393"/>
      <c r="CC223" s="393"/>
      <c r="CD223" s="393"/>
      <c r="CE223" s="393"/>
      <c r="CF223" s="393"/>
      <c r="CG223" s="393"/>
      <c r="CH223" s="393"/>
      <c r="CI223" s="393"/>
      <c r="CJ223" s="390"/>
      <c r="CK223" s="390"/>
      <c r="CL223" s="390"/>
      <c r="CM223" s="390"/>
      <c r="CN223" s="390"/>
      <c r="CO223" s="390"/>
      <c r="CP223" s="390"/>
      <c r="CQ223" s="390"/>
      <c r="CR223" s="390"/>
      <c r="CS223" s="390"/>
      <c r="CT223" s="390"/>
      <c r="CU223" s="390"/>
      <c r="CV223" s="390"/>
      <c r="CW223" s="390"/>
      <c r="CX223" s="390"/>
      <c r="CY223" s="390"/>
      <c r="CZ223" s="390"/>
      <c r="DA223" s="390"/>
      <c r="DB223" s="390"/>
      <c r="DC223" s="390"/>
    </row>
    <row r="224" spans="1:107" s="303" customFormat="1" ht="33.75">
      <c r="A224" s="37"/>
      <c r="B224" s="325" t="s">
        <v>23</v>
      </c>
      <c r="C224" s="320" t="s">
        <v>100</v>
      </c>
      <c r="D224" s="320" t="s">
        <v>1226</v>
      </c>
      <c r="E224" s="324">
        <v>536.81628000000001</v>
      </c>
      <c r="F224" s="320" t="s">
        <v>1245</v>
      </c>
      <c r="G224" s="319" t="s">
        <v>935</v>
      </c>
      <c r="H224" s="320" t="s">
        <v>66</v>
      </c>
      <c r="I224" s="319" t="s">
        <v>935</v>
      </c>
      <c r="J224" s="320" t="s">
        <v>994</v>
      </c>
      <c r="K224" s="320" t="s">
        <v>1020</v>
      </c>
      <c r="L224" s="320" t="s">
        <v>101</v>
      </c>
      <c r="M224" s="320" t="s">
        <v>88</v>
      </c>
      <c r="N224" s="321" t="s">
        <v>98</v>
      </c>
      <c r="O224" s="321" t="s">
        <v>98</v>
      </c>
      <c r="P224" s="321" t="s">
        <v>98</v>
      </c>
      <c r="Q224" s="321" t="s">
        <v>1109</v>
      </c>
      <c r="R224" s="37"/>
      <c r="S224" s="322" t="s">
        <v>68</v>
      </c>
      <c r="T224" s="322" t="s">
        <v>63</v>
      </c>
      <c r="U224" s="322" t="s">
        <v>69</v>
      </c>
      <c r="V224" s="322" t="s">
        <v>69</v>
      </c>
      <c r="W224" s="322" t="s">
        <v>70</v>
      </c>
      <c r="X224" s="37"/>
      <c r="Y224" s="37"/>
      <c r="Z224" s="322" t="s">
        <v>78</v>
      </c>
      <c r="AA224" s="322" t="s">
        <v>78</v>
      </c>
      <c r="AB224" s="37"/>
      <c r="AC224" s="324">
        <v>17</v>
      </c>
      <c r="AD224" s="324" t="s">
        <v>72</v>
      </c>
      <c r="AE224" s="322" t="s">
        <v>73</v>
      </c>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c r="CA224" s="393"/>
      <c r="CB224" s="393"/>
      <c r="CC224" s="393"/>
      <c r="CD224" s="393"/>
      <c r="CE224" s="393"/>
      <c r="CF224" s="393"/>
      <c r="CG224" s="393"/>
      <c r="CH224" s="393"/>
      <c r="CI224" s="393"/>
      <c r="CJ224" s="390"/>
      <c r="CK224" s="390"/>
      <c r="CL224" s="390"/>
      <c r="CM224" s="390"/>
      <c r="CN224" s="390"/>
      <c r="CO224" s="390"/>
      <c r="CP224" s="390"/>
      <c r="CQ224" s="390"/>
      <c r="CR224" s="390"/>
      <c r="CS224" s="390"/>
      <c r="CT224" s="390"/>
      <c r="CU224" s="390"/>
      <c r="CV224" s="390"/>
      <c r="CW224" s="390"/>
      <c r="CX224" s="390"/>
      <c r="CY224" s="390"/>
      <c r="CZ224" s="390"/>
      <c r="DA224" s="390"/>
      <c r="DB224" s="390"/>
      <c r="DC224" s="390"/>
    </row>
    <row r="225" spans="1:107" s="303" customFormat="1" ht="33.75">
      <c r="A225" s="37"/>
      <c r="B225" s="325" t="s">
        <v>23</v>
      </c>
      <c r="C225" s="320" t="s">
        <v>100</v>
      </c>
      <c r="D225" s="320" t="s">
        <v>1226</v>
      </c>
      <c r="E225" s="324">
        <v>536.81628000000001</v>
      </c>
      <c r="F225" s="320" t="s">
        <v>1245</v>
      </c>
      <c r="G225" s="319" t="s">
        <v>935</v>
      </c>
      <c r="H225" s="320" t="s">
        <v>66</v>
      </c>
      <c r="I225" s="319" t="s">
        <v>935</v>
      </c>
      <c r="J225" s="320" t="s">
        <v>994</v>
      </c>
      <c r="K225" s="320" t="s">
        <v>1020</v>
      </c>
      <c r="L225" s="320" t="s">
        <v>101</v>
      </c>
      <c r="M225" s="320" t="s">
        <v>90</v>
      </c>
      <c r="N225" s="321" t="s">
        <v>98</v>
      </c>
      <c r="O225" s="321" t="s">
        <v>98</v>
      </c>
      <c r="P225" s="321" t="s">
        <v>98</v>
      </c>
      <c r="Q225" s="321" t="s">
        <v>871</v>
      </c>
      <c r="R225" s="37"/>
      <c r="S225" s="322" t="s">
        <v>68</v>
      </c>
      <c r="T225" s="322" t="s">
        <v>63</v>
      </c>
      <c r="U225" s="322" t="s">
        <v>69</v>
      </c>
      <c r="V225" s="322" t="s">
        <v>69</v>
      </c>
      <c r="W225" s="322" t="s">
        <v>70</v>
      </c>
      <c r="X225" s="37"/>
      <c r="Y225" s="37"/>
      <c r="Z225" s="322" t="s">
        <v>78</v>
      </c>
      <c r="AA225" s="322" t="s">
        <v>78</v>
      </c>
      <c r="AB225" s="37"/>
      <c r="AC225" s="324">
        <v>17</v>
      </c>
      <c r="AD225" s="324" t="s">
        <v>72</v>
      </c>
      <c r="AE225" s="322" t="s">
        <v>73</v>
      </c>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c r="CA225" s="393"/>
      <c r="CB225" s="393"/>
      <c r="CC225" s="393"/>
      <c r="CD225" s="393"/>
      <c r="CE225" s="393"/>
      <c r="CF225" s="393"/>
      <c r="CG225" s="393"/>
      <c r="CH225" s="393"/>
      <c r="CI225" s="393"/>
      <c r="CJ225" s="390"/>
      <c r="CK225" s="390"/>
      <c r="CL225" s="390"/>
      <c r="CM225" s="390"/>
      <c r="CN225" s="390"/>
      <c r="CO225" s="390"/>
      <c r="CP225" s="390"/>
      <c r="CQ225" s="390"/>
      <c r="CR225" s="390"/>
      <c r="CS225" s="390"/>
      <c r="CT225" s="390"/>
      <c r="CU225" s="390"/>
      <c r="CV225" s="390"/>
      <c r="CW225" s="390"/>
      <c r="CX225" s="390"/>
      <c r="CY225" s="390"/>
      <c r="CZ225" s="390"/>
      <c r="DA225" s="390"/>
      <c r="DB225" s="390"/>
      <c r="DC225" s="390"/>
    </row>
    <row r="226" spans="1:107" s="303" customFormat="1" ht="33.75">
      <c r="A226" s="37"/>
      <c r="B226" s="325" t="s">
        <v>23</v>
      </c>
      <c r="C226" s="320" t="s">
        <v>100</v>
      </c>
      <c r="D226" s="320" t="s">
        <v>1226</v>
      </c>
      <c r="E226" s="324">
        <v>536.81628000000001</v>
      </c>
      <c r="F226" s="320" t="s">
        <v>1245</v>
      </c>
      <c r="G226" s="319" t="s">
        <v>935</v>
      </c>
      <c r="H226" s="320" t="s">
        <v>66</v>
      </c>
      <c r="I226" s="319" t="s">
        <v>935</v>
      </c>
      <c r="J226" s="320" t="s">
        <v>994</v>
      </c>
      <c r="K226" s="320" t="s">
        <v>1020</v>
      </c>
      <c r="L226" s="320" t="s">
        <v>101</v>
      </c>
      <c r="M226" s="320" t="s">
        <v>91</v>
      </c>
      <c r="N226" s="321" t="s">
        <v>98</v>
      </c>
      <c r="O226" s="321" t="s">
        <v>870</v>
      </c>
      <c r="P226" s="321" t="s">
        <v>98</v>
      </c>
      <c r="Q226" s="321" t="s">
        <v>870</v>
      </c>
      <c r="R226" s="37"/>
      <c r="S226" s="322" t="s">
        <v>68</v>
      </c>
      <c r="T226" s="322" t="s">
        <v>63</v>
      </c>
      <c r="U226" s="322" t="s">
        <v>69</v>
      </c>
      <c r="V226" s="322" t="s">
        <v>69</v>
      </c>
      <c r="W226" s="322" t="s">
        <v>70</v>
      </c>
      <c r="X226" s="37"/>
      <c r="Y226" s="37"/>
      <c r="Z226" s="322" t="s">
        <v>78</v>
      </c>
      <c r="AA226" s="322" t="s">
        <v>78</v>
      </c>
      <c r="AB226" s="37"/>
      <c r="AC226" s="324">
        <v>17</v>
      </c>
      <c r="AD226" s="324" t="s">
        <v>72</v>
      </c>
      <c r="AE226" s="322" t="s">
        <v>73</v>
      </c>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c r="CA226" s="393"/>
      <c r="CB226" s="393"/>
      <c r="CC226" s="393"/>
      <c r="CD226" s="393"/>
      <c r="CE226" s="393"/>
      <c r="CF226" s="393"/>
      <c r="CG226" s="393"/>
      <c r="CH226" s="393"/>
      <c r="CI226" s="393"/>
      <c r="CJ226" s="390"/>
      <c r="CK226" s="390"/>
      <c r="CL226" s="390"/>
      <c r="CM226" s="390"/>
      <c r="CN226" s="390"/>
      <c r="CO226" s="390"/>
      <c r="CP226" s="390"/>
      <c r="CQ226" s="390"/>
      <c r="CR226" s="390"/>
      <c r="CS226" s="390"/>
      <c r="CT226" s="390"/>
      <c r="CU226" s="390"/>
      <c r="CV226" s="390"/>
      <c r="CW226" s="390"/>
      <c r="CX226" s="390"/>
      <c r="CY226" s="390"/>
      <c r="CZ226" s="390"/>
      <c r="DA226" s="390"/>
      <c r="DB226" s="390"/>
      <c r="DC226" s="390"/>
    </row>
    <row r="227" spans="1:107" s="303" customFormat="1" ht="33.75">
      <c r="A227" s="37"/>
      <c r="B227" s="325" t="s">
        <v>23</v>
      </c>
      <c r="C227" s="320" t="s">
        <v>100</v>
      </c>
      <c r="D227" s="320" t="s">
        <v>1226</v>
      </c>
      <c r="E227" s="324">
        <v>536.81628000000001</v>
      </c>
      <c r="F227" s="320" t="s">
        <v>1245</v>
      </c>
      <c r="G227" s="319" t="s">
        <v>935</v>
      </c>
      <c r="H227" s="320" t="s">
        <v>66</v>
      </c>
      <c r="I227" s="319" t="s">
        <v>935</v>
      </c>
      <c r="J227" s="320" t="s">
        <v>994</v>
      </c>
      <c r="K227" s="320" t="s">
        <v>1020</v>
      </c>
      <c r="L227" s="320" t="s">
        <v>101</v>
      </c>
      <c r="M227" s="320" t="s">
        <v>92</v>
      </c>
      <c r="N227" s="321" t="s">
        <v>98</v>
      </c>
      <c r="O227" s="321" t="s">
        <v>935</v>
      </c>
      <c r="P227" s="321" t="s">
        <v>98</v>
      </c>
      <c r="Q227" s="321" t="s">
        <v>1055</v>
      </c>
      <c r="R227" s="37"/>
      <c r="S227" s="322" t="s">
        <v>68</v>
      </c>
      <c r="T227" s="322" t="s">
        <v>63</v>
      </c>
      <c r="U227" s="322" t="s">
        <v>69</v>
      </c>
      <c r="V227" s="322" t="s">
        <v>69</v>
      </c>
      <c r="W227" s="322" t="s">
        <v>70</v>
      </c>
      <c r="X227" s="37"/>
      <c r="Y227" s="37"/>
      <c r="Z227" s="322" t="s">
        <v>78</v>
      </c>
      <c r="AA227" s="322" t="s">
        <v>78</v>
      </c>
      <c r="AB227" s="37"/>
      <c r="AC227" s="324">
        <v>17</v>
      </c>
      <c r="AD227" s="324" t="s">
        <v>72</v>
      </c>
      <c r="AE227" s="322" t="s">
        <v>73</v>
      </c>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c r="CA227" s="393"/>
      <c r="CB227" s="393"/>
      <c r="CC227" s="393"/>
      <c r="CD227" s="393"/>
      <c r="CE227" s="393"/>
      <c r="CF227" s="393"/>
      <c r="CG227" s="393"/>
      <c r="CH227" s="393"/>
      <c r="CI227" s="393"/>
      <c r="CJ227" s="390"/>
      <c r="CK227" s="390"/>
      <c r="CL227" s="390"/>
      <c r="CM227" s="390"/>
      <c r="CN227" s="390"/>
      <c r="CO227" s="390"/>
      <c r="CP227" s="390"/>
      <c r="CQ227" s="390"/>
      <c r="CR227" s="390"/>
      <c r="CS227" s="390"/>
      <c r="CT227" s="390"/>
      <c r="CU227" s="390"/>
      <c r="CV227" s="390"/>
      <c r="CW227" s="390"/>
      <c r="CX227" s="390"/>
      <c r="CY227" s="390"/>
      <c r="CZ227" s="390"/>
      <c r="DA227" s="390"/>
      <c r="DB227" s="390"/>
      <c r="DC227" s="390"/>
    </row>
    <row r="228" spans="1:107" s="303" customFormat="1" ht="33.75">
      <c r="A228" s="37"/>
      <c r="B228" s="325" t="s">
        <v>23</v>
      </c>
      <c r="C228" s="320" t="s">
        <v>100</v>
      </c>
      <c r="D228" s="320" t="s">
        <v>1226</v>
      </c>
      <c r="E228" s="324">
        <v>536.81628000000001</v>
      </c>
      <c r="F228" s="320" t="s">
        <v>1245</v>
      </c>
      <c r="G228" s="319" t="s">
        <v>935</v>
      </c>
      <c r="H228" s="320" t="s">
        <v>66</v>
      </c>
      <c r="I228" s="319" t="s">
        <v>935</v>
      </c>
      <c r="J228" s="320" t="s">
        <v>994</v>
      </c>
      <c r="K228" s="320" t="s">
        <v>1020</v>
      </c>
      <c r="L228" s="320" t="s">
        <v>101</v>
      </c>
      <c r="M228" s="320" t="s">
        <v>93</v>
      </c>
      <c r="N228" s="321" t="s">
        <v>98</v>
      </c>
      <c r="O228" s="321" t="s">
        <v>935</v>
      </c>
      <c r="P228" s="321" t="s">
        <v>98</v>
      </c>
      <c r="Q228" s="321" t="s">
        <v>1055</v>
      </c>
      <c r="R228" s="37"/>
      <c r="S228" s="322" t="s">
        <v>68</v>
      </c>
      <c r="T228" s="322" t="s">
        <v>63</v>
      </c>
      <c r="U228" s="322" t="s">
        <v>44</v>
      </c>
      <c r="V228" s="322" t="s">
        <v>75</v>
      </c>
      <c r="W228" s="322" t="s">
        <v>70</v>
      </c>
      <c r="X228" s="37"/>
      <c r="Y228" s="37"/>
      <c r="Z228" s="322" t="s">
        <v>78</v>
      </c>
      <c r="AA228" s="322" t="s">
        <v>78</v>
      </c>
      <c r="AB228" s="37"/>
      <c r="AC228" s="324">
        <v>17</v>
      </c>
      <c r="AD228" s="324" t="s">
        <v>72</v>
      </c>
      <c r="AE228" s="322" t="s">
        <v>73</v>
      </c>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c r="CA228" s="393"/>
      <c r="CB228" s="393"/>
      <c r="CC228" s="393"/>
      <c r="CD228" s="393"/>
      <c r="CE228" s="393"/>
      <c r="CF228" s="393"/>
      <c r="CG228" s="393"/>
      <c r="CH228" s="393"/>
      <c r="CI228" s="393"/>
      <c r="CJ228" s="390"/>
      <c r="CK228" s="390"/>
      <c r="CL228" s="390"/>
      <c r="CM228" s="390"/>
      <c r="CN228" s="390"/>
      <c r="CO228" s="390"/>
      <c r="CP228" s="390"/>
      <c r="CQ228" s="390"/>
      <c r="CR228" s="390"/>
      <c r="CS228" s="390"/>
      <c r="CT228" s="390"/>
      <c r="CU228" s="390"/>
      <c r="CV228" s="390"/>
      <c r="CW228" s="390"/>
      <c r="CX228" s="390"/>
      <c r="CY228" s="390"/>
      <c r="CZ228" s="390"/>
      <c r="DA228" s="390"/>
      <c r="DB228" s="390"/>
      <c r="DC228" s="390"/>
    </row>
    <row r="229" spans="1:107" s="303" customFormat="1" ht="33.75">
      <c r="A229" s="37"/>
      <c r="B229" s="325" t="s">
        <v>23</v>
      </c>
      <c r="C229" s="320" t="s">
        <v>100</v>
      </c>
      <c r="D229" s="320" t="s">
        <v>1226</v>
      </c>
      <c r="E229" s="324">
        <v>536.81628000000001</v>
      </c>
      <c r="F229" s="320" t="s">
        <v>1245</v>
      </c>
      <c r="G229" s="319" t="s">
        <v>935</v>
      </c>
      <c r="H229" s="320" t="s">
        <v>66</v>
      </c>
      <c r="I229" s="319" t="s">
        <v>935</v>
      </c>
      <c r="J229" s="320" t="s">
        <v>994</v>
      </c>
      <c r="K229" s="320" t="s">
        <v>1020</v>
      </c>
      <c r="L229" s="320" t="s">
        <v>1228</v>
      </c>
      <c r="M229" s="320" t="s">
        <v>88</v>
      </c>
      <c r="N229" s="321" t="s">
        <v>98</v>
      </c>
      <c r="O229" s="321" t="s">
        <v>98</v>
      </c>
      <c r="P229" s="321" t="s">
        <v>98</v>
      </c>
      <c r="Q229" s="321" t="s">
        <v>1109</v>
      </c>
      <c r="R229" s="37"/>
      <c r="S229" s="322" t="s">
        <v>69</v>
      </c>
      <c r="T229" s="322" t="s">
        <v>69</v>
      </c>
      <c r="U229" s="322" t="s">
        <v>69</v>
      </c>
      <c r="V229" s="322" t="s">
        <v>69</v>
      </c>
      <c r="W229" s="322" t="s">
        <v>70</v>
      </c>
      <c r="X229" s="37"/>
      <c r="Y229" s="37"/>
      <c r="Z229" s="322" t="s">
        <v>78</v>
      </c>
      <c r="AA229" s="322" t="s">
        <v>78</v>
      </c>
      <c r="AB229" s="37"/>
      <c r="AC229" s="324">
        <v>17</v>
      </c>
      <c r="AD229" s="324" t="s">
        <v>72</v>
      </c>
      <c r="AE229" s="322" t="s">
        <v>73</v>
      </c>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c r="CA229" s="393"/>
      <c r="CB229" s="393"/>
      <c r="CC229" s="393"/>
      <c r="CD229" s="393"/>
      <c r="CE229" s="393"/>
      <c r="CF229" s="393"/>
      <c r="CG229" s="393"/>
      <c r="CH229" s="393"/>
      <c r="CI229" s="393"/>
      <c r="CJ229" s="390"/>
      <c r="CK229" s="390"/>
      <c r="CL229" s="390"/>
      <c r="CM229" s="390"/>
      <c r="CN229" s="390"/>
      <c r="CO229" s="390"/>
      <c r="CP229" s="390"/>
      <c r="CQ229" s="390"/>
      <c r="CR229" s="390"/>
      <c r="CS229" s="390"/>
      <c r="CT229" s="390"/>
      <c r="CU229" s="390"/>
      <c r="CV229" s="390"/>
      <c r="CW229" s="390"/>
      <c r="CX229" s="390"/>
      <c r="CY229" s="390"/>
      <c r="CZ229" s="390"/>
      <c r="DA229" s="390"/>
      <c r="DB229" s="390"/>
      <c r="DC229" s="390"/>
    </row>
    <row r="230" spans="1:107" s="303" customFormat="1" ht="33.75">
      <c r="A230" s="37"/>
      <c r="B230" s="325" t="s">
        <v>23</v>
      </c>
      <c r="C230" s="320" t="s">
        <v>100</v>
      </c>
      <c r="D230" s="320" t="s">
        <v>1226</v>
      </c>
      <c r="E230" s="324">
        <v>536.81628000000001</v>
      </c>
      <c r="F230" s="320" t="s">
        <v>1245</v>
      </c>
      <c r="G230" s="319" t="s">
        <v>935</v>
      </c>
      <c r="H230" s="320" t="s">
        <v>66</v>
      </c>
      <c r="I230" s="319" t="s">
        <v>935</v>
      </c>
      <c r="J230" s="320" t="s">
        <v>994</v>
      </c>
      <c r="K230" s="320" t="s">
        <v>1020</v>
      </c>
      <c r="L230" s="320" t="s">
        <v>1228</v>
      </c>
      <c r="M230" s="320" t="s">
        <v>90</v>
      </c>
      <c r="N230" s="321" t="s">
        <v>98</v>
      </c>
      <c r="O230" s="321" t="s">
        <v>98</v>
      </c>
      <c r="P230" s="321" t="s">
        <v>98</v>
      </c>
      <c r="Q230" s="321" t="s">
        <v>871</v>
      </c>
      <c r="R230" s="37"/>
      <c r="S230" s="322" t="s">
        <v>69</v>
      </c>
      <c r="T230" s="322" t="s">
        <v>69</v>
      </c>
      <c r="U230" s="322" t="s">
        <v>69</v>
      </c>
      <c r="V230" s="322" t="s">
        <v>69</v>
      </c>
      <c r="W230" s="322" t="s">
        <v>70</v>
      </c>
      <c r="X230" s="37"/>
      <c r="Y230" s="37"/>
      <c r="Z230" s="322" t="s">
        <v>78</v>
      </c>
      <c r="AA230" s="322" t="s">
        <v>78</v>
      </c>
      <c r="AB230" s="37"/>
      <c r="AC230" s="324">
        <v>17</v>
      </c>
      <c r="AD230" s="324" t="s">
        <v>72</v>
      </c>
      <c r="AE230" s="322" t="s">
        <v>73</v>
      </c>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c r="CA230" s="393"/>
      <c r="CB230" s="393"/>
      <c r="CC230" s="393"/>
      <c r="CD230" s="393"/>
      <c r="CE230" s="393"/>
      <c r="CF230" s="393"/>
      <c r="CG230" s="393"/>
      <c r="CH230" s="393"/>
      <c r="CI230" s="393"/>
      <c r="CJ230" s="390"/>
      <c r="CK230" s="390"/>
      <c r="CL230" s="390"/>
      <c r="CM230" s="390"/>
      <c r="CN230" s="390"/>
      <c r="CO230" s="390"/>
      <c r="CP230" s="390"/>
      <c r="CQ230" s="390"/>
      <c r="CR230" s="390"/>
      <c r="CS230" s="390"/>
      <c r="CT230" s="390"/>
      <c r="CU230" s="390"/>
      <c r="CV230" s="390"/>
      <c r="CW230" s="390"/>
      <c r="CX230" s="390"/>
      <c r="CY230" s="390"/>
      <c r="CZ230" s="390"/>
      <c r="DA230" s="390"/>
      <c r="DB230" s="390"/>
      <c r="DC230" s="390"/>
    </row>
    <row r="231" spans="1:107" s="303" customFormat="1" ht="33.75">
      <c r="A231" s="37"/>
      <c r="B231" s="325" t="s">
        <v>23</v>
      </c>
      <c r="C231" s="320" t="s">
        <v>100</v>
      </c>
      <c r="D231" s="320" t="s">
        <v>1226</v>
      </c>
      <c r="E231" s="324">
        <v>536.81628000000001</v>
      </c>
      <c r="F231" s="320" t="s">
        <v>1245</v>
      </c>
      <c r="G231" s="319" t="s">
        <v>935</v>
      </c>
      <c r="H231" s="320" t="s">
        <v>66</v>
      </c>
      <c r="I231" s="319" t="s">
        <v>935</v>
      </c>
      <c r="J231" s="320" t="s">
        <v>994</v>
      </c>
      <c r="K231" s="320" t="s">
        <v>1020</v>
      </c>
      <c r="L231" s="320" t="s">
        <v>1228</v>
      </c>
      <c r="M231" s="320" t="s">
        <v>91</v>
      </c>
      <c r="N231" s="321" t="s">
        <v>98</v>
      </c>
      <c r="O231" s="321" t="s">
        <v>870</v>
      </c>
      <c r="P231" s="321" t="s">
        <v>98</v>
      </c>
      <c r="Q231" s="321" t="s">
        <v>870</v>
      </c>
      <c r="R231" s="37"/>
      <c r="S231" s="322" t="s">
        <v>69</v>
      </c>
      <c r="T231" s="322" t="s">
        <v>69</v>
      </c>
      <c r="U231" s="322" t="s">
        <v>69</v>
      </c>
      <c r="V231" s="322" t="s">
        <v>69</v>
      </c>
      <c r="W231" s="322" t="s">
        <v>70</v>
      </c>
      <c r="X231" s="37"/>
      <c r="Y231" s="37"/>
      <c r="Z231" s="322" t="s">
        <v>78</v>
      </c>
      <c r="AA231" s="322" t="s">
        <v>78</v>
      </c>
      <c r="AB231" s="37"/>
      <c r="AC231" s="324">
        <v>17</v>
      </c>
      <c r="AD231" s="324" t="s">
        <v>72</v>
      </c>
      <c r="AE231" s="322" t="s">
        <v>73</v>
      </c>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c r="CA231" s="393"/>
      <c r="CB231" s="393"/>
      <c r="CC231" s="393"/>
      <c r="CD231" s="393"/>
      <c r="CE231" s="393"/>
      <c r="CF231" s="393"/>
      <c r="CG231" s="393"/>
      <c r="CH231" s="393"/>
      <c r="CI231" s="393"/>
      <c r="CJ231" s="390"/>
      <c r="CK231" s="390"/>
      <c r="CL231" s="390"/>
      <c r="CM231" s="390"/>
      <c r="CN231" s="390"/>
      <c r="CO231" s="390"/>
      <c r="CP231" s="390"/>
      <c r="CQ231" s="390"/>
      <c r="CR231" s="390"/>
      <c r="CS231" s="390"/>
      <c r="CT231" s="390"/>
      <c r="CU231" s="390"/>
      <c r="CV231" s="390"/>
      <c r="CW231" s="390"/>
      <c r="CX231" s="390"/>
      <c r="CY231" s="390"/>
      <c r="CZ231" s="390"/>
      <c r="DA231" s="390"/>
      <c r="DB231" s="390"/>
      <c r="DC231" s="390"/>
    </row>
    <row r="232" spans="1:107" s="303" customFormat="1" ht="33.75">
      <c r="A232" s="37"/>
      <c r="B232" s="325" t="s">
        <v>23</v>
      </c>
      <c r="C232" s="320" t="s">
        <v>100</v>
      </c>
      <c r="D232" s="320" t="s">
        <v>1226</v>
      </c>
      <c r="E232" s="324">
        <v>536.81628000000001</v>
      </c>
      <c r="F232" s="320" t="s">
        <v>1245</v>
      </c>
      <c r="G232" s="319" t="s">
        <v>935</v>
      </c>
      <c r="H232" s="320" t="s">
        <v>66</v>
      </c>
      <c r="I232" s="319" t="s">
        <v>935</v>
      </c>
      <c r="J232" s="320" t="s">
        <v>994</v>
      </c>
      <c r="K232" s="320" t="s">
        <v>1020</v>
      </c>
      <c r="L232" s="320" t="s">
        <v>1228</v>
      </c>
      <c r="M232" s="320" t="s">
        <v>92</v>
      </c>
      <c r="N232" s="321" t="s">
        <v>98</v>
      </c>
      <c r="O232" s="321" t="s">
        <v>935</v>
      </c>
      <c r="P232" s="321" t="s">
        <v>98</v>
      </c>
      <c r="Q232" s="321" t="s">
        <v>1055</v>
      </c>
      <c r="R232" s="37"/>
      <c r="S232" s="322" t="s">
        <v>69</v>
      </c>
      <c r="T232" s="322" t="s">
        <v>69</v>
      </c>
      <c r="U232" s="322" t="s">
        <v>69</v>
      </c>
      <c r="V232" s="322" t="s">
        <v>69</v>
      </c>
      <c r="W232" s="322" t="s">
        <v>70</v>
      </c>
      <c r="X232" s="37"/>
      <c r="Y232" s="37"/>
      <c r="Z232" s="322" t="s">
        <v>78</v>
      </c>
      <c r="AA232" s="322" t="s">
        <v>78</v>
      </c>
      <c r="AB232" s="37"/>
      <c r="AC232" s="324">
        <v>17</v>
      </c>
      <c r="AD232" s="324" t="s">
        <v>72</v>
      </c>
      <c r="AE232" s="322" t="s">
        <v>73</v>
      </c>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c r="CA232" s="393"/>
      <c r="CB232" s="393"/>
      <c r="CC232" s="393"/>
      <c r="CD232" s="393"/>
      <c r="CE232" s="393"/>
      <c r="CF232" s="393"/>
      <c r="CG232" s="393"/>
      <c r="CH232" s="393"/>
      <c r="CI232" s="393"/>
      <c r="CJ232" s="390"/>
      <c r="CK232" s="390"/>
      <c r="CL232" s="390"/>
      <c r="CM232" s="390"/>
      <c r="CN232" s="390"/>
      <c r="CO232" s="390"/>
      <c r="CP232" s="390"/>
      <c r="CQ232" s="390"/>
      <c r="CR232" s="390"/>
      <c r="CS232" s="390"/>
      <c r="CT232" s="390"/>
      <c r="CU232" s="390"/>
      <c r="CV232" s="390"/>
      <c r="CW232" s="390"/>
      <c r="CX232" s="390"/>
      <c r="CY232" s="390"/>
      <c r="CZ232" s="390"/>
      <c r="DA232" s="390"/>
      <c r="DB232" s="390"/>
      <c r="DC232" s="390"/>
    </row>
    <row r="233" spans="1:107" s="303" customFormat="1" ht="33.75">
      <c r="A233" s="37"/>
      <c r="B233" s="325" t="s">
        <v>23</v>
      </c>
      <c r="C233" s="320" t="s">
        <v>100</v>
      </c>
      <c r="D233" s="320" t="s">
        <v>1226</v>
      </c>
      <c r="E233" s="324">
        <v>536.81628000000001</v>
      </c>
      <c r="F233" s="320" t="s">
        <v>1245</v>
      </c>
      <c r="G233" s="319" t="s">
        <v>935</v>
      </c>
      <c r="H233" s="320" t="s">
        <v>66</v>
      </c>
      <c r="I233" s="319" t="s">
        <v>935</v>
      </c>
      <c r="J233" s="320" t="s">
        <v>994</v>
      </c>
      <c r="K233" s="320" t="s">
        <v>1020</v>
      </c>
      <c r="L233" s="320" t="s">
        <v>1228</v>
      </c>
      <c r="M233" s="320" t="s">
        <v>93</v>
      </c>
      <c r="N233" s="321" t="s">
        <v>98</v>
      </c>
      <c r="O233" s="321" t="s">
        <v>935</v>
      </c>
      <c r="P233" s="321" t="s">
        <v>98</v>
      </c>
      <c r="Q233" s="321" t="s">
        <v>1055</v>
      </c>
      <c r="R233" s="37"/>
      <c r="S233" s="322" t="s">
        <v>69</v>
      </c>
      <c r="T233" s="322" t="s">
        <v>69</v>
      </c>
      <c r="U233" s="322" t="s">
        <v>44</v>
      </c>
      <c r="V233" s="322" t="s">
        <v>75</v>
      </c>
      <c r="W233" s="322" t="s">
        <v>70</v>
      </c>
      <c r="X233" s="37"/>
      <c r="Y233" s="37"/>
      <c r="Z233" s="322" t="s">
        <v>78</v>
      </c>
      <c r="AA233" s="322" t="s">
        <v>78</v>
      </c>
      <c r="AB233" s="37"/>
      <c r="AC233" s="324">
        <v>17</v>
      </c>
      <c r="AD233" s="324" t="s">
        <v>72</v>
      </c>
      <c r="AE233" s="322" t="s">
        <v>73</v>
      </c>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c r="CA233" s="393"/>
      <c r="CB233" s="393"/>
      <c r="CC233" s="393"/>
      <c r="CD233" s="393"/>
      <c r="CE233" s="393"/>
      <c r="CF233" s="393"/>
      <c r="CG233" s="393"/>
      <c r="CH233" s="393"/>
      <c r="CI233" s="393"/>
      <c r="CJ233" s="390"/>
      <c r="CK233" s="390"/>
      <c r="CL233" s="390"/>
      <c r="CM233" s="390"/>
      <c r="CN233" s="390"/>
      <c r="CO233" s="390"/>
      <c r="CP233" s="390"/>
      <c r="CQ233" s="390"/>
      <c r="CR233" s="390"/>
      <c r="CS233" s="390"/>
      <c r="CT233" s="390"/>
      <c r="CU233" s="390"/>
      <c r="CV233" s="390"/>
      <c r="CW233" s="390"/>
      <c r="CX233" s="390"/>
      <c r="CY233" s="390"/>
      <c r="CZ233" s="390"/>
      <c r="DA233" s="390"/>
      <c r="DB233" s="390"/>
      <c r="DC233" s="390"/>
    </row>
    <row r="234" spans="1:107" s="303" customFormat="1" ht="56.25">
      <c r="A234" s="37"/>
      <c r="B234" s="325" t="s">
        <v>23</v>
      </c>
      <c r="C234" s="320" t="s">
        <v>100</v>
      </c>
      <c r="D234" s="320" t="s">
        <v>1220</v>
      </c>
      <c r="E234" s="324">
        <v>536.81628000000001</v>
      </c>
      <c r="F234" s="320" t="s">
        <v>27</v>
      </c>
      <c r="G234" s="319" t="s">
        <v>935</v>
      </c>
      <c r="H234" s="320" t="s">
        <v>66</v>
      </c>
      <c r="I234" s="319" t="s">
        <v>935</v>
      </c>
      <c r="J234" s="320" t="s">
        <v>1097</v>
      </c>
      <c r="K234" s="320" t="s">
        <v>1020</v>
      </c>
      <c r="L234" s="320" t="s">
        <v>960</v>
      </c>
      <c r="M234" s="320" t="s">
        <v>88</v>
      </c>
      <c r="N234" s="321" t="s">
        <v>98</v>
      </c>
      <c r="O234" s="321" t="s">
        <v>98</v>
      </c>
      <c r="P234" s="321" t="s">
        <v>98</v>
      </c>
      <c r="Q234" s="321" t="s">
        <v>1109</v>
      </c>
      <c r="R234" s="37"/>
      <c r="S234" s="322" t="s">
        <v>69</v>
      </c>
      <c r="T234" s="322" t="s">
        <v>69</v>
      </c>
      <c r="U234" s="322" t="s">
        <v>69</v>
      </c>
      <c r="V234" s="322" t="s">
        <v>69</v>
      </c>
      <c r="W234" s="322" t="s">
        <v>70</v>
      </c>
      <c r="X234" s="37"/>
      <c r="Y234" s="37"/>
      <c r="Z234" s="322" t="s">
        <v>78</v>
      </c>
      <c r="AA234" s="322" t="s">
        <v>78</v>
      </c>
      <c r="AB234" s="37"/>
      <c r="AC234" s="324">
        <v>17</v>
      </c>
      <c r="AD234" s="324" t="s">
        <v>72</v>
      </c>
      <c r="AE234" s="322" t="s">
        <v>73</v>
      </c>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c r="CA234" s="393"/>
      <c r="CB234" s="393"/>
      <c r="CC234" s="393"/>
      <c r="CD234" s="393"/>
      <c r="CE234" s="393"/>
      <c r="CF234" s="393"/>
      <c r="CG234" s="393"/>
      <c r="CH234" s="393"/>
      <c r="CI234" s="393"/>
      <c r="CJ234" s="390"/>
      <c r="CK234" s="390"/>
      <c r="CL234" s="390"/>
      <c r="CM234" s="390"/>
      <c r="CN234" s="390"/>
      <c r="CO234" s="390"/>
      <c r="CP234" s="390"/>
      <c r="CQ234" s="390"/>
      <c r="CR234" s="390"/>
      <c r="CS234" s="390"/>
      <c r="CT234" s="390"/>
      <c r="CU234" s="390"/>
      <c r="CV234" s="390"/>
      <c r="CW234" s="390"/>
      <c r="CX234" s="390"/>
      <c r="CY234" s="390"/>
      <c r="CZ234" s="390"/>
      <c r="DA234" s="390"/>
      <c r="DB234" s="390"/>
      <c r="DC234" s="390"/>
    </row>
    <row r="235" spans="1:107" s="303" customFormat="1" ht="56.25">
      <c r="A235" s="37"/>
      <c r="B235" s="325" t="s">
        <v>23</v>
      </c>
      <c r="C235" s="320" t="s">
        <v>100</v>
      </c>
      <c r="D235" s="320" t="s">
        <v>1220</v>
      </c>
      <c r="E235" s="324">
        <v>536.81628000000001</v>
      </c>
      <c r="F235" s="320" t="s">
        <v>27</v>
      </c>
      <c r="G235" s="319" t="s">
        <v>935</v>
      </c>
      <c r="H235" s="320" t="s">
        <v>66</v>
      </c>
      <c r="I235" s="319" t="s">
        <v>935</v>
      </c>
      <c r="J235" s="320" t="s">
        <v>1097</v>
      </c>
      <c r="K235" s="320" t="s">
        <v>1020</v>
      </c>
      <c r="L235" s="320" t="s">
        <v>960</v>
      </c>
      <c r="M235" s="320" t="s">
        <v>90</v>
      </c>
      <c r="N235" s="321" t="s">
        <v>98</v>
      </c>
      <c r="O235" s="321" t="s">
        <v>98</v>
      </c>
      <c r="P235" s="321" t="s">
        <v>98</v>
      </c>
      <c r="Q235" s="321" t="s">
        <v>871</v>
      </c>
      <c r="R235" s="37"/>
      <c r="S235" s="322" t="s">
        <v>69</v>
      </c>
      <c r="T235" s="322" t="s">
        <v>69</v>
      </c>
      <c r="U235" s="322" t="s">
        <v>69</v>
      </c>
      <c r="V235" s="322" t="s">
        <v>69</v>
      </c>
      <c r="W235" s="322" t="s">
        <v>70</v>
      </c>
      <c r="X235" s="37"/>
      <c r="Y235" s="37"/>
      <c r="Z235" s="322" t="s">
        <v>78</v>
      </c>
      <c r="AA235" s="322" t="s">
        <v>78</v>
      </c>
      <c r="AB235" s="37"/>
      <c r="AC235" s="324">
        <v>17</v>
      </c>
      <c r="AD235" s="324" t="s">
        <v>72</v>
      </c>
      <c r="AE235" s="322" t="s">
        <v>73</v>
      </c>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c r="CA235" s="393"/>
      <c r="CB235" s="393"/>
      <c r="CC235" s="393"/>
      <c r="CD235" s="393"/>
      <c r="CE235" s="393"/>
      <c r="CF235" s="393"/>
      <c r="CG235" s="393"/>
      <c r="CH235" s="393"/>
      <c r="CI235" s="393"/>
      <c r="CJ235" s="390"/>
      <c r="CK235" s="390"/>
      <c r="CL235" s="390"/>
      <c r="CM235" s="390"/>
      <c r="CN235" s="390"/>
      <c r="CO235" s="390"/>
      <c r="CP235" s="390"/>
      <c r="CQ235" s="390"/>
      <c r="CR235" s="390"/>
      <c r="CS235" s="390"/>
      <c r="CT235" s="390"/>
      <c r="CU235" s="390"/>
      <c r="CV235" s="390"/>
      <c r="CW235" s="390"/>
      <c r="CX235" s="390"/>
      <c r="CY235" s="390"/>
      <c r="CZ235" s="390"/>
      <c r="DA235" s="390"/>
      <c r="DB235" s="390"/>
      <c r="DC235" s="390"/>
    </row>
    <row r="236" spans="1:107" s="303" customFormat="1" ht="56.25">
      <c r="A236" s="37"/>
      <c r="B236" s="325" t="s">
        <v>23</v>
      </c>
      <c r="C236" s="320" t="s">
        <v>100</v>
      </c>
      <c r="D236" s="320" t="s">
        <v>1220</v>
      </c>
      <c r="E236" s="324">
        <v>536.81628000000001</v>
      </c>
      <c r="F236" s="320" t="s">
        <v>27</v>
      </c>
      <c r="G236" s="319" t="s">
        <v>935</v>
      </c>
      <c r="H236" s="320" t="s">
        <v>66</v>
      </c>
      <c r="I236" s="319" t="s">
        <v>935</v>
      </c>
      <c r="J236" s="320" t="s">
        <v>1097</v>
      </c>
      <c r="K236" s="320" t="s">
        <v>1020</v>
      </c>
      <c r="L236" s="320" t="s">
        <v>960</v>
      </c>
      <c r="M236" s="320" t="s">
        <v>91</v>
      </c>
      <c r="N236" s="321" t="s">
        <v>98</v>
      </c>
      <c r="O236" s="321" t="s">
        <v>870</v>
      </c>
      <c r="P236" s="321" t="s">
        <v>98</v>
      </c>
      <c r="Q236" s="321" t="s">
        <v>870</v>
      </c>
      <c r="R236" s="37"/>
      <c r="S236" s="322" t="s">
        <v>69</v>
      </c>
      <c r="T236" s="322" t="s">
        <v>69</v>
      </c>
      <c r="U236" s="322" t="s">
        <v>69</v>
      </c>
      <c r="V236" s="322" t="s">
        <v>69</v>
      </c>
      <c r="W236" s="322" t="s">
        <v>70</v>
      </c>
      <c r="X236" s="37"/>
      <c r="Y236" s="37"/>
      <c r="Z236" s="322" t="s">
        <v>78</v>
      </c>
      <c r="AA236" s="322" t="s">
        <v>78</v>
      </c>
      <c r="AB236" s="37"/>
      <c r="AC236" s="324">
        <v>17</v>
      </c>
      <c r="AD236" s="324" t="s">
        <v>72</v>
      </c>
      <c r="AE236" s="322" t="s">
        <v>73</v>
      </c>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c r="CA236" s="393"/>
      <c r="CB236" s="393"/>
      <c r="CC236" s="393"/>
      <c r="CD236" s="393"/>
      <c r="CE236" s="393"/>
      <c r="CF236" s="393"/>
      <c r="CG236" s="393"/>
      <c r="CH236" s="393"/>
      <c r="CI236" s="393"/>
      <c r="CJ236" s="390"/>
      <c r="CK236" s="390"/>
      <c r="CL236" s="390"/>
      <c r="CM236" s="390"/>
      <c r="CN236" s="390"/>
      <c r="CO236" s="390"/>
      <c r="CP236" s="390"/>
      <c r="CQ236" s="390"/>
      <c r="CR236" s="390"/>
      <c r="CS236" s="390"/>
      <c r="CT236" s="390"/>
      <c r="CU236" s="390"/>
      <c r="CV236" s="390"/>
      <c r="CW236" s="390"/>
      <c r="CX236" s="390"/>
      <c r="CY236" s="390"/>
      <c r="CZ236" s="390"/>
      <c r="DA236" s="390"/>
      <c r="DB236" s="390"/>
      <c r="DC236" s="390"/>
    </row>
    <row r="237" spans="1:107" s="303" customFormat="1" ht="56.25">
      <c r="A237" s="37"/>
      <c r="B237" s="325" t="s">
        <v>23</v>
      </c>
      <c r="C237" s="320" t="s">
        <v>100</v>
      </c>
      <c r="D237" s="320" t="s">
        <v>1220</v>
      </c>
      <c r="E237" s="324">
        <v>536.81628000000001</v>
      </c>
      <c r="F237" s="320" t="s">
        <v>27</v>
      </c>
      <c r="G237" s="319" t="s">
        <v>935</v>
      </c>
      <c r="H237" s="320" t="s">
        <v>66</v>
      </c>
      <c r="I237" s="319" t="s">
        <v>935</v>
      </c>
      <c r="J237" s="320" t="s">
        <v>1097</v>
      </c>
      <c r="K237" s="320" t="s">
        <v>1020</v>
      </c>
      <c r="L237" s="320" t="s">
        <v>960</v>
      </c>
      <c r="M237" s="320" t="s">
        <v>92</v>
      </c>
      <c r="N237" s="321" t="s">
        <v>98</v>
      </c>
      <c r="O237" s="321" t="s">
        <v>935</v>
      </c>
      <c r="P237" s="321" t="s">
        <v>98</v>
      </c>
      <c r="Q237" s="321" t="s">
        <v>1055</v>
      </c>
      <c r="R237" s="37"/>
      <c r="S237" s="322" t="s">
        <v>69</v>
      </c>
      <c r="T237" s="322" t="s">
        <v>69</v>
      </c>
      <c r="U237" s="322" t="s">
        <v>69</v>
      </c>
      <c r="V237" s="322" t="s">
        <v>69</v>
      </c>
      <c r="W237" s="322" t="s">
        <v>70</v>
      </c>
      <c r="X237" s="37"/>
      <c r="Y237" s="37"/>
      <c r="Z237" s="322" t="s">
        <v>78</v>
      </c>
      <c r="AA237" s="322" t="s">
        <v>78</v>
      </c>
      <c r="AB237" s="37"/>
      <c r="AC237" s="324">
        <v>17</v>
      </c>
      <c r="AD237" s="324" t="s">
        <v>72</v>
      </c>
      <c r="AE237" s="322" t="s">
        <v>73</v>
      </c>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c r="CA237" s="393"/>
      <c r="CB237" s="393"/>
      <c r="CC237" s="393"/>
      <c r="CD237" s="393"/>
      <c r="CE237" s="393"/>
      <c r="CF237" s="393"/>
      <c r="CG237" s="393"/>
      <c r="CH237" s="393"/>
      <c r="CI237" s="393"/>
      <c r="CJ237" s="390"/>
      <c r="CK237" s="390"/>
      <c r="CL237" s="390"/>
      <c r="CM237" s="390"/>
      <c r="CN237" s="390"/>
      <c r="CO237" s="390"/>
      <c r="CP237" s="390"/>
      <c r="CQ237" s="390"/>
      <c r="CR237" s="390"/>
      <c r="CS237" s="390"/>
      <c r="CT237" s="390"/>
      <c r="CU237" s="390"/>
      <c r="CV237" s="390"/>
      <c r="CW237" s="390"/>
      <c r="CX237" s="390"/>
      <c r="CY237" s="390"/>
      <c r="CZ237" s="390"/>
      <c r="DA237" s="390"/>
      <c r="DB237" s="390"/>
      <c r="DC237" s="390"/>
    </row>
    <row r="238" spans="1:107" s="303" customFormat="1" ht="56.25">
      <c r="A238" s="37"/>
      <c r="B238" s="325" t="s">
        <v>23</v>
      </c>
      <c r="C238" s="320" t="s">
        <v>100</v>
      </c>
      <c r="D238" s="320" t="s">
        <v>1220</v>
      </c>
      <c r="E238" s="324">
        <v>536.81628000000001</v>
      </c>
      <c r="F238" s="320" t="s">
        <v>27</v>
      </c>
      <c r="G238" s="319" t="s">
        <v>935</v>
      </c>
      <c r="H238" s="320" t="s">
        <v>66</v>
      </c>
      <c r="I238" s="319" t="s">
        <v>935</v>
      </c>
      <c r="J238" s="320" t="s">
        <v>1097</v>
      </c>
      <c r="K238" s="320" t="s">
        <v>1020</v>
      </c>
      <c r="L238" s="320" t="s">
        <v>960</v>
      </c>
      <c r="M238" s="320" t="s">
        <v>93</v>
      </c>
      <c r="N238" s="321" t="s">
        <v>98</v>
      </c>
      <c r="O238" s="321" t="s">
        <v>935</v>
      </c>
      <c r="P238" s="321" t="s">
        <v>98</v>
      </c>
      <c r="Q238" s="321" t="s">
        <v>1055</v>
      </c>
      <c r="R238" s="37"/>
      <c r="S238" s="322" t="s">
        <v>69</v>
      </c>
      <c r="T238" s="322" t="s">
        <v>69</v>
      </c>
      <c r="U238" s="322" t="s">
        <v>44</v>
      </c>
      <c r="V238" s="322" t="s">
        <v>75</v>
      </c>
      <c r="W238" s="322" t="s">
        <v>70</v>
      </c>
      <c r="X238" s="37"/>
      <c r="Y238" s="37"/>
      <c r="Z238" s="322" t="s">
        <v>78</v>
      </c>
      <c r="AA238" s="322" t="s">
        <v>78</v>
      </c>
      <c r="AB238" s="37"/>
      <c r="AC238" s="324">
        <v>17</v>
      </c>
      <c r="AD238" s="324" t="s">
        <v>72</v>
      </c>
      <c r="AE238" s="322" t="s">
        <v>73</v>
      </c>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c r="CA238" s="393"/>
      <c r="CB238" s="393"/>
      <c r="CC238" s="393"/>
      <c r="CD238" s="393"/>
      <c r="CE238" s="393"/>
      <c r="CF238" s="393"/>
      <c r="CG238" s="393"/>
      <c r="CH238" s="393"/>
      <c r="CI238" s="393"/>
      <c r="CJ238" s="390"/>
      <c r="CK238" s="390"/>
      <c r="CL238" s="390"/>
      <c r="CM238" s="390"/>
      <c r="CN238" s="390"/>
      <c r="CO238" s="390"/>
      <c r="CP238" s="390"/>
      <c r="CQ238" s="390"/>
      <c r="CR238" s="390"/>
      <c r="CS238" s="390"/>
      <c r="CT238" s="390"/>
      <c r="CU238" s="390"/>
      <c r="CV238" s="390"/>
      <c r="CW238" s="390"/>
      <c r="CX238" s="390"/>
      <c r="CY238" s="390"/>
      <c r="CZ238" s="390"/>
      <c r="DA238" s="390"/>
      <c r="DB238" s="390"/>
      <c r="DC238" s="390"/>
    </row>
    <row r="239" spans="1:107" s="317" customFormat="1" ht="56.25">
      <c r="A239" s="37"/>
      <c r="B239" s="332" t="s">
        <v>23</v>
      </c>
      <c r="C239" s="333" t="s">
        <v>100</v>
      </c>
      <c r="D239" s="320" t="s">
        <v>1220</v>
      </c>
      <c r="E239" s="334">
        <v>536.81628000000001</v>
      </c>
      <c r="F239" s="333" t="s">
        <v>27</v>
      </c>
      <c r="G239" s="319" t="s">
        <v>935</v>
      </c>
      <c r="H239" s="320" t="s">
        <v>66</v>
      </c>
      <c r="I239" s="319" t="s">
        <v>935</v>
      </c>
      <c r="J239" s="320" t="s">
        <v>1097</v>
      </c>
      <c r="K239" s="320" t="s">
        <v>1020</v>
      </c>
      <c r="L239" s="333" t="s">
        <v>15</v>
      </c>
      <c r="M239" s="333" t="s">
        <v>88</v>
      </c>
      <c r="N239" s="321" t="s">
        <v>98</v>
      </c>
      <c r="O239" s="335" t="s">
        <v>98</v>
      </c>
      <c r="P239" s="321" t="s">
        <v>98</v>
      </c>
      <c r="Q239" s="321" t="s">
        <v>1109</v>
      </c>
      <c r="R239" s="37"/>
      <c r="S239" s="336" t="s">
        <v>44</v>
      </c>
      <c r="T239" s="336" t="s">
        <v>75</v>
      </c>
      <c r="U239" s="336" t="s">
        <v>69</v>
      </c>
      <c r="V239" s="336" t="s">
        <v>69</v>
      </c>
      <c r="W239" s="336" t="s">
        <v>70</v>
      </c>
      <c r="X239" s="37"/>
      <c r="Y239" s="37"/>
      <c r="Z239" s="336" t="s">
        <v>78</v>
      </c>
      <c r="AA239" s="336" t="s">
        <v>78</v>
      </c>
      <c r="AB239" s="37"/>
      <c r="AC239" s="334">
        <v>17</v>
      </c>
      <c r="AD239" s="334" t="s">
        <v>72</v>
      </c>
      <c r="AE239" s="336" t="s">
        <v>73</v>
      </c>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c r="CA239" s="393"/>
      <c r="CB239" s="393"/>
      <c r="CC239" s="393"/>
      <c r="CD239" s="393"/>
      <c r="CE239" s="393"/>
      <c r="CF239" s="393"/>
      <c r="CG239" s="393"/>
      <c r="CH239" s="393"/>
      <c r="CI239" s="393"/>
      <c r="CJ239" s="390"/>
      <c r="CK239" s="390"/>
      <c r="CL239" s="390"/>
      <c r="CM239" s="390"/>
      <c r="CN239" s="390"/>
      <c r="CO239" s="390"/>
      <c r="CP239" s="390"/>
      <c r="CQ239" s="390"/>
      <c r="CR239" s="390"/>
      <c r="CS239" s="390"/>
      <c r="CT239" s="390"/>
      <c r="CU239" s="390"/>
      <c r="CV239" s="390"/>
      <c r="CW239" s="390"/>
      <c r="CX239" s="390"/>
      <c r="CY239" s="390"/>
      <c r="CZ239" s="390"/>
      <c r="DA239" s="390"/>
      <c r="DB239" s="390"/>
      <c r="DC239" s="390"/>
    </row>
    <row r="240" spans="1:107" s="317" customFormat="1" ht="56.25">
      <c r="A240" s="37"/>
      <c r="B240" s="332" t="s">
        <v>23</v>
      </c>
      <c r="C240" s="333" t="s">
        <v>100</v>
      </c>
      <c r="D240" s="320" t="s">
        <v>1220</v>
      </c>
      <c r="E240" s="334">
        <v>536.81628000000001</v>
      </c>
      <c r="F240" s="333" t="s">
        <v>27</v>
      </c>
      <c r="G240" s="319" t="s">
        <v>935</v>
      </c>
      <c r="H240" s="320" t="s">
        <v>66</v>
      </c>
      <c r="I240" s="319" t="s">
        <v>935</v>
      </c>
      <c r="J240" s="320" t="s">
        <v>1097</v>
      </c>
      <c r="K240" s="320" t="s">
        <v>1020</v>
      </c>
      <c r="L240" s="333" t="s">
        <v>15</v>
      </c>
      <c r="M240" s="333" t="s">
        <v>90</v>
      </c>
      <c r="N240" s="321" t="s">
        <v>98</v>
      </c>
      <c r="O240" s="335" t="s">
        <v>98</v>
      </c>
      <c r="P240" s="321" t="s">
        <v>98</v>
      </c>
      <c r="Q240" s="321" t="s">
        <v>871</v>
      </c>
      <c r="R240" s="37"/>
      <c r="S240" s="336" t="s">
        <v>44</v>
      </c>
      <c r="T240" s="336" t="s">
        <v>75</v>
      </c>
      <c r="U240" s="336" t="s">
        <v>69</v>
      </c>
      <c r="V240" s="336" t="s">
        <v>69</v>
      </c>
      <c r="W240" s="336" t="s">
        <v>70</v>
      </c>
      <c r="X240" s="37"/>
      <c r="Y240" s="37"/>
      <c r="Z240" s="336" t="s">
        <v>78</v>
      </c>
      <c r="AA240" s="336" t="s">
        <v>78</v>
      </c>
      <c r="AB240" s="37"/>
      <c r="AC240" s="334">
        <v>17</v>
      </c>
      <c r="AD240" s="334" t="s">
        <v>72</v>
      </c>
      <c r="AE240" s="336" t="s">
        <v>73</v>
      </c>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c r="CA240" s="393"/>
      <c r="CB240" s="393"/>
      <c r="CC240" s="393"/>
      <c r="CD240" s="393"/>
      <c r="CE240" s="393"/>
      <c r="CF240" s="393"/>
      <c r="CG240" s="393"/>
      <c r="CH240" s="393"/>
      <c r="CI240" s="393"/>
      <c r="CJ240" s="390"/>
      <c r="CK240" s="390"/>
      <c r="CL240" s="390"/>
      <c r="CM240" s="390"/>
      <c r="CN240" s="390"/>
      <c r="CO240" s="390"/>
      <c r="CP240" s="390"/>
      <c r="CQ240" s="390"/>
      <c r="CR240" s="390"/>
      <c r="CS240" s="390"/>
      <c r="CT240" s="390"/>
      <c r="CU240" s="390"/>
      <c r="CV240" s="390"/>
      <c r="CW240" s="390"/>
      <c r="CX240" s="390"/>
      <c r="CY240" s="390"/>
      <c r="CZ240" s="390"/>
      <c r="DA240" s="390"/>
      <c r="DB240" s="390"/>
      <c r="DC240" s="390"/>
    </row>
    <row r="241" spans="1:107" s="317" customFormat="1" ht="56.25">
      <c r="A241" s="37"/>
      <c r="B241" s="332" t="s">
        <v>23</v>
      </c>
      <c r="C241" s="333" t="s">
        <v>100</v>
      </c>
      <c r="D241" s="320" t="s">
        <v>1220</v>
      </c>
      <c r="E241" s="334">
        <v>536.81628000000001</v>
      </c>
      <c r="F241" s="333" t="s">
        <v>27</v>
      </c>
      <c r="G241" s="319" t="s">
        <v>935</v>
      </c>
      <c r="H241" s="320" t="s">
        <v>66</v>
      </c>
      <c r="I241" s="319" t="s">
        <v>935</v>
      </c>
      <c r="J241" s="320" t="s">
        <v>1097</v>
      </c>
      <c r="K241" s="320" t="s">
        <v>1020</v>
      </c>
      <c r="L241" s="333" t="s">
        <v>15</v>
      </c>
      <c r="M241" s="333" t="s">
        <v>91</v>
      </c>
      <c r="N241" s="321" t="s">
        <v>98</v>
      </c>
      <c r="O241" s="321" t="s">
        <v>870</v>
      </c>
      <c r="P241" s="321" t="s">
        <v>98</v>
      </c>
      <c r="Q241" s="321" t="s">
        <v>870</v>
      </c>
      <c r="R241" s="37"/>
      <c r="S241" s="336" t="s">
        <v>44</v>
      </c>
      <c r="T241" s="336" t="s">
        <v>75</v>
      </c>
      <c r="U241" s="336" t="s">
        <v>69</v>
      </c>
      <c r="V241" s="336" t="s">
        <v>69</v>
      </c>
      <c r="W241" s="336" t="s">
        <v>70</v>
      </c>
      <c r="X241" s="37"/>
      <c r="Y241" s="37"/>
      <c r="Z241" s="336" t="s">
        <v>78</v>
      </c>
      <c r="AA241" s="336" t="s">
        <v>78</v>
      </c>
      <c r="AB241" s="37"/>
      <c r="AC241" s="334">
        <v>17</v>
      </c>
      <c r="AD241" s="334" t="s">
        <v>72</v>
      </c>
      <c r="AE241" s="336" t="s">
        <v>73</v>
      </c>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c r="CA241" s="393"/>
      <c r="CB241" s="393"/>
      <c r="CC241" s="393"/>
      <c r="CD241" s="393"/>
      <c r="CE241" s="393"/>
      <c r="CF241" s="393"/>
      <c r="CG241" s="393"/>
      <c r="CH241" s="393"/>
      <c r="CI241" s="393"/>
      <c r="CJ241" s="390"/>
      <c r="CK241" s="390"/>
      <c r="CL241" s="390"/>
      <c r="CM241" s="390"/>
      <c r="CN241" s="390"/>
      <c r="CO241" s="390"/>
      <c r="CP241" s="390"/>
      <c r="CQ241" s="390"/>
      <c r="CR241" s="390"/>
      <c r="CS241" s="390"/>
      <c r="CT241" s="390"/>
      <c r="CU241" s="390"/>
      <c r="CV241" s="390"/>
      <c r="CW241" s="390"/>
      <c r="CX241" s="390"/>
      <c r="CY241" s="390"/>
      <c r="CZ241" s="390"/>
      <c r="DA241" s="390"/>
      <c r="DB241" s="390"/>
      <c r="DC241" s="390"/>
    </row>
    <row r="242" spans="1:107" s="317" customFormat="1" ht="56.25">
      <c r="A242" s="37"/>
      <c r="B242" s="332" t="s">
        <v>23</v>
      </c>
      <c r="C242" s="333" t="s">
        <v>100</v>
      </c>
      <c r="D242" s="320" t="s">
        <v>1220</v>
      </c>
      <c r="E242" s="334">
        <v>536.81628000000001</v>
      </c>
      <c r="F242" s="333" t="s">
        <v>27</v>
      </c>
      <c r="G242" s="319" t="s">
        <v>935</v>
      </c>
      <c r="H242" s="320" t="s">
        <v>66</v>
      </c>
      <c r="I242" s="319" t="s">
        <v>935</v>
      </c>
      <c r="J242" s="320" t="s">
        <v>1097</v>
      </c>
      <c r="K242" s="320" t="s">
        <v>1020</v>
      </c>
      <c r="L242" s="333" t="s">
        <v>15</v>
      </c>
      <c r="M242" s="333" t="s">
        <v>92</v>
      </c>
      <c r="N242" s="321" t="s">
        <v>98</v>
      </c>
      <c r="O242" s="321" t="s">
        <v>935</v>
      </c>
      <c r="P242" s="321" t="s">
        <v>98</v>
      </c>
      <c r="Q242" s="321" t="s">
        <v>1055</v>
      </c>
      <c r="R242" s="37"/>
      <c r="S242" s="336" t="s">
        <v>44</v>
      </c>
      <c r="T242" s="336" t="s">
        <v>75</v>
      </c>
      <c r="U242" s="336" t="s">
        <v>69</v>
      </c>
      <c r="V242" s="336" t="s">
        <v>69</v>
      </c>
      <c r="W242" s="336" t="s">
        <v>70</v>
      </c>
      <c r="X242" s="37"/>
      <c r="Y242" s="37"/>
      <c r="Z242" s="336" t="s">
        <v>78</v>
      </c>
      <c r="AA242" s="336" t="s">
        <v>78</v>
      </c>
      <c r="AB242" s="37"/>
      <c r="AC242" s="334">
        <v>17</v>
      </c>
      <c r="AD242" s="334" t="s">
        <v>72</v>
      </c>
      <c r="AE242" s="336" t="s">
        <v>73</v>
      </c>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c r="CA242" s="393"/>
      <c r="CB242" s="393"/>
      <c r="CC242" s="393"/>
      <c r="CD242" s="393"/>
      <c r="CE242" s="393"/>
      <c r="CF242" s="393"/>
      <c r="CG242" s="393"/>
      <c r="CH242" s="393"/>
      <c r="CI242" s="393"/>
      <c r="CJ242" s="390"/>
      <c r="CK242" s="390"/>
      <c r="CL242" s="390"/>
      <c r="CM242" s="390"/>
      <c r="CN242" s="390"/>
      <c r="CO242" s="390"/>
      <c r="CP242" s="390"/>
      <c r="CQ242" s="390"/>
      <c r="CR242" s="390"/>
      <c r="CS242" s="390"/>
      <c r="CT242" s="390"/>
      <c r="CU242" s="390"/>
      <c r="CV242" s="390"/>
      <c r="CW242" s="390"/>
      <c r="CX242" s="390"/>
      <c r="CY242" s="390"/>
      <c r="CZ242" s="390"/>
      <c r="DA242" s="390"/>
      <c r="DB242" s="390"/>
      <c r="DC242" s="390"/>
    </row>
    <row r="243" spans="1:107" s="317" customFormat="1" ht="56.25">
      <c r="A243" s="37"/>
      <c r="B243" s="332" t="s">
        <v>23</v>
      </c>
      <c r="C243" s="333" t="s">
        <v>100</v>
      </c>
      <c r="D243" s="320" t="s">
        <v>1220</v>
      </c>
      <c r="E243" s="334">
        <v>536.81628000000001</v>
      </c>
      <c r="F243" s="333" t="s">
        <v>27</v>
      </c>
      <c r="G243" s="319" t="s">
        <v>935</v>
      </c>
      <c r="H243" s="320" t="s">
        <v>66</v>
      </c>
      <c r="I243" s="319" t="s">
        <v>935</v>
      </c>
      <c r="J243" s="320" t="s">
        <v>1097</v>
      </c>
      <c r="K243" s="320" t="s">
        <v>1020</v>
      </c>
      <c r="L243" s="333" t="s">
        <v>15</v>
      </c>
      <c r="M243" s="333" t="s">
        <v>93</v>
      </c>
      <c r="N243" s="321" t="s">
        <v>98</v>
      </c>
      <c r="O243" s="321" t="s">
        <v>935</v>
      </c>
      <c r="P243" s="321" t="s">
        <v>98</v>
      </c>
      <c r="Q243" s="321" t="s">
        <v>1055</v>
      </c>
      <c r="R243" s="37"/>
      <c r="S243" s="336" t="s">
        <v>44</v>
      </c>
      <c r="T243" s="336" t="s">
        <v>75</v>
      </c>
      <c r="U243" s="322" t="s">
        <v>44</v>
      </c>
      <c r="V243" s="322" t="s">
        <v>75</v>
      </c>
      <c r="W243" s="336" t="s">
        <v>70</v>
      </c>
      <c r="X243" s="37"/>
      <c r="Y243" s="37"/>
      <c r="Z243" s="336" t="s">
        <v>78</v>
      </c>
      <c r="AA243" s="336" t="s">
        <v>78</v>
      </c>
      <c r="AB243" s="37"/>
      <c r="AC243" s="334">
        <v>17</v>
      </c>
      <c r="AD243" s="334" t="s">
        <v>72</v>
      </c>
      <c r="AE243" s="336" t="s">
        <v>73</v>
      </c>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c r="CA243" s="393"/>
      <c r="CB243" s="393"/>
      <c r="CC243" s="393"/>
      <c r="CD243" s="393"/>
      <c r="CE243" s="393"/>
      <c r="CF243" s="393"/>
      <c r="CG243" s="393"/>
      <c r="CH243" s="393"/>
      <c r="CI243" s="393"/>
      <c r="CJ243" s="390"/>
      <c r="CK243" s="390"/>
      <c r="CL243" s="390"/>
      <c r="CM243" s="390"/>
      <c r="CN243" s="390"/>
      <c r="CO243" s="390"/>
      <c r="CP243" s="390"/>
      <c r="CQ243" s="390"/>
      <c r="CR243" s="390"/>
      <c r="CS243" s="390"/>
      <c r="CT243" s="390"/>
      <c r="CU243" s="390"/>
      <c r="CV243" s="390"/>
      <c r="CW243" s="390"/>
      <c r="CX243" s="390"/>
      <c r="CY243" s="390"/>
      <c r="CZ243" s="390"/>
      <c r="DA243" s="390"/>
      <c r="DB243" s="390"/>
      <c r="DC243" s="390"/>
    </row>
    <row r="244" spans="1:107" s="317" customFormat="1" ht="56.25">
      <c r="A244" s="37"/>
      <c r="B244" s="658" t="s">
        <v>23</v>
      </c>
      <c r="C244" s="659" t="s">
        <v>1142</v>
      </c>
      <c r="D244" s="660" t="s">
        <v>1220</v>
      </c>
      <c r="E244" s="661">
        <v>328.32750217054399</v>
      </c>
      <c r="F244" s="659" t="s">
        <v>27</v>
      </c>
      <c r="G244" s="662">
        <v>0.96648493861628382</v>
      </c>
      <c r="H244" s="659" t="s">
        <v>66</v>
      </c>
      <c r="I244" s="663">
        <v>0.72346043337546795</v>
      </c>
      <c r="J244" s="659" t="s">
        <v>1097</v>
      </c>
      <c r="K244" s="659" t="s">
        <v>1025</v>
      </c>
      <c r="L244" s="659" t="s">
        <v>960</v>
      </c>
      <c r="M244" s="659" t="s">
        <v>88</v>
      </c>
      <c r="N244" s="664">
        <v>46.866252669243487</v>
      </c>
      <c r="O244" s="664">
        <v>44.07764330680758</v>
      </c>
      <c r="P244" s="664">
        <v>40.61741898001101</v>
      </c>
      <c r="Q244" s="664" t="s">
        <v>1109</v>
      </c>
      <c r="R244" s="37"/>
      <c r="S244" s="659" t="s">
        <v>69</v>
      </c>
      <c r="T244" s="659" t="s">
        <v>69</v>
      </c>
      <c r="U244" s="659" t="s">
        <v>69</v>
      </c>
      <c r="V244" s="659" t="s">
        <v>69</v>
      </c>
      <c r="W244" s="659" t="s">
        <v>70</v>
      </c>
      <c r="X244" s="37"/>
      <c r="Y244" s="37"/>
      <c r="Z244" s="659" t="s">
        <v>78</v>
      </c>
      <c r="AA244" s="659" t="s">
        <v>78</v>
      </c>
      <c r="AB244" s="37"/>
      <c r="AC244" s="666">
        <v>12.202739726027396</v>
      </c>
      <c r="AD244" s="664" t="s">
        <v>72</v>
      </c>
      <c r="AE244" s="659" t="s">
        <v>73</v>
      </c>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c r="CA244" s="393"/>
      <c r="CB244" s="393"/>
      <c r="CC244" s="393"/>
      <c r="CD244" s="393"/>
      <c r="CE244" s="393"/>
      <c r="CF244" s="393"/>
      <c r="CG244" s="393"/>
      <c r="CH244" s="393"/>
      <c r="CI244" s="393"/>
      <c r="CJ244" s="390"/>
      <c r="CK244" s="390"/>
      <c r="CL244" s="390"/>
      <c r="CM244" s="390"/>
      <c r="CN244" s="390"/>
      <c r="CO244" s="390"/>
      <c r="CP244" s="390"/>
      <c r="CQ244" s="390"/>
      <c r="CR244" s="390"/>
      <c r="CS244" s="390"/>
      <c r="CT244" s="390"/>
      <c r="CU244" s="390"/>
      <c r="CV244" s="390"/>
      <c r="CW244" s="390"/>
      <c r="CX244" s="390"/>
      <c r="CY244" s="390"/>
      <c r="CZ244" s="390"/>
      <c r="DA244" s="390"/>
      <c r="DB244" s="390"/>
      <c r="DC244" s="390"/>
    </row>
    <row r="245" spans="1:107" s="317" customFormat="1" ht="56.25">
      <c r="A245" s="37"/>
      <c r="B245" s="658" t="s">
        <v>23</v>
      </c>
      <c r="C245" s="659" t="s">
        <v>1142</v>
      </c>
      <c r="D245" s="660" t="s">
        <v>1220</v>
      </c>
      <c r="E245" s="661">
        <v>328.32750217054399</v>
      </c>
      <c r="F245" s="659" t="s">
        <v>27</v>
      </c>
      <c r="G245" s="662">
        <v>0.96648493861628382</v>
      </c>
      <c r="H245" s="659" t="s">
        <v>66</v>
      </c>
      <c r="I245" s="663">
        <v>0.72346043337546795</v>
      </c>
      <c r="J245" s="659" t="s">
        <v>1097</v>
      </c>
      <c r="K245" s="659" t="s">
        <v>1025</v>
      </c>
      <c r="L245" s="659" t="s">
        <v>960</v>
      </c>
      <c r="M245" s="659" t="s">
        <v>90</v>
      </c>
      <c r="N245" s="664">
        <v>46.866252669243487</v>
      </c>
      <c r="O245" s="664">
        <v>53.260485662392504</v>
      </c>
      <c r="P245" s="664">
        <v>40.61741898001101</v>
      </c>
      <c r="Q245" s="664" t="s">
        <v>871</v>
      </c>
      <c r="R245" s="37"/>
      <c r="S245" s="659" t="s">
        <v>69</v>
      </c>
      <c r="T245" s="659" t="s">
        <v>69</v>
      </c>
      <c r="U245" s="659" t="s">
        <v>69</v>
      </c>
      <c r="V245" s="659" t="s">
        <v>69</v>
      </c>
      <c r="W245" s="659" t="s">
        <v>70</v>
      </c>
      <c r="X245" s="37"/>
      <c r="Y245" s="37"/>
      <c r="Z245" s="659" t="s">
        <v>78</v>
      </c>
      <c r="AA245" s="659" t="s">
        <v>78</v>
      </c>
      <c r="AB245" s="37"/>
      <c r="AC245" s="666">
        <v>12.202739726027396</v>
      </c>
      <c r="AD245" s="664" t="s">
        <v>72</v>
      </c>
      <c r="AE245" s="659" t="s">
        <v>73</v>
      </c>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c r="CA245" s="393"/>
      <c r="CB245" s="393"/>
      <c r="CC245" s="393"/>
      <c r="CD245" s="393"/>
      <c r="CE245" s="393"/>
      <c r="CF245" s="393"/>
      <c r="CG245" s="393"/>
      <c r="CH245" s="393"/>
      <c r="CI245" s="393"/>
      <c r="CJ245" s="390"/>
      <c r="CK245" s="390"/>
      <c r="CL245" s="390"/>
      <c r="CM245" s="390"/>
      <c r="CN245" s="390"/>
      <c r="CO245" s="390"/>
      <c r="CP245" s="390"/>
      <c r="CQ245" s="390"/>
      <c r="CR245" s="390"/>
      <c r="CS245" s="390"/>
      <c r="CT245" s="390"/>
      <c r="CU245" s="390"/>
      <c r="CV245" s="390"/>
      <c r="CW245" s="390"/>
      <c r="CX245" s="390"/>
      <c r="CY245" s="390"/>
      <c r="CZ245" s="390"/>
      <c r="DA245" s="390"/>
      <c r="DB245" s="390"/>
      <c r="DC245" s="390"/>
    </row>
    <row r="246" spans="1:107" s="317" customFormat="1" ht="56.25">
      <c r="A246" s="37"/>
      <c r="B246" s="658" t="s">
        <v>23</v>
      </c>
      <c r="C246" s="659" t="s">
        <v>1142</v>
      </c>
      <c r="D246" s="660" t="s">
        <v>1220</v>
      </c>
      <c r="E246" s="661">
        <v>328.32750217054399</v>
      </c>
      <c r="F246" s="659" t="s">
        <v>27</v>
      </c>
      <c r="G246" s="662">
        <v>0.96648493861628382</v>
      </c>
      <c r="H246" s="659" t="s">
        <v>66</v>
      </c>
      <c r="I246" s="663">
        <v>0.72346043337546795</v>
      </c>
      <c r="J246" s="659" t="s">
        <v>1097</v>
      </c>
      <c r="K246" s="659" t="s">
        <v>1025</v>
      </c>
      <c r="L246" s="659" t="s">
        <v>960</v>
      </c>
      <c r="M246" s="659" t="s">
        <v>91</v>
      </c>
      <c r="N246" s="664">
        <v>46.866252669243487</v>
      </c>
      <c r="O246" s="664" t="s">
        <v>870</v>
      </c>
      <c r="P246" s="664">
        <v>40.61741898001101</v>
      </c>
      <c r="Q246" s="664" t="s">
        <v>870</v>
      </c>
      <c r="R246" s="37"/>
      <c r="S246" s="665" t="s">
        <v>69</v>
      </c>
      <c r="T246" s="659" t="s">
        <v>69</v>
      </c>
      <c r="U246" s="665" t="s">
        <v>870</v>
      </c>
      <c r="V246" s="665" t="s">
        <v>870</v>
      </c>
      <c r="W246" s="659" t="s">
        <v>70</v>
      </c>
      <c r="X246" s="37"/>
      <c r="Y246" s="37"/>
      <c r="Z246" s="659" t="s">
        <v>78</v>
      </c>
      <c r="AA246" s="659" t="s">
        <v>78</v>
      </c>
      <c r="AB246" s="37"/>
      <c r="AC246" s="666">
        <v>12.202739726027396</v>
      </c>
      <c r="AD246" s="664" t="s">
        <v>72</v>
      </c>
      <c r="AE246" s="659" t="s">
        <v>73</v>
      </c>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c r="CA246" s="393"/>
      <c r="CB246" s="393"/>
      <c r="CC246" s="393"/>
      <c r="CD246" s="393"/>
      <c r="CE246" s="393"/>
      <c r="CF246" s="393"/>
      <c r="CG246" s="393"/>
      <c r="CH246" s="393"/>
      <c r="CI246" s="393"/>
      <c r="CJ246" s="390"/>
      <c r="CK246" s="390"/>
      <c r="CL246" s="390"/>
      <c r="CM246" s="390"/>
      <c r="CN246" s="390"/>
      <c r="CO246" s="390"/>
      <c r="CP246" s="390"/>
      <c r="CQ246" s="390"/>
      <c r="CR246" s="390"/>
      <c r="CS246" s="390"/>
      <c r="CT246" s="390"/>
      <c r="CU246" s="390"/>
      <c r="CV246" s="390"/>
      <c r="CW246" s="390"/>
      <c r="CX246" s="390"/>
      <c r="CY246" s="390"/>
      <c r="CZ246" s="390"/>
      <c r="DA246" s="390"/>
      <c r="DB246" s="390"/>
      <c r="DC246" s="390"/>
    </row>
    <row r="247" spans="1:107" s="317" customFormat="1" ht="56.25">
      <c r="A247" s="37"/>
      <c r="B247" s="658" t="s">
        <v>23</v>
      </c>
      <c r="C247" s="659" t="s">
        <v>1142</v>
      </c>
      <c r="D247" s="660" t="s">
        <v>1220</v>
      </c>
      <c r="E247" s="661">
        <v>328.32750217054399</v>
      </c>
      <c r="F247" s="659" t="s">
        <v>27</v>
      </c>
      <c r="G247" s="662">
        <v>0.96648493861628382</v>
      </c>
      <c r="H247" s="659" t="s">
        <v>66</v>
      </c>
      <c r="I247" s="663">
        <v>0.72346043337546795</v>
      </c>
      <c r="J247" s="659" t="s">
        <v>1097</v>
      </c>
      <c r="K247" s="659" t="s">
        <v>1025</v>
      </c>
      <c r="L247" s="659" t="s">
        <v>960</v>
      </c>
      <c r="M247" s="659" t="s">
        <v>92</v>
      </c>
      <c r="N247" s="664">
        <v>46.866252669243487</v>
      </c>
      <c r="O247" s="664">
        <v>66.116464960211374</v>
      </c>
      <c r="P247" s="664">
        <v>40.61741898001101</v>
      </c>
      <c r="Q247" s="664">
        <v>12.855979297818878</v>
      </c>
      <c r="R247" s="37"/>
      <c r="S247" s="665" t="s">
        <v>69</v>
      </c>
      <c r="T247" s="659" t="s">
        <v>69</v>
      </c>
      <c r="U247" s="659" t="s">
        <v>69</v>
      </c>
      <c r="V247" s="659" t="s">
        <v>69</v>
      </c>
      <c r="W247" s="659" t="s">
        <v>70</v>
      </c>
      <c r="X247" s="37"/>
      <c r="Y247" s="37"/>
      <c r="Z247" s="659" t="s">
        <v>78</v>
      </c>
      <c r="AA247" s="659" t="s">
        <v>78</v>
      </c>
      <c r="AB247" s="37"/>
      <c r="AC247" s="666">
        <v>12.202739726027396</v>
      </c>
      <c r="AD247" s="664" t="s">
        <v>72</v>
      </c>
      <c r="AE247" s="659" t="s">
        <v>73</v>
      </c>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c r="CA247" s="393"/>
      <c r="CB247" s="393"/>
      <c r="CC247" s="393"/>
      <c r="CD247" s="393"/>
      <c r="CE247" s="393"/>
      <c r="CF247" s="393"/>
      <c r="CG247" s="393"/>
      <c r="CH247" s="393"/>
      <c r="CI247" s="393"/>
      <c r="CJ247" s="390"/>
      <c r="CK247" s="390"/>
      <c r="CL247" s="390"/>
      <c r="CM247" s="390"/>
      <c r="CN247" s="390"/>
      <c r="CO247" s="390"/>
      <c r="CP247" s="390"/>
      <c r="CQ247" s="390"/>
      <c r="CR247" s="390"/>
      <c r="CS247" s="390"/>
      <c r="CT247" s="390"/>
      <c r="CU247" s="390"/>
      <c r="CV247" s="390"/>
      <c r="CW247" s="390"/>
      <c r="CX247" s="390"/>
      <c r="CY247" s="390"/>
      <c r="CZ247" s="390"/>
      <c r="DA247" s="390"/>
      <c r="DB247" s="390"/>
      <c r="DC247" s="390"/>
    </row>
    <row r="248" spans="1:107" s="317" customFormat="1" ht="56.25">
      <c r="A248" s="37"/>
      <c r="B248" s="658" t="s">
        <v>23</v>
      </c>
      <c r="C248" s="659" t="s">
        <v>1142</v>
      </c>
      <c r="D248" s="660" t="s">
        <v>1220</v>
      </c>
      <c r="E248" s="661">
        <v>328.32750217054399</v>
      </c>
      <c r="F248" s="659" t="s">
        <v>27</v>
      </c>
      <c r="G248" s="662">
        <v>0.96648493861628382</v>
      </c>
      <c r="H248" s="659" t="s">
        <v>66</v>
      </c>
      <c r="I248" s="663">
        <v>0.72346043337546795</v>
      </c>
      <c r="J248" s="659" t="s">
        <v>1097</v>
      </c>
      <c r="K248" s="659" t="s">
        <v>1025</v>
      </c>
      <c r="L248" s="659" t="s">
        <v>960</v>
      </c>
      <c r="M248" s="659" t="s">
        <v>93</v>
      </c>
      <c r="N248" s="664">
        <v>46.866252669243487</v>
      </c>
      <c r="O248" s="664">
        <v>69.789601902445355</v>
      </c>
      <c r="P248" s="664">
        <v>40.61741898001101</v>
      </c>
      <c r="Q248" s="664" t="s">
        <v>871</v>
      </c>
      <c r="R248" s="37"/>
      <c r="S248" s="659" t="s">
        <v>69</v>
      </c>
      <c r="T248" s="659" t="s">
        <v>69</v>
      </c>
      <c r="U248" s="665" t="s">
        <v>44</v>
      </c>
      <c r="V248" s="665" t="s">
        <v>75</v>
      </c>
      <c r="W248" s="659" t="s">
        <v>70</v>
      </c>
      <c r="X248" s="37"/>
      <c r="Y248" s="37"/>
      <c r="Z248" s="659" t="s">
        <v>78</v>
      </c>
      <c r="AA248" s="659" t="s">
        <v>78</v>
      </c>
      <c r="AB248" s="37"/>
      <c r="AC248" s="666">
        <v>12.202739726027396</v>
      </c>
      <c r="AD248" s="664" t="s">
        <v>72</v>
      </c>
      <c r="AE248" s="659" t="s">
        <v>73</v>
      </c>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c r="CA248" s="393"/>
      <c r="CB248" s="393"/>
      <c r="CC248" s="393"/>
      <c r="CD248" s="393"/>
      <c r="CE248" s="393"/>
      <c r="CF248" s="393"/>
      <c r="CG248" s="393"/>
      <c r="CH248" s="393"/>
      <c r="CI248" s="393"/>
      <c r="CJ248" s="390"/>
      <c r="CK248" s="390"/>
      <c r="CL248" s="390"/>
      <c r="CM248" s="390"/>
      <c r="CN248" s="390"/>
      <c r="CO248" s="390"/>
      <c r="CP248" s="390"/>
      <c r="CQ248" s="390"/>
      <c r="CR248" s="390"/>
      <c r="CS248" s="390"/>
      <c r="CT248" s="390"/>
      <c r="CU248" s="390"/>
      <c r="CV248" s="390"/>
      <c r="CW248" s="390"/>
      <c r="CX248" s="390"/>
      <c r="CY248" s="390"/>
      <c r="CZ248" s="390"/>
      <c r="DA248" s="390"/>
      <c r="DB248" s="390"/>
      <c r="DC248" s="390"/>
    </row>
    <row r="249" spans="1:107" s="317" customFormat="1" ht="56.25">
      <c r="A249" s="37"/>
      <c r="B249" s="658" t="s">
        <v>23</v>
      </c>
      <c r="C249" s="659" t="s">
        <v>1142</v>
      </c>
      <c r="D249" s="660" t="s">
        <v>1220</v>
      </c>
      <c r="E249" s="661">
        <v>328.32750217054399</v>
      </c>
      <c r="F249" s="659" t="s">
        <v>27</v>
      </c>
      <c r="G249" s="662">
        <v>0.96648493861628382</v>
      </c>
      <c r="H249" s="659" t="s">
        <v>66</v>
      </c>
      <c r="I249" s="663">
        <v>0.72346043337546795</v>
      </c>
      <c r="J249" s="659" t="s">
        <v>1097</v>
      </c>
      <c r="K249" s="659" t="s">
        <v>1025</v>
      </c>
      <c r="L249" s="659" t="s">
        <v>15</v>
      </c>
      <c r="M249" s="659" t="s">
        <v>88</v>
      </c>
      <c r="N249" s="664">
        <v>64.97578185046406</v>
      </c>
      <c r="O249" s="664">
        <v>44.07764330680758</v>
      </c>
      <c r="P249" s="664">
        <v>55.531627511733802</v>
      </c>
      <c r="Q249" s="664" t="s">
        <v>1109</v>
      </c>
      <c r="R249" s="37"/>
      <c r="S249" s="659" t="s">
        <v>44</v>
      </c>
      <c r="T249" s="665" t="s">
        <v>63</v>
      </c>
      <c r="U249" s="659" t="s">
        <v>69</v>
      </c>
      <c r="V249" s="659" t="s">
        <v>69</v>
      </c>
      <c r="W249" s="659" t="s">
        <v>70</v>
      </c>
      <c r="X249" s="37"/>
      <c r="Y249" s="37"/>
      <c r="Z249" s="659" t="s">
        <v>78</v>
      </c>
      <c r="AA249" s="659" t="s">
        <v>78</v>
      </c>
      <c r="AB249" s="37"/>
      <c r="AC249" s="666">
        <v>12.202739726027396</v>
      </c>
      <c r="AD249" s="664" t="s">
        <v>72</v>
      </c>
      <c r="AE249" s="659" t="s">
        <v>73</v>
      </c>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c r="CA249" s="393"/>
      <c r="CB249" s="393"/>
      <c r="CC249" s="393"/>
      <c r="CD249" s="393"/>
      <c r="CE249" s="393"/>
      <c r="CF249" s="393"/>
      <c r="CG249" s="393"/>
      <c r="CH249" s="393"/>
      <c r="CI249" s="393"/>
      <c r="CJ249" s="390"/>
      <c r="CK249" s="390"/>
      <c r="CL249" s="390"/>
      <c r="CM249" s="390"/>
      <c r="CN249" s="390"/>
      <c r="CO249" s="390"/>
      <c r="CP249" s="390"/>
      <c r="CQ249" s="390"/>
      <c r="CR249" s="390"/>
      <c r="CS249" s="390"/>
      <c r="CT249" s="390"/>
      <c r="CU249" s="390"/>
      <c r="CV249" s="390"/>
      <c r="CW249" s="390"/>
      <c r="CX249" s="390"/>
      <c r="CY249" s="390"/>
      <c r="CZ249" s="390"/>
      <c r="DA249" s="390"/>
      <c r="DB249" s="390"/>
      <c r="DC249" s="390"/>
    </row>
    <row r="250" spans="1:107" s="317" customFormat="1" ht="56.25">
      <c r="A250" s="37"/>
      <c r="B250" s="658" t="s">
        <v>23</v>
      </c>
      <c r="C250" s="659" t="s">
        <v>1142</v>
      </c>
      <c r="D250" s="660" t="s">
        <v>1220</v>
      </c>
      <c r="E250" s="661">
        <v>328.32750217054399</v>
      </c>
      <c r="F250" s="659" t="s">
        <v>27</v>
      </c>
      <c r="G250" s="662">
        <v>0.96648493861628382</v>
      </c>
      <c r="H250" s="659" t="s">
        <v>66</v>
      </c>
      <c r="I250" s="663">
        <v>0.72346043337546795</v>
      </c>
      <c r="J250" s="659" t="s">
        <v>1097</v>
      </c>
      <c r="K250" s="659" t="s">
        <v>1025</v>
      </c>
      <c r="L250" s="659" t="s">
        <v>15</v>
      </c>
      <c r="M250" s="659" t="s">
        <v>90</v>
      </c>
      <c r="N250" s="664">
        <v>64.97578185046406</v>
      </c>
      <c r="O250" s="664">
        <v>53.260485662392504</v>
      </c>
      <c r="P250" s="664">
        <v>55.531627511733802</v>
      </c>
      <c r="Q250" s="664" t="s">
        <v>871</v>
      </c>
      <c r="R250" s="37"/>
      <c r="S250" s="659" t="s">
        <v>44</v>
      </c>
      <c r="T250" s="665" t="s">
        <v>63</v>
      </c>
      <c r="U250" s="659" t="s">
        <v>69</v>
      </c>
      <c r="V250" s="659" t="s">
        <v>69</v>
      </c>
      <c r="W250" s="659" t="s">
        <v>70</v>
      </c>
      <c r="X250" s="37"/>
      <c r="Y250" s="37"/>
      <c r="Z250" s="659" t="s">
        <v>78</v>
      </c>
      <c r="AA250" s="659" t="s">
        <v>78</v>
      </c>
      <c r="AB250" s="37"/>
      <c r="AC250" s="666">
        <v>12.202739726027396</v>
      </c>
      <c r="AD250" s="664" t="s">
        <v>72</v>
      </c>
      <c r="AE250" s="659" t="s">
        <v>73</v>
      </c>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c r="CA250" s="393"/>
      <c r="CB250" s="393"/>
      <c r="CC250" s="393"/>
      <c r="CD250" s="393"/>
      <c r="CE250" s="393"/>
      <c r="CF250" s="393"/>
      <c r="CG250" s="393"/>
      <c r="CH250" s="393"/>
      <c r="CI250" s="393"/>
      <c r="CJ250" s="390"/>
      <c r="CK250" s="390"/>
      <c r="CL250" s="390"/>
      <c r="CM250" s="390"/>
      <c r="CN250" s="390"/>
      <c r="CO250" s="390"/>
      <c r="CP250" s="390"/>
      <c r="CQ250" s="390"/>
      <c r="CR250" s="390"/>
      <c r="CS250" s="390"/>
      <c r="CT250" s="390"/>
      <c r="CU250" s="390"/>
      <c r="CV250" s="390"/>
      <c r="CW250" s="390"/>
      <c r="CX250" s="390"/>
      <c r="CY250" s="390"/>
      <c r="CZ250" s="390"/>
      <c r="DA250" s="390"/>
      <c r="DB250" s="390"/>
      <c r="DC250" s="390"/>
    </row>
    <row r="251" spans="1:107" s="317" customFormat="1" ht="56.25">
      <c r="A251" s="37"/>
      <c r="B251" s="658" t="s">
        <v>23</v>
      </c>
      <c r="C251" s="659" t="s">
        <v>1142</v>
      </c>
      <c r="D251" s="660" t="s">
        <v>1220</v>
      </c>
      <c r="E251" s="661">
        <v>328.32750217054399</v>
      </c>
      <c r="F251" s="659" t="s">
        <v>27</v>
      </c>
      <c r="G251" s="662">
        <v>0.96648493861628382</v>
      </c>
      <c r="H251" s="659" t="s">
        <v>66</v>
      </c>
      <c r="I251" s="663">
        <v>0.72346043337546795</v>
      </c>
      <c r="J251" s="659" t="s">
        <v>1097</v>
      </c>
      <c r="K251" s="659" t="s">
        <v>1025</v>
      </c>
      <c r="L251" s="659" t="s">
        <v>15</v>
      </c>
      <c r="M251" s="659" t="s">
        <v>91</v>
      </c>
      <c r="N251" s="664">
        <v>64.97578185046406</v>
      </c>
      <c r="O251" s="664" t="s">
        <v>870</v>
      </c>
      <c r="P251" s="664">
        <v>55.531627511733802</v>
      </c>
      <c r="Q251" s="664" t="s">
        <v>870</v>
      </c>
      <c r="R251" s="37"/>
      <c r="S251" s="659" t="s">
        <v>44</v>
      </c>
      <c r="T251" s="665" t="s">
        <v>63</v>
      </c>
      <c r="U251" s="665" t="s">
        <v>870</v>
      </c>
      <c r="V251" s="665" t="s">
        <v>870</v>
      </c>
      <c r="W251" s="659" t="s">
        <v>70</v>
      </c>
      <c r="X251" s="37"/>
      <c r="Y251" s="37"/>
      <c r="Z251" s="659" t="s">
        <v>78</v>
      </c>
      <c r="AA251" s="659" t="s">
        <v>78</v>
      </c>
      <c r="AB251" s="37"/>
      <c r="AC251" s="666">
        <v>12.202739726027396</v>
      </c>
      <c r="AD251" s="664" t="s">
        <v>72</v>
      </c>
      <c r="AE251" s="659" t="s">
        <v>73</v>
      </c>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c r="CA251" s="393"/>
      <c r="CB251" s="393"/>
      <c r="CC251" s="393"/>
      <c r="CD251" s="393"/>
      <c r="CE251" s="393"/>
      <c r="CF251" s="393"/>
      <c r="CG251" s="393"/>
      <c r="CH251" s="393"/>
      <c r="CI251" s="393"/>
      <c r="CJ251" s="390"/>
      <c r="CK251" s="390"/>
      <c r="CL251" s="390"/>
      <c r="CM251" s="390"/>
      <c r="CN251" s="390"/>
      <c r="CO251" s="390"/>
      <c r="CP251" s="390"/>
      <c r="CQ251" s="390"/>
      <c r="CR251" s="390"/>
      <c r="CS251" s="390"/>
      <c r="CT251" s="390"/>
      <c r="CU251" s="390"/>
      <c r="CV251" s="390"/>
      <c r="CW251" s="390"/>
      <c r="CX251" s="390"/>
      <c r="CY251" s="390"/>
      <c r="CZ251" s="390"/>
      <c r="DA251" s="390"/>
      <c r="DB251" s="390"/>
      <c r="DC251" s="390"/>
    </row>
    <row r="252" spans="1:107" s="317" customFormat="1" ht="56.25">
      <c r="A252" s="37"/>
      <c r="B252" s="658" t="s">
        <v>23</v>
      </c>
      <c r="C252" s="659" t="s">
        <v>1142</v>
      </c>
      <c r="D252" s="660" t="s">
        <v>1220</v>
      </c>
      <c r="E252" s="661">
        <v>328.32750217054399</v>
      </c>
      <c r="F252" s="659" t="s">
        <v>27</v>
      </c>
      <c r="G252" s="662">
        <v>0.96648493861628382</v>
      </c>
      <c r="H252" s="659" t="s">
        <v>66</v>
      </c>
      <c r="I252" s="663">
        <v>0.72346043337546795</v>
      </c>
      <c r="J252" s="659" t="s">
        <v>1097</v>
      </c>
      <c r="K252" s="659" t="s">
        <v>1025</v>
      </c>
      <c r="L252" s="659" t="s">
        <v>15</v>
      </c>
      <c r="M252" s="659" t="s">
        <v>92</v>
      </c>
      <c r="N252" s="664">
        <v>64.97578185046406</v>
      </c>
      <c r="O252" s="664">
        <v>66.116464960211374</v>
      </c>
      <c r="P252" s="664">
        <v>55.531627511733802</v>
      </c>
      <c r="Q252" s="664">
        <v>12.855979297818878</v>
      </c>
      <c r="R252" s="37"/>
      <c r="S252" s="659" t="s">
        <v>44</v>
      </c>
      <c r="T252" s="665" t="s">
        <v>63</v>
      </c>
      <c r="U252" s="659" t="s">
        <v>69</v>
      </c>
      <c r="V252" s="659" t="s">
        <v>69</v>
      </c>
      <c r="W252" s="659" t="s">
        <v>70</v>
      </c>
      <c r="X252" s="37"/>
      <c r="Y252" s="37"/>
      <c r="Z252" s="659" t="s">
        <v>78</v>
      </c>
      <c r="AA252" s="659" t="s">
        <v>78</v>
      </c>
      <c r="AB252" s="37"/>
      <c r="AC252" s="666">
        <v>12.202739726027396</v>
      </c>
      <c r="AD252" s="664" t="s">
        <v>72</v>
      </c>
      <c r="AE252" s="659" t="s">
        <v>73</v>
      </c>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c r="CA252" s="393"/>
      <c r="CB252" s="393"/>
      <c r="CC252" s="393"/>
      <c r="CD252" s="393"/>
      <c r="CE252" s="393"/>
      <c r="CF252" s="393"/>
      <c r="CG252" s="393"/>
      <c r="CH252" s="393"/>
      <c r="CI252" s="393"/>
      <c r="CJ252" s="390"/>
      <c r="CK252" s="390"/>
      <c r="CL252" s="390"/>
      <c r="CM252" s="390"/>
      <c r="CN252" s="390"/>
      <c r="CO252" s="390"/>
      <c r="CP252" s="390"/>
      <c r="CQ252" s="390"/>
      <c r="CR252" s="390"/>
      <c r="CS252" s="390"/>
      <c r="CT252" s="390"/>
      <c r="CU252" s="390"/>
      <c r="CV252" s="390"/>
      <c r="CW252" s="390"/>
      <c r="CX252" s="390"/>
      <c r="CY252" s="390"/>
      <c r="CZ252" s="390"/>
      <c r="DA252" s="390"/>
      <c r="DB252" s="390"/>
      <c r="DC252" s="390"/>
    </row>
    <row r="253" spans="1:107" s="317" customFormat="1" ht="56.25">
      <c r="A253" s="37"/>
      <c r="B253" s="658" t="s">
        <v>23</v>
      </c>
      <c r="C253" s="659" t="s">
        <v>1142</v>
      </c>
      <c r="D253" s="660" t="s">
        <v>1220</v>
      </c>
      <c r="E253" s="661">
        <v>328.32750217054399</v>
      </c>
      <c r="F253" s="659" t="s">
        <v>27</v>
      </c>
      <c r="G253" s="662">
        <v>0.96648493861628382</v>
      </c>
      <c r="H253" s="659" t="s">
        <v>66</v>
      </c>
      <c r="I253" s="663">
        <v>0.72346043337546795</v>
      </c>
      <c r="J253" s="659" t="s">
        <v>1097</v>
      </c>
      <c r="K253" s="659" t="s">
        <v>1025</v>
      </c>
      <c r="L253" s="659" t="s">
        <v>15</v>
      </c>
      <c r="M253" s="659" t="s">
        <v>93</v>
      </c>
      <c r="N253" s="664">
        <v>64.97578185046406</v>
      </c>
      <c r="O253" s="664">
        <v>69.789601902445355</v>
      </c>
      <c r="P253" s="664">
        <v>55.531627511733802</v>
      </c>
      <c r="Q253" s="664" t="s">
        <v>871</v>
      </c>
      <c r="R253" s="37"/>
      <c r="S253" s="659" t="s">
        <v>44</v>
      </c>
      <c r="T253" s="665" t="s">
        <v>63</v>
      </c>
      <c r="U253" s="665" t="s">
        <v>44</v>
      </c>
      <c r="V253" s="665" t="s">
        <v>75</v>
      </c>
      <c r="W253" s="659" t="s">
        <v>70</v>
      </c>
      <c r="X253" s="37"/>
      <c r="Y253" s="37"/>
      <c r="Z253" s="659" t="s">
        <v>78</v>
      </c>
      <c r="AA253" s="659" t="s">
        <v>78</v>
      </c>
      <c r="AB253" s="37"/>
      <c r="AC253" s="666">
        <v>12.202739726027396</v>
      </c>
      <c r="AD253" s="664" t="s">
        <v>72</v>
      </c>
      <c r="AE253" s="659" t="s">
        <v>73</v>
      </c>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c r="CA253" s="393"/>
      <c r="CB253" s="393"/>
      <c r="CC253" s="393"/>
      <c r="CD253" s="393"/>
      <c r="CE253" s="393"/>
      <c r="CF253" s="393"/>
      <c r="CG253" s="393"/>
      <c r="CH253" s="393"/>
      <c r="CI253" s="393"/>
      <c r="CJ253" s="390"/>
      <c r="CK253" s="390"/>
      <c r="CL253" s="390"/>
      <c r="CM253" s="390"/>
      <c r="CN253" s="390"/>
      <c r="CO253" s="390"/>
      <c r="CP253" s="390"/>
      <c r="CQ253" s="390"/>
      <c r="CR253" s="390"/>
      <c r="CS253" s="390"/>
      <c r="CT253" s="390"/>
      <c r="CU253" s="390"/>
      <c r="CV253" s="390"/>
      <c r="CW253" s="390"/>
      <c r="CX253" s="390"/>
      <c r="CY253" s="390"/>
      <c r="CZ253" s="390"/>
      <c r="DA253" s="390"/>
      <c r="DB253" s="390"/>
      <c r="DC253" s="390"/>
    </row>
    <row r="254" spans="1:107" s="317" customFormat="1" ht="56.25">
      <c r="A254" s="37"/>
      <c r="B254" s="667" t="s">
        <v>23</v>
      </c>
      <c r="C254" s="668" t="s">
        <v>1142</v>
      </c>
      <c r="D254" s="669" t="s">
        <v>1226</v>
      </c>
      <c r="E254" s="670">
        <v>1091.5065405491862</v>
      </c>
      <c r="F254" s="668" t="s">
        <v>27</v>
      </c>
      <c r="G254" s="671">
        <v>0.93010280779392651</v>
      </c>
      <c r="H254" s="668" t="s">
        <v>66</v>
      </c>
      <c r="I254" s="672">
        <v>0.48057777987331629</v>
      </c>
      <c r="J254" s="668" t="s">
        <v>1097</v>
      </c>
      <c r="K254" s="668" t="s">
        <v>1025</v>
      </c>
      <c r="L254" s="673" t="s">
        <v>1228</v>
      </c>
      <c r="M254" s="668" t="s">
        <v>88</v>
      </c>
      <c r="N254" s="674">
        <v>149.93919479486527</v>
      </c>
      <c r="O254" s="674">
        <v>93.674678955661747</v>
      </c>
      <c r="P254" s="674">
        <v>129.94730215554986</v>
      </c>
      <c r="Q254" s="674" t="s">
        <v>1109</v>
      </c>
      <c r="R254" s="37"/>
      <c r="S254" s="668" t="s">
        <v>69</v>
      </c>
      <c r="T254" s="668" t="s">
        <v>69</v>
      </c>
      <c r="U254" s="668" t="s">
        <v>69</v>
      </c>
      <c r="V254" s="668" t="s">
        <v>69</v>
      </c>
      <c r="W254" s="668" t="s">
        <v>70</v>
      </c>
      <c r="X254" s="37"/>
      <c r="Y254" s="37"/>
      <c r="Z254" s="668" t="s">
        <v>78</v>
      </c>
      <c r="AA254" s="668" t="s">
        <v>78</v>
      </c>
      <c r="AB254" s="37"/>
      <c r="AC254" s="676">
        <v>12.202739726027396</v>
      </c>
      <c r="AD254" s="674" t="s">
        <v>72</v>
      </c>
      <c r="AE254" s="668" t="s">
        <v>73</v>
      </c>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c r="CA254" s="393"/>
      <c r="CB254" s="393"/>
      <c r="CC254" s="393"/>
      <c r="CD254" s="393"/>
      <c r="CE254" s="393"/>
      <c r="CF254" s="393"/>
      <c r="CG254" s="393"/>
      <c r="CH254" s="393"/>
      <c r="CI254" s="393"/>
      <c r="CJ254" s="390"/>
      <c r="CK254" s="390"/>
      <c r="CL254" s="390"/>
      <c r="CM254" s="390"/>
      <c r="CN254" s="390"/>
      <c r="CO254" s="390"/>
      <c r="CP254" s="390"/>
      <c r="CQ254" s="390"/>
      <c r="CR254" s="390"/>
      <c r="CS254" s="390"/>
      <c r="CT254" s="390"/>
      <c r="CU254" s="390"/>
      <c r="CV254" s="390"/>
      <c r="CW254" s="390"/>
      <c r="CX254" s="390"/>
      <c r="CY254" s="390"/>
      <c r="CZ254" s="390"/>
      <c r="DA254" s="390"/>
      <c r="DB254" s="390"/>
      <c r="DC254" s="390"/>
    </row>
    <row r="255" spans="1:107" s="317" customFormat="1" ht="56.25">
      <c r="A255" s="37"/>
      <c r="B255" s="667" t="s">
        <v>23</v>
      </c>
      <c r="C255" s="668" t="s">
        <v>1142</v>
      </c>
      <c r="D255" s="669" t="s">
        <v>1226</v>
      </c>
      <c r="E255" s="670">
        <v>1091.5065405491862</v>
      </c>
      <c r="F255" s="668" t="s">
        <v>27</v>
      </c>
      <c r="G255" s="671">
        <v>0.93010280779392651</v>
      </c>
      <c r="H255" s="668" t="s">
        <v>66</v>
      </c>
      <c r="I255" s="672">
        <v>0.48057777987331629</v>
      </c>
      <c r="J255" s="668" t="s">
        <v>1097</v>
      </c>
      <c r="K255" s="668" t="s">
        <v>1025</v>
      </c>
      <c r="L255" s="673" t="s">
        <v>1228</v>
      </c>
      <c r="M255" s="668" t="s">
        <v>90</v>
      </c>
      <c r="N255" s="674">
        <v>149.93919479486527</v>
      </c>
      <c r="O255" s="674">
        <v>113.1902370714246</v>
      </c>
      <c r="P255" s="674">
        <v>129.94730215554986</v>
      </c>
      <c r="Q255" s="674" t="s">
        <v>871</v>
      </c>
      <c r="R255" s="37"/>
      <c r="S255" s="668" t="s">
        <v>69</v>
      </c>
      <c r="T255" s="668" t="s">
        <v>69</v>
      </c>
      <c r="U255" s="668" t="s">
        <v>69</v>
      </c>
      <c r="V255" s="668" t="s">
        <v>69</v>
      </c>
      <c r="W255" s="668" t="s">
        <v>70</v>
      </c>
      <c r="X255" s="37"/>
      <c r="Y255" s="37"/>
      <c r="Z255" s="668" t="s">
        <v>78</v>
      </c>
      <c r="AA255" s="668" t="s">
        <v>78</v>
      </c>
      <c r="AB255" s="37"/>
      <c r="AC255" s="676">
        <v>12.202739726027396</v>
      </c>
      <c r="AD255" s="674" t="s">
        <v>72</v>
      </c>
      <c r="AE255" s="668" t="s">
        <v>73</v>
      </c>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c r="CA255" s="393"/>
      <c r="CB255" s="393"/>
      <c r="CC255" s="393"/>
      <c r="CD255" s="393"/>
      <c r="CE255" s="393"/>
      <c r="CF255" s="393"/>
      <c r="CG255" s="393"/>
      <c r="CH255" s="393"/>
      <c r="CI255" s="393"/>
      <c r="CJ255" s="390"/>
      <c r="CK255" s="390"/>
      <c r="CL255" s="390"/>
      <c r="CM255" s="390"/>
      <c r="CN255" s="390"/>
      <c r="CO255" s="390"/>
      <c r="CP255" s="390"/>
      <c r="CQ255" s="390"/>
      <c r="CR255" s="390"/>
      <c r="CS255" s="390"/>
      <c r="CT255" s="390"/>
      <c r="CU255" s="390"/>
      <c r="CV255" s="390"/>
      <c r="CW255" s="390"/>
      <c r="CX255" s="390"/>
      <c r="CY255" s="390"/>
      <c r="CZ255" s="390"/>
      <c r="DA255" s="390"/>
      <c r="DB255" s="390"/>
      <c r="DC255" s="390"/>
    </row>
    <row r="256" spans="1:107" s="317" customFormat="1" ht="56.25">
      <c r="A256" s="37"/>
      <c r="B256" s="667" t="s">
        <v>23</v>
      </c>
      <c r="C256" s="668" t="s">
        <v>1142</v>
      </c>
      <c r="D256" s="669" t="s">
        <v>1226</v>
      </c>
      <c r="E256" s="670">
        <v>1091.5065405491862</v>
      </c>
      <c r="F256" s="668" t="s">
        <v>27</v>
      </c>
      <c r="G256" s="671">
        <v>0.93010280779392651</v>
      </c>
      <c r="H256" s="668" t="s">
        <v>66</v>
      </c>
      <c r="I256" s="672">
        <v>0.48057777987331629</v>
      </c>
      <c r="J256" s="668" t="s">
        <v>1097</v>
      </c>
      <c r="K256" s="668" t="s">
        <v>1025</v>
      </c>
      <c r="L256" s="673" t="s">
        <v>1228</v>
      </c>
      <c r="M256" s="668" t="s">
        <v>91</v>
      </c>
      <c r="N256" s="674">
        <v>149.93919479486527</v>
      </c>
      <c r="O256" s="674" t="s">
        <v>870</v>
      </c>
      <c r="P256" s="674">
        <v>129.94730215554986</v>
      </c>
      <c r="Q256" s="674" t="s">
        <v>870</v>
      </c>
      <c r="R256" s="37"/>
      <c r="S256" s="668" t="s">
        <v>69</v>
      </c>
      <c r="T256" s="668" t="s">
        <v>69</v>
      </c>
      <c r="U256" s="673" t="s">
        <v>870</v>
      </c>
      <c r="V256" s="673" t="s">
        <v>870</v>
      </c>
      <c r="W256" s="668" t="s">
        <v>70</v>
      </c>
      <c r="X256" s="37"/>
      <c r="Y256" s="37"/>
      <c r="Z256" s="668" t="s">
        <v>78</v>
      </c>
      <c r="AA256" s="668" t="s">
        <v>78</v>
      </c>
      <c r="AB256" s="37"/>
      <c r="AC256" s="676">
        <v>12.202739726027396</v>
      </c>
      <c r="AD256" s="674" t="s">
        <v>72</v>
      </c>
      <c r="AE256" s="668" t="s">
        <v>73</v>
      </c>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c r="CA256" s="393"/>
      <c r="CB256" s="393"/>
      <c r="CC256" s="393"/>
      <c r="CD256" s="393"/>
      <c r="CE256" s="393"/>
      <c r="CF256" s="393"/>
      <c r="CG256" s="393"/>
      <c r="CH256" s="393"/>
      <c r="CI256" s="393"/>
      <c r="CJ256" s="390"/>
      <c r="CK256" s="390"/>
      <c r="CL256" s="390"/>
      <c r="CM256" s="390"/>
      <c r="CN256" s="390"/>
      <c r="CO256" s="390"/>
      <c r="CP256" s="390"/>
      <c r="CQ256" s="390"/>
      <c r="CR256" s="390"/>
      <c r="CS256" s="390"/>
      <c r="CT256" s="390"/>
      <c r="CU256" s="390"/>
      <c r="CV256" s="390"/>
      <c r="CW256" s="390"/>
      <c r="CX256" s="390"/>
      <c r="CY256" s="390"/>
      <c r="CZ256" s="390"/>
      <c r="DA256" s="390"/>
      <c r="DB256" s="390"/>
      <c r="DC256" s="390"/>
    </row>
    <row r="257" spans="1:107" s="317" customFormat="1" ht="56.25">
      <c r="A257" s="37"/>
      <c r="B257" s="667" t="s">
        <v>23</v>
      </c>
      <c r="C257" s="668" t="s">
        <v>1142</v>
      </c>
      <c r="D257" s="669" t="s">
        <v>1226</v>
      </c>
      <c r="E257" s="670">
        <v>1091.5065405491862</v>
      </c>
      <c r="F257" s="668" t="s">
        <v>27</v>
      </c>
      <c r="G257" s="671">
        <v>0.93010280779392651</v>
      </c>
      <c r="H257" s="668" t="s">
        <v>66</v>
      </c>
      <c r="I257" s="672">
        <v>0.48057777987331629</v>
      </c>
      <c r="J257" s="668" t="s">
        <v>1097</v>
      </c>
      <c r="K257" s="668" t="s">
        <v>1025</v>
      </c>
      <c r="L257" s="673" t="s">
        <v>1228</v>
      </c>
      <c r="M257" s="668" t="s">
        <v>92</v>
      </c>
      <c r="N257" s="674">
        <v>149.93919479486527</v>
      </c>
      <c r="O257" s="674">
        <v>140.51201843349264</v>
      </c>
      <c r="P257" s="674">
        <v>129.94730215554986</v>
      </c>
      <c r="Q257" s="674">
        <v>27.321781362068013</v>
      </c>
      <c r="R257" s="37"/>
      <c r="S257" s="668" t="s">
        <v>69</v>
      </c>
      <c r="T257" s="668" t="s">
        <v>69</v>
      </c>
      <c r="U257" s="668" t="s">
        <v>69</v>
      </c>
      <c r="V257" s="668" t="s">
        <v>69</v>
      </c>
      <c r="W257" s="668" t="s">
        <v>70</v>
      </c>
      <c r="X257" s="37"/>
      <c r="Y257" s="37"/>
      <c r="Z257" s="668" t="s">
        <v>78</v>
      </c>
      <c r="AA257" s="668" t="s">
        <v>78</v>
      </c>
      <c r="AB257" s="37"/>
      <c r="AC257" s="676">
        <v>12.202739726027396</v>
      </c>
      <c r="AD257" s="674" t="s">
        <v>72</v>
      </c>
      <c r="AE257" s="668" t="s">
        <v>73</v>
      </c>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c r="CA257" s="393"/>
      <c r="CB257" s="393"/>
      <c r="CC257" s="393"/>
      <c r="CD257" s="393"/>
      <c r="CE257" s="393"/>
      <c r="CF257" s="393"/>
      <c r="CG257" s="393"/>
      <c r="CH257" s="393"/>
      <c r="CI257" s="393"/>
      <c r="CJ257" s="390"/>
      <c r="CK257" s="390"/>
      <c r="CL257" s="390"/>
      <c r="CM257" s="390"/>
      <c r="CN257" s="390"/>
      <c r="CO257" s="390"/>
      <c r="CP257" s="390"/>
      <c r="CQ257" s="390"/>
      <c r="CR257" s="390"/>
      <c r="CS257" s="390"/>
      <c r="CT257" s="390"/>
      <c r="CU257" s="390"/>
      <c r="CV257" s="390"/>
      <c r="CW257" s="390"/>
      <c r="CX257" s="390"/>
      <c r="CY257" s="390"/>
      <c r="CZ257" s="390"/>
      <c r="DA257" s="390"/>
      <c r="DB257" s="390"/>
      <c r="DC257" s="390"/>
    </row>
    <row r="258" spans="1:107" s="317" customFormat="1" ht="56.25">
      <c r="A258" s="37"/>
      <c r="B258" s="667" t="s">
        <v>23</v>
      </c>
      <c r="C258" s="668" t="s">
        <v>1142</v>
      </c>
      <c r="D258" s="669" t="s">
        <v>1226</v>
      </c>
      <c r="E258" s="670">
        <v>1091.5065405491862</v>
      </c>
      <c r="F258" s="668" t="s">
        <v>27</v>
      </c>
      <c r="G258" s="671">
        <v>0.93010280779392651</v>
      </c>
      <c r="H258" s="668" t="s">
        <v>66</v>
      </c>
      <c r="I258" s="672">
        <v>0.48057777987331629</v>
      </c>
      <c r="J258" s="668" t="s">
        <v>1097</v>
      </c>
      <c r="K258" s="668" t="s">
        <v>1025</v>
      </c>
      <c r="L258" s="673" t="s">
        <v>1228</v>
      </c>
      <c r="M258" s="668" t="s">
        <v>93</v>
      </c>
      <c r="N258" s="674">
        <v>149.93919479486527</v>
      </c>
      <c r="O258" s="674">
        <v>148.31824167979778</v>
      </c>
      <c r="P258" s="674">
        <v>129.94730215554986</v>
      </c>
      <c r="Q258" s="674" t="s">
        <v>871</v>
      </c>
      <c r="R258" s="37"/>
      <c r="S258" s="668" t="s">
        <v>69</v>
      </c>
      <c r="T258" s="668" t="s">
        <v>69</v>
      </c>
      <c r="U258" s="673" t="s">
        <v>44</v>
      </c>
      <c r="V258" s="673" t="s">
        <v>75</v>
      </c>
      <c r="W258" s="668" t="s">
        <v>70</v>
      </c>
      <c r="X258" s="37"/>
      <c r="Y258" s="37"/>
      <c r="Z258" s="668" t="s">
        <v>78</v>
      </c>
      <c r="AA258" s="668" t="s">
        <v>78</v>
      </c>
      <c r="AB258" s="37"/>
      <c r="AC258" s="676">
        <v>12.202739726027396</v>
      </c>
      <c r="AD258" s="674" t="s">
        <v>72</v>
      </c>
      <c r="AE258" s="668" t="s">
        <v>73</v>
      </c>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c r="CA258" s="393"/>
      <c r="CB258" s="393"/>
      <c r="CC258" s="393"/>
      <c r="CD258" s="393"/>
      <c r="CE258" s="393"/>
      <c r="CF258" s="393"/>
      <c r="CG258" s="393"/>
      <c r="CH258" s="393"/>
      <c r="CI258" s="393"/>
      <c r="CJ258" s="390"/>
      <c r="CK258" s="390"/>
      <c r="CL258" s="390"/>
      <c r="CM258" s="390"/>
      <c r="CN258" s="390"/>
      <c r="CO258" s="390"/>
      <c r="CP258" s="390"/>
      <c r="CQ258" s="390"/>
      <c r="CR258" s="390"/>
      <c r="CS258" s="390"/>
      <c r="CT258" s="390"/>
      <c r="CU258" s="390"/>
      <c r="CV258" s="390"/>
      <c r="CW258" s="390"/>
      <c r="CX258" s="390"/>
      <c r="CY258" s="390"/>
      <c r="CZ258" s="390"/>
      <c r="DA258" s="390"/>
      <c r="DB258" s="390"/>
      <c r="DC258" s="390"/>
    </row>
    <row r="259" spans="1:107" s="317" customFormat="1" ht="56.25">
      <c r="A259" s="37"/>
      <c r="B259" s="667" t="s">
        <v>23</v>
      </c>
      <c r="C259" s="668" t="s">
        <v>1142</v>
      </c>
      <c r="D259" s="669" t="s">
        <v>1226</v>
      </c>
      <c r="E259" s="670">
        <v>1091.5065405491862</v>
      </c>
      <c r="F259" s="668" t="s">
        <v>27</v>
      </c>
      <c r="G259" s="671">
        <v>0.93010280779392651</v>
      </c>
      <c r="H259" s="668" t="s">
        <v>66</v>
      </c>
      <c r="I259" s="672">
        <v>0.48057777987331629</v>
      </c>
      <c r="J259" s="668" t="s">
        <v>1097</v>
      </c>
      <c r="K259" s="668" t="s">
        <v>1025</v>
      </c>
      <c r="L259" s="673" t="s">
        <v>1227</v>
      </c>
      <c r="M259" s="668" t="s">
        <v>88</v>
      </c>
      <c r="N259" s="675">
        <v>207.87700865657163</v>
      </c>
      <c r="O259" s="674">
        <v>93.674678955661747</v>
      </c>
      <c r="P259" s="674">
        <v>177.66232716579086</v>
      </c>
      <c r="Q259" s="674" t="s">
        <v>1109</v>
      </c>
      <c r="R259" s="37"/>
      <c r="S259" s="668" t="s">
        <v>44</v>
      </c>
      <c r="T259" s="673" t="s">
        <v>63</v>
      </c>
      <c r="U259" s="668" t="s">
        <v>69</v>
      </c>
      <c r="V259" s="668" t="s">
        <v>69</v>
      </c>
      <c r="W259" s="668" t="s">
        <v>70</v>
      </c>
      <c r="X259" s="37"/>
      <c r="Y259" s="37"/>
      <c r="Z259" s="673" t="s">
        <v>78</v>
      </c>
      <c r="AA259" s="673" t="s">
        <v>78</v>
      </c>
      <c r="AB259" s="37"/>
      <c r="AC259" s="677">
        <v>12.202739726027396</v>
      </c>
      <c r="AD259" s="675" t="s">
        <v>72</v>
      </c>
      <c r="AE259" s="673" t="s">
        <v>73</v>
      </c>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c r="CA259" s="393"/>
      <c r="CB259" s="393"/>
      <c r="CC259" s="393"/>
      <c r="CD259" s="393"/>
      <c r="CE259" s="393"/>
      <c r="CF259" s="393"/>
      <c r="CG259" s="393"/>
      <c r="CH259" s="393"/>
      <c r="CI259" s="393"/>
      <c r="CJ259" s="390"/>
      <c r="CK259" s="390"/>
      <c r="CL259" s="390"/>
      <c r="CM259" s="390"/>
      <c r="CN259" s="390"/>
      <c r="CO259" s="390"/>
      <c r="CP259" s="390"/>
      <c r="CQ259" s="390"/>
      <c r="CR259" s="390"/>
      <c r="CS259" s="390"/>
      <c r="CT259" s="390"/>
      <c r="CU259" s="390"/>
      <c r="CV259" s="390"/>
      <c r="CW259" s="390"/>
      <c r="CX259" s="390"/>
      <c r="CY259" s="390"/>
      <c r="CZ259" s="390"/>
      <c r="DA259" s="390"/>
      <c r="DB259" s="390"/>
      <c r="DC259" s="390"/>
    </row>
    <row r="260" spans="1:107" s="317" customFormat="1" ht="56.25">
      <c r="A260" s="37"/>
      <c r="B260" s="667" t="s">
        <v>23</v>
      </c>
      <c r="C260" s="668" t="s">
        <v>1142</v>
      </c>
      <c r="D260" s="669" t="s">
        <v>1226</v>
      </c>
      <c r="E260" s="670">
        <v>1091.5065405491862</v>
      </c>
      <c r="F260" s="668" t="s">
        <v>27</v>
      </c>
      <c r="G260" s="671">
        <v>0.93010280779392651</v>
      </c>
      <c r="H260" s="668" t="s">
        <v>66</v>
      </c>
      <c r="I260" s="672">
        <v>0.48057777987331629</v>
      </c>
      <c r="J260" s="668" t="s">
        <v>1097</v>
      </c>
      <c r="K260" s="668" t="s">
        <v>1025</v>
      </c>
      <c r="L260" s="673" t="s">
        <v>1227</v>
      </c>
      <c r="M260" s="668" t="s">
        <v>90</v>
      </c>
      <c r="N260" s="675">
        <v>207.87700865657163</v>
      </c>
      <c r="O260" s="674">
        <v>113.1902370714246</v>
      </c>
      <c r="P260" s="674">
        <v>177.66232716579086</v>
      </c>
      <c r="Q260" s="674" t="s">
        <v>871</v>
      </c>
      <c r="R260" s="37"/>
      <c r="S260" s="668" t="s">
        <v>44</v>
      </c>
      <c r="T260" s="673" t="s">
        <v>63</v>
      </c>
      <c r="U260" s="668" t="s">
        <v>69</v>
      </c>
      <c r="V260" s="668" t="s">
        <v>69</v>
      </c>
      <c r="W260" s="668" t="s">
        <v>70</v>
      </c>
      <c r="X260" s="37"/>
      <c r="Y260" s="37"/>
      <c r="Z260" s="673" t="s">
        <v>78</v>
      </c>
      <c r="AA260" s="673" t="s">
        <v>78</v>
      </c>
      <c r="AB260" s="37"/>
      <c r="AC260" s="677">
        <v>12.202739726027396</v>
      </c>
      <c r="AD260" s="675" t="s">
        <v>72</v>
      </c>
      <c r="AE260" s="673" t="s">
        <v>73</v>
      </c>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c r="CA260" s="393"/>
      <c r="CB260" s="393"/>
      <c r="CC260" s="393"/>
      <c r="CD260" s="393"/>
      <c r="CE260" s="393"/>
      <c r="CF260" s="393"/>
      <c r="CG260" s="393"/>
      <c r="CH260" s="393"/>
      <c r="CI260" s="393"/>
      <c r="CJ260" s="390"/>
      <c r="CK260" s="390"/>
      <c r="CL260" s="390"/>
      <c r="CM260" s="390"/>
      <c r="CN260" s="390"/>
      <c r="CO260" s="390"/>
      <c r="CP260" s="390"/>
      <c r="CQ260" s="390"/>
      <c r="CR260" s="390"/>
      <c r="CS260" s="390"/>
      <c r="CT260" s="390"/>
      <c r="CU260" s="390"/>
      <c r="CV260" s="390"/>
      <c r="CW260" s="390"/>
      <c r="CX260" s="390"/>
      <c r="CY260" s="390"/>
      <c r="CZ260" s="390"/>
      <c r="DA260" s="390"/>
      <c r="DB260" s="390"/>
      <c r="DC260" s="390"/>
    </row>
    <row r="261" spans="1:107" s="317" customFormat="1" ht="56.25">
      <c r="A261" s="37"/>
      <c r="B261" s="667" t="s">
        <v>23</v>
      </c>
      <c r="C261" s="668" t="s">
        <v>1142</v>
      </c>
      <c r="D261" s="669" t="s">
        <v>1226</v>
      </c>
      <c r="E261" s="670">
        <v>1091.5065405491862</v>
      </c>
      <c r="F261" s="668" t="s">
        <v>27</v>
      </c>
      <c r="G261" s="671">
        <v>0.93010280779392651</v>
      </c>
      <c r="H261" s="668" t="s">
        <v>66</v>
      </c>
      <c r="I261" s="672">
        <v>0.48057777987331629</v>
      </c>
      <c r="J261" s="668" t="s">
        <v>1097</v>
      </c>
      <c r="K261" s="668" t="s">
        <v>1025</v>
      </c>
      <c r="L261" s="673" t="s">
        <v>1227</v>
      </c>
      <c r="M261" s="668" t="s">
        <v>91</v>
      </c>
      <c r="N261" s="675">
        <v>207.87700865657163</v>
      </c>
      <c r="O261" s="674" t="s">
        <v>870</v>
      </c>
      <c r="P261" s="674">
        <v>177.66232716579086</v>
      </c>
      <c r="Q261" s="674" t="s">
        <v>870</v>
      </c>
      <c r="R261" s="37"/>
      <c r="S261" s="668" t="s">
        <v>44</v>
      </c>
      <c r="T261" s="673" t="s">
        <v>63</v>
      </c>
      <c r="U261" s="673" t="s">
        <v>870</v>
      </c>
      <c r="V261" s="673" t="s">
        <v>870</v>
      </c>
      <c r="W261" s="668" t="s">
        <v>70</v>
      </c>
      <c r="X261" s="37"/>
      <c r="Y261" s="37"/>
      <c r="Z261" s="673" t="s">
        <v>78</v>
      </c>
      <c r="AA261" s="673" t="s">
        <v>78</v>
      </c>
      <c r="AB261" s="37"/>
      <c r="AC261" s="677">
        <v>12.202739726027396</v>
      </c>
      <c r="AD261" s="675" t="s">
        <v>72</v>
      </c>
      <c r="AE261" s="673" t="s">
        <v>73</v>
      </c>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c r="CA261" s="393"/>
      <c r="CB261" s="393"/>
      <c r="CC261" s="393"/>
      <c r="CD261" s="393"/>
      <c r="CE261" s="393"/>
      <c r="CF261" s="393"/>
      <c r="CG261" s="393"/>
      <c r="CH261" s="393"/>
      <c r="CI261" s="393"/>
      <c r="CJ261" s="390"/>
      <c r="CK261" s="390"/>
      <c r="CL261" s="390"/>
      <c r="CM261" s="390"/>
      <c r="CN261" s="390"/>
      <c r="CO261" s="390"/>
      <c r="CP261" s="390"/>
      <c r="CQ261" s="390"/>
      <c r="CR261" s="390"/>
      <c r="CS261" s="390"/>
      <c r="CT261" s="390"/>
      <c r="CU261" s="390"/>
      <c r="CV261" s="390"/>
      <c r="CW261" s="390"/>
      <c r="CX261" s="390"/>
      <c r="CY261" s="390"/>
      <c r="CZ261" s="390"/>
      <c r="DA261" s="390"/>
      <c r="DB261" s="390"/>
      <c r="DC261" s="390"/>
    </row>
    <row r="262" spans="1:107" s="317" customFormat="1" ht="56.25">
      <c r="A262" s="37"/>
      <c r="B262" s="667" t="s">
        <v>23</v>
      </c>
      <c r="C262" s="668" t="s">
        <v>1142</v>
      </c>
      <c r="D262" s="669" t="s">
        <v>1226</v>
      </c>
      <c r="E262" s="670">
        <v>1091.5065405491862</v>
      </c>
      <c r="F262" s="668" t="s">
        <v>27</v>
      </c>
      <c r="G262" s="671">
        <v>0.93010280779392651</v>
      </c>
      <c r="H262" s="668" t="s">
        <v>66</v>
      </c>
      <c r="I262" s="672">
        <v>0.48057777987331629</v>
      </c>
      <c r="J262" s="668" t="s">
        <v>1097</v>
      </c>
      <c r="K262" s="668" t="s">
        <v>1025</v>
      </c>
      <c r="L262" s="673" t="s">
        <v>1227</v>
      </c>
      <c r="M262" s="668" t="s">
        <v>92</v>
      </c>
      <c r="N262" s="675">
        <v>207.87700865657163</v>
      </c>
      <c r="O262" s="674">
        <v>140.51201843349264</v>
      </c>
      <c r="P262" s="674">
        <v>177.66232716579086</v>
      </c>
      <c r="Q262" s="674">
        <v>27.321781362068013</v>
      </c>
      <c r="R262" s="37"/>
      <c r="S262" s="668" t="s">
        <v>44</v>
      </c>
      <c r="T262" s="673" t="s">
        <v>63</v>
      </c>
      <c r="U262" s="668" t="s">
        <v>69</v>
      </c>
      <c r="V262" s="668" t="s">
        <v>69</v>
      </c>
      <c r="W262" s="668" t="s">
        <v>70</v>
      </c>
      <c r="X262" s="37"/>
      <c r="Y262" s="37"/>
      <c r="Z262" s="673" t="s">
        <v>78</v>
      </c>
      <c r="AA262" s="673" t="s">
        <v>78</v>
      </c>
      <c r="AB262" s="37"/>
      <c r="AC262" s="677">
        <v>12.202739726027396</v>
      </c>
      <c r="AD262" s="675" t="s">
        <v>72</v>
      </c>
      <c r="AE262" s="673" t="s">
        <v>73</v>
      </c>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c r="CA262" s="393"/>
      <c r="CB262" s="393"/>
      <c r="CC262" s="393"/>
      <c r="CD262" s="393"/>
      <c r="CE262" s="393"/>
      <c r="CF262" s="393"/>
      <c r="CG262" s="393"/>
      <c r="CH262" s="393"/>
      <c r="CI262" s="393"/>
      <c r="CJ262" s="390"/>
      <c r="CK262" s="390"/>
      <c r="CL262" s="390"/>
      <c r="CM262" s="390"/>
      <c r="CN262" s="390"/>
      <c r="CO262" s="390"/>
      <c r="CP262" s="390"/>
      <c r="CQ262" s="390"/>
      <c r="CR262" s="390"/>
      <c r="CS262" s="390"/>
      <c r="CT262" s="390"/>
      <c r="CU262" s="390"/>
      <c r="CV262" s="390"/>
      <c r="CW262" s="390"/>
      <c r="CX262" s="390"/>
      <c r="CY262" s="390"/>
      <c r="CZ262" s="390"/>
      <c r="DA262" s="390"/>
      <c r="DB262" s="390"/>
      <c r="DC262" s="390"/>
    </row>
    <row r="263" spans="1:107" s="317" customFormat="1" ht="56.25">
      <c r="A263" s="37"/>
      <c r="B263" s="667" t="s">
        <v>23</v>
      </c>
      <c r="C263" s="668" t="s">
        <v>1142</v>
      </c>
      <c r="D263" s="669" t="s">
        <v>1226</v>
      </c>
      <c r="E263" s="670">
        <v>1091.5065405491862</v>
      </c>
      <c r="F263" s="668" t="s">
        <v>27</v>
      </c>
      <c r="G263" s="671">
        <v>0.93010280779392651</v>
      </c>
      <c r="H263" s="668" t="s">
        <v>66</v>
      </c>
      <c r="I263" s="672">
        <v>0.48057777987331629</v>
      </c>
      <c r="J263" s="668" t="s">
        <v>1097</v>
      </c>
      <c r="K263" s="668" t="s">
        <v>1025</v>
      </c>
      <c r="L263" s="673" t="s">
        <v>1227</v>
      </c>
      <c r="M263" s="668" t="s">
        <v>93</v>
      </c>
      <c r="N263" s="675">
        <v>207.87700865657163</v>
      </c>
      <c r="O263" s="674">
        <v>148.31824167979778</v>
      </c>
      <c r="P263" s="674">
        <v>177.66232716579086</v>
      </c>
      <c r="Q263" s="674" t="s">
        <v>871</v>
      </c>
      <c r="R263" s="37"/>
      <c r="S263" s="668" t="s">
        <v>44</v>
      </c>
      <c r="T263" s="673" t="s">
        <v>63</v>
      </c>
      <c r="U263" s="673" t="s">
        <v>44</v>
      </c>
      <c r="V263" s="673" t="s">
        <v>75</v>
      </c>
      <c r="W263" s="668" t="s">
        <v>70</v>
      </c>
      <c r="X263" s="37"/>
      <c r="Y263" s="37"/>
      <c r="Z263" s="673" t="s">
        <v>78</v>
      </c>
      <c r="AA263" s="673" t="s">
        <v>78</v>
      </c>
      <c r="AB263" s="37"/>
      <c r="AC263" s="677">
        <v>12.202739726027396</v>
      </c>
      <c r="AD263" s="675" t="s">
        <v>72</v>
      </c>
      <c r="AE263" s="673" t="s">
        <v>73</v>
      </c>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c r="CA263" s="393"/>
      <c r="CB263" s="393"/>
      <c r="CC263" s="393"/>
      <c r="CD263" s="393"/>
      <c r="CE263" s="393"/>
      <c r="CF263" s="393"/>
      <c r="CG263" s="393"/>
      <c r="CH263" s="393"/>
      <c r="CI263" s="393"/>
      <c r="CJ263" s="390"/>
      <c r="CK263" s="390"/>
      <c r="CL263" s="390"/>
      <c r="CM263" s="390"/>
      <c r="CN263" s="390"/>
      <c r="CO263" s="390"/>
      <c r="CP263" s="390"/>
      <c r="CQ263" s="390"/>
      <c r="CR263" s="390"/>
      <c r="CS263" s="390"/>
      <c r="CT263" s="390"/>
      <c r="CU263" s="390"/>
      <c r="CV263" s="390"/>
      <c r="CW263" s="390"/>
      <c r="CX263" s="390"/>
      <c r="CY263" s="390"/>
      <c r="CZ263" s="390"/>
      <c r="DA263" s="390"/>
      <c r="DB263" s="390"/>
      <c r="DC263" s="390"/>
    </row>
    <row r="264" spans="1:107" s="317" customFormat="1" ht="33.75">
      <c r="A264" s="37"/>
      <c r="B264" s="464" t="s">
        <v>23</v>
      </c>
      <c r="C264" s="465" t="s">
        <v>1142</v>
      </c>
      <c r="D264" s="348" t="s">
        <v>1224</v>
      </c>
      <c r="E264" s="467">
        <v>36.480833574504885</v>
      </c>
      <c r="F264" s="344" t="s">
        <v>28</v>
      </c>
      <c r="G264" s="346">
        <v>0.99</v>
      </c>
      <c r="H264" s="344" t="s">
        <v>66</v>
      </c>
      <c r="I264" s="386">
        <v>0.5</v>
      </c>
      <c r="J264" s="344" t="s">
        <v>28</v>
      </c>
      <c r="K264" s="344" t="s">
        <v>1003</v>
      </c>
      <c r="L264" s="344" t="s">
        <v>102</v>
      </c>
      <c r="M264" s="344" t="s">
        <v>88</v>
      </c>
      <c r="N264" s="349">
        <v>10.401415268762834</v>
      </c>
      <c r="O264" s="349">
        <v>3.4671384229209448</v>
      </c>
      <c r="P264" s="349">
        <v>10.401415268762834</v>
      </c>
      <c r="Q264" s="349" t="s">
        <v>871</v>
      </c>
      <c r="R264" s="37"/>
      <c r="S264" s="465" t="s">
        <v>44</v>
      </c>
      <c r="T264" s="344" t="s">
        <v>63</v>
      </c>
      <c r="U264" s="344" t="s">
        <v>69</v>
      </c>
      <c r="V264" s="344" t="s">
        <v>69</v>
      </c>
      <c r="W264" s="344" t="s">
        <v>70</v>
      </c>
      <c r="X264" s="37"/>
      <c r="Y264" s="37"/>
      <c r="Z264" s="344" t="s">
        <v>78</v>
      </c>
      <c r="AA264" s="344" t="s">
        <v>78</v>
      </c>
      <c r="AB264" s="37"/>
      <c r="AC264" s="347">
        <v>12.202739726027396</v>
      </c>
      <c r="AD264" s="349" t="s">
        <v>72</v>
      </c>
      <c r="AE264" s="344" t="s">
        <v>73</v>
      </c>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c r="CA264" s="393"/>
      <c r="CB264" s="393"/>
      <c r="CC264" s="393"/>
      <c r="CD264" s="393"/>
      <c r="CE264" s="393"/>
      <c r="CF264" s="393"/>
      <c r="CG264" s="393"/>
      <c r="CH264" s="393"/>
      <c r="CI264" s="393"/>
      <c r="CJ264" s="390"/>
      <c r="CK264" s="390"/>
      <c r="CL264" s="390"/>
      <c r="CM264" s="390"/>
      <c r="CN264" s="390"/>
      <c r="CO264" s="390"/>
      <c r="CP264" s="390"/>
      <c r="CQ264" s="390"/>
      <c r="CR264" s="390"/>
      <c r="CS264" s="390"/>
      <c r="CT264" s="390"/>
      <c r="CU264" s="390"/>
      <c r="CV264" s="390"/>
      <c r="CW264" s="390"/>
      <c r="CX264" s="390"/>
      <c r="CY264" s="390"/>
      <c r="CZ264" s="390"/>
      <c r="DA264" s="390"/>
      <c r="DB264" s="390"/>
      <c r="DC264" s="390"/>
    </row>
    <row r="265" spans="1:107" s="317" customFormat="1" ht="33.75">
      <c r="A265" s="37"/>
      <c r="B265" s="464" t="s">
        <v>23</v>
      </c>
      <c r="C265" s="465" t="s">
        <v>1142</v>
      </c>
      <c r="D265" s="348" t="s">
        <v>1224</v>
      </c>
      <c r="E265" s="467">
        <v>36.480833574504885</v>
      </c>
      <c r="F265" s="344" t="s">
        <v>28</v>
      </c>
      <c r="G265" s="346">
        <v>0.99</v>
      </c>
      <c r="H265" s="344" t="s">
        <v>66</v>
      </c>
      <c r="I265" s="386">
        <v>0.5</v>
      </c>
      <c r="J265" s="344" t="s">
        <v>28</v>
      </c>
      <c r="K265" s="344" t="s">
        <v>1003</v>
      </c>
      <c r="L265" s="344" t="s">
        <v>102</v>
      </c>
      <c r="M265" s="344" t="s">
        <v>90</v>
      </c>
      <c r="N265" s="349">
        <v>10.401415268762834</v>
      </c>
      <c r="O265" s="349">
        <v>4.1894589276961414</v>
      </c>
      <c r="P265" s="349">
        <v>10.401415268762834</v>
      </c>
      <c r="Q265" s="349" t="s">
        <v>1109</v>
      </c>
      <c r="R265" s="37"/>
      <c r="S265" s="465" t="s">
        <v>44</v>
      </c>
      <c r="T265" s="344" t="s">
        <v>63</v>
      </c>
      <c r="U265" s="344" t="s">
        <v>69</v>
      </c>
      <c r="V265" s="344" t="s">
        <v>69</v>
      </c>
      <c r="W265" s="344" t="s">
        <v>70</v>
      </c>
      <c r="X265" s="37"/>
      <c r="Y265" s="37"/>
      <c r="Z265" s="344" t="s">
        <v>78</v>
      </c>
      <c r="AA265" s="344" t="s">
        <v>78</v>
      </c>
      <c r="AB265" s="37"/>
      <c r="AC265" s="347">
        <v>12.202739726027396</v>
      </c>
      <c r="AD265" s="349" t="s">
        <v>72</v>
      </c>
      <c r="AE265" s="344" t="s">
        <v>73</v>
      </c>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c r="CA265" s="393"/>
      <c r="CB265" s="393"/>
      <c r="CC265" s="393"/>
      <c r="CD265" s="393"/>
      <c r="CE265" s="393"/>
      <c r="CF265" s="393"/>
      <c r="CG265" s="393"/>
      <c r="CH265" s="393"/>
      <c r="CI265" s="393"/>
      <c r="CJ265" s="390"/>
      <c r="CK265" s="390"/>
      <c r="CL265" s="390"/>
      <c r="CM265" s="390"/>
      <c r="CN265" s="390"/>
      <c r="CO265" s="390"/>
      <c r="CP265" s="390"/>
      <c r="CQ265" s="390"/>
      <c r="CR265" s="390"/>
      <c r="CS265" s="390"/>
      <c r="CT265" s="390"/>
      <c r="CU265" s="390"/>
      <c r="CV265" s="390"/>
      <c r="CW265" s="390"/>
      <c r="CX265" s="390"/>
      <c r="CY265" s="390"/>
      <c r="CZ265" s="390"/>
      <c r="DA265" s="390"/>
      <c r="DB265" s="390"/>
      <c r="DC265" s="390"/>
    </row>
    <row r="266" spans="1:107" s="317" customFormat="1" ht="33.75">
      <c r="A266" s="37"/>
      <c r="B266" s="464" t="s">
        <v>23</v>
      </c>
      <c r="C266" s="465" t="s">
        <v>1142</v>
      </c>
      <c r="D266" s="348" t="s">
        <v>1224</v>
      </c>
      <c r="E266" s="467">
        <v>36.480833574504885</v>
      </c>
      <c r="F266" s="344" t="s">
        <v>28</v>
      </c>
      <c r="G266" s="346">
        <v>0.99</v>
      </c>
      <c r="H266" s="344" t="s">
        <v>66</v>
      </c>
      <c r="I266" s="386">
        <v>0.5</v>
      </c>
      <c r="J266" s="344" t="s">
        <v>28</v>
      </c>
      <c r="K266" s="344" t="s">
        <v>1003</v>
      </c>
      <c r="L266" s="344" t="s">
        <v>102</v>
      </c>
      <c r="M266" s="344" t="s">
        <v>91</v>
      </c>
      <c r="N266" s="349">
        <v>10.401415268762834</v>
      </c>
      <c r="O266" s="349" t="s">
        <v>870</v>
      </c>
      <c r="P266" s="349">
        <v>10.401415268762834</v>
      </c>
      <c r="Q266" s="349" t="s">
        <v>870</v>
      </c>
      <c r="R266" s="37"/>
      <c r="S266" s="465" t="s">
        <v>44</v>
      </c>
      <c r="T266" s="344" t="s">
        <v>63</v>
      </c>
      <c r="U266" s="344" t="s">
        <v>69</v>
      </c>
      <c r="V266" s="344" t="s">
        <v>69</v>
      </c>
      <c r="W266" s="344" t="s">
        <v>70</v>
      </c>
      <c r="X266" s="37"/>
      <c r="Y266" s="37"/>
      <c r="Z266" s="344" t="s">
        <v>78</v>
      </c>
      <c r="AA266" s="344" t="s">
        <v>78</v>
      </c>
      <c r="AB266" s="37"/>
      <c r="AC266" s="347">
        <v>12.202739726027396</v>
      </c>
      <c r="AD266" s="349" t="s">
        <v>72</v>
      </c>
      <c r="AE266" s="344" t="s">
        <v>73</v>
      </c>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c r="CA266" s="393"/>
      <c r="CB266" s="393"/>
      <c r="CC266" s="393"/>
      <c r="CD266" s="393"/>
      <c r="CE266" s="393"/>
      <c r="CF266" s="393"/>
      <c r="CG266" s="393"/>
      <c r="CH266" s="393"/>
      <c r="CI266" s="393"/>
      <c r="CJ266" s="390"/>
      <c r="CK266" s="390"/>
      <c r="CL266" s="390"/>
      <c r="CM266" s="390"/>
      <c r="CN266" s="390"/>
      <c r="CO266" s="390"/>
      <c r="CP266" s="390"/>
      <c r="CQ266" s="390"/>
      <c r="CR266" s="390"/>
      <c r="CS266" s="390"/>
      <c r="CT266" s="390"/>
      <c r="CU266" s="390"/>
      <c r="CV266" s="390"/>
      <c r="CW266" s="390"/>
      <c r="CX266" s="390"/>
      <c r="CY266" s="390"/>
      <c r="CZ266" s="390"/>
      <c r="DA266" s="390"/>
      <c r="DB266" s="390"/>
      <c r="DC266" s="390"/>
    </row>
    <row r="267" spans="1:107" s="317" customFormat="1" ht="33.75">
      <c r="A267" s="37"/>
      <c r="B267" s="464" t="s">
        <v>23</v>
      </c>
      <c r="C267" s="465" t="s">
        <v>1142</v>
      </c>
      <c r="D267" s="348" t="s">
        <v>1224</v>
      </c>
      <c r="E267" s="467">
        <v>36.480833574504885</v>
      </c>
      <c r="F267" s="344" t="s">
        <v>28</v>
      </c>
      <c r="G267" s="346">
        <v>0.99</v>
      </c>
      <c r="H267" s="344" t="s">
        <v>66</v>
      </c>
      <c r="I267" s="386">
        <v>0.5</v>
      </c>
      <c r="J267" s="344" t="s">
        <v>28</v>
      </c>
      <c r="K267" s="344" t="s">
        <v>1003</v>
      </c>
      <c r="L267" s="344" t="s">
        <v>102</v>
      </c>
      <c r="M267" s="344" t="s">
        <v>92</v>
      </c>
      <c r="N267" s="349">
        <v>10.401415268762834</v>
      </c>
      <c r="O267" s="349">
        <v>5.2007076343814171</v>
      </c>
      <c r="P267" s="349">
        <v>10.401415268762834</v>
      </c>
      <c r="Q267" s="349">
        <v>1.7335692114604724</v>
      </c>
      <c r="R267" s="37"/>
      <c r="S267" s="465" t="s">
        <v>44</v>
      </c>
      <c r="T267" s="344" t="s">
        <v>63</v>
      </c>
      <c r="U267" s="344" t="s">
        <v>69</v>
      </c>
      <c r="V267" s="344" t="s">
        <v>69</v>
      </c>
      <c r="W267" s="344" t="s">
        <v>70</v>
      </c>
      <c r="X267" s="37"/>
      <c r="Y267" s="37"/>
      <c r="Z267" s="344" t="s">
        <v>78</v>
      </c>
      <c r="AA267" s="344" t="s">
        <v>78</v>
      </c>
      <c r="AB267" s="37"/>
      <c r="AC267" s="347">
        <v>12.202739726027396</v>
      </c>
      <c r="AD267" s="349" t="s">
        <v>72</v>
      </c>
      <c r="AE267" s="344" t="s">
        <v>73</v>
      </c>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c r="CA267" s="393"/>
      <c r="CB267" s="393"/>
      <c r="CC267" s="393"/>
      <c r="CD267" s="393"/>
      <c r="CE267" s="393"/>
      <c r="CF267" s="393"/>
      <c r="CG267" s="393"/>
      <c r="CH267" s="393"/>
      <c r="CI267" s="393"/>
      <c r="CJ267" s="390"/>
      <c r="CK267" s="390"/>
      <c r="CL267" s="390"/>
      <c r="CM267" s="390"/>
      <c r="CN267" s="390"/>
      <c r="CO267" s="390"/>
      <c r="CP267" s="390"/>
      <c r="CQ267" s="390"/>
      <c r="CR267" s="390"/>
      <c r="CS267" s="390"/>
      <c r="CT267" s="390"/>
      <c r="CU267" s="390"/>
      <c r="CV267" s="390"/>
      <c r="CW267" s="390"/>
      <c r="CX267" s="390"/>
      <c r="CY267" s="390"/>
      <c r="CZ267" s="390"/>
      <c r="DA267" s="390"/>
      <c r="DB267" s="390"/>
      <c r="DC267" s="390"/>
    </row>
    <row r="268" spans="1:107" s="317" customFormat="1" ht="33.75">
      <c r="A268" s="37"/>
      <c r="B268" s="464" t="s">
        <v>23</v>
      </c>
      <c r="C268" s="465" t="s">
        <v>1142</v>
      </c>
      <c r="D268" s="348" t="s">
        <v>1224</v>
      </c>
      <c r="E268" s="467">
        <v>36.480833574504885</v>
      </c>
      <c r="F268" s="344" t="s">
        <v>28</v>
      </c>
      <c r="G268" s="346">
        <v>0.99</v>
      </c>
      <c r="H268" s="344" t="s">
        <v>66</v>
      </c>
      <c r="I268" s="386">
        <v>0.5</v>
      </c>
      <c r="J268" s="344" t="s">
        <v>28</v>
      </c>
      <c r="K268" s="344" t="s">
        <v>1003</v>
      </c>
      <c r="L268" s="344" t="s">
        <v>102</v>
      </c>
      <c r="M268" s="344" t="s">
        <v>93</v>
      </c>
      <c r="N268" s="349">
        <v>10.401415268762834</v>
      </c>
      <c r="O268" s="349">
        <v>5.4896358362914954</v>
      </c>
      <c r="P268" s="349">
        <v>10.401415268762834</v>
      </c>
      <c r="Q268" s="349">
        <v>2.0224974133705511</v>
      </c>
      <c r="R268" s="37"/>
      <c r="S268" s="465" t="s">
        <v>44</v>
      </c>
      <c r="T268" s="344" t="s">
        <v>63</v>
      </c>
      <c r="U268" s="344" t="s">
        <v>44</v>
      </c>
      <c r="V268" s="344" t="s">
        <v>75</v>
      </c>
      <c r="W268" s="465" t="s">
        <v>70</v>
      </c>
      <c r="X268" s="37"/>
      <c r="Y268" s="37"/>
      <c r="Z268" s="344" t="s">
        <v>78</v>
      </c>
      <c r="AA268" s="344" t="s">
        <v>78</v>
      </c>
      <c r="AB268" s="37"/>
      <c r="AC268" s="347">
        <v>12.202739726027396</v>
      </c>
      <c r="AD268" s="349" t="s">
        <v>72</v>
      </c>
      <c r="AE268" s="344" t="s">
        <v>73</v>
      </c>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c r="CA268" s="393"/>
      <c r="CB268" s="393"/>
      <c r="CC268" s="393"/>
      <c r="CD268" s="393"/>
      <c r="CE268" s="393"/>
      <c r="CF268" s="393"/>
      <c r="CG268" s="393"/>
      <c r="CH268" s="393"/>
      <c r="CI268" s="393"/>
      <c r="CJ268" s="390"/>
      <c r="CK268" s="390"/>
      <c r="CL268" s="390"/>
      <c r="CM268" s="390"/>
      <c r="CN268" s="390"/>
      <c r="CO268" s="390"/>
      <c r="CP268" s="390"/>
      <c r="CQ268" s="390"/>
      <c r="CR268" s="390"/>
      <c r="CS268" s="390"/>
      <c r="CT268" s="390"/>
      <c r="CU268" s="390"/>
      <c r="CV268" s="390"/>
      <c r="CW268" s="390"/>
      <c r="CX268" s="390"/>
      <c r="CY268" s="390"/>
      <c r="CZ268" s="390"/>
      <c r="DA268" s="390"/>
      <c r="DB268" s="390"/>
      <c r="DC268" s="390"/>
    </row>
    <row r="269" spans="1:107" s="303" customFormat="1" ht="24">
      <c r="A269" s="37"/>
      <c r="B269" s="325" t="s">
        <v>23</v>
      </c>
      <c r="C269" s="320" t="s">
        <v>938</v>
      </c>
      <c r="D269" s="320" t="s">
        <v>97</v>
      </c>
      <c r="E269" s="324">
        <v>949.02748923351123</v>
      </c>
      <c r="F269" s="320" t="s">
        <v>24</v>
      </c>
      <c r="G269" s="319">
        <v>0.34749999999999998</v>
      </c>
      <c r="H269" s="320" t="s">
        <v>66</v>
      </c>
      <c r="I269" s="378">
        <v>0.95</v>
      </c>
      <c r="J269" s="320" t="s">
        <v>25</v>
      </c>
      <c r="K269" s="320" t="s">
        <v>939</v>
      </c>
      <c r="L269" s="320" t="s">
        <v>99</v>
      </c>
      <c r="M269" s="320" t="s">
        <v>88</v>
      </c>
      <c r="N269" s="321">
        <v>60.883763540057572</v>
      </c>
      <c r="O269" s="321">
        <v>112.78717195795663</v>
      </c>
      <c r="P269" s="321">
        <v>60.883763540057572</v>
      </c>
      <c r="Q269" s="321">
        <v>112.78717195795663</v>
      </c>
      <c r="R269" s="37"/>
      <c r="S269" s="322" t="s">
        <v>44</v>
      </c>
      <c r="T269" s="322" t="s">
        <v>63</v>
      </c>
      <c r="U269" s="322" t="s">
        <v>69</v>
      </c>
      <c r="V269" s="322" t="s">
        <v>69</v>
      </c>
      <c r="W269" s="322" t="s">
        <v>70</v>
      </c>
      <c r="X269" s="37"/>
      <c r="Y269" s="37"/>
      <c r="Z269" s="322" t="s">
        <v>78</v>
      </c>
      <c r="AA269" s="322" t="s">
        <v>78</v>
      </c>
      <c r="AB269" s="37"/>
      <c r="AC269" s="324">
        <v>2.1890410958904112</v>
      </c>
      <c r="AD269" s="324" t="s">
        <v>72</v>
      </c>
      <c r="AE269" s="322" t="s">
        <v>73</v>
      </c>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c r="CA269" s="393"/>
      <c r="CB269" s="393"/>
      <c r="CC269" s="393"/>
      <c r="CD269" s="393"/>
      <c r="CE269" s="393"/>
      <c r="CF269" s="393"/>
      <c r="CG269" s="393"/>
      <c r="CH269" s="393"/>
      <c r="CI269" s="393"/>
      <c r="CJ269" s="390"/>
      <c r="CK269" s="390"/>
      <c r="CL269" s="390"/>
      <c r="CM269" s="390"/>
      <c r="CN269" s="390"/>
      <c r="CO269" s="390"/>
      <c r="CP269" s="390"/>
      <c r="CQ269" s="390"/>
      <c r="CR269" s="390"/>
      <c r="CS269" s="390"/>
      <c r="CT269" s="390"/>
      <c r="CU269" s="390"/>
      <c r="CV269" s="390"/>
      <c r="CW269" s="390"/>
      <c r="CX269" s="390"/>
      <c r="CY269" s="390"/>
      <c r="CZ269" s="390"/>
      <c r="DA269" s="390"/>
      <c r="DB269" s="390"/>
      <c r="DC269" s="390"/>
    </row>
    <row r="270" spans="1:107" s="303" customFormat="1" ht="24">
      <c r="A270" s="37"/>
      <c r="B270" s="325" t="s">
        <v>23</v>
      </c>
      <c r="C270" s="320" t="s">
        <v>938</v>
      </c>
      <c r="D270" s="320" t="s">
        <v>97</v>
      </c>
      <c r="E270" s="324">
        <v>949.02748923351123</v>
      </c>
      <c r="F270" s="320" t="s">
        <v>24</v>
      </c>
      <c r="G270" s="319">
        <v>0.34749999999999998</v>
      </c>
      <c r="H270" s="320" t="s">
        <v>66</v>
      </c>
      <c r="I270" s="378">
        <v>0.95</v>
      </c>
      <c r="J270" s="320" t="s">
        <v>25</v>
      </c>
      <c r="K270" s="320" t="s">
        <v>939</v>
      </c>
      <c r="L270" s="320" t="s">
        <v>99</v>
      </c>
      <c r="M270" s="320" t="s">
        <v>90</v>
      </c>
      <c r="N270" s="321">
        <v>60.883763540057572</v>
      </c>
      <c r="O270" s="321">
        <v>70.178684773839677</v>
      </c>
      <c r="P270" s="321">
        <v>60.883763540057572</v>
      </c>
      <c r="Q270" s="321">
        <v>70.178684773839677</v>
      </c>
      <c r="R270" s="37"/>
      <c r="S270" s="322" t="s">
        <v>44</v>
      </c>
      <c r="T270" s="322" t="s">
        <v>63</v>
      </c>
      <c r="U270" s="322" t="s">
        <v>69</v>
      </c>
      <c r="V270" s="322" t="s">
        <v>69</v>
      </c>
      <c r="W270" s="322" t="s">
        <v>70</v>
      </c>
      <c r="X270" s="37"/>
      <c r="Y270" s="37"/>
      <c r="Z270" s="322" t="s">
        <v>78</v>
      </c>
      <c r="AA270" s="322" t="s">
        <v>78</v>
      </c>
      <c r="AB270" s="37"/>
      <c r="AC270" s="324">
        <v>2.1890410958904112</v>
      </c>
      <c r="AD270" s="324" t="s">
        <v>72</v>
      </c>
      <c r="AE270" s="322" t="s">
        <v>73</v>
      </c>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c r="CA270" s="393"/>
      <c r="CB270" s="393"/>
      <c r="CC270" s="393"/>
      <c r="CD270" s="393"/>
      <c r="CE270" s="393"/>
      <c r="CF270" s="393"/>
      <c r="CG270" s="393"/>
      <c r="CH270" s="393"/>
      <c r="CI270" s="393"/>
      <c r="CJ270" s="390"/>
      <c r="CK270" s="390"/>
      <c r="CL270" s="390"/>
      <c r="CM270" s="390"/>
      <c r="CN270" s="390"/>
      <c r="CO270" s="390"/>
      <c r="CP270" s="390"/>
      <c r="CQ270" s="390"/>
      <c r="CR270" s="390"/>
      <c r="CS270" s="390"/>
      <c r="CT270" s="390"/>
      <c r="CU270" s="390"/>
      <c r="CV270" s="390"/>
      <c r="CW270" s="390"/>
      <c r="CX270" s="390"/>
      <c r="CY270" s="390"/>
      <c r="CZ270" s="390"/>
      <c r="DA270" s="390"/>
      <c r="DB270" s="390"/>
      <c r="DC270" s="390"/>
    </row>
    <row r="271" spans="1:107" s="303" customFormat="1" ht="24">
      <c r="A271" s="37"/>
      <c r="B271" s="325" t="s">
        <v>23</v>
      </c>
      <c r="C271" s="320" t="s">
        <v>938</v>
      </c>
      <c r="D271" s="320" t="s">
        <v>97</v>
      </c>
      <c r="E271" s="324">
        <v>949.02748923351123</v>
      </c>
      <c r="F271" s="320" t="s">
        <v>24</v>
      </c>
      <c r="G271" s="319">
        <v>0.34749999999999998</v>
      </c>
      <c r="H271" s="320" t="s">
        <v>66</v>
      </c>
      <c r="I271" s="378">
        <v>0.95</v>
      </c>
      <c r="J271" s="320" t="s">
        <v>25</v>
      </c>
      <c r="K271" s="320" t="s">
        <v>939</v>
      </c>
      <c r="L271" s="320" t="s">
        <v>99</v>
      </c>
      <c r="M271" s="320" t="s">
        <v>91</v>
      </c>
      <c r="N271" s="321">
        <v>60.883763540057572</v>
      </c>
      <c r="O271" s="321">
        <v>77.697829571036792</v>
      </c>
      <c r="P271" s="321">
        <v>60.883763540057572</v>
      </c>
      <c r="Q271" s="321">
        <v>77.697829571036792</v>
      </c>
      <c r="R271" s="37"/>
      <c r="S271" s="322" t="s">
        <v>44</v>
      </c>
      <c r="T271" s="322" t="s">
        <v>63</v>
      </c>
      <c r="U271" s="322" t="s">
        <v>69</v>
      </c>
      <c r="V271" s="322" t="s">
        <v>69</v>
      </c>
      <c r="W271" s="322" t="s">
        <v>70</v>
      </c>
      <c r="X271" s="37"/>
      <c r="Y271" s="37"/>
      <c r="Z271" s="322" t="s">
        <v>78</v>
      </c>
      <c r="AA271" s="322" t="s">
        <v>78</v>
      </c>
      <c r="AB271" s="37"/>
      <c r="AC271" s="324">
        <v>2.1890410958904112</v>
      </c>
      <c r="AD271" s="324" t="s">
        <v>72</v>
      </c>
      <c r="AE271" s="322" t="s">
        <v>73</v>
      </c>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c r="CA271" s="393"/>
      <c r="CB271" s="393"/>
      <c r="CC271" s="393"/>
      <c r="CD271" s="393"/>
      <c r="CE271" s="393"/>
      <c r="CF271" s="393"/>
      <c r="CG271" s="393"/>
      <c r="CH271" s="393"/>
      <c r="CI271" s="393"/>
      <c r="CJ271" s="390"/>
      <c r="CK271" s="390"/>
      <c r="CL271" s="390"/>
      <c r="CM271" s="390"/>
      <c r="CN271" s="390"/>
      <c r="CO271" s="390"/>
      <c r="CP271" s="390"/>
      <c r="CQ271" s="390"/>
      <c r="CR271" s="390"/>
      <c r="CS271" s="390"/>
      <c r="CT271" s="390"/>
      <c r="CU271" s="390"/>
      <c r="CV271" s="390"/>
      <c r="CW271" s="390"/>
      <c r="CX271" s="390"/>
      <c r="CY271" s="390"/>
      <c r="CZ271" s="390"/>
      <c r="DA271" s="390"/>
      <c r="DB271" s="390"/>
      <c r="DC271" s="390"/>
    </row>
    <row r="272" spans="1:107" s="303" customFormat="1" ht="24">
      <c r="A272" s="37"/>
      <c r="B272" s="325" t="s">
        <v>23</v>
      </c>
      <c r="C272" s="320" t="s">
        <v>938</v>
      </c>
      <c r="D272" s="320" t="s">
        <v>97</v>
      </c>
      <c r="E272" s="324">
        <v>949.02748923351123</v>
      </c>
      <c r="F272" s="320" t="s">
        <v>24</v>
      </c>
      <c r="G272" s="319">
        <v>0.34749999999999998</v>
      </c>
      <c r="H272" s="320" t="s">
        <v>66</v>
      </c>
      <c r="I272" s="378">
        <v>0.95</v>
      </c>
      <c r="J272" s="320" t="s">
        <v>25</v>
      </c>
      <c r="K272" s="320" t="s">
        <v>939</v>
      </c>
      <c r="L272" s="320" t="s">
        <v>99</v>
      </c>
      <c r="M272" s="320" t="s">
        <v>92</v>
      </c>
      <c r="N272" s="321">
        <v>60.883763540057572</v>
      </c>
      <c r="O272" s="321" t="s">
        <v>870</v>
      </c>
      <c r="P272" s="321">
        <v>60.883763540057572</v>
      </c>
      <c r="Q272" s="321" t="s">
        <v>870</v>
      </c>
      <c r="R272" s="37"/>
      <c r="S272" s="322" t="s">
        <v>44</v>
      </c>
      <c r="T272" s="322" t="s">
        <v>63</v>
      </c>
      <c r="U272" s="322" t="s">
        <v>69</v>
      </c>
      <c r="V272" s="322" t="s">
        <v>69</v>
      </c>
      <c r="W272" s="322" t="s">
        <v>70</v>
      </c>
      <c r="X272" s="37"/>
      <c r="Y272" s="37"/>
      <c r="Z272" s="322" t="s">
        <v>78</v>
      </c>
      <c r="AA272" s="322" t="s">
        <v>78</v>
      </c>
      <c r="AB272" s="37"/>
      <c r="AC272" s="324">
        <v>2.1890410958904112</v>
      </c>
      <c r="AD272" s="324" t="s">
        <v>72</v>
      </c>
      <c r="AE272" s="322" t="s">
        <v>73</v>
      </c>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c r="CA272" s="393"/>
      <c r="CB272" s="393"/>
      <c r="CC272" s="393"/>
      <c r="CD272" s="393"/>
      <c r="CE272" s="393"/>
      <c r="CF272" s="393"/>
      <c r="CG272" s="393"/>
      <c r="CH272" s="393"/>
      <c r="CI272" s="393"/>
      <c r="CJ272" s="390"/>
      <c r="CK272" s="390"/>
      <c r="CL272" s="390"/>
      <c r="CM272" s="390"/>
      <c r="CN272" s="390"/>
      <c r="CO272" s="390"/>
      <c r="CP272" s="390"/>
      <c r="CQ272" s="390"/>
      <c r="CR272" s="390"/>
      <c r="CS272" s="390"/>
      <c r="CT272" s="390"/>
      <c r="CU272" s="390"/>
      <c r="CV272" s="390"/>
      <c r="CW272" s="390"/>
      <c r="CX272" s="390"/>
      <c r="CY272" s="390"/>
      <c r="CZ272" s="390"/>
      <c r="DA272" s="390"/>
      <c r="DB272" s="390"/>
      <c r="DC272" s="390"/>
    </row>
    <row r="273" spans="1:107" s="303" customFormat="1" ht="24">
      <c r="A273" s="37"/>
      <c r="B273" s="325" t="s">
        <v>23</v>
      </c>
      <c r="C273" s="320" t="s">
        <v>938</v>
      </c>
      <c r="D273" s="320" t="s">
        <v>97</v>
      </c>
      <c r="E273" s="324">
        <v>949.02748923351123</v>
      </c>
      <c r="F273" s="320" t="s">
        <v>24</v>
      </c>
      <c r="G273" s="319">
        <v>0.34749999999999998</v>
      </c>
      <c r="H273" s="320" t="s">
        <v>66</v>
      </c>
      <c r="I273" s="378">
        <v>0.95</v>
      </c>
      <c r="J273" s="320" t="s">
        <v>25</v>
      </c>
      <c r="K273" s="320" t="s">
        <v>939</v>
      </c>
      <c r="L273" s="320" t="s">
        <v>99</v>
      </c>
      <c r="M273" s="320" t="s">
        <v>93</v>
      </c>
      <c r="N273" s="321">
        <v>60.883763540057572</v>
      </c>
      <c r="O273" s="321">
        <v>95.242500764496711</v>
      </c>
      <c r="P273" s="321">
        <v>60.883763540057572</v>
      </c>
      <c r="Q273" s="321">
        <v>95.242500764496711</v>
      </c>
      <c r="R273" s="37"/>
      <c r="S273" s="322" t="s">
        <v>44</v>
      </c>
      <c r="T273" s="322" t="s">
        <v>63</v>
      </c>
      <c r="U273" s="322" t="s">
        <v>44</v>
      </c>
      <c r="V273" s="322" t="s">
        <v>75</v>
      </c>
      <c r="W273" s="322" t="s">
        <v>70</v>
      </c>
      <c r="X273" s="37"/>
      <c r="Y273" s="37"/>
      <c r="Z273" s="322" t="s">
        <v>78</v>
      </c>
      <c r="AA273" s="322" t="s">
        <v>78</v>
      </c>
      <c r="AB273" s="37"/>
      <c r="AC273" s="324">
        <v>2.1890410958904112</v>
      </c>
      <c r="AD273" s="324" t="s">
        <v>72</v>
      </c>
      <c r="AE273" s="322" t="s">
        <v>73</v>
      </c>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c r="CA273" s="393"/>
      <c r="CB273" s="393"/>
      <c r="CC273" s="393"/>
      <c r="CD273" s="393"/>
      <c r="CE273" s="393"/>
      <c r="CF273" s="393"/>
      <c r="CG273" s="393"/>
      <c r="CH273" s="393"/>
      <c r="CI273" s="393"/>
      <c r="CJ273" s="390"/>
      <c r="CK273" s="390"/>
      <c r="CL273" s="390"/>
      <c r="CM273" s="390"/>
      <c r="CN273" s="390"/>
      <c r="CO273" s="390"/>
      <c r="CP273" s="390"/>
      <c r="CQ273" s="390"/>
      <c r="CR273" s="390"/>
      <c r="CS273" s="390"/>
      <c r="CT273" s="390"/>
      <c r="CU273" s="390"/>
      <c r="CV273" s="390"/>
      <c r="CW273" s="390"/>
      <c r="CX273" s="390"/>
      <c r="CY273" s="390"/>
      <c r="CZ273" s="390"/>
      <c r="DA273" s="390"/>
      <c r="DB273" s="390"/>
      <c r="DC273" s="390"/>
    </row>
    <row r="274" spans="1:107" s="303" customFormat="1" ht="24">
      <c r="A274" s="37"/>
      <c r="B274" s="325" t="s">
        <v>23</v>
      </c>
      <c r="C274" s="320" t="s">
        <v>938</v>
      </c>
      <c r="D274" s="320" t="s">
        <v>97</v>
      </c>
      <c r="E274" s="324">
        <v>949.02748923351123</v>
      </c>
      <c r="F274" s="320" t="s">
        <v>26</v>
      </c>
      <c r="G274" s="319">
        <v>0.34749999999999998</v>
      </c>
      <c r="H274" s="320" t="s">
        <v>66</v>
      </c>
      <c r="I274" s="378">
        <v>0.95</v>
      </c>
      <c r="J274" s="320" t="s">
        <v>25</v>
      </c>
      <c r="K274" s="320" t="s">
        <v>939</v>
      </c>
      <c r="L274" s="320" t="s">
        <v>99</v>
      </c>
      <c r="M274" s="320" t="s">
        <v>88</v>
      </c>
      <c r="N274" s="321">
        <v>219.85803500576341</v>
      </c>
      <c r="O274" s="321">
        <v>112.78717195795663</v>
      </c>
      <c r="P274" s="321">
        <v>208.86513325547523</v>
      </c>
      <c r="Q274" s="321">
        <v>112.78717195795663</v>
      </c>
      <c r="R274" s="37"/>
      <c r="S274" s="322" t="s">
        <v>44</v>
      </c>
      <c r="T274" s="322" t="s">
        <v>63</v>
      </c>
      <c r="U274" s="322" t="s">
        <v>69</v>
      </c>
      <c r="V274" s="322" t="s">
        <v>69</v>
      </c>
      <c r="W274" s="322" t="s">
        <v>70</v>
      </c>
      <c r="X274" s="37"/>
      <c r="Y274" s="37"/>
      <c r="Z274" s="322" t="s">
        <v>78</v>
      </c>
      <c r="AA274" s="322" t="s">
        <v>78</v>
      </c>
      <c r="AB274" s="37"/>
      <c r="AC274" s="324">
        <v>2.1890410958904112</v>
      </c>
      <c r="AD274" s="324" t="s">
        <v>72</v>
      </c>
      <c r="AE274" s="322" t="s">
        <v>73</v>
      </c>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c r="CA274" s="393"/>
      <c r="CB274" s="393"/>
      <c r="CC274" s="393"/>
      <c r="CD274" s="393"/>
      <c r="CE274" s="393"/>
      <c r="CF274" s="393"/>
      <c r="CG274" s="393"/>
      <c r="CH274" s="393"/>
      <c r="CI274" s="393"/>
      <c r="CJ274" s="390"/>
      <c r="CK274" s="390"/>
      <c r="CL274" s="390"/>
      <c r="CM274" s="390"/>
      <c r="CN274" s="390"/>
      <c r="CO274" s="390"/>
      <c r="CP274" s="390"/>
      <c r="CQ274" s="390"/>
      <c r="CR274" s="390"/>
      <c r="CS274" s="390"/>
      <c r="CT274" s="390"/>
      <c r="CU274" s="390"/>
      <c r="CV274" s="390"/>
      <c r="CW274" s="390"/>
      <c r="CX274" s="390"/>
      <c r="CY274" s="390"/>
      <c r="CZ274" s="390"/>
      <c r="DA274" s="390"/>
      <c r="DB274" s="390"/>
      <c r="DC274" s="390"/>
    </row>
    <row r="275" spans="1:107" s="303" customFormat="1" ht="24">
      <c r="A275" s="37"/>
      <c r="B275" s="325" t="s">
        <v>23</v>
      </c>
      <c r="C275" s="320" t="s">
        <v>938</v>
      </c>
      <c r="D275" s="320" t="s">
        <v>97</v>
      </c>
      <c r="E275" s="324">
        <v>949.02748923351123</v>
      </c>
      <c r="F275" s="320" t="s">
        <v>26</v>
      </c>
      <c r="G275" s="319">
        <v>0.34749999999999998</v>
      </c>
      <c r="H275" s="320" t="s">
        <v>66</v>
      </c>
      <c r="I275" s="378">
        <v>0.95</v>
      </c>
      <c r="J275" s="320" t="s">
        <v>25</v>
      </c>
      <c r="K275" s="320" t="s">
        <v>939</v>
      </c>
      <c r="L275" s="320" t="s">
        <v>99</v>
      </c>
      <c r="M275" s="320" t="s">
        <v>90</v>
      </c>
      <c r="N275" s="321">
        <v>219.85803500576341</v>
      </c>
      <c r="O275" s="321">
        <v>70.178684773839677</v>
      </c>
      <c r="P275" s="321">
        <v>208.86513325547523</v>
      </c>
      <c r="Q275" s="321">
        <v>70.178684773839677</v>
      </c>
      <c r="R275" s="37"/>
      <c r="S275" s="322" t="s">
        <v>44</v>
      </c>
      <c r="T275" s="322" t="s">
        <v>63</v>
      </c>
      <c r="U275" s="322" t="s">
        <v>69</v>
      </c>
      <c r="V275" s="322" t="s">
        <v>69</v>
      </c>
      <c r="W275" s="322" t="s">
        <v>70</v>
      </c>
      <c r="X275" s="37"/>
      <c r="Y275" s="37"/>
      <c r="Z275" s="322" t="s">
        <v>78</v>
      </c>
      <c r="AA275" s="322" t="s">
        <v>78</v>
      </c>
      <c r="AB275" s="37"/>
      <c r="AC275" s="324">
        <v>2.1890410958904112</v>
      </c>
      <c r="AD275" s="324" t="s">
        <v>72</v>
      </c>
      <c r="AE275" s="322" t="s">
        <v>73</v>
      </c>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c r="CA275" s="393"/>
      <c r="CB275" s="393"/>
      <c r="CC275" s="393"/>
      <c r="CD275" s="393"/>
      <c r="CE275" s="393"/>
      <c r="CF275" s="393"/>
      <c r="CG275" s="393"/>
      <c r="CH275" s="393"/>
      <c r="CI275" s="393"/>
      <c r="CJ275" s="390"/>
      <c r="CK275" s="390"/>
      <c r="CL275" s="390"/>
      <c r="CM275" s="390"/>
      <c r="CN275" s="390"/>
      <c r="CO275" s="390"/>
      <c r="CP275" s="390"/>
      <c r="CQ275" s="390"/>
      <c r="CR275" s="390"/>
      <c r="CS275" s="390"/>
      <c r="CT275" s="390"/>
      <c r="CU275" s="390"/>
      <c r="CV275" s="390"/>
      <c r="CW275" s="390"/>
      <c r="CX275" s="390"/>
      <c r="CY275" s="390"/>
      <c r="CZ275" s="390"/>
      <c r="DA275" s="390"/>
      <c r="DB275" s="390"/>
      <c r="DC275" s="390"/>
    </row>
    <row r="276" spans="1:107" s="303" customFormat="1" ht="24">
      <c r="A276" s="37"/>
      <c r="B276" s="325" t="s">
        <v>23</v>
      </c>
      <c r="C276" s="320" t="s">
        <v>938</v>
      </c>
      <c r="D276" s="320" t="s">
        <v>97</v>
      </c>
      <c r="E276" s="324">
        <v>949.02748923351123</v>
      </c>
      <c r="F276" s="320" t="s">
        <v>26</v>
      </c>
      <c r="G276" s="319">
        <v>0.34749999999999998</v>
      </c>
      <c r="H276" s="320" t="s">
        <v>66</v>
      </c>
      <c r="I276" s="378">
        <v>0.95</v>
      </c>
      <c r="J276" s="320" t="s">
        <v>25</v>
      </c>
      <c r="K276" s="320" t="s">
        <v>939</v>
      </c>
      <c r="L276" s="320" t="s">
        <v>99</v>
      </c>
      <c r="M276" s="320" t="s">
        <v>91</v>
      </c>
      <c r="N276" s="321">
        <v>219.85803500576341</v>
      </c>
      <c r="O276" s="321">
        <v>77.697829571036792</v>
      </c>
      <c r="P276" s="321">
        <v>208.86513325547523</v>
      </c>
      <c r="Q276" s="321">
        <v>77.697829571036792</v>
      </c>
      <c r="R276" s="37"/>
      <c r="S276" s="322" t="s">
        <v>44</v>
      </c>
      <c r="T276" s="322" t="s">
        <v>63</v>
      </c>
      <c r="U276" s="322" t="s">
        <v>69</v>
      </c>
      <c r="V276" s="322" t="s">
        <v>69</v>
      </c>
      <c r="W276" s="322" t="s">
        <v>70</v>
      </c>
      <c r="X276" s="37"/>
      <c r="Y276" s="37"/>
      <c r="Z276" s="322" t="s">
        <v>78</v>
      </c>
      <c r="AA276" s="322" t="s">
        <v>78</v>
      </c>
      <c r="AB276" s="37"/>
      <c r="AC276" s="324">
        <v>2.1890410958904112</v>
      </c>
      <c r="AD276" s="324" t="s">
        <v>72</v>
      </c>
      <c r="AE276" s="322" t="s">
        <v>73</v>
      </c>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c r="CA276" s="393"/>
      <c r="CB276" s="393"/>
      <c r="CC276" s="393"/>
      <c r="CD276" s="393"/>
      <c r="CE276" s="393"/>
      <c r="CF276" s="393"/>
      <c r="CG276" s="393"/>
      <c r="CH276" s="393"/>
      <c r="CI276" s="393"/>
      <c r="CJ276" s="390"/>
      <c r="CK276" s="390"/>
      <c r="CL276" s="390"/>
      <c r="CM276" s="390"/>
      <c r="CN276" s="390"/>
      <c r="CO276" s="390"/>
      <c r="CP276" s="390"/>
      <c r="CQ276" s="390"/>
      <c r="CR276" s="390"/>
      <c r="CS276" s="390"/>
      <c r="CT276" s="390"/>
      <c r="CU276" s="390"/>
      <c r="CV276" s="390"/>
      <c r="CW276" s="390"/>
      <c r="CX276" s="390"/>
      <c r="CY276" s="390"/>
      <c r="CZ276" s="390"/>
      <c r="DA276" s="390"/>
      <c r="DB276" s="390"/>
      <c r="DC276" s="390"/>
    </row>
    <row r="277" spans="1:107" s="303" customFormat="1" ht="24">
      <c r="A277" s="37"/>
      <c r="B277" s="325" t="s">
        <v>23</v>
      </c>
      <c r="C277" s="320" t="s">
        <v>938</v>
      </c>
      <c r="D277" s="320" t="s">
        <v>97</v>
      </c>
      <c r="E277" s="324">
        <v>949.02748923351123</v>
      </c>
      <c r="F277" s="320" t="s">
        <v>26</v>
      </c>
      <c r="G277" s="319">
        <v>0.34749999999999998</v>
      </c>
      <c r="H277" s="320" t="s">
        <v>66</v>
      </c>
      <c r="I277" s="378">
        <v>0.95</v>
      </c>
      <c r="J277" s="320" t="s">
        <v>25</v>
      </c>
      <c r="K277" s="320" t="s">
        <v>939</v>
      </c>
      <c r="L277" s="320" t="s">
        <v>99</v>
      </c>
      <c r="M277" s="320" t="s">
        <v>92</v>
      </c>
      <c r="N277" s="321">
        <v>219.85803500576341</v>
      </c>
      <c r="O277" s="321" t="s">
        <v>870</v>
      </c>
      <c r="P277" s="321">
        <v>208.86513325547523</v>
      </c>
      <c r="Q277" s="321" t="s">
        <v>870</v>
      </c>
      <c r="R277" s="37"/>
      <c r="S277" s="322" t="s">
        <v>44</v>
      </c>
      <c r="T277" s="322" t="s">
        <v>63</v>
      </c>
      <c r="U277" s="322" t="s">
        <v>69</v>
      </c>
      <c r="V277" s="322" t="s">
        <v>69</v>
      </c>
      <c r="W277" s="322" t="s">
        <v>70</v>
      </c>
      <c r="X277" s="37"/>
      <c r="Y277" s="37"/>
      <c r="Z277" s="322" t="s">
        <v>78</v>
      </c>
      <c r="AA277" s="322" t="s">
        <v>78</v>
      </c>
      <c r="AB277" s="37"/>
      <c r="AC277" s="324">
        <v>2.1890410958904112</v>
      </c>
      <c r="AD277" s="324" t="s">
        <v>72</v>
      </c>
      <c r="AE277" s="322" t="s">
        <v>73</v>
      </c>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c r="CA277" s="393"/>
      <c r="CB277" s="393"/>
      <c r="CC277" s="393"/>
      <c r="CD277" s="393"/>
      <c r="CE277" s="393"/>
      <c r="CF277" s="393"/>
      <c r="CG277" s="393"/>
      <c r="CH277" s="393"/>
      <c r="CI277" s="393"/>
      <c r="CJ277" s="390"/>
      <c r="CK277" s="390"/>
      <c r="CL277" s="390"/>
      <c r="CM277" s="390"/>
      <c r="CN277" s="390"/>
      <c r="CO277" s="390"/>
      <c r="CP277" s="390"/>
      <c r="CQ277" s="390"/>
      <c r="CR277" s="390"/>
      <c r="CS277" s="390"/>
      <c r="CT277" s="390"/>
      <c r="CU277" s="390"/>
      <c r="CV277" s="390"/>
      <c r="CW277" s="390"/>
      <c r="CX277" s="390"/>
      <c r="CY277" s="390"/>
      <c r="CZ277" s="390"/>
      <c r="DA277" s="390"/>
      <c r="DB277" s="390"/>
      <c r="DC277" s="390"/>
    </row>
    <row r="278" spans="1:107" s="303" customFormat="1" ht="24">
      <c r="A278" s="37"/>
      <c r="B278" s="325" t="s">
        <v>23</v>
      </c>
      <c r="C278" s="320" t="s">
        <v>938</v>
      </c>
      <c r="D278" s="320" t="s">
        <v>97</v>
      </c>
      <c r="E278" s="324">
        <v>949.02748923351123</v>
      </c>
      <c r="F278" s="320" t="s">
        <v>26</v>
      </c>
      <c r="G278" s="319">
        <v>0.34749999999999998</v>
      </c>
      <c r="H278" s="320" t="s">
        <v>66</v>
      </c>
      <c r="I278" s="378">
        <v>0.95</v>
      </c>
      <c r="J278" s="320" t="s">
        <v>25</v>
      </c>
      <c r="K278" s="320" t="s">
        <v>939</v>
      </c>
      <c r="L278" s="320" t="s">
        <v>99</v>
      </c>
      <c r="M278" s="320" t="s">
        <v>93</v>
      </c>
      <c r="N278" s="321">
        <v>219.85803500576341</v>
      </c>
      <c r="O278" s="321">
        <v>95.242500764496711</v>
      </c>
      <c r="P278" s="321">
        <v>208.86513325547523</v>
      </c>
      <c r="Q278" s="321">
        <v>95.242500764496711</v>
      </c>
      <c r="R278" s="37"/>
      <c r="S278" s="322" t="s">
        <v>44</v>
      </c>
      <c r="T278" s="322" t="s">
        <v>63</v>
      </c>
      <c r="U278" s="322" t="s">
        <v>44</v>
      </c>
      <c r="V278" s="322" t="s">
        <v>75</v>
      </c>
      <c r="W278" s="322" t="s">
        <v>70</v>
      </c>
      <c r="X278" s="37"/>
      <c r="Y278" s="37"/>
      <c r="Z278" s="322" t="s">
        <v>78</v>
      </c>
      <c r="AA278" s="322" t="s">
        <v>78</v>
      </c>
      <c r="AB278" s="37"/>
      <c r="AC278" s="324">
        <v>2.1890410958904112</v>
      </c>
      <c r="AD278" s="324" t="s">
        <v>72</v>
      </c>
      <c r="AE278" s="322" t="s">
        <v>73</v>
      </c>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c r="CA278" s="393"/>
      <c r="CB278" s="393"/>
      <c r="CC278" s="393"/>
      <c r="CD278" s="393"/>
      <c r="CE278" s="393"/>
      <c r="CF278" s="393"/>
      <c r="CG278" s="393"/>
      <c r="CH278" s="393"/>
      <c r="CI278" s="393"/>
      <c r="CJ278" s="390"/>
      <c r="CK278" s="390"/>
      <c r="CL278" s="390"/>
      <c r="CM278" s="390"/>
      <c r="CN278" s="390"/>
      <c r="CO278" s="390"/>
      <c r="CP278" s="390"/>
      <c r="CQ278" s="390"/>
      <c r="CR278" s="390"/>
      <c r="CS278" s="390"/>
      <c r="CT278" s="390"/>
      <c r="CU278" s="390"/>
      <c r="CV278" s="390"/>
      <c r="CW278" s="390"/>
      <c r="CX278" s="390"/>
      <c r="CY278" s="390"/>
      <c r="CZ278" s="390"/>
      <c r="DA278" s="390"/>
      <c r="DB278" s="390"/>
      <c r="DC278" s="390"/>
    </row>
    <row r="279" spans="1:107" s="303" customFormat="1" ht="33.75">
      <c r="A279" s="37"/>
      <c r="B279" s="325" t="s">
        <v>23</v>
      </c>
      <c r="C279" s="320" t="s">
        <v>938</v>
      </c>
      <c r="D279" s="320" t="s">
        <v>1220</v>
      </c>
      <c r="E279" s="324">
        <v>158.98048972032714</v>
      </c>
      <c r="F279" s="320" t="s">
        <v>25</v>
      </c>
      <c r="G279" s="319">
        <v>0.36844919786096259</v>
      </c>
      <c r="H279" s="320" t="s">
        <v>66</v>
      </c>
      <c r="I279" s="378">
        <v>0.95</v>
      </c>
      <c r="J279" s="320" t="s">
        <v>25</v>
      </c>
      <c r="K279" s="320" t="s">
        <v>1033</v>
      </c>
      <c r="L279" s="320" t="s">
        <v>95</v>
      </c>
      <c r="M279" s="320" t="s">
        <v>88</v>
      </c>
      <c r="N279" s="321">
        <v>37.098281478231776</v>
      </c>
      <c r="O279" s="321">
        <v>20.033071998245159</v>
      </c>
      <c r="P279" s="321">
        <v>37.098281478231776</v>
      </c>
      <c r="Q279" s="321" t="s">
        <v>871</v>
      </c>
      <c r="R279" s="37"/>
      <c r="S279" s="322" t="s">
        <v>44</v>
      </c>
      <c r="T279" s="322" t="s">
        <v>63</v>
      </c>
      <c r="U279" s="322" t="s">
        <v>69</v>
      </c>
      <c r="V279" s="322" t="s">
        <v>69</v>
      </c>
      <c r="W279" s="322" t="s">
        <v>70</v>
      </c>
      <c r="X279" s="37"/>
      <c r="Y279" s="37"/>
      <c r="Z279" s="322" t="s">
        <v>78</v>
      </c>
      <c r="AA279" s="322" t="s">
        <v>78</v>
      </c>
      <c r="AB279" s="37"/>
      <c r="AC279" s="324">
        <v>21.6</v>
      </c>
      <c r="AD279" s="324" t="s">
        <v>72</v>
      </c>
      <c r="AE279" s="322" t="s">
        <v>73</v>
      </c>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c r="CA279" s="393"/>
      <c r="CB279" s="393"/>
      <c r="CC279" s="393"/>
      <c r="CD279" s="393"/>
      <c r="CE279" s="393"/>
      <c r="CF279" s="393"/>
      <c r="CG279" s="393"/>
      <c r="CH279" s="393"/>
      <c r="CI279" s="393"/>
      <c r="CJ279" s="390"/>
      <c r="CK279" s="390"/>
      <c r="CL279" s="390"/>
      <c r="CM279" s="390"/>
      <c r="CN279" s="390"/>
      <c r="CO279" s="390"/>
      <c r="CP279" s="390"/>
      <c r="CQ279" s="390"/>
      <c r="CR279" s="390"/>
      <c r="CS279" s="390"/>
      <c r="CT279" s="390"/>
      <c r="CU279" s="390"/>
      <c r="CV279" s="390"/>
      <c r="CW279" s="390"/>
      <c r="CX279" s="390"/>
      <c r="CY279" s="390"/>
      <c r="CZ279" s="390"/>
      <c r="DA279" s="390"/>
      <c r="DB279" s="390"/>
      <c r="DC279" s="390"/>
    </row>
    <row r="280" spans="1:107" s="303" customFormat="1" ht="33.75">
      <c r="A280" s="37"/>
      <c r="B280" s="325" t="s">
        <v>23</v>
      </c>
      <c r="C280" s="320" t="s">
        <v>938</v>
      </c>
      <c r="D280" s="320" t="s">
        <v>1220</v>
      </c>
      <c r="E280" s="324">
        <v>158.98048972032714</v>
      </c>
      <c r="F280" s="320" t="s">
        <v>25</v>
      </c>
      <c r="G280" s="319">
        <v>0.36844919786096259</v>
      </c>
      <c r="H280" s="320" t="s">
        <v>66</v>
      </c>
      <c r="I280" s="378">
        <v>0.95</v>
      </c>
      <c r="J280" s="320" t="s">
        <v>25</v>
      </c>
      <c r="K280" s="320" t="s">
        <v>1033</v>
      </c>
      <c r="L280" s="320" t="s">
        <v>95</v>
      </c>
      <c r="M280" s="320" t="s">
        <v>90</v>
      </c>
      <c r="N280" s="321">
        <v>37.098281478231776</v>
      </c>
      <c r="O280" s="321">
        <v>12.465022576685881</v>
      </c>
      <c r="P280" s="321">
        <v>37.098281478231776</v>
      </c>
      <c r="Q280" s="321" t="s">
        <v>1109</v>
      </c>
      <c r="R280" s="37"/>
      <c r="S280" s="322" t="s">
        <v>44</v>
      </c>
      <c r="T280" s="322" t="s">
        <v>63</v>
      </c>
      <c r="U280" s="322" t="s">
        <v>69</v>
      </c>
      <c r="V280" s="322" t="s">
        <v>69</v>
      </c>
      <c r="W280" s="322" t="s">
        <v>70</v>
      </c>
      <c r="X280" s="37"/>
      <c r="Y280" s="37"/>
      <c r="Z280" s="322" t="s">
        <v>78</v>
      </c>
      <c r="AA280" s="322" t="s">
        <v>78</v>
      </c>
      <c r="AB280" s="37"/>
      <c r="AC280" s="324">
        <v>21.6</v>
      </c>
      <c r="AD280" s="324" t="s">
        <v>72</v>
      </c>
      <c r="AE280" s="322" t="s">
        <v>73</v>
      </c>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c r="CA280" s="393"/>
      <c r="CB280" s="393"/>
      <c r="CC280" s="393"/>
      <c r="CD280" s="393"/>
      <c r="CE280" s="393"/>
      <c r="CF280" s="393"/>
      <c r="CG280" s="393"/>
      <c r="CH280" s="393"/>
      <c r="CI280" s="393"/>
      <c r="CJ280" s="390"/>
      <c r="CK280" s="390"/>
      <c r="CL280" s="390"/>
      <c r="CM280" s="390"/>
      <c r="CN280" s="390"/>
      <c r="CO280" s="390"/>
      <c r="CP280" s="390"/>
      <c r="CQ280" s="390"/>
      <c r="CR280" s="390"/>
      <c r="CS280" s="390"/>
      <c r="CT280" s="390"/>
      <c r="CU280" s="390"/>
      <c r="CV280" s="390"/>
      <c r="CW280" s="390"/>
      <c r="CX280" s="390"/>
      <c r="CY280" s="390"/>
      <c r="CZ280" s="390"/>
      <c r="DA280" s="390"/>
      <c r="DB280" s="390"/>
      <c r="DC280" s="390"/>
    </row>
    <row r="281" spans="1:107" s="303" customFormat="1" ht="33.75">
      <c r="A281" s="37"/>
      <c r="B281" s="325" t="s">
        <v>23</v>
      </c>
      <c r="C281" s="320" t="s">
        <v>938</v>
      </c>
      <c r="D281" s="320" t="s">
        <v>1220</v>
      </c>
      <c r="E281" s="324">
        <v>158.98048972032714</v>
      </c>
      <c r="F281" s="320" t="s">
        <v>25</v>
      </c>
      <c r="G281" s="319">
        <v>0.36844919786096259</v>
      </c>
      <c r="H281" s="320" t="s">
        <v>66</v>
      </c>
      <c r="I281" s="378">
        <v>0.95</v>
      </c>
      <c r="J281" s="320" t="s">
        <v>25</v>
      </c>
      <c r="K281" s="320" t="s">
        <v>1033</v>
      </c>
      <c r="L281" s="320" t="s">
        <v>95</v>
      </c>
      <c r="M281" s="320" t="s">
        <v>91</v>
      </c>
      <c r="N281" s="321">
        <v>37.098281478231776</v>
      </c>
      <c r="O281" s="321" t="s">
        <v>870</v>
      </c>
      <c r="P281" s="321">
        <v>37.098281478231776</v>
      </c>
      <c r="Q281" s="321" t="s">
        <v>870</v>
      </c>
      <c r="R281" s="37"/>
      <c r="S281" s="322" t="s">
        <v>44</v>
      </c>
      <c r="T281" s="322" t="s">
        <v>63</v>
      </c>
      <c r="U281" s="322" t="s">
        <v>69</v>
      </c>
      <c r="V281" s="322" t="s">
        <v>69</v>
      </c>
      <c r="W281" s="322" t="s">
        <v>70</v>
      </c>
      <c r="X281" s="37"/>
      <c r="Y281" s="37"/>
      <c r="Z281" s="322" t="s">
        <v>78</v>
      </c>
      <c r="AA281" s="322" t="s">
        <v>78</v>
      </c>
      <c r="AB281" s="37"/>
      <c r="AC281" s="324">
        <v>21.6</v>
      </c>
      <c r="AD281" s="324" t="s">
        <v>72</v>
      </c>
      <c r="AE281" s="322" t="s">
        <v>73</v>
      </c>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c r="CA281" s="393"/>
      <c r="CB281" s="393"/>
      <c r="CC281" s="393"/>
      <c r="CD281" s="393"/>
      <c r="CE281" s="393"/>
      <c r="CF281" s="393"/>
      <c r="CG281" s="393"/>
      <c r="CH281" s="393"/>
      <c r="CI281" s="393"/>
      <c r="CJ281" s="390"/>
      <c r="CK281" s="390"/>
      <c r="CL281" s="390"/>
      <c r="CM281" s="390"/>
      <c r="CN281" s="390"/>
      <c r="CO281" s="390"/>
      <c r="CP281" s="390"/>
      <c r="CQ281" s="390"/>
      <c r="CR281" s="390"/>
      <c r="CS281" s="390"/>
      <c r="CT281" s="390"/>
      <c r="CU281" s="390"/>
      <c r="CV281" s="390"/>
      <c r="CW281" s="390"/>
      <c r="CX281" s="390"/>
      <c r="CY281" s="390"/>
      <c r="CZ281" s="390"/>
      <c r="DA281" s="390"/>
      <c r="DB281" s="390"/>
      <c r="DC281" s="390"/>
    </row>
    <row r="282" spans="1:107" s="303" customFormat="1" ht="33.75">
      <c r="A282" s="37"/>
      <c r="B282" s="325" t="s">
        <v>23</v>
      </c>
      <c r="C282" s="320" t="s">
        <v>938</v>
      </c>
      <c r="D282" s="320" t="s">
        <v>1220</v>
      </c>
      <c r="E282" s="324">
        <v>158.98048972032714</v>
      </c>
      <c r="F282" s="320" t="s">
        <v>25</v>
      </c>
      <c r="G282" s="319">
        <v>0.36844919786096259</v>
      </c>
      <c r="H282" s="320" t="s">
        <v>66</v>
      </c>
      <c r="I282" s="378">
        <v>0.95</v>
      </c>
      <c r="J282" s="320" t="s">
        <v>25</v>
      </c>
      <c r="K282" s="320" t="s">
        <v>1033</v>
      </c>
      <c r="L282" s="320" t="s">
        <v>95</v>
      </c>
      <c r="M282" s="320" t="s">
        <v>92</v>
      </c>
      <c r="N282" s="321">
        <v>37.098281478231776</v>
      </c>
      <c r="O282" s="321">
        <v>16.026457598596128</v>
      </c>
      <c r="P282" s="321">
        <v>37.098281478231776</v>
      </c>
      <c r="Q282" s="321" t="s">
        <v>1109</v>
      </c>
      <c r="R282" s="37"/>
      <c r="S282" s="322" t="s">
        <v>44</v>
      </c>
      <c r="T282" s="322" t="s">
        <v>63</v>
      </c>
      <c r="U282" s="322" t="s">
        <v>69</v>
      </c>
      <c r="V282" s="322" t="s">
        <v>69</v>
      </c>
      <c r="W282" s="322" t="s">
        <v>70</v>
      </c>
      <c r="X282" s="37"/>
      <c r="Y282" s="37"/>
      <c r="Z282" s="322" t="s">
        <v>78</v>
      </c>
      <c r="AA282" s="322" t="s">
        <v>78</v>
      </c>
      <c r="AB282" s="37"/>
      <c r="AC282" s="324">
        <v>21.6</v>
      </c>
      <c r="AD282" s="324" t="s">
        <v>72</v>
      </c>
      <c r="AE282" s="322" t="s">
        <v>73</v>
      </c>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c r="CA282" s="393"/>
      <c r="CB282" s="393"/>
      <c r="CC282" s="393"/>
      <c r="CD282" s="393"/>
      <c r="CE282" s="393"/>
      <c r="CF282" s="393"/>
      <c r="CG282" s="393"/>
      <c r="CH282" s="393"/>
      <c r="CI282" s="393"/>
      <c r="CJ282" s="390"/>
      <c r="CK282" s="390"/>
      <c r="CL282" s="390"/>
      <c r="CM282" s="390"/>
      <c r="CN282" s="390"/>
      <c r="CO282" s="390"/>
      <c r="CP282" s="390"/>
      <c r="CQ282" s="390"/>
      <c r="CR282" s="390"/>
      <c r="CS282" s="390"/>
      <c r="CT282" s="390"/>
      <c r="CU282" s="390"/>
      <c r="CV282" s="390"/>
      <c r="CW282" s="390"/>
      <c r="CX282" s="390"/>
      <c r="CY282" s="390"/>
      <c r="CZ282" s="390"/>
      <c r="DA282" s="390"/>
      <c r="DB282" s="390"/>
      <c r="DC282" s="390"/>
    </row>
    <row r="283" spans="1:107" s="303" customFormat="1" ht="33.75">
      <c r="A283" s="37"/>
      <c r="B283" s="325" t="s">
        <v>23</v>
      </c>
      <c r="C283" s="320" t="s">
        <v>938</v>
      </c>
      <c r="D283" s="320" t="s">
        <v>1220</v>
      </c>
      <c r="E283" s="324">
        <v>158.98048972032714</v>
      </c>
      <c r="F283" s="320" t="s">
        <v>25</v>
      </c>
      <c r="G283" s="319">
        <v>0.36844919786096259</v>
      </c>
      <c r="H283" s="320" t="s">
        <v>66</v>
      </c>
      <c r="I283" s="378">
        <v>0.95</v>
      </c>
      <c r="J283" s="320" t="s">
        <v>25</v>
      </c>
      <c r="K283" s="320" t="s">
        <v>1033</v>
      </c>
      <c r="L283" s="320" t="s">
        <v>95</v>
      </c>
      <c r="M283" s="320" t="s">
        <v>93</v>
      </c>
      <c r="N283" s="321">
        <v>37.098281478231776</v>
      </c>
      <c r="O283" s="321">
        <v>16.916816354073688</v>
      </c>
      <c r="P283" s="321">
        <v>37.098281478231776</v>
      </c>
      <c r="Q283" s="321" t="s">
        <v>1109</v>
      </c>
      <c r="R283" s="37"/>
      <c r="S283" s="322" t="s">
        <v>44</v>
      </c>
      <c r="T283" s="322" t="s">
        <v>63</v>
      </c>
      <c r="U283" s="322" t="s">
        <v>44</v>
      </c>
      <c r="V283" s="322" t="s">
        <v>75</v>
      </c>
      <c r="W283" s="322" t="s">
        <v>70</v>
      </c>
      <c r="X283" s="37"/>
      <c r="Y283" s="37"/>
      <c r="Z283" s="322" t="s">
        <v>78</v>
      </c>
      <c r="AA283" s="322" t="s">
        <v>78</v>
      </c>
      <c r="AB283" s="37"/>
      <c r="AC283" s="324">
        <v>21.6</v>
      </c>
      <c r="AD283" s="324" t="s">
        <v>72</v>
      </c>
      <c r="AE283" s="322" t="s">
        <v>73</v>
      </c>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c r="CA283" s="393"/>
      <c r="CB283" s="393"/>
      <c r="CC283" s="393"/>
      <c r="CD283" s="393"/>
      <c r="CE283" s="393"/>
      <c r="CF283" s="393"/>
      <c r="CG283" s="393"/>
      <c r="CH283" s="393"/>
      <c r="CI283" s="393"/>
      <c r="CJ283" s="390"/>
      <c r="CK283" s="390"/>
      <c r="CL283" s="390"/>
      <c r="CM283" s="390"/>
      <c r="CN283" s="390"/>
      <c r="CO283" s="390"/>
      <c r="CP283" s="390"/>
      <c r="CQ283" s="390"/>
      <c r="CR283" s="390"/>
      <c r="CS283" s="390"/>
      <c r="CT283" s="390"/>
      <c r="CU283" s="390"/>
      <c r="CV283" s="390"/>
      <c r="CW283" s="390"/>
      <c r="CX283" s="390"/>
      <c r="CY283" s="390"/>
      <c r="CZ283" s="390"/>
      <c r="DA283" s="390"/>
      <c r="DB283" s="390"/>
      <c r="DC283" s="390"/>
    </row>
    <row r="284" spans="1:107" s="303" customFormat="1" ht="33.75">
      <c r="A284" s="37"/>
      <c r="B284" s="325" t="s">
        <v>23</v>
      </c>
      <c r="C284" s="320" t="s">
        <v>938</v>
      </c>
      <c r="D284" s="320" t="s">
        <v>1220</v>
      </c>
      <c r="E284" s="324">
        <v>158.98048972032714</v>
      </c>
      <c r="F284" s="320" t="s">
        <v>25</v>
      </c>
      <c r="G284" s="319">
        <v>0.36844919786096259</v>
      </c>
      <c r="H284" s="320" t="s">
        <v>66</v>
      </c>
      <c r="I284" s="378">
        <v>0.95</v>
      </c>
      <c r="J284" s="320" t="s">
        <v>25</v>
      </c>
      <c r="K284" s="320" t="s">
        <v>1033</v>
      </c>
      <c r="L284" s="320" t="s">
        <v>24</v>
      </c>
      <c r="M284" s="320" t="s">
        <v>88</v>
      </c>
      <c r="N284" s="321">
        <v>34.169469782581899</v>
      </c>
      <c r="O284" s="321">
        <v>20.033071998245159</v>
      </c>
      <c r="P284" s="321">
        <v>34.169469782581899</v>
      </c>
      <c r="Q284" s="321" t="s">
        <v>871</v>
      </c>
      <c r="R284" s="37"/>
      <c r="S284" s="322" t="s">
        <v>68</v>
      </c>
      <c r="T284" s="322" t="s">
        <v>63</v>
      </c>
      <c r="U284" s="322" t="s">
        <v>69</v>
      </c>
      <c r="V284" s="322" t="s">
        <v>69</v>
      </c>
      <c r="W284" s="322" t="s">
        <v>70</v>
      </c>
      <c r="X284" s="37"/>
      <c r="Y284" s="37"/>
      <c r="Z284" s="322" t="s">
        <v>78</v>
      </c>
      <c r="AA284" s="322" t="s">
        <v>78</v>
      </c>
      <c r="AB284" s="37"/>
      <c r="AC284" s="324">
        <v>21.6</v>
      </c>
      <c r="AD284" s="324" t="s">
        <v>72</v>
      </c>
      <c r="AE284" s="322" t="s">
        <v>73</v>
      </c>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c r="CA284" s="393"/>
      <c r="CB284" s="393"/>
      <c r="CC284" s="393"/>
      <c r="CD284" s="393"/>
      <c r="CE284" s="393"/>
      <c r="CF284" s="393"/>
      <c r="CG284" s="393"/>
      <c r="CH284" s="393"/>
      <c r="CI284" s="393"/>
      <c r="CJ284" s="390"/>
      <c r="CK284" s="390"/>
      <c r="CL284" s="390"/>
      <c r="CM284" s="390"/>
      <c r="CN284" s="390"/>
      <c r="CO284" s="390"/>
      <c r="CP284" s="390"/>
      <c r="CQ284" s="390"/>
      <c r="CR284" s="390"/>
      <c r="CS284" s="390"/>
      <c r="CT284" s="390"/>
      <c r="CU284" s="390"/>
      <c r="CV284" s="390"/>
      <c r="CW284" s="390"/>
      <c r="CX284" s="390"/>
      <c r="CY284" s="390"/>
      <c r="CZ284" s="390"/>
      <c r="DA284" s="390"/>
      <c r="DB284" s="390"/>
      <c r="DC284" s="390"/>
    </row>
    <row r="285" spans="1:107" s="303" customFormat="1" ht="33.75">
      <c r="A285" s="37"/>
      <c r="B285" s="325" t="s">
        <v>23</v>
      </c>
      <c r="C285" s="320" t="s">
        <v>938</v>
      </c>
      <c r="D285" s="320" t="s">
        <v>1220</v>
      </c>
      <c r="E285" s="324">
        <v>158.98048972032714</v>
      </c>
      <c r="F285" s="320" t="s">
        <v>25</v>
      </c>
      <c r="G285" s="319">
        <v>0.36844919786096259</v>
      </c>
      <c r="H285" s="320" t="s">
        <v>66</v>
      </c>
      <c r="I285" s="378">
        <v>0.95</v>
      </c>
      <c r="J285" s="320" t="s">
        <v>25</v>
      </c>
      <c r="K285" s="320" t="s">
        <v>1033</v>
      </c>
      <c r="L285" s="320" t="s">
        <v>24</v>
      </c>
      <c r="M285" s="320" t="s">
        <v>90</v>
      </c>
      <c r="N285" s="321">
        <v>34.169469782581899</v>
      </c>
      <c r="O285" s="321">
        <v>12.465022576685881</v>
      </c>
      <c r="P285" s="321">
        <v>34.169469782581899</v>
      </c>
      <c r="Q285" s="321" t="s">
        <v>1109</v>
      </c>
      <c r="R285" s="37"/>
      <c r="S285" s="322" t="s">
        <v>68</v>
      </c>
      <c r="T285" s="322" t="s">
        <v>63</v>
      </c>
      <c r="U285" s="322" t="s">
        <v>69</v>
      </c>
      <c r="V285" s="322" t="s">
        <v>69</v>
      </c>
      <c r="W285" s="322" t="s">
        <v>70</v>
      </c>
      <c r="X285" s="37"/>
      <c r="Y285" s="37"/>
      <c r="Z285" s="322" t="s">
        <v>78</v>
      </c>
      <c r="AA285" s="322" t="s">
        <v>78</v>
      </c>
      <c r="AB285" s="37"/>
      <c r="AC285" s="324">
        <v>21.6</v>
      </c>
      <c r="AD285" s="324" t="s">
        <v>72</v>
      </c>
      <c r="AE285" s="322" t="s">
        <v>73</v>
      </c>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c r="CA285" s="393"/>
      <c r="CB285" s="393"/>
      <c r="CC285" s="393"/>
      <c r="CD285" s="393"/>
      <c r="CE285" s="393"/>
      <c r="CF285" s="393"/>
      <c r="CG285" s="393"/>
      <c r="CH285" s="393"/>
      <c r="CI285" s="393"/>
      <c r="CJ285" s="390"/>
      <c r="CK285" s="390"/>
      <c r="CL285" s="390"/>
      <c r="CM285" s="390"/>
      <c r="CN285" s="390"/>
      <c r="CO285" s="390"/>
      <c r="CP285" s="390"/>
      <c r="CQ285" s="390"/>
      <c r="CR285" s="390"/>
      <c r="CS285" s="390"/>
      <c r="CT285" s="390"/>
      <c r="CU285" s="390"/>
      <c r="CV285" s="390"/>
      <c r="CW285" s="390"/>
      <c r="CX285" s="390"/>
      <c r="CY285" s="390"/>
      <c r="CZ285" s="390"/>
      <c r="DA285" s="390"/>
      <c r="DB285" s="390"/>
      <c r="DC285" s="390"/>
    </row>
    <row r="286" spans="1:107" s="303" customFormat="1" ht="33.75">
      <c r="A286" s="37"/>
      <c r="B286" s="325" t="s">
        <v>23</v>
      </c>
      <c r="C286" s="320" t="s">
        <v>938</v>
      </c>
      <c r="D286" s="320" t="s">
        <v>1220</v>
      </c>
      <c r="E286" s="324">
        <v>158.98048972032714</v>
      </c>
      <c r="F286" s="320" t="s">
        <v>25</v>
      </c>
      <c r="G286" s="319">
        <v>0.36844919786096259</v>
      </c>
      <c r="H286" s="320" t="s">
        <v>66</v>
      </c>
      <c r="I286" s="378">
        <v>0.95</v>
      </c>
      <c r="J286" s="320" t="s">
        <v>25</v>
      </c>
      <c r="K286" s="320" t="s">
        <v>1033</v>
      </c>
      <c r="L286" s="320" t="s">
        <v>24</v>
      </c>
      <c r="M286" s="320" t="s">
        <v>91</v>
      </c>
      <c r="N286" s="321">
        <v>34.169469782581899</v>
      </c>
      <c r="O286" s="321" t="s">
        <v>870</v>
      </c>
      <c r="P286" s="321">
        <v>34.169469782581899</v>
      </c>
      <c r="Q286" s="321" t="s">
        <v>870</v>
      </c>
      <c r="R286" s="37"/>
      <c r="S286" s="322" t="s">
        <v>68</v>
      </c>
      <c r="T286" s="322" t="s">
        <v>63</v>
      </c>
      <c r="U286" s="322" t="s">
        <v>69</v>
      </c>
      <c r="V286" s="322" t="s">
        <v>69</v>
      </c>
      <c r="W286" s="322" t="s">
        <v>70</v>
      </c>
      <c r="X286" s="37"/>
      <c r="Y286" s="37"/>
      <c r="Z286" s="322" t="s">
        <v>78</v>
      </c>
      <c r="AA286" s="322" t="s">
        <v>78</v>
      </c>
      <c r="AB286" s="37"/>
      <c r="AC286" s="324">
        <v>21.6</v>
      </c>
      <c r="AD286" s="324" t="s">
        <v>72</v>
      </c>
      <c r="AE286" s="322" t="s">
        <v>73</v>
      </c>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c r="CA286" s="393"/>
      <c r="CB286" s="393"/>
      <c r="CC286" s="393"/>
      <c r="CD286" s="393"/>
      <c r="CE286" s="393"/>
      <c r="CF286" s="393"/>
      <c r="CG286" s="393"/>
      <c r="CH286" s="393"/>
      <c r="CI286" s="393"/>
      <c r="CJ286" s="390"/>
      <c r="CK286" s="390"/>
      <c r="CL286" s="390"/>
      <c r="CM286" s="390"/>
      <c r="CN286" s="390"/>
      <c r="CO286" s="390"/>
      <c r="CP286" s="390"/>
      <c r="CQ286" s="390"/>
      <c r="CR286" s="390"/>
      <c r="CS286" s="390"/>
      <c r="CT286" s="390"/>
      <c r="CU286" s="390"/>
      <c r="CV286" s="390"/>
      <c r="CW286" s="390"/>
      <c r="CX286" s="390"/>
      <c r="CY286" s="390"/>
      <c r="CZ286" s="390"/>
      <c r="DA286" s="390"/>
      <c r="DB286" s="390"/>
      <c r="DC286" s="390"/>
    </row>
    <row r="287" spans="1:107" s="303" customFormat="1" ht="33.75">
      <c r="A287" s="37"/>
      <c r="B287" s="325" t="s">
        <v>23</v>
      </c>
      <c r="C287" s="320" t="s">
        <v>938</v>
      </c>
      <c r="D287" s="320" t="s">
        <v>1220</v>
      </c>
      <c r="E287" s="324">
        <v>158.98048972032714</v>
      </c>
      <c r="F287" s="320" t="s">
        <v>25</v>
      </c>
      <c r="G287" s="319">
        <v>0.36844919786096259</v>
      </c>
      <c r="H287" s="320" t="s">
        <v>66</v>
      </c>
      <c r="I287" s="378">
        <v>0.95</v>
      </c>
      <c r="J287" s="320" t="s">
        <v>25</v>
      </c>
      <c r="K287" s="320" t="s">
        <v>1033</v>
      </c>
      <c r="L287" s="320" t="s">
        <v>24</v>
      </c>
      <c r="M287" s="320" t="s">
        <v>92</v>
      </c>
      <c r="N287" s="321">
        <v>34.169469782581899</v>
      </c>
      <c r="O287" s="321">
        <v>16.026457598596128</v>
      </c>
      <c r="P287" s="321">
        <v>34.169469782581899</v>
      </c>
      <c r="Q287" s="321" t="s">
        <v>1109</v>
      </c>
      <c r="R287" s="37"/>
      <c r="S287" s="322" t="s">
        <v>68</v>
      </c>
      <c r="T287" s="322" t="s">
        <v>63</v>
      </c>
      <c r="U287" s="322" t="s">
        <v>69</v>
      </c>
      <c r="V287" s="322" t="s">
        <v>69</v>
      </c>
      <c r="W287" s="322" t="s">
        <v>70</v>
      </c>
      <c r="X287" s="37"/>
      <c r="Y287" s="37"/>
      <c r="Z287" s="322" t="s">
        <v>78</v>
      </c>
      <c r="AA287" s="322" t="s">
        <v>78</v>
      </c>
      <c r="AB287" s="37"/>
      <c r="AC287" s="324">
        <v>21.6</v>
      </c>
      <c r="AD287" s="324" t="s">
        <v>72</v>
      </c>
      <c r="AE287" s="322" t="s">
        <v>73</v>
      </c>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c r="CA287" s="393"/>
      <c r="CB287" s="393"/>
      <c r="CC287" s="393"/>
      <c r="CD287" s="393"/>
      <c r="CE287" s="393"/>
      <c r="CF287" s="393"/>
      <c r="CG287" s="393"/>
      <c r="CH287" s="393"/>
      <c r="CI287" s="393"/>
      <c r="CJ287" s="390"/>
      <c r="CK287" s="390"/>
      <c r="CL287" s="390"/>
      <c r="CM287" s="390"/>
      <c r="CN287" s="390"/>
      <c r="CO287" s="390"/>
      <c r="CP287" s="390"/>
      <c r="CQ287" s="390"/>
      <c r="CR287" s="390"/>
      <c r="CS287" s="390"/>
      <c r="CT287" s="390"/>
      <c r="CU287" s="390"/>
      <c r="CV287" s="390"/>
      <c r="CW287" s="390"/>
      <c r="CX287" s="390"/>
      <c r="CY287" s="390"/>
      <c r="CZ287" s="390"/>
      <c r="DA287" s="390"/>
      <c r="DB287" s="390"/>
      <c r="DC287" s="390"/>
    </row>
    <row r="288" spans="1:107" s="303" customFormat="1" ht="33.75">
      <c r="A288" s="37"/>
      <c r="B288" s="325" t="s">
        <v>23</v>
      </c>
      <c r="C288" s="320" t="s">
        <v>938</v>
      </c>
      <c r="D288" s="320" t="s">
        <v>1220</v>
      </c>
      <c r="E288" s="324">
        <v>158.98048972032714</v>
      </c>
      <c r="F288" s="320" t="s">
        <v>25</v>
      </c>
      <c r="G288" s="319">
        <v>0.36844919786096259</v>
      </c>
      <c r="H288" s="320" t="s">
        <v>66</v>
      </c>
      <c r="I288" s="378">
        <v>0.95</v>
      </c>
      <c r="J288" s="320" t="s">
        <v>25</v>
      </c>
      <c r="K288" s="320" t="s">
        <v>1033</v>
      </c>
      <c r="L288" s="320" t="s">
        <v>24</v>
      </c>
      <c r="M288" s="320" t="s">
        <v>93</v>
      </c>
      <c r="N288" s="321">
        <v>34.169469782581899</v>
      </c>
      <c r="O288" s="321">
        <v>16.916816354073688</v>
      </c>
      <c r="P288" s="321">
        <v>34.169469782581899</v>
      </c>
      <c r="Q288" s="321" t="s">
        <v>1109</v>
      </c>
      <c r="R288" s="37"/>
      <c r="S288" s="322" t="s">
        <v>68</v>
      </c>
      <c r="T288" s="322" t="s">
        <v>63</v>
      </c>
      <c r="U288" s="322" t="s">
        <v>44</v>
      </c>
      <c r="V288" s="322" t="s">
        <v>75</v>
      </c>
      <c r="W288" s="322" t="s">
        <v>70</v>
      </c>
      <c r="X288" s="37"/>
      <c r="Y288" s="37"/>
      <c r="Z288" s="322" t="s">
        <v>78</v>
      </c>
      <c r="AA288" s="322" t="s">
        <v>78</v>
      </c>
      <c r="AB288" s="37"/>
      <c r="AC288" s="324">
        <v>21.6</v>
      </c>
      <c r="AD288" s="324" t="s">
        <v>72</v>
      </c>
      <c r="AE288" s="322" t="s">
        <v>73</v>
      </c>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c r="CA288" s="393"/>
      <c r="CB288" s="393"/>
      <c r="CC288" s="393"/>
      <c r="CD288" s="393"/>
      <c r="CE288" s="393"/>
      <c r="CF288" s="393"/>
      <c r="CG288" s="393"/>
      <c r="CH288" s="393"/>
      <c r="CI288" s="393"/>
      <c r="CJ288" s="390"/>
      <c r="CK288" s="390"/>
      <c r="CL288" s="390"/>
      <c r="CM288" s="390"/>
      <c r="CN288" s="390"/>
      <c r="CO288" s="390"/>
      <c r="CP288" s="390"/>
      <c r="CQ288" s="390"/>
      <c r="CR288" s="390"/>
      <c r="CS288" s="390"/>
      <c r="CT288" s="390"/>
      <c r="CU288" s="390"/>
      <c r="CV288" s="390"/>
      <c r="CW288" s="390"/>
      <c r="CX288" s="390"/>
      <c r="CY288" s="390"/>
      <c r="CZ288" s="390"/>
      <c r="DA288" s="390"/>
      <c r="DB288" s="390"/>
      <c r="DC288" s="390"/>
    </row>
    <row r="289" spans="1:107" s="303" customFormat="1" ht="56.25">
      <c r="A289" s="37"/>
      <c r="B289" s="325" t="s">
        <v>23</v>
      </c>
      <c r="C289" s="320" t="s">
        <v>938</v>
      </c>
      <c r="D289" s="320" t="s">
        <v>1220</v>
      </c>
      <c r="E289" s="324">
        <v>158.98048972032714</v>
      </c>
      <c r="F289" s="320" t="s">
        <v>27</v>
      </c>
      <c r="G289" s="319">
        <v>0.26310160427807489</v>
      </c>
      <c r="H289" s="320" t="s">
        <v>66</v>
      </c>
      <c r="I289" s="378">
        <v>0.95</v>
      </c>
      <c r="J289" s="320" t="s">
        <v>1097</v>
      </c>
      <c r="K289" s="320" t="s">
        <v>1033</v>
      </c>
      <c r="L289" s="320" t="s">
        <v>960</v>
      </c>
      <c r="M289" s="320" t="s">
        <v>88</v>
      </c>
      <c r="N289" s="321">
        <v>10.464192418925684</v>
      </c>
      <c r="O289" s="321">
        <v>14.305183487861566</v>
      </c>
      <c r="P289" s="321">
        <v>6.6924835030931282</v>
      </c>
      <c r="Q289" s="321" t="s">
        <v>871</v>
      </c>
      <c r="R289" s="37"/>
      <c r="S289" s="322" t="s">
        <v>69</v>
      </c>
      <c r="T289" s="322" t="s">
        <v>69</v>
      </c>
      <c r="U289" s="322" t="s">
        <v>69</v>
      </c>
      <c r="V289" s="322" t="s">
        <v>69</v>
      </c>
      <c r="W289" s="322" t="s">
        <v>70</v>
      </c>
      <c r="X289" s="37"/>
      <c r="Y289" s="37"/>
      <c r="Z289" s="322" t="s">
        <v>78</v>
      </c>
      <c r="AA289" s="322" t="s">
        <v>78</v>
      </c>
      <c r="AB289" s="37"/>
      <c r="AC289" s="324">
        <v>21.6</v>
      </c>
      <c r="AD289" s="324" t="s">
        <v>72</v>
      </c>
      <c r="AE289" s="322" t="s">
        <v>73</v>
      </c>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c r="CA289" s="393"/>
      <c r="CB289" s="393"/>
      <c r="CC289" s="393"/>
      <c r="CD289" s="393"/>
      <c r="CE289" s="393"/>
      <c r="CF289" s="393"/>
      <c r="CG289" s="393"/>
      <c r="CH289" s="393"/>
      <c r="CI289" s="393"/>
      <c r="CJ289" s="390"/>
      <c r="CK289" s="390"/>
      <c r="CL289" s="390"/>
      <c r="CM289" s="390"/>
      <c r="CN289" s="390"/>
      <c r="CO289" s="390"/>
      <c r="CP289" s="390"/>
      <c r="CQ289" s="390"/>
      <c r="CR289" s="390"/>
      <c r="CS289" s="390"/>
      <c r="CT289" s="390"/>
      <c r="CU289" s="390"/>
      <c r="CV289" s="390"/>
      <c r="CW289" s="390"/>
      <c r="CX289" s="390"/>
      <c r="CY289" s="390"/>
      <c r="CZ289" s="390"/>
      <c r="DA289" s="390"/>
      <c r="DB289" s="390"/>
      <c r="DC289" s="390"/>
    </row>
    <row r="290" spans="1:107" s="303" customFormat="1" ht="56.25">
      <c r="A290" s="37"/>
      <c r="B290" s="325" t="s">
        <v>23</v>
      </c>
      <c r="C290" s="320" t="s">
        <v>938</v>
      </c>
      <c r="D290" s="320" t="s">
        <v>1220</v>
      </c>
      <c r="E290" s="324">
        <v>158.98048972032714</v>
      </c>
      <c r="F290" s="320" t="s">
        <v>27</v>
      </c>
      <c r="G290" s="319">
        <v>0.26310160427807489</v>
      </c>
      <c r="H290" s="320" t="s">
        <v>66</v>
      </c>
      <c r="I290" s="378">
        <v>0.95</v>
      </c>
      <c r="J290" s="320" t="s">
        <v>1097</v>
      </c>
      <c r="K290" s="320" t="s">
        <v>1033</v>
      </c>
      <c r="L290" s="320" t="s">
        <v>960</v>
      </c>
      <c r="M290" s="320" t="s">
        <v>90</v>
      </c>
      <c r="N290" s="321">
        <v>10.464192418925684</v>
      </c>
      <c r="O290" s="321">
        <v>8.9010030591138616</v>
      </c>
      <c r="P290" s="321">
        <v>6.6924835030931282</v>
      </c>
      <c r="Q290" s="321" t="s">
        <v>1109</v>
      </c>
      <c r="R290" s="37"/>
      <c r="S290" s="322" t="s">
        <v>69</v>
      </c>
      <c r="T290" s="322" t="s">
        <v>69</v>
      </c>
      <c r="U290" s="322" t="s">
        <v>69</v>
      </c>
      <c r="V290" s="322" t="s">
        <v>69</v>
      </c>
      <c r="W290" s="322" t="s">
        <v>70</v>
      </c>
      <c r="X290" s="37"/>
      <c r="Y290" s="37"/>
      <c r="Z290" s="322" t="s">
        <v>78</v>
      </c>
      <c r="AA290" s="322" t="s">
        <v>78</v>
      </c>
      <c r="AB290" s="37"/>
      <c r="AC290" s="324">
        <v>21.6</v>
      </c>
      <c r="AD290" s="324" t="s">
        <v>72</v>
      </c>
      <c r="AE290" s="322" t="s">
        <v>73</v>
      </c>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c r="CA290" s="393"/>
      <c r="CB290" s="393"/>
      <c r="CC290" s="393"/>
      <c r="CD290" s="393"/>
      <c r="CE290" s="393"/>
      <c r="CF290" s="393"/>
      <c r="CG290" s="393"/>
      <c r="CH290" s="393"/>
      <c r="CI290" s="393"/>
      <c r="CJ290" s="390"/>
      <c r="CK290" s="390"/>
      <c r="CL290" s="390"/>
      <c r="CM290" s="390"/>
      <c r="CN290" s="390"/>
      <c r="CO290" s="390"/>
      <c r="CP290" s="390"/>
      <c r="CQ290" s="390"/>
      <c r="CR290" s="390"/>
      <c r="CS290" s="390"/>
      <c r="CT290" s="390"/>
      <c r="CU290" s="390"/>
      <c r="CV290" s="390"/>
      <c r="CW290" s="390"/>
      <c r="CX290" s="390"/>
      <c r="CY290" s="390"/>
      <c r="CZ290" s="390"/>
      <c r="DA290" s="390"/>
      <c r="DB290" s="390"/>
      <c r="DC290" s="390"/>
    </row>
    <row r="291" spans="1:107" s="303" customFormat="1" ht="56.25">
      <c r="A291" s="37"/>
      <c r="B291" s="325" t="s">
        <v>23</v>
      </c>
      <c r="C291" s="320" t="s">
        <v>938</v>
      </c>
      <c r="D291" s="320" t="s">
        <v>1220</v>
      </c>
      <c r="E291" s="324">
        <v>158.98048972032714</v>
      </c>
      <c r="F291" s="320" t="s">
        <v>27</v>
      </c>
      <c r="G291" s="319">
        <v>0.26310160427807489</v>
      </c>
      <c r="H291" s="320" t="s">
        <v>66</v>
      </c>
      <c r="I291" s="378">
        <v>0.95</v>
      </c>
      <c r="J291" s="320" t="s">
        <v>1097</v>
      </c>
      <c r="K291" s="320" t="s">
        <v>1033</v>
      </c>
      <c r="L291" s="320" t="s">
        <v>960</v>
      </c>
      <c r="M291" s="320" t="s">
        <v>91</v>
      </c>
      <c r="N291" s="321">
        <v>10.464192418925684</v>
      </c>
      <c r="O291" s="321" t="s">
        <v>870</v>
      </c>
      <c r="P291" s="321">
        <v>6.6924835030931282</v>
      </c>
      <c r="Q291" s="321" t="s">
        <v>870</v>
      </c>
      <c r="R291" s="37"/>
      <c r="S291" s="322" t="s">
        <v>69</v>
      </c>
      <c r="T291" s="322" t="s">
        <v>69</v>
      </c>
      <c r="U291" s="322" t="s">
        <v>69</v>
      </c>
      <c r="V291" s="322" t="s">
        <v>69</v>
      </c>
      <c r="W291" s="322" t="s">
        <v>70</v>
      </c>
      <c r="X291" s="37"/>
      <c r="Y291" s="37"/>
      <c r="Z291" s="322" t="s">
        <v>78</v>
      </c>
      <c r="AA291" s="322" t="s">
        <v>78</v>
      </c>
      <c r="AB291" s="37"/>
      <c r="AC291" s="324">
        <v>21.6</v>
      </c>
      <c r="AD291" s="324" t="s">
        <v>72</v>
      </c>
      <c r="AE291" s="322" t="s">
        <v>73</v>
      </c>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c r="CA291" s="393"/>
      <c r="CB291" s="393"/>
      <c r="CC291" s="393"/>
      <c r="CD291" s="393"/>
      <c r="CE291" s="393"/>
      <c r="CF291" s="393"/>
      <c r="CG291" s="393"/>
      <c r="CH291" s="393"/>
      <c r="CI291" s="393"/>
      <c r="CJ291" s="390"/>
      <c r="CK291" s="390"/>
      <c r="CL291" s="390"/>
      <c r="CM291" s="390"/>
      <c r="CN291" s="390"/>
      <c r="CO291" s="390"/>
      <c r="CP291" s="390"/>
      <c r="CQ291" s="390"/>
      <c r="CR291" s="390"/>
      <c r="CS291" s="390"/>
      <c r="CT291" s="390"/>
      <c r="CU291" s="390"/>
      <c r="CV291" s="390"/>
      <c r="CW291" s="390"/>
      <c r="CX291" s="390"/>
      <c r="CY291" s="390"/>
      <c r="CZ291" s="390"/>
      <c r="DA291" s="390"/>
      <c r="DB291" s="390"/>
      <c r="DC291" s="390"/>
    </row>
    <row r="292" spans="1:107" s="303" customFormat="1" ht="56.25">
      <c r="A292" s="37"/>
      <c r="B292" s="325" t="s">
        <v>23</v>
      </c>
      <c r="C292" s="320" t="s">
        <v>938</v>
      </c>
      <c r="D292" s="320" t="s">
        <v>1220</v>
      </c>
      <c r="E292" s="324">
        <v>158.98048972032714</v>
      </c>
      <c r="F292" s="320" t="s">
        <v>27</v>
      </c>
      <c r="G292" s="319">
        <v>0.26310160427807489</v>
      </c>
      <c r="H292" s="320" t="s">
        <v>66</v>
      </c>
      <c r="I292" s="378">
        <v>0.95</v>
      </c>
      <c r="J292" s="320" t="s">
        <v>1097</v>
      </c>
      <c r="K292" s="320" t="s">
        <v>1033</v>
      </c>
      <c r="L292" s="320" t="s">
        <v>960</v>
      </c>
      <c r="M292" s="320" t="s">
        <v>92</v>
      </c>
      <c r="N292" s="321">
        <v>10.464192418925684</v>
      </c>
      <c r="O292" s="321">
        <v>11.444146790289251</v>
      </c>
      <c r="P292" s="321">
        <v>6.6924835030931282</v>
      </c>
      <c r="Q292" s="321" t="s">
        <v>1109</v>
      </c>
      <c r="R292" s="37"/>
      <c r="S292" s="322" t="s">
        <v>69</v>
      </c>
      <c r="T292" s="322" t="s">
        <v>69</v>
      </c>
      <c r="U292" s="322" t="s">
        <v>69</v>
      </c>
      <c r="V292" s="322" t="s">
        <v>69</v>
      </c>
      <c r="W292" s="322" t="s">
        <v>70</v>
      </c>
      <c r="X292" s="37"/>
      <c r="Y292" s="37"/>
      <c r="Z292" s="322" t="s">
        <v>78</v>
      </c>
      <c r="AA292" s="322" t="s">
        <v>78</v>
      </c>
      <c r="AB292" s="37"/>
      <c r="AC292" s="324">
        <v>21.6</v>
      </c>
      <c r="AD292" s="324" t="s">
        <v>72</v>
      </c>
      <c r="AE292" s="322" t="s">
        <v>73</v>
      </c>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c r="CA292" s="393"/>
      <c r="CB292" s="393"/>
      <c r="CC292" s="393"/>
      <c r="CD292" s="393"/>
      <c r="CE292" s="393"/>
      <c r="CF292" s="393"/>
      <c r="CG292" s="393"/>
      <c r="CH292" s="393"/>
      <c r="CI292" s="393"/>
      <c r="CJ292" s="390"/>
      <c r="CK292" s="390"/>
      <c r="CL292" s="390"/>
      <c r="CM292" s="390"/>
      <c r="CN292" s="390"/>
      <c r="CO292" s="390"/>
      <c r="CP292" s="390"/>
      <c r="CQ292" s="390"/>
      <c r="CR292" s="390"/>
      <c r="CS292" s="390"/>
      <c r="CT292" s="390"/>
      <c r="CU292" s="390"/>
      <c r="CV292" s="390"/>
      <c r="CW292" s="390"/>
      <c r="CX292" s="390"/>
      <c r="CY292" s="390"/>
      <c r="CZ292" s="390"/>
      <c r="DA292" s="390"/>
      <c r="DB292" s="390"/>
      <c r="DC292" s="390"/>
    </row>
    <row r="293" spans="1:107" s="303" customFormat="1" ht="56.25">
      <c r="A293" s="37"/>
      <c r="B293" s="325" t="s">
        <v>23</v>
      </c>
      <c r="C293" s="320" t="s">
        <v>938</v>
      </c>
      <c r="D293" s="320" t="s">
        <v>1220</v>
      </c>
      <c r="E293" s="324">
        <v>158.98048972032714</v>
      </c>
      <c r="F293" s="320" t="s">
        <v>27</v>
      </c>
      <c r="G293" s="319">
        <v>0.26310160427807489</v>
      </c>
      <c r="H293" s="320" t="s">
        <v>66</v>
      </c>
      <c r="I293" s="378">
        <v>0.95</v>
      </c>
      <c r="J293" s="320" t="s">
        <v>1097</v>
      </c>
      <c r="K293" s="320" t="s">
        <v>1033</v>
      </c>
      <c r="L293" s="320" t="s">
        <v>960</v>
      </c>
      <c r="M293" s="320" t="s">
        <v>93</v>
      </c>
      <c r="N293" s="321">
        <v>10.464192418925684</v>
      </c>
      <c r="O293" s="321">
        <v>12.0799327230831</v>
      </c>
      <c r="P293" s="321">
        <v>6.6924835030931282</v>
      </c>
      <c r="Q293" s="321" t="s">
        <v>1109</v>
      </c>
      <c r="R293" s="37"/>
      <c r="S293" s="322" t="s">
        <v>69</v>
      </c>
      <c r="T293" s="322" t="s">
        <v>69</v>
      </c>
      <c r="U293" s="322" t="s">
        <v>44</v>
      </c>
      <c r="V293" s="322" t="s">
        <v>75</v>
      </c>
      <c r="W293" s="322" t="s">
        <v>70</v>
      </c>
      <c r="X293" s="37"/>
      <c r="Y293" s="37"/>
      <c r="Z293" s="322" t="s">
        <v>78</v>
      </c>
      <c r="AA293" s="322" t="s">
        <v>78</v>
      </c>
      <c r="AB293" s="37"/>
      <c r="AC293" s="324">
        <v>21.6</v>
      </c>
      <c r="AD293" s="324" t="s">
        <v>72</v>
      </c>
      <c r="AE293" s="322" t="s">
        <v>73</v>
      </c>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c r="CA293" s="393"/>
      <c r="CB293" s="393"/>
      <c r="CC293" s="393"/>
      <c r="CD293" s="393"/>
      <c r="CE293" s="393"/>
      <c r="CF293" s="393"/>
      <c r="CG293" s="393"/>
      <c r="CH293" s="393"/>
      <c r="CI293" s="393"/>
      <c r="CJ293" s="390"/>
      <c r="CK293" s="390"/>
      <c r="CL293" s="390"/>
      <c r="CM293" s="390"/>
      <c r="CN293" s="390"/>
      <c r="CO293" s="390"/>
      <c r="CP293" s="390"/>
      <c r="CQ293" s="390"/>
      <c r="CR293" s="390"/>
      <c r="CS293" s="390"/>
      <c r="CT293" s="390"/>
      <c r="CU293" s="390"/>
      <c r="CV293" s="390"/>
      <c r="CW293" s="390"/>
      <c r="CX293" s="390"/>
      <c r="CY293" s="390"/>
      <c r="CZ293" s="390"/>
      <c r="DA293" s="390"/>
      <c r="DB293" s="390"/>
      <c r="DC293" s="390"/>
    </row>
    <row r="294" spans="1:107" s="303" customFormat="1" ht="56.25">
      <c r="A294" s="37"/>
      <c r="B294" s="325" t="s">
        <v>23</v>
      </c>
      <c r="C294" s="320" t="s">
        <v>938</v>
      </c>
      <c r="D294" s="320" t="s">
        <v>1220</v>
      </c>
      <c r="E294" s="324">
        <v>158.98048972032714</v>
      </c>
      <c r="F294" s="320" t="s">
        <v>27</v>
      </c>
      <c r="G294" s="319">
        <v>0.26310160427807489</v>
      </c>
      <c r="H294" s="320" t="s">
        <v>66</v>
      </c>
      <c r="I294" s="378">
        <v>0.95</v>
      </c>
      <c r="J294" s="320" t="s">
        <v>1097</v>
      </c>
      <c r="K294" s="320" t="s">
        <v>1033</v>
      </c>
      <c r="L294" s="320" t="s">
        <v>15</v>
      </c>
      <c r="M294" s="320" t="s">
        <v>88</v>
      </c>
      <c r="N294" s="321">
        <v>8.5647854355060904</v>
      </c>
      <c r="O294" s="321">
        <v>14.305183487861566</v>
      </c>
      <c r="P294" s="321">
        <v>7.3199038315081113</v>
      </c>
      <c r="Q294" s="321" t="s">
        <v>871</v>
      </c>
      <c r="R294" s="37"/>
      <c r="S294" s="322" t="s">
        <v>44</v>
      </c>
      <c r="T294" s="322" t="s">
        <v>63</v>
      </c>
      <c r="U294" s="322" t="s">
        <v>69</v>
      </c>
      <c r="V294" s="322" t="s">
        <v>69</v>
      </c>
      <c r="W294" s="322" t="s">
        <v>70</v>
      </c>
      <c r="X294" s="37"/>
      <c r="Y294" s="37"/>
      <c r="Z294" s="322" t="s">
        <v>78</v>
      </c>
      <c r="AA294" s="322" t="s">
        <v>78</v>
      </c>
      <c r="AB294" s="37"/>
      <c r="AC294" s="324">
        <v>21.6</v>
      </c>
      <c r="AD294" s="324" t="s">
        <v>72</v>
      </c>
      <c r="AE294" s="322" t="s">
        <v>73</v>
      </c>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c r="CA294" s="393"/>
      <c r="CB294" s="393"/>
      <c r="CC294" s="393"/>
      <c r="CD294" s="393"/>
      <c r="CE294" s="393"/>
      <c r="CF294" s="393"/>
      <c r="CG294" s="393"/>
      <c r="CH294" s="393"/>
      <c r="CI294" s="393"/>
      <c r="CJ294" s="390"/>
      <c r="CK294" s="390"/>
      <c r="CL294" s="390"/>
      <c r="CM294" s="390"/>
      <c r="CN294" s="390"/>
      <c r="CO294" s="390"/>
      <c r="CP294" s="390"/>
      <c r="CQ294" s="390"/>
      <c r="CR294" s="390"/>
      <c r="CS294" s="390"/>
      <c r="CT294" s="390"/>
      <c r="CU294" s="390"/>
      <c r="CV294" s="390"/>
      <c r="CW294" s="390"/>
      <c r="CX294" s="390"/>
      <c r="CY294" s="390"/>
      <c r="CZ294" s="390"/>
      <c r="DA294" s="390"/>
      <c r="DB294" s="390"/>
      <c r="DC294" s="390"/>
    </row>
    <row r="295" spans="1:107" s="303" customFormat="1" ht="56.25">
      <c r="A295" s="37"/>
      <c r="B295" s="325" t="s">
        <v>23</v>
      </c>
      <c r="C295" s="320" t="s">
        <v>938</v>
      </c>
      <c r="D295" s="320" t="s">
        <v>1220</v>
      </c>
      <c r="E295" s="324">
        <v>158.98048972032714</v>
      </c>
      <c r="F295" s="320" t="s">
        <v>27</v>
      </c>
      <c r="G295" s="319">
        <v>0.26310160427807489</v>
      </c>
      <c r="H295" s="320" t="s">
        <v>66</v>
      </c>
      <c r="I295" s="378">
        <v>0.95</v>
      </c>
      <c r="J295" s="320" t="s">
        <v>1097</v>
      </c>
      <c r="K295" s="320" t="s">
        <v>1033</v>
      </c>
      <c r="L295" s="320" t="s">
        <v>15</v>
      </c>
      <c r="M295" s="320" t="s">
        <v>90</v>
      </c>
      <c r="N295" s="321">
        <v>8.5647854355060904</v>
      </c>
      <c r="O295" s="321">
        <v>8.9010030591138616</v>
      </c>
      <c r="P295" s="321">
        <v>7.3199038315081113</v>
      </c>
      <c r="Q295" s="321" t="s">
        <v>1109</v>
      </c>
      <c r="R295" s="37"/>
      <c r="S295" s="322" t="s">
        <v>44</v>
      </c>
      <c r="T295" s="322" t="s">
        <v>63</v>
      </c>
      <c r="U295" s="322" t="s">
        <v>69</v>
      </c>
      <c r="V295" s="322" t="s">
        <v>69</v>
      </c>
      <c r="W295" s="322" t="s">
        <v>70</v>
      </c>
      <c r="X295" s="37"/>
      <c r="Y295" s="37"/>
      <c r="Z295" s="322" t="s">
        <v>78</v>
      </c>
      <c r="AA295" s="322" t="s">
        <v>78</v>
      </c>
      <c r="AB295" s="37"/>
      <c r="AC295" s="324">
        <v>21.6</v>
      </c>
      <c r="AD295" s="324" t="s">
        <v>72</v>
      </c>
      <c r="AE295" s="322" t="s">
        <v>73</v>
      </c>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c r="CA295" s="393"/>
      <c r="CB295" s="393"/>
      <c r="CC295" s="393"/>
      <c r="CD295" s="393"/>
      <c r="CE295" s="393"/>
      <c r="CF295" s="393"/>
      <c r="CG295" s="393"/>
      <c r="CH295" s="393"/>
      <c r="CI295" s="393"/>
      <c r="CJ295" s="390"/>
      <c r="CK295" s="390"/>
      <c r="CL295" s="390"/>
      <c r="CM295" s="390"/>
      <c r="CN295" s="390"/>
      <c r="CO295" s="390"/>
      <c r="CP295" s="390"/>
      <c r="CQ295" s="390"/>
      <c r="CR295" s="390"/>
      <c r="CS295" s="390"/>
      <c r="CT295" s="390"/>
      <c r="CU295" s="390"/>
      <c r="CV295" s="390"/>
      <c r="CW295" s="390"/>
      <c r="CX295" s="390"/>
      <c r="CY295" s="390"/>
      <c r="CZ295" s="390"/>
      <c r="DA295" s="390"/>
      <c r="DB295" s="390"/>
      <c r="DC295" s="390"/>
    </row>
    <row r="296" spans="1:107" s="303" customFormat="1" ht="56.25">
      <c r="A296" s="37"/>
      <c r="B296" s="325" t="s">
        <v>23</v>
      </c>
      <c r="C296" s="320" t="s">
        <v>938</v>
      </c>
      <c r="D296" s="320" t="s">
        <v>1220</v>
      </c>
      <c r="E296" s="324">
        <v>158.98048972032714</v>
      </c>
      <c r="F296" s="320" t="s">
        <v>27</v>
      </c>
      <c r="G296" s="319">
        <v>0.26310160427807489</v>
      </c>
      <c r="H296" s="320" t="s">
        <v>66</v>
      </c>
      <c r="I296" s="378">
        <v>0.95</v>
      </c>
      <c r="J296" s="320" t="s">
        <v>1097</v>
      </c>
      <c r="K296" s="320" t="s">
        <v>1033</v>
      </c>
      <c r="L296" s="320" t="s">
        <v>15</v>
      </c>
      <c r="M296" s="320" t="s">
        <v>91</v>
      </c>
      <c r="N296" s="321">
        <v>8.5647854355060904</v>
      </c>
      <c r="O296" s="321" t="s">
        <v>870</v>
      </c>
      <c r="P296" s="321">
        <v>7.3199038315081113</v>
      </c>
      <c r="Q296" s="321" t="s">
        <v>870</v>
      </c>
      <c r="R296" s="37"/>
      <c r="S296" s="322" t="s">
        <v>44</v>
      </c>
      <c r="T296" s="322" t="s">
        <v>63</v>
      </c>
      <c r="U296" s="322" t="s">
        <v>69</v>
      </c>
      <c r="V296" s="322" t="s">
        <v>69</v>
      </c>
      <c r="W296" s="322" t="s">
        <v>70</v>
      </c>
      <c r="X296" s="37"/>
      <c r="Y296" s="37"/>
      <c r="Z296" s="322" t="s">
        <v>78</v>
      </c>
      <c r="AA296" s="322" t="s">
        <v>78</v>
      </c>
      <c r="AB296" s="37"/>
      <c r="AC296" s="324">
        <v>21.6</v>
      </c>
      <c r="AD296" s="324" t="s">
        <v>72</v>
      </c>
      <c r="AE296" s="322" t="s">
        <v>73</v>
      </c>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c r="CA296" s="393"/>
      <c r="CB296" s="393"/>
      <c r="CC296" s="393"/>
      <c r="CD296" s="393"/>
      <c r="CE296" s="393"/>
      <c r="CF296" s="393"/>
      <c r="CG296" s="393"/>
      <c r="CH296" s="393"/>
      <c r="CI296" s="393"/>
      <c r="CJ296" s="390"/>
      <c r="CK296" s="390"/>
      <c r="CL296" s="390"/>
      <c r="CM296" s="390"/>
      <c r="CN296" s="390"/>
      <c r="CO296" s="390"/>
      <c r="CP296" s="390"/>
      <c r="CQ296" s="390"/>
      <c r="CR296" s="390"/>
      <c r="CS296" s="390"/>
      <c r="CT296" s="390"/>
      <c r="CU296" s="390"/>
      <c r="CV296" s="390"/>
      <c r="CW296" s="390"/>
      <c r="CX296" s="390"/>
      <c r="CY296" s="390"/>
      <c r="CZ296" s="390"/>
      <c r="DA296" s="390"/>
      <c r="DB296" s="390"/>
      <c r="DC296" s="390"/>
    </row>
    <row r="297" spans="1:107" s="303" customFormat="1" ht="56.25">
      <c r="A297" s="37"/>
      <c r="B297" s="325" t="s">
        <v>23</v>
      </c>
      <c r="C297" s="320" t="s">
        <v>938</v>
      </c>
      <c r="D297" s="320" t="s">
        <v>1220</v>
      </c>
      <c r="E297" s="324">
        <v>158.98048972032714</v>
      </c>
      <c r="F297" s="320" t="s">
        <v>27</v>
      </c>
      <c r="G297" s="319">
        <v>0.26310160427807489</v>
      </c>
      <c r="H297" s="320" t="s">
        <v>66</v>
      </c>
      <c r="I297" s="378">
        <v>0.95</v>
      </c>
      <c r="J297" s="320" t="s">
        <v>1097</v>
      </c>
      <c r="K297" s="320" t="s">
        <v>1033</v>
      </c>
      <c r="L297" s="320" t="s">
        <v>15</v>
      </c>
      <c r="M297" s="320" t="s">
        <v>92</v>
      </c>
      <c r="N297" s="321">
        <v>8.5647854355060904</v>
      </c>
      <c r="O297" s="321">
        <v>11.444146790289251</v>
      </c>
      <c r="P297" s="321">
        <v>7.3199038315081113</v>
      </c>
      <c r="Q297" s="321" t="s">
        <v>1109</v>
      </c>
      <c r="R297" s="37"/>
      <c r="S297" s="322" t="s">
        <v>44</v>
      </c>
      <c r="T297" s="322" t="s">
        <v>63</v>
      </c>
      <c r="U297" s="322" t="s">
        <v>69</v>
      </c>
      <c r="V297" s="322" t="s">
        <v>69</v>
      </c>
      <c r="W297" s="322" t="s">
        <v>70</v>
      </c>
      <c r="X297" s="37"/>
      <c r="Y297" s="37"/>
      <c r="Z297" s="322" t="s">
        <v>78</v>
      </c>
      <c r="AA297" s="322" t="s">
        <v>78</v>
      </c>
      <c r="AB297" s="37"/>
      <c r="AC297" s="324">
        <v>21.6</v>
      </c>
      <c r="AD297" s="324" t="s">
        <v>72</v>
      </c>
      <c r="AE297" s="322" t="s">
        <v>73</v>
      </c>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c r="CA297" s="393"/>
      <c r="CB297" s="393"/>
      <c r="CC297" s="393"/>
      <c r="CD297" s="393"/>
      <c r="CE297" s="393"/>
      <c r="CF297" s="393"/>
      <c r="CG297" s="393"/>
      <c r="CH297" s="393"/>
      <c r="CI297" s="393"/>
      <c r="CJ297" s="390"/>
      <c r="CK297" s="390"/>
      <c r="CL297" s="390"/>
      <c r="CM297" s="390"/>
      <c r="CN297" s="390"/>
      <c r="CO297" s="390"/>
      <c r="CP297" s="390"/>
      <c r="CQ297" s="390"/>
      <c r="CR297" s="390"/>
      <c r="CS297" s="390"/>
      <c r="CT297" s="390"/>
      <c r="CU297" s="390"/>
      <c r="CV297" s="390"/>
      <c r="CW297" s="390"/>
      <c r="CX297" s="390"/>
      <c r="CY297" s="390"/>
      <c r="CZ297" s="390"/>
      <c r="DA297" s="390"/>
      <c r="DB297" s="390"/>
      <c r="DC297" s="390"/>
    </row>
    <row r="298" spans="1:107" s="303" customFormat="1" ht="56.25">
      <c r="A298" s="37"/>
      <c r="B298" s="325" t="s">
        <v>23</v>
      </c>
      <c r="C298" s="320" t="s">
        <v>938</v>
      </c>
      <c r="D298" s="320" t="s">
        <v>1220</v>
      </c>
      <c r="E298" s="324">
        <v>158.98048972032714</v>
      </c>
      <c r="F298" s="320" t="s">
        <v>27</v>
      </c>
      <c r="G298" s="319">
        <v>0.26310160427807489</v>
      </c>
      <c r="H298" s="320" t="s">
        <v>66</v>
      </c>
      <c r="I298" s="378">
        <v>0.95</v>
      </c>
      <c r="J298" s="320" t="s">
        <v>1097</v>
      </c>
      <c r="K298" s="320" t="s">
        <v>1033</v>
      </c>
      <c r="L298" s="320" t="s">
        <v>15</v>
      </c>
      <c r="M298" s="320" t="s">
        <v>93</v>
      </c>
      <c r="N298" s="321">
        <v>8.5647854355060904</v>
      </c>
      <c r="O298" s="321">
        <v>12.0799327230831</v>
      </c>
      <c r="P298" s="321">
        <v>7.3199038315081113</v>
      </c>
      <c r="Q298" s="321" t="s">
        <v>1109</v>
      </c>
      <c r="R298" s="37"/>
      <c r="S298" s="322" t="s">
        <v>44</v>
      </c>
      <c r="T298" s="322" t="s">
        <v>63</v>
      </c>
      <c r="U298" s="322" t="s">
        <v>44</v>
      </c>
      <c r="V298" s="322" t="s">
        <v>75</v>
      </c>
      <c r="W298" s="322" t="s">
        <v>70</v>
      </c>
      <c r="X298" s="37"/>
      <c r="Y298" s="37"/>
      <c r="Z298" s="322" t="s">
        <v>78</v>
      </c>
      <c r="AA298" s="322" t="s">
        <v>78</v>
      </c>
      <c r="AB298" s="37"/>
      <c r="AC298" s="324">
        <v>21.6</v>
      </c>
      <c r="AD298" s="324" t="s">
        <v>72</v>
      </c>
      <c r="AE298" s="322" t="s">
        <v>73</v>
      </c>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c r="CA298" s="393"/>
      <c r="CB298" s="393"/>
      <c r="CC298" s="393"/>
      <c r="CD298" s="393"/>
      <c r="CE298" s="393"/>
      <c r="CF298" s="393"/>
      <c r="CG298" s="393"/>
      <c r="CH298" s="393"/>
      <c r="CI298" s="393"/>
      <c r="CJ298" s="390"/>
      <c r="CK298" s="390"/>
      <c r="CL298" s="390"/>
      <c r="CM298" s="390"/>
      <c r="CN298" s="390"/>
      <c r="CO298" s="390"/>
      <c r="CP298" s="390"/>
      <c r="CQ298" s="390"/>
      <c r="CR298" s="390"/>
      <c r="CS298" s="390"/>
      <c r="CT298" s="390"/>
      <c r="CU298" s="390"/>
      <c r="CV298" s="390"/>
      <c r="CW298" s="390"/>
      <c r="CX298" s="390"/>
      <c r="CY298" s="390"/>
      <c r="CZ298" s="390"/>
      <c r="DA298" s="390"/>
      <c r="DB298" s="390"/>
      <c r="DC298" s="390"/>
    </row>
    <row r="299" spans="1:107" s="303" customFormat="1" ht="33.75">
      <c r="A299" s="37"/>
      <c r="B299" s="325" t="s">
        <v>23</v>
      </c>
      <c r="C299" s="320" t="s">
        <v>938</v>
      </c>
      <c r="D299" s="320" t="s">
        <v>1220</v>
      </c>
      <c r="E299" s="324">
        <v>158.98048972032714</v>
      </c>
      <c r="F299" s="320" t="s">
        <v>26</v>
      </c>
      <c r="G299" s="319">
        <v>0.36844919786096259</v>
      </c>
      <c r="H299" s="320" t="s">
        <v>66</v>
      </c>
      <c r="I299" s="378">
        <v>0.95</v>
      </c>
      <c r="J299" s="320" t="s">
        <v>25</v>
      </c>
      <c r="K299" s="320" t="s">
        <v>1033</v>
      </c>
      <c r="L299" s="320" t="s">
        <v>95</v>
      </c>
      <c r="M299" s="320" t="s">
        <v>88</v>
      </c>
      <c r="N299" s="321">
        <v>39.050822608665037</v>
      </c>
      <c r="O299" s="321">
        <v>20.033071998245159</v>
      </c>
      <c r="P299" s="321">
        <v>37.098281478231776</v>
      </c>
      <c r="Q299" s="321" t="s">
        <v>871</v>
      </c>
      <c r="R299" s="37"/>
      <c r="S299" s="322" t="s">
        <v>44</v>
      </c>
      <c r="T299" s="322" t="s">
        <v>63</v>
      </c>
      <c r="U299" s="322" t="s">
        <v>69</v>
      </c>
      <c r="V299" s="322" t="s">
        <v>69</v>
      </c>
      <c r="W299" s="322" t="s">
        <v>70</v>
      </c>
      <c r="X299" s="37"/>
      <c r="Y299" s="37"/>
      <c r="Z299" s="322" t="s">
        <v>78</v>
      </c>
      <c r="AA299" s="322" t="s">
        <v>78</v>
      </c>
      <c r="AB299" s="37"/>
      <c r="AC299" s="324">
        <v>21.6</v>
      </c>
      <c r="AD299" s="324" t="s">
        <v>72</v>
      </c>
      <c r="AE299" s="322" t="s">
        <v>73</v>
      </c>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c r="CA299" s="393"/>
      <c r="CB299" s="393"/>
      <c r="CC299" s="393"/>
      <c r="CD299" s="393"/>
      <c r="CE299" s="393"/>
      <c r="CF299" s="393"/>
      <c r="CG299" s="393"/>
      <c r="CH299" s="393"/>
      <c r="CI299" s="393"/>
      <c r="CJ299" s="390"/>
      <c r="CK299" s="390"/>
      <c r="CL299" s="390"/>
      <c r="CM299" s="390"/>
      <c r="CN299" s="390"/>
      <c r="CO299" s="390"/>
      <c r="CP299" s="390"/>
      <c r="CQ299" s="390"/>
      <c r="CR299" s="390"/>
      <c r="CS299" s="390"/>
      <c r="CT299" s="390"/>
      <c r="CU299" s="390"/>
      <c r="CV299" s="390"/>
      <c r="CW299" s="390"/>
      <c r="CX299" s="390"/>
      <c r="CY299" s="390"/>
      <c r="CZ299" s="390"/>
      <c r="DA299" s="390"/>
      <c r="DB299" s="390"/>
      <c r="DC299" s="390"/>
    </row>
    <row r="300" spans="1:107" s="303" customFormat="1" ht="33.75">
      <c r="A300" s="37"/>
      <c r="B300" s="325" t="s">
        <v>23</v>
      </c>
      <c r="C300" s="320" t="s">
        <v>938</v>
      </c>
      <c r="D300" s="320" t="s">
        <v>1220</v>
      </c>
      <c r="E300" s="324">
        <v>158.98048972032714</v>
      </c>
      <c r="F300" s="320" t="s">
        <v>26</v>
      </c>
      <c r="G300" s="319">
        <v>0.36844919786096259</v>
      </c>
      <c r="H300" s="320" t="s">
        <v>66</v>
      </c>
      <c r="I300" s="378">
        <v>0.95</v>
      </c>
      <c r="J300" s="320" t="s">
        <v>25</v>
      </c>
      <c r="K300" s="320" t="s">
        <v>1033</v>
      </c>
      <c r="L300" s="320" t="s">
        <v>95</v>
      </c>
      <c r="M300" s="320" t="s">
        <v>90</v>
      </c>
      <c r="N300" s="321">
        <v>39.050822608665037</v>
      </c>
      <c r="O300" s="321">
        <v>12.465022576685881</v>
      </c>
      <c r="P300" s="321">
        <v>37.098281478231776</v>
      </c>
      <c r="Q300" s="321" t="s">
        <v>1109</v>
      </c>
      <c r="R300" s="37"/>
      <c r="S300" s="322" t="s">
        <v>44</v>
      </c>
      <c r="T300" s="322" t="s">
        <v>63</v>
      </c>
      <c r="U300" s="322" t="s">
        <v>69</v>
      </c>
      <c r="V300" s="322" t="s">
        <v>69</v>
      </c>
      <c r="W300" s="322" t="s">
        <v>70</v>
      </c>
      <c r="X300" s="37"/>
      <c r="Y300" s="37"/>
      <c r="Z300" s="322" t="s">
        <v>78</v>
      </c>
      <c r="AA300" s="322" t="s">
        <v>78</v>
      </c>
      <c r="AB300" s="37"/>
      <c r="AC300" s="324">
        <v>21.6</v>
      </c>
      <c r="AD300" s="324" t="s">
        <v>72</v>
      </c>
      <c r="AE300" s="322" t="s">
        <v>73</v>
      </c>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c r="CA300" s="393"/>
      <c r="CB300" s="393"/>
      <c r="CC300" s="393"/>
      <c r="CD300" s="393"/>
      <c r="CE300" s="393"/>
      <c r="CF300" s="393"/>
      <c r="CG300" s="393"/>
      <c r="CH300" s="393"/>
      <c r="CI300" s="393"/>
      <c r="CJ300" s="390"/>
      <c r="CK300" s="390"/>
      <c r="CL300" s="390"/>
      <c r="CM300" s="390"/>
      <c r="CN300" s="390"/>
      <c r="CO300" s="390"/>
      <c r="CP300" s="390"/>
      <c r="CQ300" s="390"/>
      <c r="CR300" s="390"/>
      <c r="CS300" s="390"/>
      <c r="CT300" s="390"/>
      <c r="CU300" s="390"/>
      <c r="CV300" s="390"/>
      <c r="CW300" s="390"/>
      <c r="CX300" s="390"/>
      <c r="CY300" s="390"/>
      <c r="CZ300" s="390"/>
      <c r="DA300" s="390"/>
      <c r="DB300" s="390"/>
      <c r="DC300" s="390"/>
    </row>
    <row r="301" spans="1:107" s="303" customFormat="1" ht="33.75">
      <c r="A301" s="37"/>
      <c r="B301" s="325" t="s">
        <v>23</v>
      </c>
      <c r="C301" s="320" t="s">
        <v>938</v>
      </c>
      <c r="D301" s="320" t="s">
        <v>1220</v>
      </c>
      <c r="E301" s="324">
        <v>158.98048972032714</v>
      </c>
      <c r="F301" s="320" t="s">
        <v>26</v>
      </c>
      <c r="G301" s="319">
        <v>0.36844919786096259</v>
      </c>
      <c r="H301" s="320" t="s">
        <v>66</v>
      </c>
      <c r="I301" s="378">
        <v>0.95</v>
      </c>
      <c r="J301" s="320" t="s">
        <v>25</v>
      </c>
      <c r="K301" s="320" t="s">
        <v>1033</v>
      </c>
      <c r="L301" s="320" t="s">
        <v>95</v>
      </c>
      <c r="M301" s="320" t="s">
        <v>91</v>
      </c>
      <c r="N301" s="321">
        <v>39.050822608665037</v>
      </c>
      <c r="O301" s="321" t="s">
        <v>870</v>
      </c>
      <c r="P301" s="321">
        <v>37.098281478231776</v>
      </c>
      <c r="Q301" s="321" t="s">
        <v>870</v>
      </c>
      <c r="R301" s="37"/>
      <c r="S301" s="322" t="s">
        <v>44</v>
      </c>
      <c r="T301" s="322" t="s">
        <v>63</v>
      </c>
      <c r="U301" s="322" t="s">
        <v>69</v>
      </c>
      <c r="V301" s="322" t="s">
        <v>69</v>
      </c>
      <c r="W301" s="322" t="s">
        <v>70</v>
      </c>
      <c r="X301" s="37"/>
      <c r="Y301" s="37"/>
      <c r="Z301" s="322" t="s">
        <v>78</v>
      </c>
      <c r="AA301" s="322" t="s">
        <v>78</v>
      </c>
      <c r="AB301" s="37"/>
      <c r="AC301" s="324">
        <v>21.6</v>
      </c>
      <c r="AD301" s="324" t="s">
        <v>72</v>
      </c>
      <c r="AE301" s="322" t="s">
        <v>73</v>
      </c>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c r="CA301" s="393"/>
      <c r="CB301" s="393"/>
      <c r="CC301" s="393"/>
      <c r="CD301" s="393"/>
      <c r="CE301" s="393"/>
      <c r="CF301" s="393"/>
      <c r="CG301" s="393"/>
      <c r="CH301" s="393"/>
      <c r="CI301" s="393"/>
      <c r="CJ301" s="390"/>
      <c r="CK301" s="390"/>
      <c r="CL301" s="390"/>
      <c r="CM301" s="390"/>
      <c r="CN301" s="390"/>
      <c r="CO301" s="390"/>
      <c r="CP301" s="390"/>
      <c r="CQ301" s="390"/>
      <c r="CR301" s="390"/>
      <c r="CS301" s="390"/>
      <c r="CT301" s="390"/>
      <c r="CU301" s="390"/>
      <c r="CV301" s="390"/>
      <c r="CW301" s="390"/>
      <c r="CX301" s="390"/>
      <c r="CY301" s="390"/>
      <c r="CZ301" s="390"/>
      <c r="DA301" s="390"/>
      <c r="DB301" s="390"/>
      <c r="DC301" s="390"/>
    </row>
    <row r="302" spans="1:107" s="303" customFormat="1" ht="33.75">
      <c r="A302" s="37"/>
      <c r="B302" s="325" t="s">
        <v>23</v>
      </c>
      <c r="C302" s="320" t="s">
        <v>938</v>
      </c>
      <c r="D302" s="320" t="s">
        <v>1220</v>
      </c>
      <c r="E302" s="324">
        <v>158.98048972032714</v>
      </c>
      <c r="F302" s="320" t="s">
        <v>26</v>
      </c>
      <c r="G302" s="319">
        <v>0.36844919786096259</v>
      </c>
      <c r="H302" s="320" t="s">
        <v>66</v>
      </c>
      <c r="I302" s="378">
        <v>0.95</v>
      </c>
      <c r="J302" s="320" t="s">
        <v>25</v>
      </c>
      <c r="K302" s="320" t="s">
        <v>1033</v>
      </c>
      <c r="L302" s="320" t="s">
        <v>95</v>
      </c>
      <c r="M302" s="320" t="s">
        <v>92</v>
      </c>
      <c r="N302" s="321">
        <v>39.050822608665037</v>
      </c>
      <c r="O302" s="321">
        <v>16.026457598596128</v>
      </c>
      <c r="P302" s="321">
        <v>37.098281478231776</v>
      </c>
      <c r="Q302" s="321" t="s">
        <v>1109</v>
      </c>
      <c r="R302" s="37"/>
      <c r="S302" s="322" t="s">
        <v>44</v>
      </c>
      <c r="T302" s="322" t="s">
        <v>63</v>
      </c>
      <c r="U302" s="322" t="s">
        <v>69</v>
      </c>
      <c r="V302" s="322" t="s">
        <v>69</v>
      </c>
      <c r="W302" s="322" t="s">
        <v>70</v>
      </c>
      <c r="X302" s="37"/>
      <c r="Y302" s="37"/>
      <c r="Z302" s="322" t="s">
        <v>78</v>
      </c>
      <c r="AA302" s="322" t="s">
        <v>78</v>
      </c>
      <c r="AB302" s="37"/>
      <c r="AC302" s="324">
        <v>21.6</v>
      </c>
      <c r="AD302" s="324" t="s">
        <v>72</v>
      </c>
      <c r="AE302" s="322" t="s">
        <v>73</v>
      </c>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c r="CA302" s="393"/>
      <c r="CB302" s="393"/>
      <c r="CC302" s="393"/>
      <c r="CD302" s="393"/>
      <c r="CE302" s="393"/>
      <c r="CF302" s="393"/>
      <c r="CG302" s="393"/>
      <c r="CH302" s="393"/>
      <c r="CI302" s="393"/>
      <c r="CJ302" s="390"/>
      <c r="CK302" s="390"/>
      <c r="CL302" s="390"/>
      <c r="CM302" s="390"/>
      <c r="CN302" s="390"/>
      <c r="CO302" s="390"/>
      <c r="CP302" s="390"/>
      <c r="CQ302" s="390"/>
      <c r="CR302" s="390"/>
      <c r="CS302" s="390"/>
      <c r="CT302" s="390"/>
      <c r="CU302" s="390"/>
      <c r="CV302" s="390"/>
      <c r="CW302" s="390"/>
      <c r="CX302" s="390"/>
      <c r="CY302" s="390"/>
      <c r="CZ302" s="390"/>
      <c r="DA302" s="390"/>
      <c r="DB302" s="390"/>
      <c r="DC302" s="390"/>
    </row>
    <row r="303" spans="1:107" s="303" customFormat="1" ht="33.75">
      <c r="A303" s="37"/>
      <c r="B303" s="325" t="s">
        <v>23</v>
      </c>
      <c r="C303" s="320" t="s">
        <v>938</v>
      </c>
      <c r="D303" s="320" t="s">
        <v>1220</v>
      </c>
      <c r="E303" s="324">
        <v>158.98048972032714</v>
      </c>
      <c r="F303" s="320" t="s">
        <v>26</v>
      </c>
      <c r="G303" s="319">
        <v>0.36844919786096259</v>
      </c>
      <c r="H303" s="320" t="s">
        <v>66</v>
      </c>
      <c r="I303" s="378">
        <v>0.95</v>
      </c>
      <c r="J303" s="320" t="s">
        <v>25</v>
      </c>
      <c r="K303" s="320" t="s">
        <v>1033</v>
      </c>
      <c r="L303" s="320" t="s">
        <v>95</v>
      </c>
      <c r="M303" s="320" t="s">
        <v>93</v>
      </c>
      <c r="N303" s="321">
        <v>39.050822608665037</v>
      </c>
      <c r="O303" s="321">
        <v>16.916816354073688</v>
      </c>
      <c r="P303" s="321">
        <v>37.098281478231776</v>
      </c>
      <c r="Q303" s="321" t="s">
        <v>1109</v>
      </c>
      <c r="R303" s="37"/>
      <c r="S303" s="322" t="s">
        <v>44</v>
      </c>
      <c r="T303" s="322" t="s">
        <v>63</v>
      </c>
      <c r="U303" s="322" t="s">
        <v>44</v>
      </c>
      <c r="V303" s="322" t="s">
        <v>75</v>
      </c>
      <c r="W303" s="322" t="s">
        <v>70</v>
      </c>
      <c r="X303" s="37"/>
      <c r="Y303" s="37"/>
      <c r="Z303" s="322" t="s">
        <v>78</v>
      </c>
      <c r="AA303" s="322" t="s">
        <v>78</v>
      </c>
      <c r="AB303" s="37"/>
      <c r="AC303" s="324">
        <v>21.6</v>
      </c>
      <c r="AD303" s="324" t="s">
        <v>72</v>
      </c>
      <c r="AE303" s="322" t="s">
        <v>73</v>
      </c>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c r="CA303" s="393"/>
      <c r="CB303" s="393"/>
      <c r="CC303" s="393"/>
      <c r="CD303" s="393"/>
      <c r="CE303" s="393"/>
      <c r="CF303" s="393"/>
      <c r="CG303" s="393"/>
      <c r="CH303" s="393"/>
      <c r="CI303" s="393"/>
      <c r="CJ303" s="390"/>
      <c r="CK303" s="390"/>
      <c r="CL303" s="390"/>
      <c r="CM303" s="390"/>
      <c r="CN303" s="390"/>
      <c r="CO303" s="390"/>
      <c r="CP303" s="390"/>
      <c r="CQ303" s="390"/>
      <c r="CR303" s="390"/>
      <c r="CS303" s="390"/>
      <c r="CT303" s="390"/>
      <c r="CU303" s="390"/>
      <c r="CV303" s="390"/>
      <c r="CW303" s="390"/>
      <c r="CX303" s="390"/>
      <c r="CY303" s="390"/>
      <c r="CZ303" s="390"/>
      <c r="DA303" s="390"/>
      <c r="DB303" s="390"/>
      <c r="DC303" s="390"/>
    </row>
    <row r="304" spans="1:107" s="303" customFormat="1" ht="33.75">
      <c r="A304" s="37"/>
      <c r="B304" s="325" t="s">
        <v>23</v>
      </c>
      <c r="C304" s="320" t="s">
        <v>938</v>
      </c>
      <c r="D304" s="320" t="s">
        <v>1220</v>
      </c>
      <c r="E304" s="324">
        <v>158.98048972032714</v>
      </c>
      <c r="F304" s="320" t="s">
        <v>26</v>
      </c>
      <c r="G304" s="319">
        <v>0.36844919786096259</v>
      </c>
      <c r="H304" s="320" t="s">
        <v>66</v>
      </c>
      <c r="I304" s="378">
        <v>0.95</v>
      </c>
      <c r="J304" s="320" t="s">
        <v>25</v>
      </c>
      <c r="K304" s="320" t="s">
        <v>1033</v>
      </c>
      <c r="L304" s="320" t="s">
        <v>24</v>
      </c>
      <c r="M304" s="320" t="s">
        <v>88</v>
      </c>
      <c r="N304" s="321">
        <v>36.707773252145124</v>
      </c>
      <c r="O304" s="321">
        <v>20.033071998245159</v>
      </c>
      <c r="P304" s="321">
        <v>34.169469782581899</v>
      </c>
      <c r="Q304" s="321" t="s">
        <v>871</v>
      </c>
      <c r="R304" s="37"/>
      <c r="S304" s="322" t="s">
        <v>68</v>
      </c>
      <c r="T304" s="322" t="s">
        <v>63</v>
      </c>
      <c r="U304" s="322" t="s">
        <v>69</v>
      </c>
      <c r="V304" s="322" t="s">
        <v>69</v>
      </c>
      <c r="W304" s="322" t="s">
        <v>70</v>
      </c>
      <c r="X304" s="37"/>
      <c r="Y304" s="37"/>
      <c r="Z304" s="322" t="s">
        <v>78</v>
      </c>
      <c r="AA304" s="322" t="s">
        <v>78</v>
      </c>
      <c r="AB304" s="37"/>
      <c r="AC304" s="324">
        <v>21.6</v>
      </c>
      <c r="AD304" s="324" t="s">
        <v>72</v>
      </c>
      <c r="AE304" s="322" t="s">
        <v>73</v>
      </c>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c r="CA304" s="393"/>
      <c r="CB304" s="393"/>
      <c r="CC304" s="393"/>
      <c r="CD304" s="393"/>
      <c r="CE304" s="393"/>
      <c r="CF304" s="393"/>
      <c r="CG304" s="393"/>
      <c r="CH304" s="393"/>
      <c r="CI304" s="393"/>
      <c r="CJ304" s="390"/>
      <c r="CK304" s="390"/>
      <c r="CL304" s="390"/>
      <c r="CM304" s="390"/>
      <c r="CN304" s="390"/>
      <c r="CO304" s="390"/>
      <c r="CP304" s="390"/>
      <c r="CQ304" s="390"/>
      <c r="CR304" s="390"/>
      <c r="CS304" s="390"/>
      <c r="CT304" s="390"/>
      <c r="CU304" s="390"/>
      <c r="CV304" s="390"/>
      <c r="CW304" s="390"/>
      <c r="CX304" s="390"/>
      <c r="CY304" s="390"/>
      <c r="CZ304" s="390"/>
      <c r="DA304" s="390"/>
      <c r="DB304" s="390"/>
      <c r="DC304" s="390"/>
    </row>
    <row r="305" spans="1:107" s="303" customFormat="1" ht="33.75">
      <c r="A305" s="37"/>
      <c r="B305" s="325" t="s">
        <v>23</v>
      </c>
      <c r="C305" s="320" t="s">
        <v>938</v>
      </c>
      <c r="D305" s="320" t="s">
        <v>1220</v>
      </c>
      <c r="E305" s="324">
        <v>158.98048972032714</v>
      </c>
      <c r="F305" s="320" t="s">
        <v>26</v>
      </c>
      <c r="G305" s="319">
        <v>0.36844919786096259</v>
      </c>
      <c r="H305" s="320" t="s">
        <v>66</v>
      </c>
      <c r="I305" s="378">
        <v>0.95</v>
      </c>
      <c r="J305" s="320" t="s">
        <v>25</v>
      </c>
      <c r="K305" s="320" t="s">
        <v>1033</v>
      </c>
      <c r="L305" s="320" t="s">
        <v>24</v>
      </c>
      <c r="M305" s="320" t="s">
        <v>90</v>
      </c>
      <c r="N305" s="321">
        <v>36.707773252145124</v>
      </c>
      <c r="O305" s="321">
        <v>12.465022576685881</v>
      </c>
      <c r="P305" s="321">
        <v>34.169469782581899</v>
      </c>
      <c r="Q305" s="321" t="s">
        <v>1109</v>
      </c>
      <c r="R305" s="37"/>
      <c r="S305" s="322" t="s">
        <v>68</v>
      </c>
      <c r="T305" s="322" t="s">
        <v>63</v>
      </c>
      <c r="U305" s="322" t="s">
        <v>69</v>
      </c>
      <c r="V305" s="322" t="s">
        <v>69</v>
      </c>
      <c r="W305" s="322" t="s">
        <v>70</v>
      </c>
      <c r="X305" s="37"/>
      <c r="Y305" s="37"/>
      <c r="Z305" s="322" t="s">
        <v>78</v>
      </c>
      <c r="AA305" s="322" t="s">
        <v>78</v>
      </c>
      <c r="AB305" s="37"/>
      <c r="AC305" s="324">
        <v>21.6</v>
      </c>
      <c r="AD305" s="324" t="s">
        <v>72</v>
      </c>
      <c r="AE305" s="322" t="s">
        <v>73</v>
      </c>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c r="CA305" s="393"/>
      <c r="CB305" s="393"/>
      <c r="CC305" s="393"/>
      <c r="CD305" s="393"/>
      <c r="CE305" s="393"/>
      <c r="CF305" s="393"/>
      <c r="CG305" s="393"/>
      <c r="CH305" s="393"/>
      <c r="CI305" s="393"/>
      <c r="CJ305" s="390"/>
      <c r="CK305" s="390"/>
      <c r="CL305" s="390"/>
      <c r="CM305" s="390"/>
      <c r="CN305" s="390"/>
      <c r="CO305" s="390"/>
      <c r="CP305" s="390"/>
      <c r="CQ305" s="390"/>
      <c r="CR305" s="390"/>
      <c r="CS305" s="390"/>
      <c r="CT305" s="390"/>
      <c r="CU305" s="390"/>
      <c r="CV305" s="390"/>
      <c r="CW305" s="390"/>
      <c r="CX305" s="390"/>
      <c r="CY305" s="390"/>
      <c r="CZ305" s="390"/>
      <c r="DA305" s="390"/>
      <c r="DB305" s="390"/>
      <c r="DC305" s="390"/>
    </row>
    <row r="306" spans="1:107" s="303" customFormat="1" ht="33.75">
      <c r="A306" s="37"/>
      <c r="B306" s="325" t="s">
        <v>23</v>
      </c>
      <c r="C306" s="320" t="s">
        <v>938</v>
      </c>
      <c r="D306" s="320" t="s">
        <v>1220</v>
      </c>
      <c r="E306" s="324">
        <v>158.98048972032714</v>
      </c>
      <c r="F306" s="320" t="s">
        <v>26</v>
      </c>
      <c r="G306" s="319">
        <v>0.36844919786096259</v>
      </c>
      <c r="H306" s="320" t="s">
        <v>66</v>
      </c>
      <c r="I306" s="378">
        <v>0.95</v>
      </c>
      <c r="J306" s="320" t="s">
        <v>25</v>
      </c>
      <c r="K306" s="320" t="s">
        <v>1033</v>
      </c>
      <c r="L306" s="320" t="s">
        <v>24</v>
      </c>
      <c r="M306" s="320" t="s">
        <v>91</v>
      </c>
      <c r="N306" s="321">
        <v>36.707773252145124</v>
      </c>
      <c r="O306" s="321" t="s">
        <v>870</v>
      </c>
      <c r="P306" s="321">
        <v>34.169469782581899</v>
      </c>
      <c r="Q306" s="321" t="s">
        <v>870</v>
      </c>
      <c r="R306" s="37"/>
      <c r="S306" s="322" t="s">
        <v>68</v>
      </c>
      <c r="T306" s="322" t="s">
        <v>63</v>
      </c>
      <c r="U306" s="322" t="s">
        <v>69</v>
      </c>
      <c r="V306" s="322" t="s">
        <v>69</v>
      </c>
      <c r="W306" s="322" t="s">
        <v>70</v>
      </c>
      <c r="X306" s="37"/>
      <c r="Y306" s="37"/>
      <c r="Z306" s="322" t="s">
        <v>78</v>
      </c>
      <c r="AA306" s="322" t="s">
        <v>78</v>
      </c>
      <c r="AB306" s="37"/>
      <c r="AC306" s="324">
        <v>21.6</v>
      </c>
      <c r="AD306" s="324" t="s">
        <v>72</v>
      </c>
      <c r="AE306" s="322" t="s">
        <v>73</v>
      </c>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c r="CA306" s="393"/>
      <c r="CB306" s="393"/>
      <c r="CC306" s="393"/>
      <c r="CD306" s="393"/>
      <c r="CE306" s="393"/>
      <c r="CF306" s="393"/>
      <c r="CG306" s="393"/>
      <c r="CH306" s="393"/>
      <c r="CI306" s="393"/>
      <c r="CJ306" s="390"/>
      <c r="CK306" s="390"/>
      <c r="CL306" s="390"/>
      <c r="CM306" s="390"/>
      <c r="CN306" s="390"/>
      <c r="CO306" s="390"/>
      <c r="CP306" s="390"/>
      <c r="CQ306" s="390"/>
      <c r="CR306" s="390"/>
      <c r="CS306" s="390"/>
      <c r="CT306" s="390"/>
      <c r="CU306" s="390"/>
      <c r="CV306" s="390"/>
      <c r="CW306" s="390"/>
      <c r="CX306" s="390"/>
      <c r="CY306" s="390"/>
      <c r="CZ306" s="390"/>
      <c r="DA306" s="390"/>
      <c r="DB306" s="390"/>
      <c r="DC306" s="390"/>
    </row>
    <row r="307" spans="1:107" s="303" customFormat="1" ht="33.75">
      <c r="A307" s="37"/>
      <c r="B307" s="325" t="s">
        <v>23</v>
      </c>
      <c r="C307" s="320" t="s">
        <v>938</v>
      </c>
      <c r="D307" s="320" t="s">
        <v>1220</v>
      </c>
      <c r="E307" s="324">
        <v>158.98048972032714</v>
      </c>
      <c r="F307" s="320" t="s">
        <v>26</v>
      </c>
      <c r="G307" s="319">
        <v>0.36844919786096259</v>
      </c>
      <c r="H307" s="320" t="s">
        <v>66</v>
      </c>
      <c r="I307" s="378">
        <v>0.95</v>
      </c>
      <c r="J307" s="320" t="s">
        <v>25</v>
      </c>
      <c r="K307" s="320" t="s">
        <v>1033</v>
      </c>
      <c r="L307" s="320" t="s">
        <v>24</v>
      </c>
      <c r="M307" s="320" t="s">
        <v>92</v>
      </c>
      <c r="N307" s="321">
        <v>36.707773252145124</v>
      </c>
      <c r="O307" s="321">
        <v>16.026457598596128</v>
      </c>
      <c r="P307" s="321">
        <v>34.169469782581899</v>
      </c>
      <c r="Q307" s="321" t="s">
        <v>1109</v>
      </c>
      <c r="R307" s="37"/>
      <c r="S307" s="322" t="s">
        <v>68</v>
      </c>
      <c r="T307" s="322" t="s">
        <v>63</v>
      </c>
      <c r="U307" s="322" t="s">
        <v>69</v>
      </c>
      <c r="V307" s="322" t="s">
        <v>69</v>
      </c>
      <c r="W307" s="322" t="s">
        <v>70</v>
      </c>
      <c r="X307" s="37"/>
      <c r="Y307" s="37"/>
      <c r="Z307" s="322" t="s">
        <v>78</v>
      </c>
      <c r="AA307" s="322" t="s">
        <v>78</v>
      </c>
      <c r="AB307" s="37"/>
      <c r="AC307" s="324">
        <v>21.6</v>
      </c>
      <c r="AD307" s="324" t="s">
        <v>72</v>
      </c>
      <c r="AE307" s="322" t="s">
        <v>73</v>
      </c>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c r="CA307" s="393"/>
      <c r="CB307" s="393"/>
      <c r="CC307" s="393"/>
      <c r="CD307" s="393"/>
      <c r="CE307" s="393"/>
      <c r="CF307" s="393"/>
      <c r="CG307" s="393"/>
      <c r="CH307" s="393"/>
      <c r="CI307" s="393"/>
      <c r="CJ307" s="390"/>
      <c r="CK307" s="390"/>
      <c r="CL307" s="390"/>
      <c r="CM307" s="390"/>
      <c r="CN307" s="390"/>
      <c r="CO307" s="390"/>
      <c r="CP307" s="390"/>
      <c r="CQ307" s="390"/>
      <c r="CR307" s="390"/>
      <c r="CS307" s="390"/>
      <c r="CT307" s="390"/>
      <c r="CU307" s="390"/>
      <c r="CV307" s="390"/>
      <c r="CW307" s="390"/>
      <c r="CX307" s="390"/>
      <c r="CY307" s="390"/>
      <c r="CZ307" s="390"/>
      <c r="DA307" s="390"/>
      <c r="DB307" s="390"/>
      <c r="DC307" s="390"/>
    </row>
    <row r="308" spans="1:107" s="317" customFormat="1" ht="33.75">
      <c r="A308" s="37"/>
      <c r="B308" s="332" t="s">
        <v>23</v>
      </c>
      <c r="C308" s="320" t="s">
        <v>938</v>
      </c>
      <c r="D308" s="333" t="s">
        <v>1220</v>
      </c>
      <c r="E308" s="324">
        <v>158.98048972032714</v>
      </c>
      <c r="F308" s="333" t="s">
        <v>26</v>
      </c>
      <c r="G308" s="319">
        <v>0.36844919786096259</v>
      </c>
      <c r="H308" s="320" t="s">
        <v>66</v>
      </c>
      <c r="I308" s="378">
        <v>0.95</v>
      </c>
      <c r="J308" s="320" t="s">
        <v>25</v>
      </c>
      <c r="K308" s="320" t="s">
        <v>1033</v>
      </c>
      <c r="L308" s="333" t="s">
        <v>24</v>
      </c>
      <c r="M308" s="333" t="s">
        <v>93</v>
      </c>
      <c r="N308" s="321">
        <v>36.707773252145124</v>
      </c>
      <c r="O308" s="335">
        <v>16.916816354073688</v>
      </c>
      <c r="P308" s="321">
        <v>34.169469782581899</v>
      </c>
      <c r="Q308" s="321" t="s">
        <v>1109</v>
      </c>
      <c r="R308" s="37"/>
      <c r="S308" s="336" t="s">
        <v>68</v>
      </c>
      <c r="T308" s="336" t="s">
        <v>63</v>
      </c>
      <c r="U308" s="322" t="s">
        <v>44</v>
      </c>
      <c r="V308" s="322" t="s">
        <v>75</v>
      </c>
      <c r="W308" s="322" t="s">
        <v>70</v>
      </c>
      <c r="X308" s="37"/>
      <c r="Y308" s="37"/>
      <c r="Z308" s="336" t="s">
        <v>78</v>
      </c>
      <c r="AA308" s="336" t="s">
        <v>78</v>
      </c>
      <c r="AB308" s="37"/>
      <c r="AC308" s="334">
        <v>21.6</v>
      </c>
      <c r="AD308" s="334" t="s">
        <v>72</v>
      </c>
      <c r="AE308" s="336" t="s">
        <v>73</v>
      </c>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c r="CA308" s="393"/>
      <c r="CB308" s="393"/>
      <c r="CC308" s="393"/>
      <c r="CD308" s="393"/>
      <c r="CE308" s="393"/>
      <c r="CF308" s="393"/>
      <c r="CG308" s="393"/>
      <c r="CH308" s="393"/>
      <c r="CI308" s="393"/>
      <c r="CJ308" s="390"/>
      <c r="CK308" s="390"/>
      <c r="CL308" s="390"/>
      <c r="CM308" s="390"/>
      <c r="CN308" s="390"/>
      <c r="CO308" s="390"/>
      <c r="CP308" s="390"/>
      <c r="CQ308" s="390"/>
      <c r="CR308" s="390"/>
      <c r="CS308" s="390"/>
      <c r="CT308" s="390"/>
      <c r="CU308" s="390"/>
      <c r="CV308" s="390"/>
      <c r="CW308" s="390"/>
      <c r="CX308" s="390"/>
      <c r="CY308" s="390"/>
      <c r="CZ308" s="390"/>
      <c r="DA308" s="390"/>
      <c r="DB308" s="390"/>
      <c r="DC308" s="390"/>
    </row>
    <row r="309" spans="1:107" s="317" customFormat="1" ht="56.25">
      <c r="A309" s="37"/>
      <c r="B309" s="464" t="s">
        <v>23</v>
      </c>
      <c r="C309" s="465" t="s">
        <v>1143</v>
      </c>
      <c r="D309" s="348" t="s">
        <v>1220</v>
      </c>
      <c r="E309" s="467">
        <v>446.00405151407574</v>
      </c>
      <c r="F309" s="465" t="s">
        <v>27</v>
      </c>
      <c r="G309" s="468">
        <v>0.90317050049758907</v>
      </c>
      <c r="H309" s="465" t="s">
        <v>66</v>
      </c>
      <c r="I309" s="469">
        <v>0.77184852779052782</v>
      </c>
      <c r="J309" s="465" t="s">
        <v>1097</v>
      </c>
      <c r="K309" s="465" t="s">
        <v>1012</v>
      </c>
      <c r="L309" s="465" t="s">
        <v>960</v>
      </c>
      <c r="M309" s="465" t="s">
        <v>88</v>
      </c>
      <c r="N309" s="470">
        <v>59.493076051188247</v>
      </c>
      <c r="O309" s="470">
        <v>59.695536112991405</v>
      </c>
      <c r="P309" s="470">
        <v>51.560665911029787</v>
      </c>
      <c r="Q309" s="470">
        <v>9.9492560188318979</v>
      </c>
      <c r="R309" s="37"/>
      <c r="S309" s="344" t="s">
        <v>69</v>
      </c>
      <c r="T309" s="344" t="s">
        <v>69</v>
      </c>
      <c r="U309" s="344" t="s">
        <v>69</v>
      </c>
      <c r="V309" s="344" t="s">
        <v>69</v>
      </c>
      <c r="W309" s="344" t="s">
        <v>76</v>
      </c>
      <c r="X309" s="37"/>
      <c r="Y309" s="37"/>
      <c r="Z309" s="465" t="s">
        <v>78</v>
      </c>
      <c r="AA309" s="465" t="s">
        <v>78</v>
      </c>
      <c r="AB309" s="37"/>
      <c r="AC309" s="474">
        <v>14.227397260273975</v>
      </c>
      <c r="AD309" s="470" t="s">
        <v>72</v>
      </c>
      <c r="AE309" s="465" t="s">
        <v>73</v>
      </c>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c r="CA309" s="393"/>
      <c r="CB309" s="393"/>
      <c r="CC309" s="393"/>
      <c r="CD309" s="393"/>
      <c r="CE309" s="393"/>
      <c r="CF309" s="393"/>
      <c r="CG309" s="393"/>
      <c r="CH309" s="393"/>
      <c r="CI309" s="393"/>
      <c r="CJ309" s="390"/>
      <c r="CK309" s="390"/>
      <c r="CL309" s="390"/>
      <c r="CM309" s="390"/>
      <c r="CN309" s="390"/>
      <c r="CO309" s="390"/>
      <c r="CP309" s="390"/>
      <c r="CQ309" s="390"/>
      <c r="CR309" s="390"/>
      <c r="CS309" s="390"/>
      <c r="CT309" s="390"/>
      <c r="CU309" s="390"/>
      <c r="CV309" s="390"/>
      <c r="CW309" s="390"/>
      <c r="CX309" s="390"/>
      <c r="CY309" s="390"/>
      <c r="CZ309" s="390"/>
      <c r="DA309" s="390"/>
      <c r="DB309" s="390"/>
      <c r="DC309" s="390"/>
    </row>
    <row r="310" spans="1:107" s="317" customFormat="1" ht="56.25">
      <c r="A310" s="37"/>
      <c r="B310" s="464" t="s">
        <v>23</v>
      </c>
      <c r="C310" s="465" t="s">
        <v>1143</v>
      </c>
      <c r="D310" s="348" t="s">
        <v>1220</v>
      </c>
      <c r="E310" s="467">
        <v>446.00405151407574</v>
      </c>
      <c r="F310" s="465" t="s">
        <v>27</v>
      </c>
      <c r="G310" s="468">
        <v>0.90317050049758907</v>
      </c>
      <c r="H310" s="465" t="s">
        <v>66</v>
      </c>
      <c r="I310" s="469">
        <v>0.77184852779052782</v>
      </c>
      <c r="J310" s="465" t="s">
        <v>1097</v>
      </c>
      <c r="K310" s="465" t="s">
        <v>1012</v>
      </c>
      <c r="L310" s="465" t="s">
        <v>960</v>
      </c>
      <c r="M310" s="465" t="s">
        <v>90</v>
      </c>
      <c r="N310" s="470">
        <v>59.493076051188247</v>
      </c>
      <c r="O310" s="470">
        <v>69.644792131823309</v>
      </c>
      <c r="P310" s="470">
        <v>51.560665911029787</v>
      </c>
      <c r="Q310" s="470">
        <v>19.89851203766381</v>
      </c>
      <c r="R310" s="37"/>
      <c r="S310" s="344" t="s">
        <v>69</v>
      </c>
      <c r="T310" s="344" t="s">
        <v>69</v>
      </c>
      <c r="U310" s="344" t="s">
        <v>69</v>
      </c>
      <c r="V310" s="344" t="s">
        <v>69</v>
      </c>
      <c r="W310" s="344" t="s">
        <v>76</v>
      </c>
      <c r="X310" s="37"/>
      <c r="Y310" s="37"/>
      <c r="Z310" s="465" t="s">
        <v>78</v>
      </c>
      <c r="AA310" s="465" t="s">
        <v>78</v>
      </c>
      <c r="AB310" s="37"/>
      <c r="AC310" s="474">
        <v>14.227397260273975</v>
      </c>
      <c r="AD310" s="470" t="s">
        <v>72</v>
      </c>
      <c r="AE310" s="465" t="s">
        <v>73</v>
      </c>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c r="CA310" s="393"/>
      <c r="CB310" s="393"/>
      <c r="CC310" s="393"/>
      <c r="CD310" s="393"/>
      <c r="CE310" s="393"/>
      <c r="CF310" s="393"/>
      <c r="CG310" s="393"/>
      <c r="CH310" s="393"/>
      <c r="CI310" s="393"/>
      <c r="CJ310" s="390"/>
      <c r="CK310" s="390"/>
      <c r="CL310" s="390"/>
      <c r="CM310" s="390"/>
      <c r="CN310" s="390"/>
      <c r="CO310" s="390"/>
      <c r="CP310" s="390"/>
      <c r="CQ310" s="390"/>
      <c r="CR310" s="390"/>
      <c r="CS310" s="390"/>
      <c r="CT310" s="390"/>
      <c r="CU310" s="390"/>
      <c r="CV310" s="390"/>
      <c r="CW310" s="390"/>
      <c r="CX310" s="390"/>
      <c r="CY310" s="390"/>
      <c r="CZ310" s="390"/>
      <c r="DA310" s="390"/>
      <c r="DB310" s="390"/>
      <c r="DC310" s="390"/>
    </row>
    <row r="311" spans="1:107" s="317" customFormat="1" ht="56.25">
      <c r="A311" s="37"/>
      <c r="B311" s="464" t="s">
        <v>23</v>
      </c>
      <c r="C311" s="465" t="s">
        <v>1143</v>
      </c>
      <c r="D311" s="348" t="s">
        <v>1220</v>
      </c>
      <c r="E311" s="467">
        <v>446.00405151407574</v>
      </c>
      <c r="F311" s="465" t="s">
        <v>27</v>
      </c>
      <c r="G311" s="468">
        <v>0.90317050049758907</v>
      </c>
      <c r="H311" s="465" t="s">
        <v>66</v>
      </c>
      <c r="I311" s="469">
        <v>0.77184852779052782</v>
      </c>
      <c r="J311" s="465" t="s">
        <v>1097</v>
      </c>
      <c r="K311" s="465" t="s">
        <v>1012</v>
      </c>
      <c r="L311" s="465" t="s">
        <v>960</v>
      </c>
      <c r="M311" s="465" t="s">
        <v>91</v>
      </c>
      <c r="N311" s="470">
        <v>59.493076051188247</v>
      </c>
      <c r="O311" s="470" t="s">
        <v>870</v>
      </c>
      <c r="P311" s="470">
        <v>51.560665911029787</v>
      </c>
      <c r="Q311" s="470" t="s">
        <v>870</v>
      </c>
      <c r="R311" s="37"/>
      <c r="S311" s="344" t="s">
        <v>69</v>
      </c>
      <c r="T311" s="344" t="s">
        <v>69</v>
      </c>
      <c r="U311" s="344" t="s">
        <v>870</v>
      </c>
      <c r="V311" s="344" t="s">
        <v>870</v>
      </c>
      <c r="W311" s="344" t="s">
        <v>76</v>
      </c>
      <c r="X311" s="37"/>
      <c r="Y311" s="37"/>
      <c r="Z311" s="465" t="s">
        <v>78</v>
      </c>
      <c r="AA311" s="465" t="s">
        <v>78</v>
      </c>
      <c r="AB311" s="37"/>
      <c r="AC311" s="474">
        <v>14.227397260273975</v>
      </c>
      <c r="AD311" s="470" t="s">
        <v>72</v>
      </c>
      <c r="AE311" s="465" t="s">
        <v>73</v>
      </c>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c r="CA311" s="393"/>
      <c r="CB311" s="393"/>
      <c r="CC311" s="393"/>
      <c r="CD311" s="393"/>
      <c r="CE311" s="393"/>
      <c r="CF311" s="393"/>
      <c r="CG311" s="393"/>
      <c r="CH311" s="393"/>
      <c r="CI311" s="393"/>
      <c r="CJ311" s="390"/>
      <c r="CK311" s="390"/>
      <c r="CL311" s="390"/>
      <c r="CM311" s="390"/>
      <c r="CN311" s="390"/>
      <c r="CO311" s="390"/>
      <c r="CP311" s="390"/>
      <c r="CQ311" s="390"/>
      <c r="CR311" s="390"/>
      <c r="CS311" s="390"/>
      <c r="CT311" s="390"/>
      <c r="CU311" s="390"/>
      <c r="CV311" s="390"/>
      <c r="CW311" s="390"/>
      <c r="CX311" s="390"/>
      <c r="CY311" s="390"/>
      <c r="CZ311" s="390"/>
      <c r="DA311" s="390"/>
      <c r="DB311" s="390"/>
      <c r="DC311" s="390"/>
    </row>
    <row r="312" spans="1:107" s="317" customFormat="1" ht="56.25">
      <c r="A312" s="37"/>
      <c r="B312" s="464" t="s">
        <v>23</v>
      </c>
      <c r="C312" s="465" t="s">
        <v>1143</v>
      </c>
      <c r="D312" s="348" t="s">
        <v>1220</v>
      </c>
      <c r="E312" s="467">
        <v>446.00405151407574</v>
      </c>
      <c r="F312" s="465" t="s">
        <v>27</v>
      </c>
      <c r="G312" s="468">
        <v>0.90317050049758907</v>
      </c>
      <c r="H312" s="465" t="s">
        <v>66</v>
      </c>
      <c r="I312" s="469">
        <v>0.77184852779052782</v>
      </c>
      <c r="J312" s="465" t="s">
        <v>1097</v>
      </c>
      <c r="K312" s="465" t="s">
        <v>1012</v>
      </c>
      <c r="L312" s="465" t="s">
        <v>960</v>
      </c>
      <c r="M312" s="465" t="s">
        <v>92</v>
      </c>
      <c r="N312" s="470">
        <v>59.493076051188247</v>
      </c>
      <c r="O312" s="470">
        <v>89.543304169487115</v>
      </c>
      <c r="P312" s="470">
        <v>51.560665911029787</v>
      </c>
      <c r="Q312" s="470">
        <v>39.797024075327592</v>
      </c>
      <c r="R312" s="37"/>
      <c r="S312" s="344" t="s">
        <v>69</v>
      </c>
      <c r="T312" s="344" t="s">
        <v>69</v>
      </c>
      <c r="U312" s="344" t="s">
        <v>69</v>
      </c>
      <c r="V312" s="344" t="s">
        <v>69</v>
      </c>
      <c r="W312" s="344" t="s">
        <v>76</v>
      </c>
      <c r="X312" s="37"/>
      <c r="Y312" s="37"/>
      <c r="Z312" s="465" t="s">
        <v>78</v>
      </c>
      <c r="AA312" s="465" t="s">
        <v>78</v>
      </c>
      <c r="AB312" s="37"/>
      <c r="AC312" s="474">
        <v>14.227397260273975</v>
      </c>
      <c r="AD312" s="470" t="s">
        <v>72</v>
      </c>
      <c r="AE312" s="465" t="s">
        <v>73</v>
      </c>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c r="CA312" s="393"/>
      <c r="CB312" s="393"/>
      <c r="CC312" s="393"/>
      <c r="CD312" s="393"/>
      <c r="CE312" s="393"/>
      <c r="CF312" s="393"/>
      <c r="CG312" s="393"/>
      <c r="CH312" s="393"/>
      <c r="CI312" s="393"/>
      <c r="CJ312" s="390"/>
      <c r="CK312" s="390"/>
      <c r="CL312" s="390"/>
      <c r="CM312" s="390"/>
      <c r="CN312" s="390"/>
      <c r="CO312" s="390"/>
      <c r="CP312" s="390"/>
      <c r="CQ312" s="390"/>
      <c r="CR312" s="390"/>
      <c r="CS312" s="390"/>
      <c r="CT312" s="390"/>
      <c r="CU312" s="390"/>
      <c r="CV312" s="390"/>
      <c r="CW312" s="390"/>
      <c r="CX312" s="390"/>
      <c r="CY312" s="390"/>
      <c r="CZ312" s="390"/>
      <c r="DA312" s="390"/>
      <c r="DB312" s="390"/>
      <c r="DC312" s="390"/>
    </row>
    <row r="313" spans="1:107" s="317" customFormat="1" ht="56.25">
      <c r="A313" s="37"/>
      <c r="B313" s="464" t="s">
        <v>23</v>
      </c>
      <c r="C313" s="465" t="s">
        <v>1143</v>
      </c>
      <c r="D313" s="348" t="s">
        <v>1220</v>
      </c>
      <c r="E313" s="467">
        <v>446.00405151407574</v>
      </c>
      <c r="F313" s="465" t="s">
        <v>27</v>
      </c>
      <c r="G313" s="468">
        <v>0.90317050049758907</v>
      </c>
      <c r="H313" s="465" t="s">
        <v>66</v>
      </c>
      <c r="I313" s="469">
        <v>0.77184852779052782</v>
      </c>
      <c r="J313" s="465" t="s">
        <v>1097</v>
      </c>
      <c r="K313" s="465" t="s">
        <v>1012</v>
      </c>
      <c r="L313" s="465" t="s">
        <v>960</v>
      </c>
      <c r="M313" s="465" t="s">
        <v>93</v>
      </c>
      <c r="N313" s="470">
        <v>59.493076051188247</v>
      </c>
      <c r="O313" s="470">
        <v>94.517932178903052</v>
      </c>
      <c r="P313" s="470">
        <v>51.560665911029787</v>
      </c>
      <c r="Q313" s="470">
        <v>44.771652084743558</v>
      </c>
      <c r="R313" s="37"/>
      <c r="S313" s="344" t="s">
        <v>69</v>
      </c>
      <c r="T313" s="344" t="s">
        <v>69</v>
      </c>
      <c r="U313" s="344" t="s">
        <v>44</v>
      </c>
      <c r="V313" s="344" t="s">
        <v>75</v>
      </c>
      <c r="W313" s="344" t="s">
        <v>76</v>
      </c>
      <c r="X313" s="37"/>
      <c r="Y313" s="37"/>
      <c r="Z313" s="465" t="s">
        <v>78</v>
      </c>
      <c r="AA313" s="465" t="s">
        <v>78</v>
      </c>
      <c r="AB313" s="37"/>
      <c r="AC313" s="474">
        <v>14.227397260273975</v>
      </c>
      <c r="AD313" s="470" t="s">
        <v>72</v>
      </c>
      <c r="AE313" s="465" t="s">
        <v>73</v>
      </c>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c r="CA313" s="393"/>
      <c r="CB313" s="393"/>
      <c r="CC313" s="393"/>
      <c r="CD313" s="393"/>
      <c r="CE313" s="393"/>
      <c r="CF313" s="393"/>
      <c r="CG313" s="393"/>
      <c r="CH313" s="393"/>
      <c r="CI313" s="393"/>
      <c r="CJ313" s="390"/>
      <c r="CK313" s="390"/>
      <c r="CL313" s="390"/>
      <c r="CM313" s="390"/>
      <c r="CN313" s="390"/>
      <c r="CO313" s="390"/>
      <c r="CP313" s="390"/>
      <c r="CQ313" s="390"/>
      <c r="CR313" s="390"/>
      <c r="CS313" s="390"/>
      <c r="CT313" s="390"/>
      <c r="CU313" s="390"/>
      <c r="CV313" s="390"/>
      <c r="CW313" s="390"/>
      <c r="CX313" s="390"/>
      <c r="CY313" s="390"/>
      <c r="CZ313" s="390"/>
      <c r="DA313" s="390"/>
      <c r="DB313" s="390"/>
      <c r="DC313" s="390"/>
    </row>
    <row r="314" spans="1:107" s="317" customFormat="1" ht="56.25">
      <c r="A314" s="37"/>
      <c r="B314" s="464" t="s">
        <v>23</v>
      </c>
      <c r="C314" s="465" t="s">
        <v>1143</v>
      </c>
      <c r="D314" s="348" t="s">
        <v>1220</v>
      </c>
      <c r="E314" s="467">
        <v>446.00405151407574</v>
      </c>
      <c r="F314" s="465" t="s">
        <v>27</v>
      </c>
      <c r="G314" s="468">
        <v>0.90317050049758907</v>
      </c>
      <c r="H314" s="465" t="s">
        <v>66</v>
      </c>
      <c r="I314" s="469">
        <v>0.77184852779052782</v>
      </c>
      <c r="J314" s="465" t="s">
        <v>1097</v>
      </c>
      <c r="K314" s="465" t="s">
        <v>1012</v>
      </c>
      <c r="L314" s="465" t="s">
        <v>15</v>
      </c>
      <c r="M314" s="465" t="s">
        <v>88</v>
      </c>
      <c r="N314" s="470">
        <v>82.481720021364652</v>
      </c>
      <c r="O314" s="470">
        <v>59.695536112991405</v>
      </c>
      <c r="P314" s="470">
        <v>70.493097925236057</v>
      </c>
      <c r="Q314" s="470">
        <v>9.9492560188318979</v>
      </c>
      <c r="R314" s="37"/>
      <c r="S314" s="344" t="s">
        <v>44</v>
      </c>
      <c r="T314" s="344" t="s">
        <v>63</v>
      </c>
      <c r="U314" s="344" t="s">
        <v>69</v>
      </c>
      <c r="V314" s="344" t="s">
        <v>69</v>
      </c>
      <c r="W314" s="344" t="s">
        <v>103</v>
      </c>
      <c r="X314" s="37"/>
      <c r="Y314" s="37"/>
      <c r="Z314" s="465" t="s">
        <v>78</v>
      </c>
      <c r="AA314" s="465" t="s">
        <v>78</v>
      </c>
      <c r="AB314" s="37"/>
      <c r="AC314" s="474">
        <v>14.227397260273975</v>
      </c>
      <c r="AD314" s="470" t="s">
        <v>72</v>
      </c>
      <c r="AE314" s="465" t="s">
        <v>73</v>
      </c>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c r="CA314" s="393"/>
      <c r="CB314" s="393"/>
      <c r="CC314" s="393"/>
      <c r="CD314" s="393"/>
      <c r="CE314" s="393"/>
      <c r="CF314" s="393"/>
      <c r="CG314" s="393"/>
      <c r="CH314" s="393"/>
      <c r="CI314" s="393"/>
      <c r="CJ314" s="390"/>
      <c r="CK314" s="390"/>
      <c r="CL314" s="390"/>
      <c r="CM314" s="390"/>
      <c r="CN314" s="390"/>
      <c r="CO314" s="390"/>
      <c r="CP314" s="390"/>
      <c r="CQ314" s="390"/>
      <c r="CR314" s="390"/>
      <c r="CS314" s="390"/>
      <c r="CT314" s="390"/>
      <c r="CU314" s="390"/>
      <c r="CV314" s="390"/>
      <c r="CW314" s="390"/>
      <c r="CX314" s="390"/>
      <c r="CY314" s="390"/>
      <c r="CZ314" s="390"/>
      <c r="DA314" s="390"/>
      <c r="DB314" s="390"/>
      <c r="DC314" s="390"/>
    </row>
    <row r="315" spans="1:107" s="317" customFormat="1" ht="56.25">
      <c r="A315" s="37"/>
      <c r="B315" s="464" t="s">
        <v>23</v>
      </c>
      <c r="C315" s="465" t="s">
        <v>1143</v>
      </c>
      <c r="D315" s="348" t="s">
        <v>1220</v>
      </c>
      <c r="E315" s="467">
        <v>446.00405151407574</v>
      </c>
      <c r="F315" s="465" t="s">
        <v>27</v>
      </c>
      <c r="G315" s="468">
        <v>0.90317050049758907</v>
      </c>
      <c r="H315" s="465" t="s">
        <v>66</v>
      </c>
      <c r="I315" s="469">
        <v>0.77184852779052782</v>
      </c>
      <c r="J315" s="465" t="s">
        <v>1097</v>
      </c>
      <c r="K315" s="465" t="s">
        <v>1012</v>
      </c>
      <c r="L315" s="465" t="s">
        <v>15</v>
      </c>
      <c r="M315" s="465" t="s">
        <v>90</v>
      </c>
      <c r="N315" s="470">
        <v>82.481720021364652</v>
      </c>
      <c r="O315" s="470">
        <v>69.644792131823309</v>
      </c>
      <c r="P315" s="470">
        <v>70.493097925236057</v>
      </c>
      <c r="Q315" s="470">
        <v>19.89851203766381</v>
      </c>
      <c r="R315" s="37"/>
      <c r="S315" s="344" t="s">
        <v>44</v>
      </c>
      <c r="T315" s="344" t="s">
        <v>63</v>
      </c>
      <c r="U315" s="344" t="s">
        <v>69</v>
      </c>
      <c r="V315" s="344" t="s">
        <v>69</v>
      </c>
      <c r="W315" s="344" t="s">
        <v>103</v>
      </c>
      <c r="X315" s="37"/>
      <c r="Y315" s="37"/>
      <c r="Z315" s="465" t="s">
        <v>78</v>
      </c>
      <c r="AA315" s="465" t="s">
        <v>78</v>
      </c>
      <c r="AB315" s="37"/>
      <c r="AC315" s="474">
        <v>14.227397260273975</v>
      </c>
      <c r="AD315" s="470" t="s">
        <v>72</v>
      </c>
      <c r="AE315" s="465" t="s">
        <v>73</v>
      </c>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c r="CA315" s="393"/>
      <c r="CB315" s="393"/>
      <c r="CC315" s="393"/>
      <c r="CD315" s="393"/>
      <c r="CE315" s="393"/>
      <c r="CF315" s="393"/>
      <c r="CG315" s="393"/>
      <c r="CH315" s="393"/>
      <c r="CI315" s="393"/>
      <c r="CJ315" s="390"/>
      <c r="CK315" s="390"/>
      <c r="CL315" s="390"/>
      <c r="CM315" s="390"/>
      <c r="CN315" s="390"/>
      <c r="CO315" s="390"/>
      <c r="CP315" s="390"/>
      <c r="CQ315" s="390"/>
      <c r="CR315" s="390"/>
      <c r="CS315" s="390"/>
      <c r="CT315" s="390"/>
      <c r="CU315" s="390"/>
      <c r="CV315" s="390"/>
      <c r="CW315" s="390"/>
      <c r="CX315" s="390"/>
      <c r="CY315" s="390"/>
      <c r="CZ315" s="390"/>
      <c r="DA315" s="390"/>
      <c r="DB315" s="390"/>
      <c r="DC315" s="390"/>
    </row>
    <row r="316" spans="1:107" s="317" customFormat="1" ht="56.25">
      <c r="A316" s="37"/>
      <c r="B316" s="464" t="s">
        <v>23</v>
      </c>
      <c r="C316" s="465" t="s">
        <v>1143</v>
      </c>
      <c r="D316" s="348" t="s">
        <v>1220</v>
      </c>
      <c r="E316" s="467">
        <v>446.00405151407574</v>
      </c>
      <c r="F316" s="465" t="s">
        <v>27</v>
      </c>
      <c r="G316" s="468">
        <v>0.90317050049758907</v>
      </c>
      <c r="H316" s="465" t="s">
        <v>66</v>
      </c>
      <c r="I316" s="469">
        <v>0.77184852779052782</v>
      </c>
      <c r="J316" s="465" t="s">
        <v>1097</v>
      </c>
      <c r="K316" s="465" t="s">
        <v>1012</v>
      </c>
      <c r="L316" s="465" t="s">
        <v>15</v>
      </c>
      <c r="M316" s="465" t="s">
        <v>91</v>
      </c>
      <c r="N316" s="470">
        <v>82.481720021364652</v>
      </c>
      <c r="O316" s="470" t="s">
        <v>870</v>
      </c>
      <c r="P316" s="470">
        <v>70.493097925236057</v>
      </c>
      <c r="Q316" s="470" t="s">
        <v>870</v>
      </c>
      <c r="R316" s="37"/>
      <c r="S316" s="344" t="s">
        <v>44</v>
      </c>
      <c r="T316" s="344" t="s">
        <v>63</v>
      </c>
      <c r="U316" s="344" t="s">
        <v>870</v>
      </c>
      <c r="V316" s="344" t="s">
        <v>870</v>
      </c>
      <c r="W316" s="344" t="s">
        <v>103</v>
      </c>
      <c r="X316" s="37"/>
      <c r="Y316" s="37"/>
      <c r="Z316" s="465" t="s">
        <v>78</v>
      </c>
      <c r="AA316" s="465" t="s">
        <v>78</v>
      </c>
      <c r="AB316" s="37"/>
      <c r="AC316" s="474">
        <v>14.227397260273975</v>
      </c>
      <c r="AD316" s="470" t="s">
        <v>72</v>
      </c>
      <c r="AE316" s="465" t="s">
        <v>73</v>
      </c>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c r="CA316" s="393"/>
      <c r="CB316" s="393"/>
      <c r="CC316" s="393"/>
      <c r="CD316" s="393"/>
      <c r="CE316" s="393"/>
      <c r="CF316" s="393"/>
      <c r="CG316" s="393"/>
      <c r="CH316" s="393"/>
      <c r="CI316" s="393"/>
      <c r="CJ316" s="390"/>
      <c r="CK316" s="390"/>
      <c r="CL316" s="390"/>
      <c r="CM316" s="390"/>
      <c r="CN316" s="390"/>
      <c r="CO316" s="390"/>
      <c r="CP316" s="390"/>
      <c r="CQ316" s="390"/>
      <c r="CR316" s="390"/>
      <c r="CS316" s="390"/>
      <c r="CT316" s="390"/>
      <c r="CU316" s="390"/>
      <c r="CV316" s="390"/>
      <c r="CW316" s="390"/>
      <c r="CX316" s="390"/>
      <c r="CY316" s="390"/>
      <c r="CZ316" s="390"/>
      <c r="DA316" s="390"/>
      <c r="DB316" s="390"/>
      <c r="DC316" s="390"/>
    </row>
    <row r="317" spans="1:107" s="317" customFormat="1" ht="56.25">
      <c r="A317" s="37"/>
      <c r="B317" s="464" t="s">
        <v>23</v>
      </c>
      <c r="C317" s="465" t="s">
        <v>1143</v>
      </c>
      <c r="D317" s="348" t="s">
        <v>1220</v>
      </c>
      <c r="E317" s="467">
        <v>446.00405151407574</v>
      </c>
      <c r="F317" s="465" t="s">
        <v>27</v>
      </c>
      <c r="G317" s="468">
        <v>0.90317050049758907</v>
      </c>
      <c r="H317" s="465" t="s">
        <v>66</v>
      </c>
      <c r="I317" s="469">
        <v>0.77184852779052782</v>
      </c>
      <c r="J317" s="465" t="s">
        <v>1097</v>
      </c>
      <c r="K317" s="465" t="s">
        <v>1012</v>
      </c>
      <c r="L317" s="465" t="s">
        <v>15</v>
      </c>
      <c r="M317" s="465" t="s">
        <v>92</v>
      </c>
      <c r="N317" s="470">
        <v>82.481720021364652</v>
      </c>
      <c r="O317" s="470">
        <v>89.543304169487115</v>
      </c>
      <c r="P317" s="470">
        <v>70.493097925236057</v>
      </c>
      <c r="Q317" s="470">
        <v>39.797024075327592</v>
      </c>
      <c r="R317" s="37"/>
      <c r="S317" s="344" t="s">
        <v>44</v>
      </c>
      <c r="T317" s="344" t="s">
        <v>63</v>
      </c>
      <c r="U317" s="344" t="s">
        <v>69</v>
      </c>
      <c r="V317" s="344" t="s">
        <v>69</v>
      </c>
      <c r="W317" s="344" t="s">
        <v>103</v>
      </c>
      <c r="X317" s="37"/>
      <c r="Y317" s="37"/>
      <c r="Z317" s="465" t="s">
        <v>78</v>
      </c>
      <c r="AA317" s="465" t="s">
        <v>78</v>
      </c>
      <c r="AB317" s="37"/>
      <c r="AC317" s="474">
        <v>14.227397260273975</v>
      </c>
      <c r="AD317" s="470" t="s">
        <v>72</v>
      </c>
      <c r="AE317" s="465" t="s">
        <v>73</v>
      </c>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c r="CA317" s="393"/>
      <c r="CB317" s="393"/>
      <c r="CC317" s="393"/>
      <c r="CD317" s="393"/>
      <c r="CE317" s="393"/>
      <c r="CF317" s="393"/>
      <c r="CG317" s="393"/>
      <c r="CH317" s="393"/>
      <c r="CI317" s="393"/>
      <c r="CJ317" s="390"/>
      <c r="CK317" s="390"/>
      <c r="CL317" s="390"/>
      <c r="CM317" s="390"/>
      <c r="CN317" s="390"/>
      <c r="CO317" s="390"/>
      <c r="CP317" s="390"/>
      <c r="CQ317" s="390"/>
      <c r="CR317" s="390"/>
      <c r="CS317" s="390"/>
      <c r="CT317" s="390"/>
      <c r="CU317" s="390"/>
      <c r="CV317" s="390"/>
      <c r="CW317" s="390"/>
      <c r="CX317" s="390"/>
      <c r="CY317" s="390"/>
      <c r="CZ317" s="390"/>
      <c r="DA317" s="390"/>
      <c r="DB317" s="390"/>
      <c r="DC317" s="390"/>
    </row>
    <row r="318" spans="1:107" s="317" customFormat="1" ht="56.25">
      <c r="A318" s="37"/>
      <c r="B318" s="464" t="s">
        <v>23</v>
      </c>
      <c r="C318" s="465" t="s">
        <v>1143</v>
      </c>
      <c r="D318" s="348" t="s">
        <v>1220</v>
      </c>
      <c r="E318" s="467">
        <v>446.00405151407574</v>
      </c>
      <c r="F318" s="465" t="s">
        <v>27</v>
      </c>
      <c r="G318" s="468">
        <v>0.90317050049758907</v>
      </c>
      <c r="H318" s="465" t="s">
        <v>66</v>
      </c>
      <c r="I318" s="469">
        <v>0.77184852779052782</v>
      </c>
      <c r="J318" s="465" t="s">
        <v>1097</v>
      </c>
      <c r="K318" s="465" t="s">
        <v>1012</v>
      </c>
      <c r="L318" s="465" t="s">
        <v>15</v>
      </c>
      <c r="M318" s="465" t="s">
        <v>93</v>
      </c>
      <c r="N318" s="470">
        <v>82.481720021364652</v>
      </c>
      <c r="O318" s="470">
        <v>94.517932178903052</v>
      </c>
      <c r="P318" s="470">
        <v>70.493097925236057</v>
      </c>
      <c r="Q318" s="470">
        <v>44.771652084743558</v>
      </c>
      <c r="R318" s="37"/>
      <c r="S318" s="344" t="s">
        <v>44</v>
      </c>
      <c r="T318" s="344" t="s">
        <v>63</v>
      </c>
      <c r="U318" s="344" t="s">
        <v>44</v>
      </c>
      <c r="V318" s="344" t="s">
        <v>75</v>
      </c>
      <c r="W318" s="344" t="s">
        <v>103</v>
      </c>
      <c r="X318" s="37"/>
      <c r="Y318" s="37"/>
      <c r="Z318" s="465" t="s">
        <v>78</v>
      </c>
      <c r="AA318" s="465" t="s">
        <v>78</v>
      </c>
      <c r="AB318" s="37"/>
      <c r="AC318" s="474">
        <v>14.227397260273975</v>
      </c>
      <c r="AD318" s="470" t="s">
        <v>72</v>
      </c>
      <c r="AE318" s="465" t="s">
        <v>73</v>
      </c>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c r="CA318" s="393"/>
      <c r="CB318" s="393"/>
      <c r="CC318" s="393"/>
      <c r="CD318" s="393"/>
      <c r="CE318" s="393"/>
      <c r="CF318" s="393"/>
      <c r="CG318" s="393"/>
      <c r="CH318" s="393"/>
      <c r="CI318" s="393"/>
      <c r="CJ318" s="390"/>
      <c r="CK318" s="390"/>
      <c r="CL318" s="390"/>
      <c r="CM318" s="390"/>
      <c r="CN318" s="390"/>
      <c r="CO318" s="390"/>
      <c r="CP318" s="390"/>
      <c r="CQ318" s="390"/>
      <c r="CR318" s="390"/>
      <c r="CS318" s="390"/>
      <c r="CT318" s="390"/>
      <c r="CU318" s="390"/>
      <c r="CV318" s="390"/>
      <c r="CW318" s="390"/>
      <c r="CX318" s="390"/>
      <c r="CY318" s="390"/>
      <c r="CZ318" s="390"/>
      <c r="DA318" s="390"/>
      <c r="DB318" s="390"/>
      <c r="DC318" s="390"/>
    </row>
    <row r="319" spans="1:107" s="317" customFormat="1" ht="33.75">
      <c r="A319" s="37"/>
      <c r="B319" s="464" t="s">
        <v>23</v>
      </c>
      <c r="C319" s="465" t="s">
        <v>1143</v>
      </c>
      <c r="D319" s="348" t="s">
        <v>1220</v>
      </c>
      <c r="E319" s="467">
        <v>446.00405151407574</v>
      </c>
      <c r="F319" s="465" t="s">
        <v>24</v>
      </c>
      <c r="G319" s="468">
        <v>5.3571042663613136E-2</v>
      </c>
      <c r="H319" s="465" t="s">
        <v>66</v>
      </c>
      <c r="I319" s="469">
        <v>0.9936372702650047</v>
      </c>
      <c r="J319" s="465" t="s">
        <v>25</v>
      </c>
      <c r="K319" s="465" t="s">
        <v>1012</v>
      </c>
      <c r="L319" s="465" t="s">
        <v>95</v>
      </c>
      <c r="M319" s="465" t="s">
        <v>88</v>
      </c>
      <c r="N319" s="470">
        <v>15.928601381203244</v>
      </c>
      <c r="O319" s="470">
        <v>4.5582485747207535</v>
      </c>
      <c r="P319" s="470">
        <v>15.928601381203244</v>
      </c>
      <c r="Q319" s="470">
        <v>0.75970809578679188</v>
      </c>
      <c r="R319" s="37"/>
      <c r="S319" s="344" t="s">
        <v>44</v>
      </c>
      <c r="T319" s="344" t="s">
        <v>63</v>
      </c>
      <c r="U319" s="344" t="s">
        <v>69</v>
      </c>
      <c r="V319" s="344" t="s">
        <v>69</v>
      </c>
      <c r="W319" s="344" t="s">
        <v>103</v>
      </c>
      <c r="X319" s="37"/>
      <c r="Y319" s="37"/>
      <c r="Z319" s="465" t="s">
        <v>78</v>
      </c>
      <c r="AA319" s="465" t="s">
        <v>78</v>
      </c>
      <c r="AB319" s="37"/>
      <c r="AC319" s="474">
        <v>14.227397260273975</v>
      </c>
      <c r="AD319" s="470" t="s">
        <v>72</v>
      </c>
      <c r="AE319" s="465" t="s">
        <v>73</v>
      </c>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c r="CA319" s="393"/>
      <c r="CB319" s="393"/>
      <c r="CC319" s="393"/>
      <c r="CD319" s="393"/>
      <c r="CE319" s="393"/>
      <c r="CF319" s="393"/>
      <c r="CG319" s="393"/>
      <c r="CH319" s="393"/>
      <c r="CI319" s="393"/>
      <c r="CJ319" s="390"/>
      <c r="CK319" s="390"/>
      <c r="CL319" s="390"/>
      <c r="CM319" s="390"/>
      <c r="CN319" s="390"/>
      <c r="CO319" s="390"/>
      <c r="CP319" s="390"/>
      <c r="CQ319" s="390"/>
      <c r="CR319" s="390"/>
      <c r="CS319" s="390"/>
      <c r="CT319" s="390"/>
      <c r="CU319" s="390"/>
      <c r="CV319" s="390"/>
      <c r="CW319" s="390"/>
      <c r="CX319" s="390"/>
      <c r="CY319" s="390"/>
      <c r="CZ319" s="390"/>
      <c r="DA319" s="390"/>
      <c r="DB319" s="390"/>
      <c r="DC319" s="390"/>
    </row>
    <row r="320" spans="1:107" s="317" customFormat="1" ht="33.75">
      <c r="A320" s="37"/>
      <c r="B320" s="464" t="s">
        <v>23</v>
      </c>
      <c r="C320" s="465" t="s">
        <v>1143</v>
      </c>
      <c r="D320" s="348" t="s">
        <v>1220</v>
      </c>
      <c r="E320" s="467">
        <v>446.00405151407574</v>
      </c>
      <c r="F320" s="465" t="s">
        <v>24</v>
      </c>
      <c r="G320" s="468">
        <v>5.3571042663613136E-2</v>
      </c>
      <c r="H320" s="465" t="s">
        <v>66</v>
      </c>
      <c r="I320" s="469">
        <v>0.9936372702650047</v>
      </c>
      <c r="J320" s="465" t="s">
        <v>25</v>
      </c>
      <c r="K320" s="465" t="s">
        <v>1012</v>
      </c>
      <c r="L320" s="465" t="s">
        <v>95</v>
      </c>
      <c r="M320" s="465" t="s">
        <v>90</v>
      </c>
      <c r="N320" s="470">
        <v>15.928601381203244</v>
      </c>
      <c r="O320" s="470">
        <v>5.3179566705075469</v>
      </c>
      <c r="P320" s="470">
        <v>15.928601381203244</v>
      </c>
      <c r="Q320" s="470">
        <v>1.5194161915735849</v>
      </c>
      <c r="R320" s="37"/>
      <c r="S320" s="344" t="s">
        <v>44</v>
      </c>
      <c r="T320" s="344" t="s">
        <v>63</v>
      </c>
      <c r="U320" s="344" t="s">
        <v>69</v>
      </c>
      <c r="V320" s="344" t="s">
        <v>69</v>
      </c>
      <c r="W320" s="344" t="s">
        <v>103</v>
      </c>
      <c r="X320" s="37"/>
      <c r="Y320" s="37"/>
      <c r="Z320" s="465" t="s">
        <v>78</v>
      </c>
      <c r="AA320" s="465" t="s">
        <v>78</v>
      </c>
      <c r="AB320" s="37"/>
      <c r="AC320" s="474">
        <v>14.227397260273975</v>
      </c>
      <c r="AD320" s="470" t="s">
        <v>72</v>
      </c>
      <c r="AE320" s="465" t="s">
        <v>73</v>
      </c>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c r="CA320" s="393"/>
      <c r="CB320" s="393"/>
      <c r="CC320" s="393"/>
      <c r="CD320" s="393"/>
      <c r="CE320" s="393"/>
      <c r="CF320" s="393"/>
      <c r="CG320" s="393"/>
      <c r="CH320" s="393"/>
      <c r="CI320" s="393"/>
      <c r="CJ320" s="390"/>
      <c r="CK320" s="390"/>
      <c r="CL320" s="390"/>
      <c r="CM320" s="390"/>
      <c r="CN320" s="390"/>
      <c r="CO320" s="390"/>
      <c r="CP320" s="390"/>
      <c r="CQ320" s="390"/>
      <c r="CR320" s="390"/>
      <c r="CS320" s="390"/>
      <c r="CT320" s="390"/>
      <c r="CU320" s="390"/>
      <c r="CV320" s="390"/>
      <c r="CW320" s="390"/>
      <c r="CX320" s="390"/>
      <c r="CY320" s="390"/>
      <c r="CZ320" s="390"/>
      <c r="DA320" s="390"/>
      <c r="DB320" s="390"/>
      <c r="DC320" s="390"/>
    </row>
    <row r="321" spans="1:107" s="317" customFormat="1" ht="33.75">
      <c r="A321" s="37"/>
      <c r="B321" s="464" t="s">
        <v>23</v>
      </c>
      <c r="C321" s="465" t="s">
        <v>1143</v>
      </c>
      <c r="D321" s="348" t="s">
        <v>1220</v>
      </c>
      <c r="E321" s="467">
        <v>446.00405151407574</v>
      </c>
      <c r="F321" s="465" t="s">
        <v>24</v>
      </c>
      <c r="G321" s="468">
        <v>5.3571042663613136E-2</v>
      </c>
      <c r="H321" s="465" t="s">
        <v>66</v>
      </c>
      <c r="I321" s="469">
        <v>0.9936372702650047</v>
      </c>
      <c r="J321" s="465" t="s">
        <v>25</v>
      </c>
      <c r="K321" s="465" t="s">
        <v>1012</v>
      </c>
      <c r="L321" s="465" t="s">
        <v>95</v>
      </c>
      <c r="M321" s="465" t="s">
        <v>91</v>
      </c>
      <c r="N321" s="470">
        <v>15.928601381203244</v>
      </c>
      <c r="O321" s="470" t="s">
        <v>870</v>
      </c>
      <c r="P321" s="470">
        <v>15.928601381203244</v>
      </c>
      <c r="Q321" s="470" t="s">
        <v>870</v>
      </c>
      <c r="R321" s="37"/>
      <c r="S321" s="344" t="s">
        <v>44</v>
      </c>
      <c r="T321" s="344" t="s">
        <v>63</v>
      </c>
      <c r="U321" s="344" t="s">
        <v>870</v>
      </c>
      <c r="V321" s="344" t="s">
        <v>870</v>
      </c>
      <c r="W321" s="344" t="s">
        <v>103</v>
      </c>
      <c r="X321" s="37"/>
      <c r="Y321" s="37"/>
      <c r="Z321" s="465" t="s">
        <v>78</v>
      </c>
      <c r="AA321" s="465" t="s">
        <v>78</v>
      </c>
      <c r="AB321" s="37"/>
      <c r="AC321" s="474">
        <v>14.227397260273975</v>
      </c>
      <c r="AD321" s="470" t="s">
        <v>72</v>
      </c>
      <c r="AE321" s="465" t="s">
        <v>73</v>
      </c>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c r="CA321" s="393"/>
      <c r="CB321" s="393"/>
      <c r="CC321" s="393"/>
      <c r="CD321" s="393"/>
      <c r="CE321" s="393"/>
      <c r="CF321" s="393"/>
      <c r="CG321" s="393"/>
      <c r="CH321" s="393"/>
      <c r="CI321" s="393"/>
      <c r="CJ321" s="390"/>
      <c r="CK321" s="390"/>
      <c r="CL321" s="390"/>
      <c r="CM321" s="390"/>
      <c r="CN321" s="390"/>
      <c r="CO321" s="390"/>
      <c r="CP321" s="390"/>
      <c r="CQ321" s="390"/>
      <c r="CR321" s="390"/>
      <c r="CS321" s="390"/>
      <c r="CT321" s="390"/>
      <c r="CU321" s="390"/>
      <c r="CV321" s="390"/>
      <c r="CW321" s="390"/>
      <c r="CX321" s="390"/>
      <c r="CY321" s="390"/>
      <c r="CZ321" s="390"/>
      <c r="DA321" s="390"/>
      <c r="DB321" s="390"/>
      <c r="DC321" s="390"/>
    </row>
    <row r="322" spans="1:107" s="317" customFormat="1" ht="33.75">
      <c r="A322" s="37"/>
      <c r="B322" s="464" t="s">
        <v>23</v>
      </c>
      <c r="C322" s="465" t="s">
        <v>1143</v>
      </c>
      <c r="D322" s="348" t="s">
        <v>1220</v>
      </c>
      <c r="E322" s="467">
        <v>446.00405151407574</v>
      </c>
      <c r="F322" s="465" t="s">
        <v>24</v>
      </c>
      <c r="G322" s="468">
        <v>5.3571042663613136E-2</v>
      </c>
      <c r="H322" s="465" t="s">
        <v>66</v>
      </c>
      <c r="I322" s="469">
        <v>0.9936372702650047</v>
      </c>
      <c r="J322" s="465" t="s">
        <v>25</v>
      </c>
      <c r="K322" s="465" t="s">
        <v>1012</v>
      </c>
      <c r="L322" s="465" t="s">
        <v>95</v>
      </c>
      <c r="M322" s="465" t="s">
        <v>92</v>
      </c>
      <c r="N322" s="470">
        <v>15.928601381203244</v>
      </c>
      <c r="O322" s="470">
        <v>6.8373728620811312</v>
      </c>
      <c r="P322" s="470">
        <v>15.928601381203244</v>
      </c>
      <c r="Q322" s="470">
        <v>3.0388323831471689</v>
      </c>
      <c r="R322" s="37"/>
      <c r="S322" s="344" t="s">
        <v>44</v>
      </c>
      <c r="T322" s="344" t="s">
        <v>63</v>
      </c>
      <c r="U322" s="344" t="s">
        <v>69</v>
      </c>
      <c r="V322" s="344" t="s">
        <v>69</v>
      </c>
      <c r="W322" s="344" t="s">
        <v>103</v>
      </c>
      <c r="X322" s="37"/>
      <c r="Y322" s="37"/>
      <c r="Z322" s="465" t="s">
        <v>78</v>
      </c>
      <c r="AA322" s="465" t="s">
        <v>78</v>
      </c>
      <c r="AB322" s="37"/>
      <c r="AC322" s="474">
        <v>14.227397260273975</v>
      </c>
      <c r="AD322" s="470" t="s">
        <v>72</v>
      </c>
      <c r="AE322" s="465" t="s">
        <v>73</v>
      </c>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c r="CA322" s="393"/>
      <c r="CB322" s="393"/>
      <c r="CC322" s="393"/>
      <c r="CD322" s="393"/>
      <c r="CE322" s="393"/>
      <c r="CF322" s="393"/>
      <c r="CG322" s="393"/>
      <c r="CH322" s="393"/>
      <c r="CI322" s="393"/>
      <c r="CJ322" s="390"/>
      <c r="CK322" s="390"/>
      <c r="CL322" s="390"/>
      <c r="CM322" s="390"/>
      <c r="CN322" s="390"/>
      <c r="CO322" s="390"/>
      <c r="CP322" s="390"/>
      <c r="CQ322" s="390"/>
      <c r="CR322" s="390"/>
      <c r="CS322" s="390"/>
      <c r="CT322" s="390"/>
      <c r="CU322" s="390"/>
      <c r="CV322" s="390"/>
      <c r="CW322" s="390"/>
      <c r="CX322" s="390"/>
      <c r="CY322" s="390"/>
      <c r="CZ322" s="390"/>
      <c r="DA322" s="390"/>
      <c r="DB322" s="390"/>
      <c r="DC322" s="390"/>
    </row>
    <row r="323" spans="1:107" s="317" customFormat="1" ht="33.75">
      <c r="A323" s="37"/>
      <c r="B323" s="464" t="s">
        <v>23</v>
      </c>
      <c r="C323" s="465" t="s">
        <v>1143</v>
      </c>
      <c r="D323" s="348" t="s">
        <v>1220</v>
      </c>
      <c r="E323" s="467">
        <v>446.00405151407574</v>
      </c>
      <c r="F323" s="465" t="s">
        <v>24</v>
      </c>
      <c r="G323" s="468">
        <v>5.3571042663613136E-2</v>
      </c>
      <c r="H323" s="465" t="s">
        <v>66</v>
      </c>
      <c r="I323" s="469">
        <v>0.9936372702650047</v>
      </c>
      <c r="J323" s="465" t="s">
        <v>25</v>
      </c>
      <c r="K323" s="465" t="s">
        <v>1012</v>
      </c>
      <c r="L323" s="465" t="s">
        <v>95</v>
      </c>
      <c r="M323" s="465" t="s">
        <v>93</v>
      </c>
      <c r="N323" s="470">
        <v>15.928601381203244</v>
      </c>
      <c r="O323" s="470">
        <v>7.217226909974527</v>
      </c>
      <c r="P323" s="470">
        <v>15.928601381203244</v>
      </c>
      <c r="Q323" s="470">
        <v>3.4186864310405656</v>
      </c>
      <c r="R323" s="37"/>
      <c r="S323" s="344" t="s">
        <v>44</v>
      </c>
      <c r="T323" s="344" t="s">
        <v>63</v>
      </c>
      <c r="U323" s="344" t="s">
        <v>44</v>
      </c>
      <c r="V323" s="344" t="s">
        <v>75</v>
      </c>
      <c r="W323" s="344" t="s">
        <v>103</v>
      </c>
      <c r="X323" s="37"/>
      <c r="Y323" s="37"/>
      <c r="Z323" s="465" t="s">
        <v>78</v>
      </c>
      <c r="AA323" s="465" t="s">
        <v>78</v>
      </c>
      <c r="AB323" s="37"/>
      <c r="AC323" s="474">
        <v>14.227397260273975</v>
      </c>
      <c r="AD323" s="470" t="s">
        <v>72</v>
      </c>
      <c r="AE323" s="465" t="s">
        <v>73</v>
      </c>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c r="CA323" s="393"/>
      <c r="CB323" s="393"/>
      <c r="CC323" s="393"/>
      <c r="CD323" s="393"/>
      <c r="CE323" s="393"/>
      <c r="CF323" s="393"/>
      <c r="CG323" s="393"/>
      <c r="CH323" s="393"/>
      <c r="CI323" s="393"/>
      <c r="CJ323" s="390"/>
      <c r="CK323" s="390"/>
      <c r="CL323" s="390"/>
      <c r="CM323" s="390"/>
      <c r="CN323" s="390"/>
      <c r="CO323" s="390"/>
      <c r="CP323" s="390"/>
      <c r="CQ323" s="390"/>
      <c r="CR323" s="390"/>
      <c r="CS323" s="390"/>
      <c r="CT323" s="390"/>
      <c r="CU323" s="390"/>
      <c r="CV323" s="390"/>
      <c r="CW323" s="390"/>
      <c r="CX323" s="390"/>
      <c r="CY323" s="390"/>
      <c r="CZ323" s="390"/>
      <c r="DA323" s="390"/>
      <c r="DB323" s="390"/>
      <c r="DC323" s="390"/>
    </row>
    <row r="324" spans="1:107" s="303" customFormat="1" ht="33.75">
      <c r="A324" s="37"/>
      <c r="B324" s="318" t="s">
        <v>23</v>
      </c>
      <c r="C324" s="329" t="s">
        <v>1223</v>
      </c>
      <c r="D324" s="329" t="s">
        <v>1220</v>
      </c>
      <c r="E324" s="330">
        <v>847.73737352200237</v>
      </c>
      <c r="F324" s="329" t="s">
        <v>24</v>
      </c>
      <c r="G324" s="385">
        <v>9.7207859358841797E-2</v>
      </c>
      <c r="H324" s="329" t="s">
        <v>66</v>
      </c>
      <c r="I324" s="385">
        <v>0.85000000000000009</v>
      </c>
      <c r="J324" s="329" t="s">
        <v>25</v>
      </c>
      <c r="K324" s="329" t="s">
        <v>1012</v>
      </c>
      <c r="L324" s="329" t="s">
        <v>95</v>
      </c>
      <c r="M324" s="329" t="s">
        <v>88</v>
      </c>
      <c r="N324" s="327">
        <v>15.213551146811216</v>
      </c>
      <c r="O324" s="327">
        <v>13.448779213781114</v>
      </c>
      <c r="P324" s="327">
        <v>15.213551146811216</v>
      </c>
      <c r="Q324" s="327">
        <v>2.2414632022968513</v>
      </c>
      <c r="R324" s="37"/>
      <c r="S324" s="328" t="s">
        <v>80</v>
      </c>
      <c r="T324" s="328" t="s">
        <v>44</v>
      </c>
      <c r="U324" s="328" t="s">
        <v>69</v>
      </c>
      <c r="V324" s="328" t="s">
        <v>69</v>
      </c>
      <c r="W324" s="328" t="s">
        <v>103</v>
      </c>
      <c r="X324" s="37"/>
      <c r="Y324" s="37"/>
      <c r="Z324" s="328" t="s">
        <v>78</v>
      </c>
      <c r="AA324" s="328" t="s">
        <v>78</v>
      </c>
      <c r="AB324" s="37"/>
      <c r="AC324" s="331">
        <v>14.227397260273975</v>
      </c>
      <c r="AD324" s="331" t="s">
        <v>72</v>
      </c>
      <c r="AE324" s="328" t="s">
        <v>73</v>
      </c>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c r="CA324" s="393"/>
      <c r="CB324" s="393"/>
      <c r="CC324" s="393"/>
      <c r="CD324" s="393"/>
      <c r="CE324" s="393"/>
      <c r="CF324" s="393"/>
      <c r="CG324" s="393"/>
      <c r="CH324" s="393"/>
      <c r="CI324" s="393"/>
      <c r="CJ324" s="390"/>
      <c r="CK324" s="390"/>
      <c r="CL324" s="390"/>
      <c r="CM324" s="390"/>
      <c r="CN324" s="390"/>
      <c r="CO324" s="390"/>
      <c r="CP324" s="390"/>
      <c r="CQ324" s="390"/>
      <c r="CR324" s="390"/>
      <c r="CS324" s="390"/>
      <c r="CT324" s="390"/>
      <c r="CU324" s="390"/>
      <c r="CV324" s="390"/>
      <c r="CW324" s="390"/>
      <c r="CX324" s="390"/>
      <c r="CY324" s="390"/>
      <c r="CZ324" s="390"/>
      <c r="DA324" s="390"/>
      <c r="DB324" s="390"/>
      <c r="DC324" s="390"/>
    </row>
    <row r="325" spans="1:107" s="303" customFormat="1" ht="33.75">
      <c r="A325" s="37"/>
      <c r="B325" s="318" t="s">
        <v>23</v>
      </c>
      <c r="C325" s="329" t="s">
        <v>1223</v>
      </c>
      <c r="D325" s="329" t="s">
        <v>1220</v>
      </c>
      <c r="E325" s="330">
        <v>847.73737352200237</v>
      </c>
      <c r="F325" s="329" t="s">
        <v>24</v>
      </c>
      <c r="G325" s="385">
        <v>9.7207859358841797E-2</v>
      </c>
      <c r="H325" s="329" t="s">
        <v>66</v>
      </c>
      <c r="I325" s="385">
        <v>0.85000000000000009</v>
      </c>
      <c r="J325" s="329" t="s">
        <v>25</v>
      </c>
      <c r="K325" s="329" t="s">
        <v>1012</v>
      </c>
      <c r="L325" s="329" t="s">
        <v>95</v>
      </c>
      <c r="M325" s="329" t="s">
        <v>90</v>
      </c>
      <c r="N325" s="327">
        <v>15.213551146811216</v>
      </c>
      <c r="O325" s="327">
        <v>15.69024241607797</v>
      </c>
      <c r="P325" s="327">
        <v>15.213551146811216</v>
      </c>
      <c r="Q325" s="327">
        <v>4.4829264045937061</v>
      </c>
      <c r="R325" s="37"/>
      <c r="S325" s="328" t="s">
        <v>80</v>
      </c>
      <c r="T325" s="328" t="s">
        <v>44</v>
      </c>
      <c r="U325" s="328" t="s">
        <v>69</v>
      </c>
      <c r="V325" s="328" t="s">
        <v>69</v>
      </c>
      <c r="W325" s="328" t="s">
        <v>103</v>
      </c>
      <c r="X325" s="37"/>
      <c r="Y325" s="37"/>
      <c r="Z325" s="328" t="s">
        <v>78</v>
      </c>
      <c r="AA325" s="328" t="s">
        <v>78</v>
      </c>
      <c r="AB325" s="37"/>
      <c r="AC325" s="331">
        <v>14.227397260273975</v>
      </c>
      <c r="AD325" s="331" t="s">
        <v>72</v>
      </c>
      <c r="AE325" s="328" t="s">
        <v>73</v>
      </c>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c r="CA325" s="393"/>
      <c r="CB325" s="393"/>
      <c r="CC325" s="393"/>
      <c r="CD325" s="393"/>
      <c r="CE325" s="393"/>
      <c r="CF325" s="393"/>
      <c r="CG325" s="393"/>
      <c r="CH325" s="393"/>
      <c r="CI325" s="393"/>
      <c r="CJ325" s="390"/>
      <c r="CK325" s="390"/>
      <c r="CL325" s="390"/>
      <c r="CM325" s="390"/>
      <c r="CN325" s="390"/>
      <c r="CO325" s="390"/>
      <c r="CP325" s="390"/>
      <c r="CQ325" s="390"/>
      <c r="CR325" s="390"/>
      <c r="CS325" s="390"/>
      <c r="CT325" s="390"/>
      <c r="CU325" s="390"/>
      <c r="CV325" s="390"/>
      <c r="CW325" s="390"/>
      <c r="CX325" s="390"/>
      <c r="CY325" s="390"/>
      <c r="CZ325" s="390"/>
      <c r="DA325" s="390"/>
      <c r="DB325" s="390"/>
      <c r="DC325" s="390"/>
    </row>
    <row r="326" spans="1:107" s="303" customFormat="1" ht="33.75">
      <c r="A326" s="37"/>
      <c r="B326" s="318" t="s">
        <v>23</v>
      </c>
      <c r="C326" s="329" t="s">
        <v>1223</v>
      </c>
      <c r="D326" s="329" t="s">
        <v>1220</v>
      </c>
      <c r="E326" s="330">
        <v>847.73737352200237</v>
      </c>
      <c r="F326" s="329" t="s">
        <v>24</v>
      </c>
      <c r="G326" s="385">
        <v>9.7207859358841797E-2</v>
      </c>
      <c r="H326" s="329" t="s">
        <v>66</v>
      </c>
      <c r="I326" s="385">
        <v>0.85000000000000009</v>
      </c>
      <c r="J326" s="329" t="s">
        <v>25</v>
      </c>
      <c r="K326" s="329" t="s">
        <v>1012</v>
      </c>
      <c r="L326" s="329" t="s">
        <v>95</v>
      </c>
      <c r="M326" s="329" t="s">
        <v>91</v>
      </c>
      <c r="N326" s="327">
        <v>15.213551146811216</v>
      </c>
      <c r="O326" s="327" t="s">
        <v>870</v>
      </c>
      <c r="P326" s="327">
        <v>15.213551146811216</v>
      </c>
      <c r="Q326" s="327" t="s">
        <v>870</v>
      </c>
      <c r="R326" s="37"/>
      <c r="S326" s="328" t="s">
        <v>80</v>
      </c>
      <c r="T326" s="328" t="s">
        <v>44</v>
      </c>
      <c r="U326" s="328" t="s">
        <v>69</v>
      </c>
      <c r="V326" s="328" t="s">
        <v>69</v>
      </c>
      <c r="W326" s="328" t="s">
        <v>103</v>
      </c>
      <c r="X326" s="37"/>
      <c r="Y326" s="37"/>
      <c r="Z326" s="328" t="s">
        <v>78</v>
      </c>
      <c r="AA326" s="328" t="s">
        <v>78</v>
      </c>
      <c r="AB326" s="37"/>
      <c r="AC326" s="331">
        <v>14.227397260273975</v>
      </c>
      <c r="AD326" s="331" t="s">
        <v>72</v>
      </c>
      <c r="AE326" s="328" t="s">
        <v>73</v>
      </c>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c r="CA326" s="393"/>
      <c r="CB326" s="393"/>
      <c r="CC326" s="393"/>
      <c r="CD326" s="393"/>
      <c r="CE326" s="393"/>
      <c r="CF326" s="393"/>
      <c r="CG326" s="393"/>
      <c r="CH326" s="393"/>
      <c r="CI326" s="393"/>
      <c r="CJ326" s="390"/>
      <c r="CK326" s="390"/>
      <c r="CL326" s="390"/>
      <c r="CM326" s="390"/>
      <c r="CN326" s="390"/>
      <c r="CO326" s="390"/>
      <c r="CP326" s="390"/>
      <c r="CQ326" s="390"/>
      <c r="CR326" s="390"/>
      <c r="CS326" s="390"/>
      <c r="CT326" s="390"/>
      <c r="CU326" s="390"/>
      <c r="CV326" s="390"/>
      <c r="CW326" s="390"/>
      <c r="CX326" s="390"/>
      <c r="CY326" s="390"/>
      <c r="CZ326" s="390"/>
      <c r="DA326" s="390"/>
      <c r="DB326" s="390"/>
      <c r="DC326" s="390"/>
    </row>
    <row r="327" spans="1:107" s="303" customFormat="1" ht="33.75">
      <c r="A327" s="37"/>
      <c r="B327" s="318" t="s">
        <v>23</v>
      </c>
      <c r="C327" s="329" t="s">
        <v>1223</v>
      </c>
      <c r="D327" s="329" t="s">
        <v>1220</v>
      </c>
      <c r="E327" s="330">
        <v>847.73737352200237</v>
      </c>
      <c r="F327" s="329" t="s">
        <v>24</v>
      </c>
      <c r="G327" s="385">
        <v>9.7207859358841797E-2</v>
      </c>
      <c r="H327" s="329" t="s">
        <v>66</v>
      </c>
      <c r="I327" s="385">
        <v>0.85000000000000009</v>
      </c>
      <c r="J327" s="329" t="s">
        <v>25</v>
      </c>
      <c r="K327" s="329" t="s">
        <v>1012</v>
      </c>
      <c r="L327" s="329" t="s">
        <v>95</v>
      </c>
      <c r="M327" s="329" t="s">
        <v>92</v>
      </c>
      <c r="N327" s="327">
        <v>15.213551146811216</v>
      </c>
      <c r="O327" s="327">
        <v>20.17316882067167</v>
      </c>
      <c r="P327" s="327">
        <v>15.213551146811216</v>
      </c>
      <c r="Q327" s="327">
        <v>8.9658528091874086</v>
      </c>
      <c r="R327" s="37"/>
      <c r="S327" s="328" t="s">
        <v>80</v>
      </c>
      <c r="T327" s="328" t="s">
        <v>44</v>
      </c>
      <c r="U327" s="328" t="s">
        <v>69</v>
      </c>
      <c r="V327" s="328" t="s">
        <v>69</v>
      </c>
      <c r="W327" s="328" t="s">
        <v>103</v>
      </c>
      <c r="X327" s="37"/>
      <c r="Y327" s="37"/>
      <c r="Z327" s="328" t="s">
        <v>78</v>
      </c>
      <c r="AA327" s="328" t="s">
        <v>78</v>
      </c>
      <c r="AB327" s="37"/>
      <c r="AC327" s="331">
        <v>14.227397260273975</v>
      </c>
      <c r="AD327" s="331" t="s">
        <v>72</v>
      </c>
      <c r="AE327" s="328" t="s">
        <v>73</v>
      </c>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c r="CA327" s="393"/>
      <c r="CB327" s="393"/>
      <c r="CC327" s="393"/>
      <c r="CD327" s="393"/>
      <c r="CE327" s="393"/>
      <c r="CF327" s="393"/>
      <c r="CG327" s="393"/>
      <c r="CH327" s="393"/>
      <c r="CI327" s="393"/>
      <c r="CJ327" s="390"/>
      <c r="CK327" s="390"/>
      <c r="CL327" s="390"/>
      <c r="CM327" s="390"/>
      <c r="CN327" s="390"/>
      <c r="CO327" s="390"/>
      <c r="CP327" s="390"/>
      <c r="CQ327" s="390"/>
      <c r="CR327" s="390"/>
      <c r="CS327" s="390"/>
      <c r="CT327" s="390"/>
      <c r="CU327" s="390"/>
      <c r="CV327" s="390"/>
      <c r="CW327" s="390"/>
      <c r="CX327" s="390"/>
      <c r="CY327" s="390"/>
      <c r="CZ327" s="390"/>
      <c r="DA327" s="390"/>
      <c r="DB327" s="390"/>
      <c r="DC327" s="390"/>
    </row>
    <row r="328" spans="1:107" s="303" customFormat="1" ht="33.75">
      <c r="A328" s="37"/>
      <c r="B328" s="318" t="s">
        <v>23</v>
      </c>
      <c r="C328" s="329" t="s">
        <v>1223</v>
      </c>
      <c r="D328" s="329" t="s">
        <v>1220</v>
      </c>
      <c r="E328" s="330">
        <v>847.73737352200237</v>
      </c>
      <c r="F328" s="329" t="s">
        <v>24</v>
      </c>
      <c r="G328" s="385">
        <v>9.7207859358841797E-2</v>
      </c>
      <c r="H328" s="329" t="s">
        <v>66</v>
      </c>
      <c r="I328" s="385">
        <v>0.85000000000000009</v>
      </c>
      <c r="J328" s="329" t="s">
        <v>25</v>
      </c>
      <c r="K328" s="329" t="s">
        <v>1012</v>
      </c>
      <c r="L328" s="329" t="s">
        <v>95</v>
      </c>
      <c r="M328" s="329" t="s">
        <v>93</v>
      </c>
      <c r="N328" s="327">
        <v>15.213551146811216</v>
      </c>
      <c r="O328" s="327">
        <v>21.293900421820101</v>
      </c>
      <c r="P328" s="327">
        <v>15.213551146811216</v>
      </c>
      <c r="Q328" s="327">
        <v>10.086584410335835</v>
      </c>
      <c r="R328" s="37"/>
      <c r="S328" s="328" t="s">
        <v>80</v>
      </c>
      <c r="T328" s="328" t="s">
        <v>44</v>
      </c>
      <c r="U328" s="328" t="s">
        <v>44</v>
      </c>
      <c r="V328" s="328" t="s">
        <v>75</v>
      </c>
      <c r="W328" s="328" t="s">
        <v>103</v>
      </c>
      <c r="X328" s="37"/>
      <c r="Y328" s="37"/>
      <c r="Z328" s="328" t="s">
        <v>78</v>
      </c>
      <c r="AA328" s="328" t="s">
        <v>78</v>
      </c>
      <c r="AB328" s="37"/>
      <c r="AC328" s="331">
        <v>14.227397260273975</v>
      </c>
      <c r="AD328" s="331" t="s">
        <v>72</v>
      </c>
      <c r="AE328" s="328" t="s">
        <v>73</v>
      </c>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c r="CA328" s="393"/>
      <c r="CB328" s="393"/>
      <c r="CC328" s="393"/>
      <c r="CD328" s="393"/>
      <c r="CE328" s="393"/>
      <c r="CF328" s="393"/>
      <c r="CG328" s="393"/>
      <c r="CH328" s="393"/>
      <c r="CI328" s="393"/>
      <c r="CJ328" s="390"/>
      <c r="CK328" s="390"/>
      <c r="CL328" s="390"/>
      <c r="CM328" s="390"/>
      <c r="CN328" s="390"/>
      <c r="CO328" s="390"/>
      <c r="CP328" s="390"/>
      <c r="CQ328" s="390"/>
      <c r="CR328" s="390"/>
      <c r="CS328" s="390"/>
      <c r="CT328" s="390"/>
      <c r="CU328" s="390"/>
      <c r="CV328" s="390"/>
      <c r="CW328" s="390"/>
      <c r="CX328" s="390"/>
      <c r="CY328" s="390"/>
      <c r="CZ328" s="390"/>
      <c r="DA328" s="390"/>
      <c r="DB328" s="390"/>
      <c r="DC328" s="390"/>
    </row>
    <row r="329" spans="1:107" s="303" customFormat="1" ht="56.25">
      <c r="A329" s="37"/>
      <c r="B329" s="318" t="s">
        <v>23</v>
      </c>
      <c r="C329" s="329" t="s">
        <v>1223</v>
      </c>
      <c r="D329" s="329" t="s">
        <v>1220</v>
      </c>
      <c r="E329" s="330">
        <v>847.73737352200237</v>
      </c>
      <c r="F329" s="329" t="s">
        <v>27</v>
      </c>
      <c r="G329" s="340">
        <v>0.9027921406411582</v>
      </c>
      <c r="H329" s="329" t="s">
        <v>66</v>
      </c>
      <c r="I329" s="385">
        <v>0.85000000000000009</v>
      </c>
      <c r="J329" s="329" t="s">
        <v>1097</v>
      </c>
      <c r="K329" s="329" t="s">
        <v>1012</v>
      </c>
      <c r="L329" s="329" t="s">
        <v>960</v>
      </c>
      <c r="M329" s="329" t="s">
        <v>88</v>
      </c>
      <c r="N329" s="327">
        <v>113.03344809503142</v>
      </c>
      <c r="O329" s="327">
        <v>124.9019601450097</v>
      </c>
      <c r="P329" s="327">
        <v>97.962321682360525</v>
      </c>
      <c r="Q329" s="327">
        <v>20.816993357501605</v>
      </c>
      <c r="R329" s="37"/>
      <c r="S329" s="328" t="s">
        <v>80</v>
      </c>
      <c r="T329" s="328" t="s">
        <v>69</v>
      </c>
      <c r="U329" s="328" t="s">
        <v>69</v>
      </c>
      <c r="V329" s="328" t="s">
        <v>69</v>
      </c>
      <c r="W329" s="328" t="s">
        <v>104</v>
      </c>
      <c r="X329" s="37"/>
      <c r="Y329" s="37"/>
      <c r="Z329" s="328" t="s">
        <v>78</v>
      </c>
      <c r="AA329" s="328" t="s">
        <v>78</v>
      </c>
      <c r="AB329" s="37"/>
      <c r="AC329" s="331">
        <v>14.227397260273975</v>
      </c>
      <c r="AD329" s="331" t="s">
        <v>72</v>
      </c>
      <c r="AE329" s="328" t="s">
        <v>73</v>
      </c>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c r="CA329" s="393"/>
      <c r="CB329" s="393"/>
      <c r="CC329" s="393"/>
      <c r="CD329" s="393"/>
      <c r="CE329" s="393"/>
      <c r="CF329" s="393"/>
      <c r="CG329" s="393"/>
      <c r="CH329" s="393"/>
      <c r="CI329" s="393"/>
      <c r="CJ329" s="390"/>
      <c r="CK329" s="390"/>
      <c r="CL329" s="390"/>
      <c r="CM329" s="390"/>
      <c r="CN329" s="390"/>
      <c r="CO329" s="390"/>
      <c r="CP329" s="390"/>
      <c r="CQ329" s="390"/>
      <c r="CR329" s="390"/>
      <c r="CS329" s="390"/>
      <c r="CT329" s="390"/>
      <c r="CU329" s="390"/>
      <c r="CV329" s="390"/>
      <c r="CW329" s="390"/>
      <c r="CX329" s="390"/>
      <c r="CY329" s="390"/>
      <c r="CZ329" s="390"/>
      <c r="DA329" s="390"/>
      <c r="DB329" s="390"/>
      <c r="DC329" s="390"/>
    </row>
    <row r="330" spans="1:107" s="303" customFormat="1" ht="56.25">
      <c r="A330" s="37"/>
      <c r="B330" s="318" t="s">
        <v>23</v>
      </c>
      <c r="C330" s="329" t="s">
        <v>1223</v>
      </c>
      <c r="D330" s="329" t="s">
        <v>1220</v>
      </c>
      <c r="E330" s="330">
        <v>847.73737352200237</v>
      </c>
      <c r="F330" s="329" t="s">
        <v>27</v>
      </c>
      <c r="G330" s="340">
        <v>0.9027921406411582</v>
      </c>
      <c r="H330" s="329" t="s">
        <v>66</v>
      </c>
      <c r="I330" s="385">
        <v>0.85000000000000009</v>
      </c>
      <c r="J330" s="329" t="s">
        <v>1097</v>
      </c>
      <c r="K330" s="329" t="s">
        <v>1012</v>
      </c>
      <c r="L330" s="329" t="s">
        <v>960</v>
      </c>
      <c r="M330" s="329" t="s">
        <v>90</v>
      </c>
      <c r="N330" s="327">
        <v>113.03344809503142</v>
      </c>
      <c r="O330" s="327">
        <v>145.71895350251131</v>
      </c>
      <c r="P330" s="327">
        <v>97.962321682360525</v>
      </c>
      <c r="Q330" s="327">
        <v>41.633986715003239</v>
      </c>
      <c r="R330" s="37"/>
      <c r="S330" s="328" t="s">
        <v>80</v>
      </c>
      <c r="T330" s="328" t="s">
        <v>69</v>
      </c>
      <c r="U330" s="328" t="s">
        <v>69</v>
      </c>
      <c r="V330" s="328" t="s">
        <v>69</v>
      </c>
      <c r="W330" s="328" t="s">
        <v>104</v>
      </c>
      <c r="X330" s="37"/>
      <c r="Y330" s="37"/>
      <c r="Z330" s="328" t="s">
        <v>78</v>
      </c>
      <c r="AA330" s="328" t="s">
        <v>78</v>
      </c>
      <c r="AB330" s="37"/>
      <c r="AC330" s="331">
        <v>14.227397260273975</v>
      </c>
      <c r="AD330" s="331" t="s">
        <v>72</v>
      </c>
      <c r="AE330" s="328" t="s">
        <v>73</v>
      </c>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c r="CA330" s="393"/>
      <c r="CB330" s="393"/>
      <c r="CC330" s="393"/>
      <c r="CD330" s="393"/>
      <c r="CE330" s="393"/>
      <c r="CF330" s="393"/>
      <c r="CG330" s="393"/>
      <c r="CH330" s="393"/>
      <c r="CI330" s="393"/>
      <c r="CJ330" s="390"/>
      <c r="CK330" s="390"/>
      <c r="CL330" s="390"/>
      <c r="CM330" s="390"/>
      <c r="CN330" s="390"/>
      <c r="CO330" s="390"/>
      <c r="CP330" s="390"/>
      <c r="CQ330" s="390"/>
      <c r="CR330" s="390"/>
      <c r="CS330" s="390"/>
      <c r="CT330" s="390"/>
      <c r="CU330" s="390"/>
      <c r="CV330" s="390"/>
      <c r="CW330" s="390"/>
      <c r="CX330" s="390"/>
      <c r="CY330" s="390"/>
      <c r="CZ330" s="390"/>
      <c r="DA330" s="390"/>
      <c r="DB330" s="390"/>
      <c r="DC330" s="390"/>
    </row>
    <row r="331" spans="1:107" s="303" customFormat="1" ht="56.25">
      <c r="A331" s="37"/>
      <c r="B331" s="318" t="s">
        <v>23</v>
      </c>
      <c r="C331" s="329" t="s">
        <v>1223</v>
      </c>
      <c r="D331" s="329" t="s">
        <v>1220</v>
      </c>
      <c r="E331" s="330">
        <v>847.73737352200237</v>
      </c>
      <c r="F331" s="329" t="s">
        <v>27</v>
      </c>
      <c r="G331" s="340">
        <v>0.9027921406411582</v>
      </c>
      <c r="H331" s="329" t="s">
        <v>66</v>
      </c>
      <c r="I331" s="385">
        <v>0.85000000000000009</v>
      </c>
      <c r="J331" s="329" t="s">
        <v>1097</v>
      </c>
      <c r="K331" s="329" t="s">
        <v>1012</v>
      </c>
      <c r="L331" s="329" t="s">
        <v>960</v>
      </c>
      <c r="M331" s="329" t="s">
        <v>91</v>
      </c>
      <c r="N331" s="327">
        <v>113.03344809503142</v>
      </c>
      <c r="O331" s="327" t="s">
        <v>870</v>
      </c>
      <c r="P331" s="327">
        <v>97.962321682360525</v>
      </c>
      <c r="Q331" s="327" t="s">
        <v>870</v>
      </c>
      <c r="R331" s="37"/>
      <c r="S331" s="328" t="s">
        <v>80</v>
      </c>
      <c r="T331" s="328" t="s">
        <v>69</v>
      </c>
      <c r="U331" s="328" t="s">
        <v>69</v>
      </c>
      <c r="V331" s="328" t="s">
        <v>69</v>
      </c>
      <c r="W331" s="328" t="s">
        <v>104</v>
      </c>
      <c r="X331" s="37"/>
      <c r="Y331" s="37"/>
      <c r="Z331" s="328" t="s">
        <v>78</v>
      </c>
      <c r="AA331" s="328" t="s">
        <v>78</v>
      </c>
      <c r="AB331" s="37"/>
      <c r="AC331" s="331">
        <v>14.227397260273975</v>
      </c>
      <c r="AD331" s="331" t="s">
        <v>72</v>
      </c>
      <c r="AE331" s="328" t="s">
        <v>73</v>
      </c>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c r="CA331" s="393"/>
      <c r="CB331" s="393"/>
      <c r="CC331" s="393"/>
      <c r="CD331" s="393"/>
      <c r="CE331" s="393"/>
      <c r="CF331" s="393"/>
      <c r="CG331" s="393"/>
      <c r="CH331" s="393"/>
      <c r="CI331" s="393"/>
      <c r="CJ331" s="390"/>
      <c r="CK331" s="390"/>
      <c r="CL331" s="390"/>
      <c r="CM331" s="390"/>
      <c r="CN331" s="390"/>
      <c r="CO331" s="390"/>
      <c r="CP331" s="390"/>
      <c r="CQ331" s="390"/>
      <c r="CR331" s="390"/>
      <c r="CS331" s="390"/>
      <c r="CT331" s="390"/>
      <c r="CU331" s="390"/>
      <c r="CV331" s="390"/>
      <c r="CW331" s="390"/>
      <c r="CX331" s="390"/>
      <c r="CY331" s="390"/>
      <c r="CZ331" s="390"/>
      <c r="DA331" s="390"/>
      <c r="DB331" s="390"/>
      <c r="DC331" s="390"/>
    </row>
    <row r="332" spans="1:107" s="303" customFormat="1" ht="56.25">
      <c r="A332" s="37"/>
      <c r="B332" s="318" t="s">
        <v>23</v>
      </c>
      <c r="C332" s="329" t="s">
        <v>1223</v>
      </c>
      <c r="D332" s="329" t="s">
        <v>1220</v>
      </c>
      <c r="E332" s="330">
        <v>847.73737352200237</v>
      </c>
      <c r="F332" s="329" t="s">
        <v>27</v>
      </c>
      <c r="G332" s="340">
        <v>0.9027921406411582</v>
      </c>
      <c r="H332" s="329" t="s">
        <v>66</v>
      </c>
      <c r="I332" s="385">
        <v>0.85000000000000009</v>
      </c>
      <c r="J332" s="329" t="s">
        <v>1097</v>
      </c>
      <c r="K332" s="329" t="s">
        <v>1012</v>
      </c>
      <c r="L332" s="329" t="s">
        <v>960</v>
      </c>
      <c r="M332" s="329" t="s">
        <v>92</v>
      </c>
      <c r="N332" s="327">
        <v>113.03344809503142</v>
      </c>
      <c r="O332" s="327">
        <v>187.35294021751452</v>
      </c>
      <c r="P332" s="327">
        <v>97.962321682360525</v>
      </c>
      <c r="Q332" s="327">
        <v>83.26797343000645</v>
      </c>
      <c r="R332" s="37"/>
      <c r="S332" s="328" t="s">
        <v>80</v>
      </c>
      <c r="T332" s="328" t="s">
        <v>69</v>
      </c>
      <c r="U332" s="328" t="s">
        <v>69</v>
      </c>
      <c r="V332" s="328" t="s">
        <v>69</v>
      </c>
      <c r="W332" s="328" t="s">
        <v>104</v>
      </c>
      <c r="X332" s="37"/>
      <c r="Y332" s="37"/>
      <c r="Z332" s="328" t="s">
        <v>78</v>
      </c>
      <c r="AA332" s="328" t="s">
        <v>78</v>
      </c>
      <c r="AB332" s="37"/>
      <c r="AC332" s="331">
        <v>14.227397260273975</v>
      </c>
      <c r="AD332" s="331" t="s">
        <v>72</v>
      </c>
      <c r="AE332" s="328" t="s">
        <v>73</v>
      </c>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c r="CA332" s="393"/>
      <c r="CB332" s="393"/>
      <c r="CC332" s="393"/>
      <c r="CD332" s="393"/>
      <c r="CE332" s="393"/>
      <c r="CF332" s="393"/>
      <c r="CG332" s="393"/>
      <c r="CH332" s="393"/>
      <c r="CI332" s="393"/>
      <c r="CJ332" s="390"/>
      <c r="CK332" s="390"/>
      <c r="CL332" s="390"/>
      <c r="CM332" s="390"/>
      <c r="CN332" s="390"/>
      <c r="CO332" s="390"/>
      <c r="CP332" s="390"/>
      <c r="CQ332" s="390"/>
      <c r="CR332" s="390"/>
      <c r="CS332" s="390"/>
      <c r="CT332" s="390"/>
      <c r="CU332" s="390"/>
      <c r="CV332" s="390"/>
      <c r="CW332" s="390"/>
      <c r="CX332" s="390"/>
      <c r="CY332" s="390"/>
      <c r="CZ332" s="390"/>
      <c r="DA332" s="390"/>
      <c r="DB332" s="390"/>
      <c r="DC332" s="390"/>
    </row>
    <row r="333" spans="1:107" s="303" customFormat="1" ht="56.25">
      <c r="A333" s="37"/>
      <c r="B333" s="318" t="s">
        <v>23</v>
      </c>
      <c r="C333" s="329" t="s">
        <v>1223</v>
      </c>
      <c r="D333" s="329" t="s">
        <v>1220</v>
      </c>
      <c r="E333" s="330">
        <v>847.73737352200237</v>
      </c>
      <c r="F333" s="329" t="s">
        <v>27</v>
      </c>
      <c r="G333" s="340">
        <v>0.9027921406411582</v>
      </c>
      <c r="H333" s="329" t="s">
        <v>66</v>
      </c>
      <c r="I333" s="385">
        <v>0.85000000000000009</v>
      </c>
      <c r="J333" s="329" t="s">
        <v>1097</v>
      </c>
      <c r="K333" s="329" t="s">
        <v>1012</v>
      </c>
      <c r="L333" s="329" t="s">
        <v>960</v>
      </c>
      <c r="M333" s="329" t="s">
        <v>93</v>
      </c>
      <c r="N333" s="327">
        <v>113.03344809503142</v>
      </c>
      <c r="O333" s="327">
        <v>197.76143689626537</v>
      </c>
      <c r="P333" s="327">
        <v>97.962321682360525</v>
      </c>
      <c r="Q333" s="327">
        <v>93.676470108757258</v>
      </c>
      <c r="R333" s="37"/>
      <c r="S333" s="328" t="s">
        <v>80</v>
      </c>
      <c r="T333" s="328" t="s">
        <v>69</v>
      </c>
      <c r="U333" s="328" t="s">
        <v>44</v>
      </c>
      <c r="V333" s="328" t="s">
        <v>75</v>
      </c>
      <c r="W333" s="328" t="s">
        <v>104</v>
      </c>
      <c r="X333" s="37"/>
      <c r="Y333" s="37"/>
      <c r="Z333" s="328" t="s">
        <v>78</v>
      </c>
      <c r="AA333" s="328" t="s">
        <v>78</v>
      </c>
      <c r="AB333" s="37"/>
      <c r="AC333" s="331">
        <v>14.227397260273975</v>
      </c>
      <c r="AD333" s="331" t="s">
        <v>72</v>
      </c>
      <c r="AE333" s="328" t="s">
        <v>73</v>
      </c>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c r="CA333" s="393"/>
      <c r="CB333" s="393"/>
      <c r="CC333" s="393"/>
      <c r="CD333" s="393"/>
      <c r="CE333" s="393"/>
      <c r="CF333" s="393"/>
      <c r="CG333" s="393"/>
      <c r="CH333" s="393"/>
      <c r="CI333" s="393"/>
      <c r="CJ333" s="390"/>
      <c r="CK333" s="390"/>
      <c r="CL333" s="390"/>
      <c r="CM333" s="390"/>
      <c r="CN333" s="390"/>
      <c r="CO333" s="390"/>
      <c r="CP333" s="390"/>
      <c r="CQ333" s="390"/>
      <c r="CR333" s="390"/>
      <c r="CS333" s="390"/>
      <c r="CT333" s="390"/>
      <c r="CU333" s="390"/>
      <c r="CV333" s="390"/>
      <c r="CW333" s="390"/>
      <c r="CX333" s="390"/>
      <c r="CY333" s="390"/>
      <c r="CZ333" s="390"/>
      <c r="DA333" s="390"/>
      <c r="DB333" s="390"/>
      <c r="DC333" s="390"/>
    </row>
    <row r="334" spans="1:107" s="303" customFormat="1" ht="56.25">
      <c r="A334" s="37"/>
      <c r="B334" s="318" t="s">
        <v>23</v>
      </c>
      <c r="C334" s="329" t="s">
        <v>1223</v>
      </c>
      <c r="D334" s="329" t="s">
        <v>1220</v>
      </c>
      <c r="E334" s="330">
        <v>847.73737352200237</v>
      </c>
      <c r="F334" s="329" t="s">
        <v>27</v>
      </c>
      <c r="G334" s="340">
        <v>0.9027921406411582</v>
      </c>
      <c r="H334" s="329" t="s">
        <v>66</v>
      </c>
      <c r="I334" s="385">
        <v>0.85000000000000009</v>
      </c>
      <c r="J334" s="329" t="s">
        <v>1097</v>
      </c>
      <c r="K334" s="329" t="s">
        <v>1012</v>
      </c>
      <c r="L334" s="329" t="s">
        <v>15</v>
      </c>
      <c r="M334" s="329" t="s">
        <v>88</v>
      </c>
      <c r="N334" s="327">
        <v>156.71055923889523</v>
      </c>
      <c r="O334" s="327">
        <v>124.9019601450097</v>
      </c>
      <c r="P334" s="327">
        <v>133.93286167510232</v>
      </c>
      <c r="Q334" s="327">
        <v>20.816993357501605</v>
      </c>
      <c r="R334" s="37"/>
      <c r="S334" s="328" t="s">
        <v>80</v>
      </c>
      <c r="T334" s="328" t="s">
        <v>44</v>
      </c>
      <c r="U334" s="328" t="s">
        <v>69</v>
      </c>
      <c r="V334" s="328" t="s">
        <v>69</v>
      </c>
      <c r="W334" s="328" t="s">
        <v>103</v>
      </c>
      <c r="X334" s="37"/>
      <c r="Y334" s="37"/>
      <c r="Z334" s="328" t="s">
        <v>78</v>
      </c>
      <c r="AA334" s="328" t="s">
        <v>78</v>
      </c>
      <c r="AB334" s="37"/>
      <c r="AC334" s="331">
        <v>14.227397260273975</v>
      </c>
      <c r="AD334" s="331" t="s">
        <v>72</v>
      </c>
      <c r="AE334" s="328" t="s">
        <v>73</v>
      </c>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c r="CA334" s="393"/>
      <c r="CB334" s="393"/>
      <c r="CC334" s="393"/>
      <c r="CD334" s="393"/>
      <c r="CE334" s="393"/>
      <c r="CF334" s="393"/>
      <c r="CG334" s="393"/>
      <c r="CH334" s="393"/>
      <c r="CI334" s="393"/>
      <c r="CJ334" s="390"/>
      <c r="CK334" s="390"/>
      <c r="CL334" s="390"/>
      <c r="CM334" s="390"/>
      <c r="CN334" s="390"/>
      <c r="CO334" s="390"/>
      <c r="CP334" s="390"/>
      <c r="CQ334" s="390"/>
      <c r="CR334" s="390"/>
      <c r="CS334" s="390"/>
      <c r="CT334" s="390"/>
      <c r="CU334" s="390"/>
      <c r="CV334" s="390"/>
      <c r="CW334" s="390"/>
      <c r="CX334" s="390"/>
      <c r="CY334" s="390"/>
      <c r="CZ334" s="390"/>
      <c r="DA334" s="390"/>
      <c r="DB334" s="390"/>
      <c r="DC334" s="390"/>
    </row>
    <row r="335" spans="1:107" s="303" customFormat="1" ht="56.25">
      <c r="A335" s="37"/>
      <c r="B335" s="318" t="s">
        <v>23</v>
      </c>
      <c r="C335" s="329" t="s">
        <v>1223</v>
      </c>
      <c r="D335" s="329" t="s">
        <v>1220</v>
      </c>
      <c r="E335" s="330">
        <v>847.73737352200237</v>
      </c>
      <c r="F335" s="329" t="s">
        <v>27</v>
      </c>
      <c r="G335" s="340">
        <v>0.9027921406411582</v>
      </c>
      <c r="H335" s="329" t="s">
        <v>66</v>
      </c>
      <c r="I335" s="385">
        <v>0.85000000000000009</v>
      </c>
      <c r="J335" s="329" t="s">
        <v>1097</v>
      </c>
      <c r="K335" s="329" t="s">
        <v>1012</v>
      </c>
      <c r="L335" s="329" t="s">
        <v>15</v>
      </c>
      <c r="M335" s="329" t="s">
        <v>90</v>
      </c>
      <c r="N335" s="327">
        <v>156.71055923889523</v>
      </c>
      <c r="O335" s="327">
        <v>145.71895350251131</v>
      </c>
      <c r="P335" s="327">
        <v>133.93286167510232</v>
      </c>
      <c r="Q335" s="327">
        <v>41.633986715003239</v>
      </c>
      <c r="R335" s="37"/>
      <c r="S335" s="328" t="s">
        <v>80</v>
      </c>
      <c r="T335" s="328" t="s">
        <v>44</v>
      </c>
      <c r="U335" s="328" t="s">
        <v>69</v>
      </c>
      <c r="V335" s="328" t="s">
        <v>69</v>
      </c>
      <c r="W335" s="328" t="s">
        <v>103</v>
      </c>
      <c r="X335" s="37"/>
      <c r="Y335" s="37"/>
      <c r="Z335" s="328" t="s">
        <v>78</v>
      </c>
      <c r="AA335" s="328" t="s">
        <v>78</v>
      </c>
      <c r="AB335" s="37"/>
      <c r="AC335" s="331">
        <v>14.227397260273975</v>
      </c>
      <c r="AD335" s="331" t="s">
        <v>72</v>
      </c>
      <c r="AE335" s="328" t="s">
        <v>73</v>
      </c>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c r="CA335" s="393"/>
      <c r="CB335" s="393"/>
      <c r="CC335" s="393"/>
      <c r="CD335" s="393"/>
      <c r="CE335" s="393"/>
      <c r="CF335" s="393"/>
      <c r="CG335" s="393"/>
      <c r="CH335" s="393"/>
      <c r="CI335" s="393"/>
      <c r="CJ335" s="390"/>
      <c r="CK335" s="390"/>
      <c r="CL335" s="390"/>
      <c r="CM335" s="390"/>
      <c r="CN335" s="390"/>
      <c r="CO335" s="390"/>
      <c r="CP335" s="390"/>
      <c r="CQ335" s="390"/>
      <c r="CR335" s="390"/>
      <c r="CS335" s="390"/>
      <c r="CT335" s="390"/>
      <c r="CU335" s="390"/>
      <c r="CV335" s="390"/>
      <c r="CW335" s="390"/>
      <c r="CX335" s="390"/>
      <c r="CY335" s="390"/>
      <c r="CZ335" s="390"/>
      <c r="DA335" s="390"/>
      <c r="DB335" s="390"/>
      <c r="DC335" s="390"/>
    </row>
    <row r="336" spans="1:107" s="303" customFormat="1" ht="56.25">
      <c r="A336" s="37"/>
      <c r="B336" s="318" t="s">
        <v>23</v>
      </c>
      <c r="C336" s="329" t="s">
        <v>1223</v>
      </c>
      <c r="D336" s="329" t="s">
        <v>1220</v>
      </c>
      <c r="E336" s="330">
        <v>847.73737352200237</v>
      </c>
      <c r="F336" s="329" t="s">
        <v>27</v>
      </c>
      <c r="G336" s="340">
        <v>0.9027921406411582</v>
      </c>
      <c r="H336" s="329" t="s">
        <v>66</v>
      </c>
      <c r="I336" s="385">
        <v>0.85000000000000009</v>
      </c>
      <c r="J336" s="329" t="s">
        <v>1097</v>
      </c>
      <c r="K336" s="329" t="s">
        <v>1012</v>
      </c>
      <c r="L336" s="329" t="s">
        <v>15</v>
      </c>
      <c r="M336" s="329" t="s">
        <v>91</v>
      </c>
      <c r="N336" s="327">
        <v>156.71055923889523</v>
      </c>
      <c r="O336" s="327" t="s">
        <v>870</v>
      </c>
      <c r="P336" s="327">
        <v>133.93286167510232</v>
      </c>
      <c r="Q336" s="327" t="s">
        <v>870</v>
      </c>
      <c r="R336" s="37"/>
      <c r="S336" s="328" t="s">
        <v>80</v>
      </c>
      <c r="T336" s="328" t="s">
        <v>44</v>
      </c>
      <c r="U336" s="328" t="s">
        <v>69</v>
      </c>
      <c r="V336" s="328" t="s">
        <v>69</v>
      </c>
      <c r="W336" s="328" t="s">
        <v>103</v>
      </c>
      <c r="X336" s="37"/>
      <c r="Y336" s="37"/>
      <c r="Z336" s="328" t="s">
        <v>78</v>
      </c>
      <c r="AA336" s="328" t="s">
        <v>78</v>
      </c>
      <c r="AB336" s="37"/>
      <c r="AC336" s="331">
        <v>14.227397260273975</v>
      </c>
      <c r="AD336" s="331" t="s">
        <v>72</v>
      </c>
      <c r="AE336" s="328" t="s">
        <v>73</v>
      </c>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c r="CA336" s="393"/>
      <c r="CB336" s="393"/>
      <c r="CC336" s="393"/>
      <c r="CD336" s="393"/>
      <c r="CE336" s="393"/>
      <c r="CF336" s="393"/>
      <c r="CG336" s="393"/>
      <c r="CH336" s="393"/>
      <c r="CI336" s="393"/>
      <c r="CJ336" s="390"/>
      <c r="CK336" s="390"/>
      <c r="CL336" s="390"/>
      <c r="CM336" s="390"/>
      <c r="CN336" s="390"/>
      <c r="CO336" s="390"/>
      <c r="CP336" s="390"/>
      <c r="CQ336" s="390"/>
      <c r="CR336" s="390"/>
      <c r="CS336" s="390"/>
      <c r="CT336" s="390"/>
      <c r="CU336" s="390"/>
      <c r="CV336" s="390"/>
      <c r="CW336" s="390"/>
      <c r="CX336" s="390"/>
      <c r="CY336" s="390"/>
      <c r="CZ336" s="390"/>
      <c r="DA336" s="390"/>
      <c r="DB336" s="390"/>
      <c r="DC336" s="390"/>
    </row>
    <row r="337" spans="1:107" s="303" customFormat="1" ht="56.25">
      <c r="A337" s="37"/>
      <c r="B337" s="318" t="s">
        <v>23</v>
      </c>
      <c r="C337" s="329" t="s">
        <v>1223</v>
      </c>
      <c r="D337" s="329" t="s">
        <v>1220</v>
      </c>
      <c r="E337" s="330">
        <v>847.73737352200237</v>
      </c>
      <c r="F337" s="329" t="s">
        <v>27</v>
      </c>
      <c r="G337" s="340">
        <v>0.9027921406411582</v>
      </c>
      <c r="H337" s="329" t="s">
        <v>66</v>
      </c>
      <c r="I337" s="385">
        <v>0.85000000000000009</v>
      </c>
      <c r="J337" s="329" t="s">
        <v>1097</v>
      </c>
      <c r="K337" s="329" t="s">
        <v>1012</v>
      </c>
      <c r="L337" s="329" t="s">
        <v>15</v>
      </c>
      <c r="M337" s="329" t="s">
        <v>92</v>
      </c>
      <c r="N337" s="327">
        <v>156.71055923889523</v>
      </c>
      <c r="O337" s="327">
        <v>187.35294021751452</v>
      </c>
      <c r="P337" s="327">
        <v>133.93286167510232</v>
      </c>
      <c r="Q337" s="327">
        <v>83.26797343000645</v>
      </c>
      <c r="R337" s="37"/>
      <c r="S337" s="328" t="s">
        <v>80</v>
      </c>
      <c r="T337" s="328" t="s">
        <v>44</v>
      </c>
      <c r="U337" s="328" t="s">
        <v>69</v>
      </c>
      <c r="V337" s="328" t="s">
        <v>69</v>
      </c>
      <c r="W337" s="328" t="s">
        <v>103</v>
      </c>
      <c r="X337" s="37"/>
      <c r="Y337" s="37"/>
      <c r="Z337" s="328" t="s">
        <v>78</v>
      </c>
      <c r="AA337" s="328" t="s">
        <v>78</v>
      </c>
      <c r="AB337" s="37"/>
      <c r="AC337" s="331">
        <v>14.227397260273975</v>
      </c>
      <c r="AD337" s="331" t="s">
        <v>72</v>
      </c>
      <c r="AE337" s="328" t="s">
        <v>73</v>
      </c>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c r="CA337" s="393"/>
      <c r="CB337" s="393"/>
      <c r="CC337" s="393"/>
      <c r="CD337" s="393"/>
      <c r="CE337" s="393"/>
      <c r="CF337" s="393"/>
      <c r="CG337" s="393"/>
      <c r="CH337" s="393"/>
      <c r="CI337" s="393"/>
      <c r="CJ337" s="390"/>
      <c r="CK337" s="390"/>
      <c r="CL337" s="390"/>
      <c r="CM337" s="390"/>
      <c r="CN337" s="390"/>
      <c r="CO337" s="390"/>
      <c r="CP337" s="390"/>
      <c r="CQ337" s="390"/>
      <c r="CR337" s="390"/>
      <c r="CS337" s="390"/>
      <c r="CT337" s="390"/>
      <c r="CU337" s="390"/>
      <c r="CV337" s="390"/>
      <c r="CW337" s="390"/>
      <c r="CX337" s="390"/>
      <c r="CY337" s="390"/>
      <c r="CZ337" s="390"/>
      <c r="DA337" s="390"/>
      <c r="DB337" s="390"/>
      <c r="DC337" s="390"/>
    </row>
    <row r="338" spans="1:107" s="317" customFormat="1" ht="56.25">
      <c r="A338" s="37"/>
      <c r="B338" s="338" t="s">
        <v>23</v>
      </c>
      <c r="C338" s="329" t="s">
        <v>1223</v>
      </c>
      <c r="D338" s="329" t="s">
        <v>1220</v>
      </c>
      <c r="E338" s="330">
        <v>847.73737352200237</v>
      </c>
      <c r="F338" s="339" t="s">
        <v>27</v>
      </c>
      <c r="G338" s="340">
        <v>0.9027921406411582</v>
      </c>
      <c r="H338" s="329" t="s">
        <v>66</v>
      </c>
      <c r="I338" s="385">
        <v>0.85000000000000009</v>
      </c>
      <c r="J338" s="329" t="s">
        <v>1097</v>
      </c>
      <c r="K338" s="329" t="s">
        <v>1012</v>
      </c>
      <c r="L338" s="339" t="s">
        <v>15</v>
      </c>
      <c r="M338" s="339" t="s">
        <v>93</v>
      </c>
      <c r="N338" s="327">
        <v>156.71055923889523</v>
      </c>
      <c r="O338" s="341">
        <v>197.76143689626537</v>
      </c>
      <c r="P338" s="327">
        <v>133.93286167510232</v>
      </c>
      <c r="Q338" s="327">
        <v>93.676470108757258</v>
      </c>
      <c r="R338" s="37"/>
      <c r="S338" s="342" t="s">
        <v>80</v>
      </c>
      <c r="T338" s="342" t="s">
        <v>44</v>
      </c>
      <c r="U338" s="328" t="s">
        <v>44</v>
      </c>
      <c r="V338" s="328" t="s">
        <v>75</v>
      </c>
      <c r="W338" s="342" t="s">
        <v>103</v>
      </c>
      <c r="X338" s="37"/>
      <c r="Y338" s="37"/>
      <c r="Z338" s="342" t="s">
        <v>78</v>
      </c>
      <c r="AA338" s="342" t="s">
        <v>78</v>
      </c>
      <c r="AB338" s="37"/>
      <c r="AC338" s="343">
        <v>14.227397260273975</v>
      </c>
      <c r="AD338" s="343" t="s">
        <v>72</v>
      </c>
      <c r="AE338" s="342" t="s">
        <v>73</v>
      </c>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c r="CA338" s="393"/>
      <c r="CB338" s="393"/>
      <c r="CC338" s="393"/>
      <c r="CD338" s="393"/>
      <c r="CE338" s="393"/>
      <c r="CF338" s="393"/>
      <c r="CG338" s="393"/>
      <c r="CH338" s="393"/>
      <c r="CI338" s="393"/>
      <c r="CJ338" s="390"/>
      <c r="CK338" s="390"/>
      <c r="CL338" s="390"/>
      <c r="CM338" s="390"/>
      <c r="CN338" s="390"/>
      <c r="CO338" s="390"/>
      <c r="CP338" s="390"/>
      <c r="CQ338" s="390"/>
      <c r="CR338" s="390"/>
      <c r="CS338" s="390"/>
      <c r="CT338" s="390"/>
      <c r="CU338" s="390"/>
      <c r="CV338" s="390"/>
      <c r="CW338" s="390"/>
      <c r="CX338" s="390"/>
      <c r="CY338" s="390"/>
      <c r="CZ338" s="390"/>
      <c r="DA338" s="390"/>
      <c r="DB338" s="390"/>
      <c r="DC338" s="390"/>
    </row>
    <row r="339" spans="1:107" s="317" customFormat="1" ht="56.25">
      <c r="A339" s="37"/>
      <c r="B339" s="591" t="s">
        <v>23</v>
      </c>
      <c r="C339" s="592" t="s">
        <v>502</v>
      </c>
      <c r="D339" s="593" t="s">
        <v>1220</v>
      </c>
      <c r="E339" s="594">
        <v>476.27033903997773</v>
      </c>
      <c r="F339" s="592" t="s">
        <v>27</v>
      </c>
      <c r="G339" s="595">
        <v>0.55172730052875429</v>
      </c>
      <c r="H339" s="592" t="s">
        <v>66</v>
      </c>
      <c r="I339" s="596">
        <v>0.98347899853086229</v>
      </c>
      <c r="J339" s="592" t="s">
        <v>1097</v>
      </c>
      <c r="K339" s="592" t="s">
        <v>1012</v>
      </c>
      <c r="L339" s="592" t="s">
        <v>960</v>
      </c>
      <c r="M339" s="592" t="s">
        <v>88</v>
      </c>
      <c r="N339" s="678">
        <v>38.809306852495979</v>
      </c>
      <c r="O339" s="678">
        <v>49.618579708060572</v>
      </c>
      <c r="P339" s="678">
        <v>33.634732605496502</v>
      </c>
      <c r="Q339" s="678">
        <v>8.2697632846767579</v>
      </c>
      <c r="R339" s="37"/>
      <c r="S339" s="592" t="s">
        <v>69</v>
      </c>
      <c r="T339" s="592" t="s">
        <v>69</v>
      </c>
      <c r="U339" s="592" t="s">
        <v>69</v>
      </c>
      <c r="V339" s="592" t="s">
        <v>69</v>
      </c>
      <c r="W339" s="592" t="s">
        <v>76</v>
      </c>
      <c r="X339" s="37"/>
      <c r="Y339" s="37"/>
      <c r="Z339" s="592" t="s">
        <v>78</v>
      </c>
      <c r="AA339" s="592" t="s">
        <v>78</v>
      </c>
      <c r="AB339" s="37"/>
      <c r="AC339" s="679">
        <v>13.287671232876711</v>
      </c>
      <c r="AD339" s="678" t="s">
        <v>72</v>
      </c>
      <c r="AE339" s="592" t="s">
        <v>73</v>
      </c>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c r="CA339" s="393"/>
      <c r="CB339" s="393"/>
      <c r="CC339" s="393"/>
      <c r="CD339" s="393"/>
      <c r="CE339" s="393"/>
      <c r="CF339" s="393"/>
      <c r="CG339" s="393"/>
      <c r="CH339" s="393"/>
      <c r="CI339" s="393"/>
      <c r="CJ339" s="390"/>
      <c r="CK339" s="390"/>
      <c r="CL339" s="390"/>
      <c r="CM339" s="390"/>
      <c r="CN339" s="390"/>
      <c r="CO339" s="390"/>
      <c r="CP339" s="390"/>
      <c r="CQ339" s="390"/>
      <c r="CR339" s="390"/>
      <c r="CS339" s="390"/>
      <c r="CT339" s="390"/>
      <c r="CU339" s="390"/>
      <c r="CV339" s="390"/>
      <c r="CW339" s="390"/>
      <c r="CX339" s="390"/>
      <c r="CY339" s="390"/>
      <c r="CZ339" s="390"/>
      <c r="DA339" s="390"/>
      <c r="DB339" s="390"/>
      <c r="DC339" s="390"/>
    </row>
    <row r="340" spans="1:107" s="317" customFormat="1" ht="56.25">
      <c r="A340" s="37"/>
      <c r="B340" s="591" t="s">
        <v>23</v>
      </c>
      <c r="C340" s="592" t="s">
        <v>502</v>
      </c>
      <c r="D340" s="593" t="s">
        <v>1220</v>
      </c>
      <c r="E340" s="594">
        <v>476.27033903997773</v>
      </c>
      <c r="F340" s="592" t="s">
        <v>27</v>
      </c>
      <c r="G340" s="595">
        <v>0.55172730052875429</v>
      </c>
      <c r="H340" s="592" t="s">
        <v>66</v>
      </c>
      <c r="I340" s="596">
        <v>0.98347899853086229</v>
      </c>
      <c r="J340" s="592" t="s">
        <v>1097</v>
      </c>
      <c r="K340" s="592" t="s">
        <v>1012</v>
      </c>
      <c r="L340" s="592" t="s">
        <v>960</v>
      </c>
      <c r="M340" s="592" t="s">
        <v>90</v>
      </c>
      <c r="N340" s="678">
        <v>38.809306852495979</v>
      </c>
      <c r="O340" s="678">
        <v>57.888342992737343</v>
      </c>
      <c r="P340" s="678">
        <v>33.634732605496502</v>
      </c>
      <c r="Q340" s="678">
        <v>16.539526569353526</v>
      </c>
      <c r="R340" s="37"/>
      <c r="S340" s="592" t="s">
        <v>69</v>
      </c>
      <c r="T340" s="592" t="s">
        <v>69</v>
      </c>
      <c r="U340" s="592" t="s">
        <v>69</v>
      </c>
      <c r="V340" s="592" t="s">
        <v>69</v>
      </c>
      <c r="W340" s="592" t="s">
        <v>76</v>
      </c>
      <c r="X340" s="37"/>
      <c r="Y340" s="37"/>
      <c r="Z340" s="592" t="s">
        <v>78</v>
      </c>
      <c r="AA340" s="592" t="s">
        <v>78</v>
      </c>
      <c r="AB340" s="37"/>
      <c r="AC340" s="679">
        <v>13.287671232876711</v>
      </c>
      <c r="AD340" s="678" t="s">
        <v>72</v>
      </c>
      <c r="AE340" s="592" t="s">
        <v>73</v>
      </c>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c r="CA340" s="393"/>
      <c r="CB340" s="393"/>
      <c r="CC340" s="393"/>
      <c r="CD340" s="393"/>
      <c r="CE340" s="393"/>
      <c r="CF340" s="393"/>
      <c r="CG340" s="393"/>
      <c r="CH340" s="393"/>
      <c r="CI340" s="393"/>
      <c r="CJ340" s="390"/>
      <c r="CK340" s="390"/>
      <c r="CL340" s="390"/>
      <c r="CM340" s="390"/>
      <c r="CN340" s="390"/>
      <c r="CO340" s="390"/>
      <c r="CP340" s="390"/>
      <c r="CQ340" s="390"/>
      <c r="CR340" s="390"/>
      <c r="CS340" s="390"/>
      <c r="CT340" s="390"/>
      <c r="CU340" s="390"/>
      <c r="CV340" s="390"/>
      <c r="CW340" s="390"/>
      <c r="CX340" s="390"/>
      <c r="CY340" s="390"/>
      <c r="CZ340" s="390"/>
      <c r="DA340" s="390"/>
      <c r="DB340" s="390"/>
      <c r="DC340" s="390"/>
    </row>
    <row r="341" spans="1:107" s="317" customFormat="1" ht="56.25">
      <c r="A341" s="37"/>
      <c r="B341" s="591" t="s">
        <v>23</v>
      </c>
      <c r="C341" s="592" t="s">
        <v>502</v>
      </c>
      <c r="D341" s="593" t="s">
        <v>1220</v>
      </c>
      <c r="E341" s="594">
        <v>476.27033903997773</v>
      </c>
      <c r="F341" s="592" t="s">
        <v>27</v>
      </c>
      <c r="G341" s="595">
        <v>0.55172730052875429</v>
      </c>
      <c r="H341" s="592" t="s">
        <v>66</v>
      </c>
      <c r="I341" s="596">
        <v>0.98347899853086229</v>
      </c>
      <c r="J341" s="592" t="s">
        <v>1097</v>
      </c>
      <c r="K341" s="592" t="s">
        <v>1012</v>
      </c>
      <c r="L341" s="592" t="s">
        <v>960</v>
      </c>
      <c r="M341" s="592" t="s">
        <v>91</v>
      </c>
      <c r="N341" s="678">
        <v>38.809306852495979</v>
      </c>
      <c r="O341" s="678" t="s">
        <v>870</v>
      </c>
      <c r="P341" s="678">
        <v>33.634732605496502</v>
      </c>
      <c r="Q341" s="678" t="s">
        <v>870</v>
      </c>
      <c r="R341" s="37"/>
      <c r="S341" s="592" t="s">
        <v>69</v>
      </c>
      <c r="T341" s="592" t="s">
        <v>69</v>
      </c>
      <c r="U341" s="592" t="s">
        <v>69</v>
      </c>
      <c r="V341" s="592" t="s">
        <v>69</v>
      </c>
      <c r="W341" s="592" t="s">
        <v>76</v>
      </c>
      <c r="X341" s="37"/>
      <c r="Y341" s="37"/>
      <c r="Z341" s="592" t="s">
        <v>78</v>
      </c>
      <c r="AA341" s="592" t="s">
        <v>78</v>
      </c>
      <c r="AB341" s="37"/>
      <c r="AC341" s="679">
        <v>13.287671232876711</v>
      </c>
      <c r="AD341" s="678" t="s">
        <v>72</v>
      </c>
      <c r="AE341" s="592" t="s">
        <v>73</v>
      </c>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c r="CA341" s="393"/>
      <c r="CB341" s="393"/>
      <c r="CC341" s="393"/>
      <c r="CD341" s="393"/>
      <c r="CE341" s="393"/>
      <c r="CF341" s="393"/>
      <c r="CG341" s="393"/>
      <c r="CH341" s="393"/>
      <c r="CI341" s="393"/>
      <c r="CJ341" s="390"/>
      <c r="CK341" s="390"/>
      <c r="CL341" s="390"/>
      <c r="CM341" s="390"/>
      <c r="CN341" s="390"/>
      <c r="CO341" s="390"/>
      <c r="CP341" s="390"/>
      <c r="CQ341" s="390"/>
      <c r="CR341" s="390"/>
      <c r="CS341" s="390"/>
      <c r="CT341" s="390"/>
      <c r="CU341" s="390"/>
      <c r="CV341" s="390"/>
      <c r="CW341" s="390"/>
      <c r="CX341" s="390"/>
      <c r="CY341" s="390"/>
      <c r="CZ341" s="390"/>
      <c r="DA341" s="390"/>
      <c r="DB341" s="390"/>
      <c r="DC341" s="390"/>
    </row>
    <row r="342" spans="1:107" s="317" customFormat="1" ht="56.25">
      <c r="A342" s="37"/>
      <c r="B342" s="591" t="s">
        <v>23</v>
      </c>
      <c r="C342" s="592" t="s">
        <v>502</v>
      </c>
      <c r="D342" s="593" t="s">
        <v>1220</v>
      </c>
      <c r="E342" s="594">
        <v>476.27033903997773</v>
      </c>
      <c r="F342" s="592" t="s">
        <v>27</v>
      </c>
      <c r="G342" s="595">
        <v>0.55172730052875429</v>
      </c>
      <c r="H342" s="592" t="s">
        <v>66</v>
      </c>
      <c r="I342" s="596">
        <v>0.98347899853086229</v>
      </c>
      <c r="J342" s="592" t="s">
        <v>1097</v>
      </c>
      <c r="K342" s="592" t="s">
        <v>1012</v>
      </c>
      <c r="L342" s="592" t="s">
        <v>960</v>
      </c>
      <c r="M342" s="592" t="s">
        <v>92</v>
      </c>
      <c r="N342" s="678">
        <v>38.809306852495979</v>
      </c>
      <c r="O342" s="678">
        <v>74.427869562090848</v>
      </c>
      <c r="P342" s="678">
        <v>33.634732605496502</v>
      </c>
      <c r="Q342" s="678">
        <v>33.079053138707039</v>
      </c>
      <c r="R342" s="37"/>
      <c r="S342" s="592" t="s">
        <v>69</v>
      </c>
      <c r="T342" s="592" t="s">
        <v>69</v>
      </c>
      <c r="U342" s="592" t="s">
        <v>69</v>
      </c>
      <c r="V342" s="592" t="s">
        <v>69</v>
      </c>
      <c r="W342" s="592" t="s">
        <v>76</v>
      </c>
      <c r="X342" s="37"/>
      <c r="Y342" s="37"/>
      <c r="Z342" s="592" t="s">
        <v>78</v>
      </c>
      <c r="AA342" s="592" t="s">
        <v>78</v>
      </c>
      <c r="AB342" s="37"/>
      <c r="AC342" s="679">
        <v>13.287671232876711</v>
      </c>
      <c r="AD342" s="678" t="s">
        <v>72</v>
      </c>
      <c r="AE342" s="592" t="s">
        <v>73</v>
      </c>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c r="CA342" s="393"/>
      <c r="CB342" s="393"/>
      <c r="CC342" s="393"/>
      <c r="CD342" s="393"/>
      <c r="CE342" s="393"/>
      <c r="CF342" s="393"/>
      <c r="CG342" s="393"/>
      <c r="CH342" s="393"/>
      <c r="CI342" s="393"/>
      <c r="CJ342" s="390"/>
      <c r="CK342" s="390"/>
      <c r="CL342" s="390"/>
      <c r="CM342" s="390"/>
      <c r="CN342" s="390"/>
      <c r="CO342" s="390"/>
      <c r="CP342" s="390"/>
      <c r="CQ342" s="390"/>
      <c r="CR342" s="390"/>
      <c r="CS342" s="390"/>
      <c r="CT342" s="390"/>
      <c r="CU342" s="390"/>
      <c r="CV342" s="390"/>
      <c r="CW342" s="390"/>
      <c r="CX342" s="390"/>
      <c r="CY342" s="390"/>
      <c r="CZ342" s="390"/>
      <c r="DA342" s="390"/>
      <c r="DB342" s="390"/>
      <c r="DC342" s="390"/>
    </row>
    <row r="343" spans="1:107" s="317" customFormat="1" ht="56.25">
      <c r="A343" s="37"/>
      <c r="B343" s="591" t="s">
        <v>23</v>
      </c>
      <c r="C343" s="592" t="s">
        <v>502</v>
      </c>
      <c r="D343" s="593" t="s">
        <v>1220</v>
      </c>
      <c r="E343" s="594">
        <v>476.27033903997773</v>
      </c>
      <c r="F343" s="592" t="s">
        <v>27</v>
      </c>
      <c r="G343" s="595">
        <v>0.55172730052875429</v>
      </c>
      <c r="H343" s="592" t="s">
        <v>66</v>
      </c>
      <c r="I343" s="596">
        <v>0.98347899853086229</v>
      </c>
      <c r="J343" s="592" t="s">
        <v>1097</v>
      </c>
      <c r="K343" s="592" t="s">
        <v>1012</v>
      </c>
      <c r="L343" s="592" t="s">
        <v>960</v>
      </c>
      <c r="M343" s="592" t="s">
        <v>93</v>
      </c>
      <c r="N343" s="678">
        <v>38.809306852495979</v>
      </c>
      <c r="O343" s="678">
        <v>78.562751204429247</v>
      </c>
      <c r="P343" s="678">
        <v>33.634732605496502</v>
      </c>
      <c r="Q343" s="678">
        <v>37.213934781045424</v>
      </c>
      <c r="R343" s="37"/>
      <c r="S343" s="592" t="s">
        <v>69</v>
      </c>
      <c r="T343" s="592" t="s">
        <v>69</v>
      </c>
      <c r="U343" s="598" t="s">
        <v>44</v>
      </c>
      <c r="V343" s="598" t="s">
        <v>75</v>
      </c>
      <c r="W343" s="592" t="s">
        <v>76</v>
      </c>
      <c r="X343" s="37"/>
      <c r="Y343" s="37"/>
      <c r="Z343" s="592" t="s">
        <v>78</v>
      </c>
      <c r="AA343" s="592" t="s">
        <v>78</v>
      </c>
      <c r="AB343" s="37"/>
      <c r="AC343" s="679">
        <v>13.287671232876711</v>
      </c>
      <c r="AD343" s="678" t="s">
        <v>72</v>
      </c>
      <c r="AE343" s="592" t="s">
        <v>73</v>
      </c>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c r="CA343" s="393"/>
      <c r="CB343" s="393"/>
      <c r="CC343" s="393"/>
      <c r="CD343" s="393"/>
      <c r="CE343" s="393"/>
      <c r="CF343" s="393"/>
      <c r="CG343" s="393"/>
      <c r="CH343" s="393"/>
      <c r="CI343" s="393"/>
      <c r="CJ343" s="390"/>
      <c r="CK343" s="390"/>
      <c r="CL343" s="390"/>
      <c r="CM343" s="390"/>
      <c r="CN343" s="390"/>
      <c r="CO343" s="390"/>
      <c r="CP343" s="390"/>
      <c r="CQ343" s="390"/>
      <c r="CR343" s="390"/>
      <c r="CS343" s="390"/>
      <c r="CT343" s="390"/>
      <c r="CU343" s="390"/>
      <c r="CV343" s="390"/>
      <c r="CW343" s="390"/>
      <c r="CX343" s="390"/>
      <c r="CY343" s="390"/>
      <c r="CZ343" s="390"/>
      <c r="DA343" s="390"/>
      <c r="DB343" s="390"/>
      <c r="DC343" s="390"/>
    </row>
    <row r="344" spans="1:107" s="317" customFormat="1" ht="56.25">
      <c r="A344" s="37"/>
      <c r="B344" s="591" t="s">
        <v>23</v>
      </c>
      <c r="C344" s="592" t="s">
        <v>502</v>
      </c>
      <c r="D344" s="593" t="s">
        <v>1220</v>
      </c>
      <c r="E344" s="594">
        <v>476.27033903997773</v>
      </c>
      <c r="F344" s="592" t="s">
        <v>27</v>
      </c>
      <c r="G344" s="595">
        <v>0.55172730052875429</v>
      </c>
      <c r="H344" s="592" t="s">
        <v>66</v>
      </c>
      <c r="I344" s="596">
        <v>0.98347899853086229</v>
      </c>
      <c r="J344" s="592" t="s">
        <v>1097</v>
      </c>
      <c r="K344" s="592" t="s">
        <v>1012</v>
      </c>
      <c r="L344" s="592" t="s">
        <v>15</v>
      </c>
      <c r="M344" s="592" t="s">
        <v>88</v>
      </c>
      <c r="N344" s="678">
        <v>53.805561831709454</v>
      </c>
      <c r="O344" s="678">
        <v>49.618579708060572</v>
      </c>
      <c r="P344" s="678">
        <v>45.984985984077262</v>
      </c>
      <c r="Q344" s="678">
        <v>8.2697632846767579</v>
      </c>
      <c r="R344" s="37"/>
      <c r="S344" s="592" t="s">
        <v>44</v>
      </c>
      <c r="T344" s="598" t="s">
        <v>63</v>
      </c>
      <c r="U344" s="592" t="s">
        <v>69</v>
      </c>
      <c r="V344" s="592" t="s">
        <v>69</v>
      </c>
      <c r="W344" s="592" t="s">
        <v>76</v>
      </c>
      <c r="X344" s="37"/>
      <c r="Y344" s="37"/>
      <c r="Z344" s="592" t="s">
        <v>78</v>
      </c>
      <c r="AA344" s="592" t="s">
        <v>78</v>
      </c>
      <c r="AB344" s="37"/>
      <c r="AC344" s="679">
        <v>13.287671232876711</v>
      </c>
      <c r="AD344" s="678" t="s">
        <v>72</v>
      </c>
      <c r="AE344" s="592" t="s">
        <v>73</v>
      </c>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c r="CA344" s="393"/>
      <c r="CB344" s="393"/>
      <c r="CC344" s="393"/>
      <c r="CD344" s="393"/>
      <c r="CE344" s="393"/>
      <c r="CF344" s="393"/>
      <c r="CG344" s="393"/>
      <c r="CH344" s="393"/>
      <c r="CI344" s="393"/>
      <c r="CJ344" s="390"/>
      <c r="CK344" s="390"/>
      <c r="CL344" s="390"/>
      <c r="CM344" s="390"/>
      <c r="CN344" s="390"/>
      <c r="CO344" s="390"/>
      <c r="CP344" s="390"/>
      <c r="CQ344" s="390"/>
      <c r="CR344" s="390"/>
      <c r="CS344" s="390"/>
      <c r="CT344" s="390"/>
      <c r="CU344" s="390"/>
      <c r="CV344" s="390"/>
      <c r="CW344" s="390"/>
      <c r="CX344" s="390"/>
      <c r="CY344" s="390"/>
      <c r="CZ344" s="390"/>
      <c r="DA344" s="390"/>
      <c r="DB344" s="390"/>
      <c r="DC344" s="390"/>
    </row>
    <row r="345" spans="1:107" s="317" customFormat="1" ht="56.25">
      <c r="A345" s="37"/>
      <c r="B345" s="591" t="s">
        <v>23</v>
      </c>
      <c r="C345" s="592" t="s">
        <v>502</v>
      </c>
      <c r="D345" s="593" t="s">
        <v>1220</v>
      </c>
      <c r="E345" s="594">
        <v>476.27033903997773</v>
      </c>
      <c r="F345" s="592" t="s">
        <v>27</v>
      </c>
      <c r="G345" s="595">
        <v>0.55172730052875429</v>
      </c>
      <c r="H345" s="592" t="s">
        <v>66</v>
      </c>
      <c r="I345" s="596">
        <v>0.98347899853086229</v>
      </c>
      <c r="J345" s="592" t="s">
        <v>1097</v>
      </c>
      <c r="K345" s="592" t="s">
        <v>1012</v>
      </c>
      <c r="L345" s="592" t="s">
        <v>15</v>
      </c>
      <c r="M345" s="592" t="s">
        <v>90</v>
      </c>
      <c r="N345" s="678">
        <v>53.805561831709454</v>
      </c>
      <c r="O345" s="678">
        <v>57.888342992737343</v>
      </c>
      <c r="P345" s="678">
        <v>45.984985984077262</v>
      </c>
      <c r="Q345" s="678">
        <v>16.539526569353526</v>
      </c>
      <c r="R345" s="37"/>
      <c r="S345" s="592" t="s">
        <v>44</v>
      </c>
      <c r="T345" s="598" t="s">
        <v>63</v>
      </c>
      <c r="U345" s="592" t="s">
        <v>69</v>
      </c>
      <c r="V345" s="592" t="s">
        <v>69</v>
      </c>
      <c r="W345" s="592" t="s">
        <v>76</v>
      </c>
      <c r="X345" s="37"/>
      <c r="Y345" s="37"/>
      <c r="Z345" s="592" t="s">
        <v>78</v>
      </c>
      <c r="AA345" s="592" t="s">
        <v>78</v>
      </c>
      <c r="AB345" s="37"/>
      <c r="AC345" s="679">
        <v>13.287671232876711</v>
      </c>
      <c r="AD345" s="678" t="s">
        <v>72</v>
      </c>
      <c r="AE345" s="592" t="s">
        <v>73</v>
      </c>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c r="CA345" s="393"/>
      <c r="CB345" s="393"/>
      <c r="CC345" s="393"/>
      <c r="CD345" s="393"/>
      <c r="CE345" s="393"/>
      <c r="CF345" s="393"/>
      <c r="CG345" s="393"/>
      <c r="CH345" s="393"/>
      <c r="CI345" s="393"/>
      <c r="CJ345" s="390"/>
      <c r="CK345" s="390"/>
      <c r="CL345" s="390"/>
      <c r="CM345" s="390"/>
      <c r="CN345" s="390"/>
      <c r="CO345" s="390"/>
      <c r="CP345" s="390"/>
      <c r="CQ345" s="390"/>
      <c r="CR345" s="390"/>
      <c r="CS345" s="390"/>
      <c r="CT345" s="390"/>
      <c r="CU345" s="390"/>
      <c r="CV345" s="390"/>
      <c r="CW345" s="390"/>
      <c r="CX345" s="390"/>
      <c r="CY345" s="390"/>
      <c r="CZ345" s="390"/>
      <c r="DA345" s="390"/>
      <c r="DB345" s="390"/>
      <c r="DC345" s="390"/>
    </row>
    <row r="346" spans="1:107" s="317" customFormat="1" ht="56.25">
      <c r="A346" s="37"/>
      <c r="B346" s="591" t="s">
        <v>23</v>
      </c>
      <c r="C346" s="592" t="s">
        <v>502</v>
      </c>
      <c r="D346" s="593" t="s">
        <v>1220</v>
      </c>
      <c r="E346" s="594">
        <v>476.27033903997773</v>
      </c>
      <c r="F346" s="592" t="s">
        <v>27</v>
      </c>
      <c r="G346" s="595">
        <v>0.55172730052875429</v>
      </c>
      <c r="H346" s="592" t="s">
        <v>66</v>
      </c>
      <c r="I346" s="596">
        <v>0.98347899853086229</v>
      </c>
      <c r="J346" s="592" t="s">
        <v>1097</v>
      </c>
      <c r="K346" s="592" t="s">
        <v>1012</v>
      </c>
      <c r="L346" s="592" t="s">
        <v>15</v>
      </c>
      <c r="M346" s="592" t="s">
        <v>91</v>
      </c>
      <c r="N346" s="678">
        <v>53.805561831709454</v>
      </c>
      <c r="O346" s="678" t="s">
        <v>870</v>
      </c>
      <c r="P346" s="678">
        <v>45.984985984077262</v>
      </c>
      <c r="Q346" s="678" t="s">
        <v>870</v>
      </c>
      <c r="R346" s="37"/>
      <c r="S346" s="592" t="s">
        <v>44</v>
      </c>
      <c r="T346" s="598" t="s">
        <v>63</v>
      </c>
      <c r="U346" s="592" t="s">
        <v>69</v>
      </c>
      <c r="V346" s="592" t="s">
        <v>69</v>
      </c>
      <c r="W346" s="592" t="s">
        <v>76</v>
      </c>
      <c r="X346" s="37"/>
      <c r="Y346" s="37"/>
      <c r="Z346" s="592" t="s">
        <v>78</v>
      </c>
      <c r="AA346" s="592" t="s">
        <v>78</v>
      </c>
      <c r="AB346" s="37"/>
      <c r="AC346" s="679">
        <v>13.287671232876711</v>
      </c>
      <c r="AD346" s="678" t="s">
        <v>72</v>
      </c>
      <c r="AE346" s="592" t="s">
        <v>73</v>
      </c>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c r="CA346" s="393"/>
      <c r="CB346" s="393"/>
      <c r="CC346" s="393"/>
      <c r="CD346" s="393"/>
      <c r="CE346" s="393"/>
      <c r="CF346" s="393"/>
      <c r="CG346" s="393"/>
      <c r="CH346" s="393"/>
      <c r="CI346" s="393"/>
      <c r="CJ346" s="390"/>
      <c r="CK346" s="390"/>
      <c r="CL346" s="390"/>
      <c r="CM346" s="390"/>
      <c r="CN346" s="390"/>
      <c r="CO346" s="390"/>
      <c r="CP346" s="390"/>
      <c r="CQ346" s="390"/>
      <c r="CR346" s="390"/>
      <c r="CS346" s="390"/>
      <c r="CT346" s="390"/>
      <c r="CU346" s="390"/>
      <c r="CV346" s="390"/>
      <c r="CW346" s="390"/>
      <c r="CX346" s="390"/>
      <c r="CY346" s="390"/>
      <c r="CZ346" s="390"/>
      <c r="DA346" s="390"/>
      <c r="DB346" s="390"/>
      <c r="DC346" s="390"/>
    </row>
    <row r="347" spans="1:107" s="317" customFormat="1" ht="56.25">
      <c r="A347" s="37"/>
      <c r="B347" s="591" t="s">
        <v>23</v>
      </c>
      <c r="C347" s="592" t="s">
        <v>502</v>
      </c>
      <c r="D347" s="593" t="s">
        <v>1220</v>
      </c>
      <c r="E347" s="594">
        <v>476.27033903997773</v>
      </c>
      <c r="F347" s="592" t="s">
        <v>27</v>
      </c>
      <c r="G347" s="595">
        <v>0.55172730052875429</v>
      </c>
      <c r="H347" s="592" t="s">
        <v>66</v>
      </c>
      <c r="I347" s="596">
        <v>0.98347899853086229</v>
      </c>
      <c r="J347" s="592" t="s">
        <v>1097</v>
      </c>
      <c r="K347" s="592" t="s">
        <v>1012</v>
      </c>
      <c r="L347" s="592" t="s">
        <v>15</v>
      </c>
      <c r="M347" s="592" t="s">
        <v>92</v>
      </c>
      <c r="N347" s="678">
        <v>53.805561831709454</v>
      </c>
      <c r="O347" s="678">
        <v>74.427869562090848</v>
      </c>
      <c r="P347" s="678">
        <v>45.984985984077262</v>
      </c>
      <c r="Q347" s="678">
        <v>33.079053138707039</v>
      </c>
      <c r="R347" s="37"/>
      <c r="S347" s="592" t="s">
        <v>44</v>
      </c>
      <c r="T347" s="598" t="s">
        <v>63</v>
      </c>
      <c r="U347" s="592" t="s">
        <v>69</v>
      </c>
      <c r="V347" s="592" t="s">
        <v>69</v>
      </c>
      <c r="W347" s="592" t="s">
        <v>76</v>
      </c>
      <c r="X347" s="37"/>
      <c r="Y347" s="37"/>
      <c r="Z347" s="592" t="s">
        <v>78</v>
      </c>
      <c r="AA347" s="592" t="s">
        <v>78</v>
      </c>
      <c r="AB347" s="37"/>
      <c r="AC347" s="679">
        <v>13.287671232876711</v>
      </c>
      <c r="AD347" s="678" t="s">
        <v>72</v>
      </c>
      <c r="AE347" s="592" t="s">
        <v>73</v>
      </c>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c r="CA347" s="393"/>
      <c r="CB347" s="393"/>
      <c r="CC347" s="393"/>
      <c r="CD347" s="393"/>
      <c r="CE347" s="393"/>
      <c r="CF347" s="393"/>
      <c r="CG347" s="393"/>
      <c r="CH347" s="393"/>
      <c r="CI347" s="393"/>
      <c r="CJ347" s="390"/>
      <c r="CK347" s="390"/>
      <c r="CL347" s="390"/>
      <c r="CM347" s="390"/>
      <c r="CN347" s="390"/>
      <c r="CO347" s="390"/>
      <c r="CP347" s="390"/>
      <c r="CQ347" s="390"/>
      <c r="CR347" s="390"/>
      <c r="CS347" s="390"/>
      <c r="CT347" s="390"/>
      <c r="CU347" s="390"/>
      <c r="CV347" s="390"/>
      <c r="CW347" s="390"/>
      <c r="CX347" s="390"/>
      <c r="CY347" s="390"/>
      <c r="CZ347" s="390"/>
      <c r="DA347" s="390"/>
      <c r="DB347" s="390"/>
      <c r="DC347" s="390"/>
    </row>
    <row r="348" spans="1:107" s="317" customFormat="1" ht="56.25">
      <c r="A348" s="37"/>
      <c r="B348" s="591" t="s">
        <v>23</v>
      </c>
      <c r="C348" s="592" t="s">
        <v>502</v>
      </c>
      <c r="D348" s="593" t="s">
        <v>1220</v>
      </c>
      <c r="E348" s="594">
        <v>476.27033903997773</v>
      </c>
      <c r="F348" s="592" t="s">
        <v>27</v>
      </c>
      <c r="G348" s="595">
        <v>0.55172730052875429</v>
      </c>
      <c r="H348" s="592" t="s">
        <v>66</v>
      </c>
      <c r="I348" s="596">
        <v>0.98347899853086229</v>
      </c>
      <c r="J348" s="592" t="s">
        <v>1097</v>
      </c>
      <c r="K348" s="592" t="s">
        <v>1012</v>
      </c>
      <c r="L348" s="592" t="s">
        <v>15</v>
      </c>
      <c r="M348" s="592" t="s">
        <v>93</v>
      </c>
      <c r="N348" s="678">
        <v>53.805561831709454</v>
      </c>
      <c r="O348" s="678">
        <v>78.562751204429247</v>
      </c>
      <c r="P348" s="678">
        <v>45.984985984077262</v>
      </c>
      <c r="Q348" s="678">
        <v>37.213934781045424</v>
      </c>
      <c r="R348" s="37"/>
      <c r="S348" s="592" t="s">
        <v>44</v>
      </c>
      <c r="T348" s="598" t="s">
        <v>63</v>
      </c>
      <c r="U348" s="598" t="s">
        <v>44</v>
      </c>
      <c r="V348" s="598" t="s">
        <v>75</v>
      </c>
      <c r="W348" s="592" t="s">
        <v>76</v>
      </c>
      <c r="X348" s="37"/>
      <c r="Y348" s="37"/>
      <c r="Z348" s="592" t="s">
        <v>78</v>
      </c>
      <c r="AA348" s="592" t="s">
        <v>78</v>
      </c>
      <c r="AB348" s="37"/>
      <c r="AC348" s="679">
        <v>13.287671232876711</v>
      </c>
      <c r="AD348" s="678" t="s">
        <v>72</v>
      </c>
      <c r="AE348" s="592" t="s">
        <v>73</v>
      </c>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c r="CA348" s="393"/>
      <c r="CB348" s="393"/>
      <c r="CC348" s="393"/>
      <c r="CD348" s="393"/>
      <c r="CE348" s="393"/>
      <c r="CF348" s="393"/>
      <c r="CG348" s="393"/>
      <c r="CH348" s="393"/>
      <c r="CI348" s="393"/>
      <c r="CJ348" s="390"/>
      <c r="CK348" s="390"/>
      <c r="CL348" s="390"/>
      <c r="CM348" s="390"/>
      <c r="CN348" s="390"/>
      <c r="CO348" s="390"/>
      <c r="CP348" s="390"/>
      <c r="CQ348" s="390"/>
      <c r="CR348" s="390"/>
      <c r="CS348" s="390"/>
      <c r="CT348" s="390"/>
      <c r="CU348" s="390"/>
      <c r="CV348" s="390"/>
      <c r="CW348" s="390"/>
      <c r="CX348" s="390"/>
      <c r="CY348" s="390"/>
      <c r="CZ348" s="390"/>
      <c r="DA348" s="390"/>
      <c r="DB348" s="390"/>
      <c r="DC348" s="390"/>
    </row>
    <row r="349" spans="1:107" s="317" customFormat="1" ht="24">
      <c r="A349" s="37"/>
      <c r="B349" s="591" t="s">
        <v>23</v>
      </c>
      <c r="C349" s="592" t="s">
        <v>502</v>
      </c>
      <c r="D349" s="593" t="s">
        <v>1220</v>
      </c>
      <c r="E349" s="594">
        <v>476.27033903997773</v>
      </c>
      <c r="F349" s="592" t="s">
        <v>846</v>
      </c>
      <c r="G349" s="595">
        <v>6.1204122446344586E-2</v>
      </c>
      <c r="H349" s="592" t="s">
        <v>66</v>
      </c>
      <c r="I349" s="596">
        <v>0.99648613992654811</v>
      </c>
      <c r="J349" s="592" t="s">
        <v>25</v>
      </c>
      <c r="K349" s="592" t="s">
        <v>1012</v>
      </c>
      <c r="L349" s="592" t="s">
        <v>95</v>
      </c>
      <c r="M349" s="592" t="s">
        <v>88</v>
      </c>
      <c r="N349" s="678">
        <v>18.46148182717107</v>
      </c>
      <c r="O349" s="678">
        <v>5.5770777892896453</v>
      </c>
      <c r="P349" s="678">
        <v>18.46148182717107</v>
      </c>
      <c r="Q349" s="678">
        <v>0.92951296488160717</v>
      </c>
      <c r="R349" s="37"/>
      <c r="S349" s="592" t="s">
        <v>44</v>
      </c>
      <c r="T349" s="598" t="s">
        <v>63</v>
      </c>
      <c r="U349" s="592" t="s">
        <v>69</v>
      </c>
      <c r="V349" s="592" t="s">
        <v>69</v>
      </c>
      <c r="W349" s="592" t="s">
        <v>76</v>
      </c>
      <c r="X349" s="37"/>
      <c r="Y349" s="37"/>
      <c r="Z349" s="592" t="s">
        <v>78</v>
      </c>
      <c r="AA349" s="592" t="s">
        <v>78</v>
      </c>
      <c r="AB349" s="37"/>
      <c r="AC349" s="679">
        <v>13.287671232876711</v>
      </c>
      <c r="AD349" s="678" t="s">
        <v>72</v>
      </c>
      <c r="AE349" s="592" t="s">
        <v>73</v>
      </c>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c r="CA349" s="393"/>
      <c r="CB349" s="393"/>
      <c r="CC349" s="393"/>
      <c r="CD349" s="393"/>
      <c r="CE349" s="393"/>
      <c r="CF349" s="393"/>
      <c r="CG349" s="393"/>
      <c r="CH349" s="393"/>
      <c r="CI349" s="393"/>
      <c r="CJ349" s="390"/>
      <c r="CK349" s="390"/>
      <c r="CL349" s="390"/>
      <c r="CM349" s="390"/>
      <c r="CN349" s="390"/>
      <c r="CO349" s="390"/>
      <c r="CP349" s="390"/>
      <c r="CQ349" s="390"/>
      <c r="CR349" s="390"/>
      <c r="CS349" s="390"/>
      <c r="CT349" s="390"/>
      <c r="CU349" s="390"/>
      <c r="CV349" s="390"/>
      <c r="CW349" s="390"/>
      <c r="CX349" s="390"/>
      <c r="CY349" s="390"/>
      <c r="CZ349" s="390"/>
      <c r="DA349" s="390"/>
      <c r="DB349" s="390"/>
      <c r="DC349" s="390"/>
    </row>
    <row r="350" spans="1:107" s="317" customFormat="1" ht="24">
      <c r="A350" s="37"/>
      <c r="B350" s="591" t="s">
        <v>23</v>
      </c>
      <c r="C350" s="592" t="s">
        <v>502</v>
      </c>
      <c r="D350" s="593" t="s">
        <v>1220</v>
      </c>
      <c r="E350" s="594">
        <v>476.27033903997773</v>
      </c>
      <c r="F350" s="592" t="s">
        <v>846</v>
      </c>
      <c r="G350" s="595">
        <v>6.1204122446344586E-2</v>
      </c>
      <c r="H350" s="592" t="s">
        <v>66</v>
      </c>
      <c r="I350" s="596">
        <v>0.99648613992654811</v>
      </c>
      <c r="J350" s="592" t="s">
        <v>25</v>
      </c>
      <c r="K350" s="592" t="s">
        <v>1012</v>
      </c>
      <c r="L350" s="592" t="s">
        <v>95</v>
      </c>
      <c r="M350" s="592" t="s">
        <v>90</v>
      </c>
      <c r="N350" s="678">
        <v>18.46148182717107</v>
      </c>
      <c r="O350" s="678">
        <v>6.5065907541712544</v>
      </c>
      <c r="P350" s="678">
        <v>18.46148182717107</v>
      </c>
      <c r="Q350" s="678">
        <v>1.8590259297632157</v>
      </c>
      <c r="R350" s="37"/>
      <c r="S350" s="592" t="s">
        <v>44</v>
      </c>
      <c r="T350" s="598" t="s">
        <v>63</v>
      </c>
      <c r="U350" s="592" t="s">
        <v>69</v>
      </c>
      <c r="V350" s="592" t="s">
        <v>69</v>
      </c>
      <c r="W350" s="592" t="s">
        <v>76</v>
      </c>
      <c r="X350" s="37"/>
      <c r="Y350" s="37"/>
      <c r="Z350" s="592" t="s">
        <v>78</v>
      </c>
      <c r="AA350" s="592" t="s">
        <v>78</v>
      </c>
      <c r="AB350" s="37"/>
      <c r="AC350" s="679">
        <v>13.287671232876711</v>
      </c>
      <c r="AD350" s="678" t="s">
        <v>72</v>
      </c>
      <c r="AE350" s="592" t="s">
        <v>73</v>
      </c>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c r="CA350" s="393"/>
      <c r="CB350" s="393"/>
      <c r="CC350" s="393"/>
      <c r="CD350" s="393"/>
      <c r="CE350" s="393"/>
      <c r="CF350" s="393"/>
      <c r="CG350" s="393"/>
      <c r="CH350" s="393"/>
      <c r="CI350" s="393"/>
      <c r="CJ350" s="390"/>
      <c r="CK350" s="390"/>
      <c r="CL350" s="390"/>
      <c r="CM350" s="390"/>
      <c r="CN350" s="390"/>
      <c r="CO350" s="390"/>
      <c r="CP350" s="390"/>
      <c r="CQ350" s="390"/>
      <c r="CR350" s="390"/>
      <c r="CS350" s="390"/>
      <c r="CT350" s="390"/>
      <c r="CU350" s="390"/>
      <c r="CV350" s="390"/>
      <c r="CW350" s="390"/>
      <c r="CX350" s="390"/>
      <c r="CY350" s="390"/>
      <c r="CZ350" s="390"/>
      <c r="DA350" s="390"/>
      <c r="DB350" s="390"/>
      <c r="DC350" s="390"/>
    </row>
    <row r="351" spans="1:107" s="317" customFormat="1" ht="24">
      <c r="A351" s="37"/>
      <c r="B351" s="591" t="s">
        <v>23</v>
      </c>
      <c r="C351" s="592" t="s">
        <v>502</v>
      </c>
      <c r="D351" s="593" t="s">
        <v>1220</v>
      </c>
      <c r="E351" s="594">
        <v>476.27033903997773</v>
      </c>
      <c r="F351" s="592" t="s">
        <v>846</v>
      </c>
      <c r="G351" s="595">
        <v>6.1204122446344586E-2</v>
      </c>
      <c r="H351" s="592" t="s">
        <v>66</v>
      </c>
      <c r="I351" s="596">
        <v>0.99648613992654811</v>
      </c>
      <c r="J351" s="592" t="s">
        <v>25</v>
      </c>
      <c r="K351" s="592" t="s">
        <v>1012</v>
      </c>
      <c r="L351" s="592" t="s">
        <v>95</v>
      </c>
      <c r="M351" s="592" t="s">
        <v>91</v>
      </c>
      <c r="N351" s="678">
        <v>18.46148182717107</v>
      </c>
      <c r="O351" s="678" t="s">
        <v>870</v>
      </c>
      <c r="P351" s="678">
        <v>18.46148182717107</v>
      </c>
      <c r="Q351" s="678" t="s">
        <v>870</v>
      </c>
      <c r="R351" s="37"/>
      <c r="S351" s="592" t="s">
        <v>44</v>
      </c>
      <c r="T351" s="598" t="s">
        <v>63</v>
      </c>
      <c r="U351" s="598" t="s">
        <v>870</v>
      </c>
      <c r="V351" s="598" t="s">
        <v>870</v>
      </c>
      <c r="W351" s="592" t="s">
        <v>76</v>
      </c>
      <c r="X351" s="37"/>
      <c r="Y351" s="37"/>
      <c r="Z351" s="592" t="s">
        <v>78</v>
      </c>
      <c r="AA351" s="592" t="s">
        <v>78</v>
      </c>
      <c r="AB351" s="37"/>
      <c r="AC351" s="679">
        <v>13.287671232876711</v>
      </c>
      <c r="AD351" s="678" t="s">
        <v>72</v>
      </c>
      <c r="AE351" s="592" t="s">
        <v>73</v>
      </c>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c r="CA351" s="393"/>
      <c r="CB351" s="393"/>
      <c r="CC351" s="393"/>
      <c r="CD351" s="393"/>
      <c r="CE351" s="393"/>
      <c r="CF351" s="393"/>
      <c r="CG351" s="393"/>
      <c r="CH351" s="393"/>
      <c r="CI351" s="393"/>
      <c r="CJ351" s="390"/>
      <c r="CK351" s="390"/>
      <c r="CL351" s="390"/>
      <c r="CM351" s="390"/>
      <c r="CN351" s="390"/>
      <c r="CO351" s="390"/>
      <c r="CP351" s="390"/>
      <c r="CQ351" s="390"/>
      <c r="CR351" s="390"/>
      <c r="CS351" s="390"/>
      <c r="CT351" s="390"/>
      <c r="CU351" s="390"/>
      <c r="CV351" s="390"/>
      <c r="CW351" s="390"/>
      <c r="CX351" s="390"/>
      <c r="CY351" s="390"/>
      <c r="CZ351" s="390"/>
      <c r="DA351" s="390"/>
      <c r="DB351" s="390"/>
      <c r="DC351" s="390"/>
    </row>
    <row r="352" spans="1:107" s="317" customFormat="1" ht="24">
      <c r="A352" s="37"/>
      <c r="B352" s="591" t="s">
        <v>23</v>
      </c>
      <c r="C352" s="592" t="s">
        <v>502</v>
      </c>
      <c r="D352" s="593" t="s">
        <v>1220</v>
      </c>
      <c r="E352" s="594">
        <v>476.27033903997773</v>
      </c>
      <c r="F352" s="592" t="s">
        <v>846</v>
      </c>
      <c r="G352" s="595">
        <v>6.1204122446344586E-2</v>
      </c>
      <c r="H352" s="592" t="s">
        <v>66</v>
      </c>
      <c r="I352" s="596">
        <v>0.99648613992654811</v>
      </c>
      <c r="J352" s="592" t="s">
        <v>25</v>
      </c>
      <c r="K352" s="592" t="s">
        <v>1012</v>
      </c>
      <c r="L352" s="592" t="s">
        <v>95</v>
      </c>
      <c r="M352" s="592" t="s">
        <v>92</v>
      </c>
      <c r="N352" s="678">
        <v>18.46148182717107</v>
      </c>
      <c r="O352" s="678">
        <v>8.3656166839344674</v>
      </c>
      <c r="P352" s="678">
        <v>18.46148182717107</v>
      </c>
      <c r="Q352" s="678">
        <v>3.71805185952643</v>
      </c>
      <c r="R352" s="37"/>
      <c r="S352" s="592" t="s">
        <v>44</v>
      </c>
      <c r="T352" s="598" t="s">
        <v>63</v>
      </c>
      <c r="U352" s="592" t="s">
        <v>69</v>
      </c>
      <c r="V352" s="592" t="s">
        <v>69</v>
      </c>
      <c r="W352" s="592" t="s">
        <v>76</v>
      </c>
      <c r="X352" s="37"/>
      <c r="Y352" s="37"/>
      <c r="Z352" s="592" t="s">
        <v>78</v>
      </c>
      <c r="AA352" s="592" t="s">
        <v>78</v>
      </c>
      <c r="AB352" s="37"/>
      <c r="AC352" s="679">
        <v>13.287671232876711</v>
      </c>
      <c r="AD352" s="678" t="s">
        <v>72</v>
      </c>
      <c r="AE352" s="592" t="s">
        <v>73</v>
      </c>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c r="CA352" s="393"/>
      <c r="CB352" s="393"/>
      <c r="CC352" s="393"/>
      <c r="CD352" s="393"/>
      <c r="CE352" s="393"/>
      <c r="CF352" s="393"/>
      <c r="CG352" s="393"/>
      <c r="CH352" s="393"/>
      <c r="CI352" s="393"/>
      <c r="CJ352" s="390"/>
      <c r="CK352" s="390"/>
      <c r="CL352" s="390"/>
      <c r="CM352" s="390"/>
      <c r="CN352" s="390"/>
      <c r="CO352" s="390"/>
      <c r="CP352" s="390"/>
      <c r="CQ352" s="390"/>
      <c r="CR352" s="390"/>
      <c r="CS352" s="390"/>
      <c r="CT352" s="390"/>
      <c r="CU352" s="390"/>
      <c r="CV352" s="390"/>
      <c r="CW352" s="390"/>
      <c r="CX352" s="390"/>
      <c r="CY352" s="390"/>
      <c r="CZ352" s="390"/>
      <c r="DA352" s="390"/>
      <c r="DB352" s="390"/>
      <c r="DC352" s="390"/>
    </row>
    <row r="353" spans="1:107" s="317" customFormat="1" ht="24">
      <c r="A353" s="37"/>
      <c r="B353" s="591" t="s">
        <v>23</v>
      </c>
      <c r="C353" s="592" t="s">
        <v>502</v>
      </c>
      <c r="D353" s="593" t="s">
        <v>1220</v>
      </c>
      <c r="E353" s="594">
        <v>476.27033903997773</v>
      </c>
      <c r="F353" s="592" t="s">
        <v>846</v>
      </c>
      <c r="G353" s="595">
        <v>6.1204122446344586E-2</v>
      </c>
      <c r="H353" s="592" t="s">
        <v>66</v>
      </c>
      <c r="I353" s="596">
        <v>0.99648613992654811</v>
      </c>
      <c r="J353" s="592" t="s">
        <v>25</v>
      </c>
      <c r="K353" s="592" t="s">
        <v>1012</v>
      </c>
      <c r="L353" s="592" t="s">
        <v>95</v>
      </c>
      <c r="M353" s="592" t="s">
        <v>93</v>
      </c>
      <c r="N353" s="678">
        <v>18.46148182717107</v>
      </c>
      <c r="O353" s="678">
        <v>8.8303731663752725</v>
      </c>
      <c r="P353" s="678">
        <v>18.46148182717107</v>
      </c>
      <c r="Q353" s="678">
        <v>4.1828083419672337</v>
      </c>
      <c r="R353" s="37"/>
      <c r="S353" s="592" t="s">
        <v>44</v>
      </c>
      <c r="T353" s="598" t="s">
        <v>63</v>
      </c>
      <c r="U353" s="598" t="s">
        <v>44</v>
      </c>
      <c r="V353" s="598" t="s">
        <v>75</v>
      </c>
      <c r="W353" s="592" t="s">
        <v>76</v>
      </c>
      <c r="X353" s="37"/>
      <c r="Y353" s="37"/>
      <c r="Z353" s="592" t="s">
        <v>78</v>
      </c>
      <c r="AA353" s="592" t="s">
        <v>78</v>
      </c>
      <c r="AB353" s="37"/>
      <c r="AC353" s="679">
        <v>13.287671232876711</v>
      </c>
      <c r="AD353" s="678" t="s">
        <v>72</v>
      </c>
      <c r="AE353" s="592" t="s">
        <v>73</v>
      </c>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c r="CA353" s="393"/>
      <c r="CB353" s="393"/>
      <c r="CC353" s="393"/>
      <c r="CD353" s="393"/>
      <c r="CE353" s="393"/>
      <c r="CF353" s="393"/>
      <c r="CG353" s="393"/>
      <c r="CH353" s="393"/>
      <c r="CI353" s="393"/>
      <c r="CJ353" s="390"/>
      <c r="CK353" s="390"/>
      <c r="CL353" s="390"/>
      <c r="CM353" s="390"/>
      <c r="CN353" s="390"/>
      <c r="CO353" s="390"/>
      <c r="CP353" s="390"/>
      <c r="CQ353" s="390"/>
      <c r="CR353" s="390"/>
      <c r="CS353" s="390"/>
      <c r="CT353" s="390"/>
      <c r="CU353" s="390"/>
      <c r="CV353" s="390"/>
      <c r="CW353" s="390"/>
      <c r="CX353" s="390"/>
      <c r="CY353" s="390"/>
      <c r="CZ353" s="390"/>
      <c r="DA353" s="390"/>
      <c r="DB353" s="390"/>
      <c r="DC353" s="390"/>
    </row>
    <row r="354" spans="1:107" s="317" customFormat="1" ht="24">
      <c r="A354" s="37"/>
      <c r="B354" s="591" t="s">
        <v>23</v>
      </c>
      <c r="C354" s="592" t="s">
        <v>502</v>
      </c>
      <c r="D354" s="593" t="s">
        <v>1220</v>
      </c>
      <c r="E354" s="594">
        <v>476.27033903997773</v>
      </c>
      <c r="F354" s="592" t="s">
        <v>846</v>
      </c>
      <c r="G354" s="595">
        <v>6.1204122446344586E-2</v>
      </c>
      <c r="H354" s="592" t="s">
        <v>66</v>
      </c>
      <c r="I354" s="596">
        <v>0.99648613992654811</v>
      </c>
      <c r="J354" s="592" t="s">
        <v>25</v>
      </c>
      <c r="K354" s="592" t="s">
        <v>1012</v>
      </c>
      <c r="L354" s="592" t="s">
        <v>24</v>
      </c>
      <c r="M354" s="592" t="s">
        <v>88</v>
      </c>
      <c r="N354" s="678">
        <v>17.003996419762828</v>
      </c>
      <c r="O354" s="678">
        <v>5.5770777892896453</v>
      </c>
      <c r="P354" s="678">
        <v>17.003996419762828</v>
      </c>
      <c r="Q354" s="678">
        <v>0.92951296488160717</v>
      </c>
      <c r="R354" s="37"/>
      <c r="S354" s="592" t="s">
        <v>68</v>
      </c>
      <c r="T354" s="592" t="s">
        <v>63</v>
      </c>
      <c r="U354" s="592" t="s">
        <v>69</v>
      </c>
      <c r="V354" s="592" t="s">
        <v>69</v>
      </c>
      <c r="W354" s="592" t="s">
        <v>70</v>
      </c>
      <c r="X354" s="37"/>
      <c r="Y354" s="37"/>
      <c r="Z354" s="592" t="s">
        <v>78</v>
      </c>
      <c r="AA354" s="592" t="s">
        <v>78</v>
      </c>
      <c r="AB354" s="37"/>
      <c r="AC354" s="679">
        <v>13.287671232876711</v>
      </c>
      <c r="AD354" s="678" t="s">
        <v>72</v>
      </c>
      <c r="AE354" s="592" t="s">
        <v>73</v>
      </c>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c r="CA354" s="393"/>
      <c r="CB354" s="393"/>
      <c r="CC354" s="393"/>
      <c r="CD354" s="393"/>
      <c r="CE354" s="393"/>
      <c r="CF354" s="393"/>
      <c r="CG354" s="393"/>
      <c r="CH354" s="393"/>
      <c r="CI354" s="393"/>
      <c r="CJ354" s="390"/>
      <c r="CK354" s="390"/>
      <c r="CL354" s="390"/>
      <c r="CM354" s="390"/>
      <c r="CN354" s="390"/>
      <c r="CO354" s="390"/>
      <c r="CP354" s="390"/>
      <c r="CQ354" s="390"/>
      <c r="CR354" s="390"/>
      <c r="CS354" s="390"/>
      <c r="CT354" s="390"/>
      <c r="CU354" s="390"/>
      <c r="CV354" s="390"/>
      <c r="CW354" s="390"/>
      <c r="CX354" s="390"/>
      <c r="CY354" s="390"/>
      <c r="CZ354" s="390"/>
      <c r="DA354" s="390"/>
      <c r="DB354" s="390"/>
      <c r="DC354" s="390"/>
    </row>
    <row r="355" spans="1:107" s="317" customFormat="1" ht="24">
      <c r="A355" s="37"/>
      <c r="B355" s="591" t="s">
        <v>23</v>
      </c>
      <c r="C355" s="592" t="s">
        <v>502</v>
      </c>
      <c r="D355" s="593" t="s">
        <v>1220</v>
      </c>
      <c r="E355" s="594">
        <v>476.27033903997773</v>
      </c>
      <c r="F355" s="592" t="s">
        <v>846</v>
      </c>
      <c r="G355" s="595">
        <v>6.1204122446344586E-2</v>
      </c>
      <c r="H355" s="592" t="s">
        <v>66</v>
      </c>
      <c r="I355" s="596">
        <v>0.99648613992654811</v>
      </c>
      <c r="J355" s="592" t="s">
        <v>25</v>
      </c>
      <c r="K355" s="592" t="s">
        <v>1012</v>
      </c>
      <c r="L355" s="592" t="s">
        <v>24</v>
      </c>
      <c r="M355" s="592" t="s">
        <v>90</v>
      </c>
      <c r="N355" s="678">
        <v>17.003996419762828</v>
      </c>
      <c r="O355" s="678">
        <v>6.5065907541712544</v>
      </c>
      <c r="P355" s="678">
        <v>17.003996419762828</v>
      </c>
      <c r="Q355" s="678">
        <v>1.8590259297632157</v>
      </c>
      <c r="R355" s="37"/>
      <c r="S355" s="592" t="s">
        <v>68</v>
      </c>
      <c r="T355" s="592" t="s">
        <v>63</v>
      </c>
      <c r="U355" s="592" t="s">
        <v>69</v>
      </c>
      <c r="V355" s="592" t="s">
        <v>69</v>
      </c>
      <c r="W355" s="592" t="s">
        <v>70</v>
      </c>
      <c r="X355" s="37"/>
      <c r="Y355" s="37"/>
      <c r="Z355" s="592" t="s">
        <v>78</v>
      </c>
      <c r="AA355" s="592" t="s">
        <v>78</v>
      </c>
      <c r="AB355" s="37"/>
      <c r="AC355" s="679">
        <v>13.287671232876711</v>
      </c>
      <c r="AD355" s="678" t="s">
        <v>72</v>
      </c>
      <c r="AE355" s="592" t="s">
        <v>73</v>
      </c>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c r="CA355" s="393"/>
      <c r="CB355" s="393"/>
      <c r="CC355" s="393"/>
      <c r="CD355" s="393"/>
      <c r="CE355" s="393"/>
      <c r="CF355" s="393"/>
      <c r="CG355" s="393"/>
      <c r="CH355" s="393"/>
      <c r="CI355" s="393"/>
      <c r="CJ355" s="390"/>
      <c r="CK355" s="390"/>
      <c r="CL355" s="390"/>
      <c r="CM355" s="390"/>
      <c r="CN355" s="390"/>
      <c r="CO355" s="390"/>
      <c r="CP355" s="390"/>
      <c r="CQ355" s="390"/>
      <c r="CR355" s="390"/>
      <c r="CS355" s="390"/>
      <c r="CT355" s="390"/>
      <c r="CU355" s="390"/>
      <c r="CV355" s="390"/>
      <c r="CW355" s="390"/>
      <c r="CX355" s="390"/>
      <c r="CY355" s="390"/>
      <c r="CZ355" s="390"/>
      <c r="DA355" s="390"/>
      <c r="DB355" s="390"/>
      <c r="DC355" s="390"/>
    </row>
    <row r="356" spans="1:107" s="317" customFormat="1" ht="24">
      <c r="A356" s="37"/>
      <c r="B356" s="591" t="s">
        <v>23</v>
      </c>
      <c r="C356" s="592" t="s">
        <v>502</v>
      </c>
      <c r="D356" s="593" t="s">
        <v>1220</v>
      </c>
      <c r="E356" s="594">
        <v>476.27033903997773</v>
      </c>
      <c r="F356" s="592" t="s">
        <v>846</v>
      </c>
      <c r="G356" s="595">
        <v>6.1204122446344586E-2</v>
      </c>
      <c r="H356" s="592" t="s">
        <v>66</v>
      </c>
      <c r="I356" s="596">
        <v>0.99648613992654811</v>
      </c>
      <c r="J356" s="592" t="s">
        <v>25</v>
      </c>
      <c r="K356" s="592" t="s">
        <v>1012</v>
      </c>
      <c r="L356" s="592" t="s">
        <v>24</v>
      </c>
      <c r="M356" s="592" t="s">
        <v>91</v>
      </c>
      <c r="N356" s="678">
        <v>17.003996419762828</v>
      </c>
      <c r="O356" s="678" t="s">
        <v>870</v>
      </c>
      <c r="P356" s="678">
        <v>17.003996419762828</v>
      </c>
      <c r="Q356" s="678" t="s">
        <v>870</v>
      </c>
      <c r="R356" s="37"/>
      <c r="S356" s="592" t="s">
        <v>68</v>
      </c>
      <c r="T356" s="592" t="s">
        <v>63</v>
      </c>
      <c r="U356" s="598" t="s">
        <v>69</v>
      </c>
      <c r="V356" s="598" t="s">
        <v>69</v>
      </c>
      <c r="W356" s="592" t="s">
        <v>70</v>
      </c>
      <c r="X356" s="37"/>
      <c r="Y356" s="37"/>
      <c r="Z356" s="592" t="s">
        <v>78</v>
      </c>
      <c r="AA356" s="592" t="s">
        <v>78</v>
      </c>
      <c r="AB356" s="37"/>
      <c r="AC356" s="679">
        <v>13.287671232876711</v>
      </c>
      <c r="AD356" s="678" t="s">
        <v>72</v>
      </c>
      <c r="AE356" s="592" t="s">
        <v>73</v>
      </c>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c r="CA356" s="393"/>
      <c r="CB356" s="393"/>
      <c r="CC356" s="393"/>
      <c r="CD356" s="393"/>
      <c r="CE356" s="393"/>
      <c r="CF356" s="393"/>
      <c r="CG356" s="393"/>
      <c r="CH356" s="393"/>
      <c r="CI356" s="393"/>
      <c r="CJ356" s="390"/>
      <c r="CK356" s="390"/>
      <c r="CL356" s="390"/>
      <c r="CM356" s="390"/>
      <c r="CN356" s="390"/>
      <c r="CO356" s="390"/>
      <c r="CP356" s="390"/>
      <c r="CQ356" s="390"/>
      <c r="CR356" s="390"/>
      <c r="CS356" s="390"/>
      <c r="CT356" s="390"/>
      <c r="CU356" s="390"/>
      <c r="CV356" s="390"/>
      <c r="CW356" s="390"/>
      <c r="CX356" s="390"/>
      <c r="CY356" s="390"/>
      <c r="CZ356" s="390"/>
      <c r="DA356" s="390"/>
      <c r="DB356" s="390"/>
      <c r="DC356" s="390"/>
    </row>
    <row r="357" spans="1:107" s="317" customFormat="1" ht="24">
      <c r="A357" s="37"/>
      <c r="B357" s="591" t="s">
        <v>23</v>
      </c>
      <c r="C357" s="592" t="s">
        <v>502</v>
      </c>
      <c r="D357" s="593" t="s">
        <v>1220</v>
      </c>
      <c r="E357" s="594">
        <v>476.27033903997773</v>
      </c>
      <c r="F357" s="592" t="s">
        <v>846</v>
      </c>
      <c r="G357" s="595">
        <v>6.1204122446344586E-2</v>
      </c>
      <c r="H357" s="592" t="s">
        <v>66</v>
      </c>
      <c r="I357" s="596">
        <v>0.99648613992654811</v>
      </c>
      <c r="J357" s="592" t="s">
        <v>25</v>
      </c>
      <c r="K357" s="592" t="s">
        <v>1012</v>
      </c>
      <c r="L357" s="592" t="s">
        <v>24</v>
      </c>
      <c r="M357" s="592" t="s">
        <v>92</v>
      </c>
      <c r="N357" s="678">
        <v>17.003996419762828</v>
      </c>
      <c r="O357" s="678">
        <v>8.3656166839344674</v>
      </c>
      <c r="P357" s="678">
        <v>17.003996419762828</v>
      </c>
      <c r="Q357" s="678">
        <v>3.71805185952643</v>
      </c>
      <c r="R357" s="37"/>
      <c r="S357" s="592" t="s">
        <v>68</v>
      </c>
      <c r="T357" s="592" t="s">
        <v>63</v>
      </c>
      <c r="U357" s="592" t="s">
        <v>69</v>
      </c>
      <c r="V357" s="592" t="s">
        <v>69</v>
      </c>
      <c r="W357" s="592" t="s">
        <v>70</v>
      </c>
      <c r="X357" s="37"/>
      <c r="Y357" s="37"/>
      <c r="Z357" s="592" t="s">
        <v>78</v>
      </c>
      <c r="AA357" s="592" t="s">
        <v>78</v>
      </c>
      <c r="AB357" s="37"/>
      <c r="AC357" s="679">
        <v>13.287671232876711</v>
      </c>
      <c r="AD357" s="678" t="s">
        <v>72</v>
      </c>
      <c r="AE357" s="592" t="s">
        <v>73</v>
      </c>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c r="CA357" s="393"/>
      <c r="CB357" s="393"/>
      <c r="CC357" s="393"/>
      <c r="CD357" s="393"/>
      <c r="CE357" s="393"/>
      <c r="CF357" s="393"/>
      <c r="CG357" s="393"/>
      <c r="CH357" s="393"/>
      <c r="CI357" s="393"/>
      <c r="CJ357" s="390"/>
      <c r="CK357" s="390"/>
      <c r="CL357" s="390"/>
      <c r="CM357" s="390"/>
      <c r="CN357" s="390"/>
      <c r="CO357" s="390"/>
      <c r="CP357" s="390"/>
      <c r="CQ357" s="390"/>
      <c r="CR357" s="390"/>
      <c r="CS357" s="390"/>
      <c r="CT357" s="390"/>
      <c r="CU357" s="390"/>
      <c r="CV357" s="390"/>
      <c r="CW357" s="390"/>
      <c r="CX357" s="390"/>
      <c r="CY357" s="390"/>
      <c r="CZ357" s="390"/>
      <c r="DA357" s="390"/>
      <c r="DB357" s="390"/>
      <c r="DC357" s="390"/>
    </row>
    <row r="358" spans="1:107" s="317" customFormat="1" ht="24">
      <c r="A358" s="37"/>
      <c r="B358" s="591" t="s">
        <v>23</v>
      </c>
      <c r="C358" s="592" t="s">
        <v>502</v>
      </c>
      <c r="D358" s="593" t="s">
        <v>1220</v>
      </c>
      <c r="E358" s="594">
        <v>476.27033903997773</v>
      </c>
      <c r="F358" s="592" t="s">
        <v>846</v>
      </c>
      <c r="G358" s="595">
        <v>6.1204122446344586E-2</v>
      </c>
      <c r="H358" s="592" t="s">
        <v>66</v>
      </c>
      <c r="I358" s="596">
        <v>0.99648613992654811</v>
      </c>
      <c r="J358" s="592" t="s">
        <v>25</v>
      </c>
      <c r="K358" s="592" t="s">
        <v>1012</v>
      </c>
      <c r="L358" s="592" t="s">
        <v>24</v>
      </c>
      <c r="M358" s="592" t="s">
        <v>93</v>
      </c>
      <c r="N358" s="678">
        <v>17.003996419762828</v>
      </c>
      <c r="O358" s="678">
        <v>8.8303731663752725</v>
      </c>
      <c r="P358" s="678">
        <v>17.003996419762828</v>
      </c>
      <c r="Q358" s="678">
        <v>4.1828083419672337</v>
      </c>
      <c r="R358" s="37"/>
      <c r="S358" s="592" t="s">
        <v>68</v>
      </c>
      <c r="T358" s="592" t="s">
        <v>63</v>
      </c>
      <c r="U358" s="598" t="s">
        <v>44</v>
      </c>
      <c r="V358" s="598" t="s">
        <v>75</v>
      </c>
      <c r="W358" s="592" t="s">
        <v>70</v>
      </c>
      <c r="X358" s="37"/>
      <c r="Y358" s="37"/>
      <c r="Z358" s="592" t="s">
        <v>78</v>
      </c>
      <c r="AA358" s="592" t="s">
        <v>78</v>
      </c>
      <c r="AB358" s="37"/>
      <c r="AC358" s="679">
        <v>13.287671232876711</v>
      </c>
      <c r="AD358" s="678" t="s">
        <v>72</v>
      </c>
      <c r="AE358" s="592" t="s">
        <v>73</v>
      </c>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c r="CA358" s="393"/>
      <c r="CB358" s="393"/>
      <c r="CC358" s="393"/>
      <c r="CD358" s="393"/>
      <c r="CE358" s="393"/>
      <c r="CF358" s="393"/>
      <c r="CG358" s="393"/>
      <c r="CH358" s="393"/>
      <c r="CI358" s="393"/>
      <c r="CJ358" s="390"/>
      <c r="CK358" s="390"/>
      <c r="CL358" s="390"/>
      <c r="CM358" s="390"/>
      <c r="CN358" s="390"/>
      <c r="CO358" s="390"/>
      <c r="CP358" s="390"/>
      <c r="CQ358" s="390"/>
      <c r="CR358" s="390"/>
      <c r="CS358" s="390"/>
      <c r="CT358" s="390"/>
      <c r="CU358" s="390"/>
      <c r="CV358" s="390"/>
      <c r="CW358" s="390"/>
      <c r="CX358" s="390"/>
      <c r="CY358" s="390"/>
      <c r="CZ358" s="390"/>
      <c r="DA358" s="390"/>
      <c r="DB358" s="390"/>
      <c r="DC358" s="390"/>
    </row>
    <row r="359" spans="1:107" s="317" customFormat="1" ht="24">
      <c r="A359" s="37"/>
      <c r="B359" s="591" t="s">
        <v>23</v>
      </c>
      <c r="C359" s="592" t="s">
        <v>502</v>
      </c>
      <c r="D359" s="593" t="s">
        <v>1220</v>
      </c>
      <c r="E359" s="594">
        <v>476.27033903997773</v>
      </c>
      <c r="F359" s="592" t="s">
        <v>24</v>
      </c>
      <c r="G359" s="595">
        <v>0.12730402308783406</v>
      </c>
      <c r="H359" s="592" t="s">
        <v>66</v>
      </c>
      <c r="I359" s="596">
        <v>0.98020259659279285</v>
      </c>
      <c r="J359" s="592" t="s">
        <v>25</v>
      </c>
      <c r="K359" s="592" t="s">
        <v>1012</v>
      </c>
      <c r="L359" s="592" t="s">
        <v>95</v>
      </c>
      <c r="M359" s="592" t="s">
        <v>88</v>
      </c>
      <c r="N359" s="678">
        <v>11.193439428405396</v>
      </c>
      <c r="O359" s="678">
        <v>11.410711928228197</v>
      </c>
      <c r="P359" s="678">
        <v>11.193439428405396</v>
      </c>
      <c r="Q359" s="678">
        <v>1.9017853213713654</v>
      </c>
      <c r="R359" s="37"/>
      <c r="S359" s="592" t="s">
        <v>44</v>
      </c>
      <c r="T359" s="598" t="s">
        <v>63</v>
      </c>
      <c r="U359" s="592" t="s">
        <v>69</v>
      </c>
      <c r="V359" s="592" t="s">
        <v>69</v>
      </c>
      <c r="W359" s="592" t="s">
        <v>76</v>
      </c>
      <c r="X359" s="37"/>
      <c r="Y359" s="37"/>
      <c r="Z359" s="592" t="s">
        <v>78</v>
      </c>
      <c r="AA359" s="592" t="s">
        <v>78</v>
      </c>
      <c r="AB359" s="37"/>
      <c r="AC359" s="679">
        <v>13.287671232876711</v>
      </c>
      <c r="AD359" s="678" t="s">
        <v>72</v>
      </c>
      <c r="AE359" s="592" t="s">
        <v>73</v>
      </c>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c r="CA359" s="393"/>
      <c r="CB359" s="393"/>
      <c r="CC359" s="393"/>
      <c r="CD359" s="393"/>
      <c r="CE359" s="393"/>
      <c r="CF359" s="393"/>
      <c r="CG359" s="393"/>
      <c r="CH359" s="393"/>
      <c r="CI359" s="393"/>
      <c r="CJ359" s="390"/>
      <c r="CK359" s="390"/>
      <c r="CL359" s="390"/>
      <c r="CM359" s="390"/>
      <c r="CN359" s="390"/>
      <c r="CO359" s="390"/>
      <c r="CP359" s="390"/>
      <c r="CQ359" s="390"/>
      <c r="CR359" s="390"/>
      <c r="CS359" s="390"/>
      <c r="CT359" s="390"/>
      <c r="CU359" s="390"/>
      <c r="CV359" s="390"/>
      <c r="CW359" s="390"/>
      <c r="CX359" s="390"/>
      <c r="CY359" s="390"/>
      <c r="CZ359" s="390"/>
      <c r="DA359" s="390"/>
      <c r="DB359" s="390"/>
      <c r="DC359" s="390"/>
    </row>
    <row r="360" spans="1:107" s="317" customFormat="1" ht="24">
      <c r="A360" s="37"/>
      <c r="B360" s="591" t="s">
        <v>23</v>
      </c>
      <c r="C360" s="592" t="s">
        <v>502</v>
      </c>
      <c r="D360" s="593" t="s">
        <v>1220</v>
      </c>
      <c r="E360" s="594">
        <v>476.27033903997773</v>
      </c>
      <c r="F360" s="592" t="s">
        <v>24</v>
      </c>
      <c r="G360" s="595">
        <v>0.12730402308783406</v>
      </c>
      <c r="H360" s="592" t="s">
        <v>66</v>
      </c>
      <c r="I360" s="596">
        <v>0.98020259659279285</v>
      </c>
      <c r="J360" s="592" t="s">
        <v>25</v>
      </c>
      <c r="K360" s="592" t="s">
        <v>1012</v>
      </c>
      <c r="L360" s="592" t="s">
        <v>95</v>
      </c>
      <c r="M360" s="592" t="s">
        <v>90</v>
      </c>
      <c r="N360" s="678">
        <v>11.193439428405396</v>
      </c>
      <c r="O360" s="678">
        <v>13.312497249599566</v>
      </c>
      <c r="P360" s="678">
        <v>11.193439428405396</v>
      </c>
      <c r="Q360" s="678">
        <v>3.8035706427427338</v>
      </c>
      <c r="R360" s="37"/>
      <c r="S360" s="592" t="s">
        <v>44</v>
      </c>
      <c r="T360" s="598" t="s">
        <v>63</v>
      </c>
      <c r="U360" s="592" t="s">
        <v>69</v>
      </c>
      <c r="V360" s="592" t="s">
        <v>69</v>
      </c>
      <c r="W360" s="592" t="s">
        <v>76</v>
      </c>
      <c r="X360" s="37"/>
      <c r="Y360" s="37"/>
      <c r="Z360" s="592" t="s">
        <v>78</v>
      </c>
      <c r="AA360" s="592" t="s">
        <v>78</v>
      </c>
      <c r="AB360" s="37"/>
      <c r="AC360" s="679">
        <v>13.287671232876711</v>
      </c>
      <c r="AD360" s="678" t="s">
        <v>72</v>
      </c>
      <c r="AE360" s="592" t="s">
        <v>73</v>
      </c>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c r="CA360" s="393"/>
      <c r="CB360" s="393"/>
      <c r="CC360" s="393"/>
      <c r="CD360" s="393"/>
      <c r="CE360" s="393"/>
      <c r="CF360" s="393"/>
      <c r="CG360" s="393"/>
      <c r="CH360" s="393"/>
      <c r="CI360" s="393"/>
      <c r="CJ360" s="390"/>
      <c r="CK360" s="390"/>
      <c r="CL360" s="390"/>
      <c r="CM360" s="390"/>
      <c r="CN360" s="390"/>
      <c r="CO360" s="390"/>
      <c r="CP360" s="390"/>
      <c r="CQ360" s="390"/>
      <c r="CR360" s="390"/>
      <c r="CS360" s="390"/>
      <c r="CT360" s="390"/>
      <c r="CU360" s="390"/>
      <c r="CV360" s="390"/>
      <c r="CW360" s="390"/>
      <c r="CX360" s="390"/>
      <c r="CY360" s="390"/>
      <c r="CZ360" s="390"/>
      <c r="DA360" s="390"/>
      <c r="DB360" s="390"/>
      <c r="DC360" s="390"/>
    </row>
    <row r="361" spans="1:107" s="317" customFormat="1" ht="24">
      <c r="A361" s="37"/>
      <c r="B361" s="591" t="s">
        <v>23</v>
      </c>
      <c r="C361" s="592" t="s">
        <v>502</v>
      </c>
      <c r="D361" s="593" t="s">
        <v>1220</v>
      </c>
      <c r="E361" s="594">
        <v>476.27033903997773</v>
      </c>
      <c r="F361" s="592" t="s">
        <v>24</v>
      </c>
      <c r="G361" s="595">
        <v>0.12730402308783406</v>
      </c>
      <c r="H361" s="592" t="s">
        <v>66</v>
      </c>
      <c r="I361" s="596">
        <v>0.98020259659279285</v>
      </c>
      <c r="J361" s="592" t="s">
        <v>25</v>
      </c>
      <c r="K361" s="592" t="s">
        <v>1012</v>
      </c>
      <c r="L361" s="592" t="s">
        <v>95</v>
      </c>
      <c r="M361" s="592" t="s">
        <v>91</v>
      </c>
      <c r="N361" s="678">
        <v>11.193439428405396</v>
      </c>
      <c r="O361" s="678" t="s">
        <v>870</v>
      </c>
      <c r="P361" s="678">
        <v>11.193439428405396</v>
      </c>
      <c r="Q361" s="678" t="s">
        <v>870</v>
      </c>
      <c r="R361" s="37"/>
      <c r="S361" s="592" t="s">
        <v>44</v>
      </c>
      <c r="T361" s="598" t="s">
        <v>63</v>
      </c>
      <c r="U361" s="598" t="s">
        <v>870</v>
      </c>
      <c r="V361" s="598" t="s">
        <v>870</v>
      </c>
      <c r="W361" s="592" t="s">
        <v>76</v>
      </c>
      <c r="X361" s="37"/>
      <c r="Y361" s="37"/>
      <c r="Z361" s="592" t="s">
        <v>78</v>
      </c>
      <c r="AA361" s="592" t="s">
        <v>78</v>
      </c>
      <c r="AB361" s="37"/>
      <c r="AC361" s="679">
        <v>13.287671232876711</v>
      </c>
      <c r="AD361" s="678" t="s">
        <v>72</v>
      </c>
      <c r="AE361" s="592" t="s">
        <v>73</v>
      </c>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c r="CA361" s="393"/>
      <c r="CB361" s="393"/>
      <c r="CC361" s="393"/>
      <c r="CD361" s="393"/>
      <c r="CE361" s="393"/>
      <c r="CF361" s="393"/>
      <c r="CG361" s="393"/>
      <c r="CH361" s="393"/>
      <c r="CI361" s="393"/>
      <c r="CJ361" s="390"/>
      <c r="CK361" s="390"/>
      <c r="CL361" s="390"/>
      <c r="CM361" s="390"/>
      <c r="CN361" s="390"/>
      <c r="CO361" s="390"/>
      <c r="CP361" s="390"/>
      <c r="CQ361" s="390"/>
      <c r="CR361" s="390"/>
      <c r="CS361" s="390"/>
      <c r="CT361" s="390"/>
      <c r="CU361" s="390"/>
      <c r="CV361" s="390"/>
      <c r="CW361" s="390"/>
      <c r="CX361" s="390"/>
      <c r="CY361" s="390"/>
      <c r="CZ361" s="390"/>
      <c r="DA361" s="390"/>
      <c r="DB361" s="390"/>
      <c r="DC361" s="390"/>
    </row>
    <row r="362" spans="1:107" s="317" customFormat="1" ht="24">
      <c r="A362" s="37"/>
      <c r="B362" s="591" t="s">
        <v>23</v>
      </c>
      <c r="C362" s="592" t="s">
        <v>502</v>
      </c>
      <c r="D362" s="593" t="s">
        <v>1220</v>
      </c>
      <c r="E362" s="594">
        <v>476.27033903997773</v>
      </c>
      <c r="F362" s="592" t="s">
        <v>24</v>
      </c>
      <c r="G362" s="595">
        <v>0.12730402308783406</v>
      </c>
      <c r="H362" s="592" t="s">
        <v>66</v>
      </c>
      <c r="I362" s="596">
        <v>0.98020259659279285</v>
      </c>
      <c r="J362" s="592" t="s">
        <v>25</v>
      </c>
      <c r="K362" s="592" t="s">
        <v>1012</v>
      </c>
      <c r="L362" s="592" t="s">
        <v>95</v>
      </c>
      <c r="M362" s="592" t="s">
        <v>92</v>
      </c>
      <c r="N362" s="678">
        <v>11.193439428405396</v>
      </c>
      <c r="O362" s="678">
        <v>17.116067892342297</v>
      </c>
      <c r="P362" s="678">
        <v>11.193439428405396</v>
      </c>
      <c r="Q362" s="678">
        <v>7.607141285485465</v>
      </c>
      <c r="R362" s="37"/>
      <c r="S362" s="592" t="s">
        <v>44</v>
      </c>
      <c r="T362" s="598" t="s">
        <v>63</v>
      </c>
      <c r="U362" s="592" t="s">
        <v>69</v>
      </c>
      <c r="V362" s="592" t="s">
        <v>69</v>
      </c>
      <c r="W362" s="592" t="s">
        <v>76</v>
      </c>
      <c r="X362" s="37"/>
      <c r="Y362" s="37"/>
      <c r="Z362" s="592" t="s">
        <v>78</v>
      </c>
      <c r="AA362" s="592" t="s">
        <v>78</v>
      </c>
      <c r="AB362" s="37"/>
      <c r="AC362" s="679">
        <v>13.287671232876711</v>
      </c>
      <c r="AD362" s="678" t="s">
        <v>72</v>
      </c>
      <c r="AE362" s="592" t="s">
        <v>73</v>
      </c>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c r="CA362" s="393"/>
      <c r="CB362" s="393"/>
      <c r="CC362" s="393"/>
      <c r="CD362" s="393"/>
      <c r="CE362" s="393"/>
      <c r="CF362" s="393"/>
      <c r="CG362" s="393"/>
      <c r="CH362" s="393"/>
      <c r="CI362" s="393"/>
      <c r="CJ362" s="390"/>
      <c r="CK362" s="390"/>
      <c r="CL362" s="390"/>
      <c r="CM362" s="390"/>
      <c r="CN362" s="390"/>
      <c r="CO362" s="390"/>
      <c r="CP362" s="390"/>
      <c r="CQ362" s="390"/>
      <c r="CR362" s="390"/>
      <c r="CS362" s="390"/>
      <c r="CT362" s="390"/>
      <c r="CU362" s="390"/>
      <c r="CV362" s="390"/>
      <c r="CW362" s="390"/>
      <c r="CX362" s="390"/>
      <c r="CY362" s="390"/>
      <c r="CZ362" s="390"/>
      <c r="DA362" s="390"/>
      <c r="DB362" s="390"/>
      <c r="DC362" s="390"/>
    </row>
    <row r="363" spans="1:107" s="317" customFormat="1" ht="24">
      <c r="A363" s="37"/>
      <c r="B363" s="591" t="s">
        <v>23</v>
      </c>
      <c r="C363" s="592" t="s">
        <v>502</v>
      </c>
      <c r="D363" s="593" t="s">
        <v>1220</v>
      </c>
      <c r="E363" s="594">
        <v>476.27033903997773</v>
      </c>
      <c r="F363" s="592" t="s">
        <v>24</v>
      </c>
      <c r="G363" s="595">
        <v>0.12730402308783406</v>
      </c>
      <c r="H363" s="592" t="s">
        <v>66</v>
      </c>
      <c r="I363" s="596">
        <v>0.98020259659279285</v>
      </c>
      <c r="J363" s="592" t="s">
        <v>25</v>
      </c>
      <c r="K363" s="592" t="s">
        <v>1012</v>
      </c>
      <c r="L363" s="592" t="s">
        <v>95</v>
      </c>
      <c r="M363" s="592" t="s">
        <v>93</v>
      </c>
      <c r="N363" s="678">
        <v>11.193439428405396</v>
      </c>
      <c r="O363" s="678">
        <v>18.066960553027982</v>
      </c>
      <c r="P363" s="678">
        <v>11.193439428405396</v>
      </c>
      <c r="Q363" s="678">
        <v>8.5580339461711485</v>
      </c>
      <c r="R363" s="37"/>
      <c r="S363" s="592" t="s">
        <v>44</v>
      </c>
      <c r="T363" s="598" t="s">
        <v>63</v>
      </c>
      <c r="U363" s="598" t="s">
        <v>44</v>
      </c>
      <c r="V363" s="598" t="s">
        <v>75</v>
      </c>
      <c r="W363" s="592" t="s">
        <v>76</v>
      </c>
      <c r="X363" s="37"/>
      <c r="Y363" s="37"/>
      <c r="Z363" s="592" t="s">
        <v>78</v>
      </c>
      <c r="AA363" s="592" t="s">
        <v>78</v>
      </c>
      <c r="AB363" s="37"/>
      <c r="AC363" s="679">
        <v>13.287671232876711</v>
      </c>
      <c r="AD363" s="678" t="s">
        <v>72</v>
      </c>
      <c r="AE363" s="592" t="s">
        <v>73</v>
      </c>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c r="CA363" s="393"/>
      <c r="CB363" s="393"/>
      <c r="CC363" s="393"/>
      <c r="CD363" s="393"/>
      <c r="CE363" s="393"/>
      <c r="CF363" s="393"/>
      <c r="CG363" s="393"/>
      <c r="CH363" s="393"/>
      <c r="CI363" s="393"/>
      <c r="CJ363" s="390"/>
      <c r="CK363" s="390"/>
      <c r="CL363" s="390"/>
      <c r="CM363" s="390"/>
      <c r="CN363" s="390"/>
      <c r="CO363" s="390"/>
      <c r="CP363" s="390"/>
      <c r="CQ363" s="390"/>
      <c r="CR363" s="390"/>
      <c r="CS363" s="390"/>
      <c r="CT363" s="390"/>
      <c r="CU363" s="390"/>
      <c r="CV363" s="390"/>
      <c r="CW363" s="390"/>
      <c r="CX363" s="390"/>
      <c r="CY363" s="390"/>
      <c r="CZ363" s="390"/>
      <c r="DA363" s="390"/>
      <c r="DB363" s="390"/>
      <c r="DC363" s="390"/>
    </row>
    <row r="364" spans="1:107" s="317" customFormat="1" ht="24">
      <c r="A364" s="37"/>
      <c r="B364" s="591" t="s">
        <v>23</v>
      </c>
      <c r="C364" s="592" t="s">
        <v>502</v>
      </c>
      <c r="D364" s="593" t="s">
        <v>1220</v>
      </c>
      <c r="E364" s="594">
        <v>476.27033903997773</v>
      </c>
      <c r="F364" s="592" t="s">
        <v>26</v>
      </c>
      <c r="G364" s="595">
        <v>0.25371011831724088</v>
      </c>
      <c r="H364" s="592" t="s">
        <v>66</v>
      </c>
      <c r="I364" s="596">
        <v>0.94869483209185579</v>
      </c>
      <c r="J364" s="592" t="s">
        <v>25</v>
      </c>
      <c r="K364" s="592" t="s">
        <v>1012</v>
      </c>
      <c r="L364" s="592" t="s">
        <v>24</v>
      </c>
      <c r="M364" s="592" t="s">
        <v>88</v>
      </c>
      <c r="N364" s="678">
        <v>75.723018549797118</v>
      </c>
      <c r="O364" s="678">
        <v>22.009951568248319</v>
      </c>
      <c r="P364" s="678">
        <v>70.486852373481355</v>
      </c>
      <c r="Q364" s="678">
        <v>3.6683252613747181</v>
      </c>
      <c r="R364" s="37"/>
      <c r="S364" s="592" t="s">
        <v>68</v>
      </c>
      <c r="T364" s="592" t="s">
        <v>63</v>
      </c>
      <c r="U364" s="592" t="s">
        <v>69</v>
      </c>
      <c r="V364" s="592" t="s">
        <v>69</v>
      </c>
      <c r="W364" s="592" t="s">
        <v>70</v>
      </c>
      <c r="X364" s="37"/>
      <c r="Y364" s="37"/>
      <c r="Z364" s="592" t="s">
        <v>78</v>
      </c>
      <c r="AA364" s="592" t="s">
        <v>78</v>
      </c>
      <c r="AB364" s="37"/>
      <c r="AC364" s="679">
        <v>13.287671232876711</v>
      </c>
      <c r="AD364" s="678" t="s">
        <v>72</v>
      </c>
      <c r="AE364" s="592" t="s">
        <v>73</v>
      </c>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c r="CA364" s="393"/>
      <c r="CB364" s="393"/>
      <c r="CC364" s="393"/>
      <c r="CD364" s="393"/>
      <c r="CE364" s="393"/>
      <c r="CF364" s="393"/>
      <c r="CG364" s="393"/>
      <c r="CH364" s="393"/>
      <c r="CI364" s="393"/>
      <c r="CJ364" s="390"/>
      <c r="CK364" s="390"/>
      <c r="CL364" s="390"/>
      <c r="CM364" s="390"/>
      <c r="CN364" s="390"/>
      <c r="CO364" s="390"/>
      <c r="CP364" s="390"/>
      <c r="CQ364" s="390"/>
      <c r="CR364" s="390"/>
      <c r="CS364" s="390"/>
      <c r="CT364" s="390"/>
      <c r="CU364" s="390"/>
      <c r="CV364" s="390"/>
      <c r="CW364" s="390"/>
      <c r="CX364" s="390"/>
      <c r="CY364" s="390"/>
      <c r="CZ364" s="390"/>
      <c r="DA364" s="390"/>
      <c r="DB364" s="390"/>
      <c r="DC364" s="390"/>
    </row>
    <row r="365" spans="1:107" s="317" customFormat="1" ht="24">
      <c r="A365" s="37"/>
      <c r="B365" s="591" t="s">
        <v>23</v>
      </c>
      <c r="C365" s="592" t="s">
        <v>502</v>
      </c>
      <c r="D365" s="593" t="s">
        <v>1220</v>
      </c>
      <c r="E365" s="594">
        <v>476.27033903997773</v>
      </c>
      <c r="F365" s="592" t="s">
        <v>26</v>
      </c>
      <c r="G365" s="595">
        <v>0.25371011831724088</v>
      </c>
      <c r="H365" s="592" t="s">
        <v>66</v>
      </c>
      <c r="I365" s="596">
        <v>0.94869483209185579</v>
      </c>
      <c r="J365" s="592" t="s">
        <v>25</v>
      </c>
      <c r="K365" s="592" t="s">
        <v>1012</v>
      </c>
      <c r="L365" s="592" t="s">
        <v>24</v>
      </c>
      <c r="M365" s="592" t="s">
        <v>90</v>
      </c>
      <c r="N365" s="678">
        <v>75.723018549797118</v>
      </c>
      <c r="O365" s="678">
        <v>25.678276829623041</v>
      </c>
      <c r="P365" s="678">
        <v>70.486852373481355</v>
      </c>
      <c r="Q365" s="678">
        <v>7.3366505227494407</v>
      </c>
      <c r="R365" s="37"/>
      <c r="S365" s="592" t="s">
        <v>68</v>
      </c>
      <c r="T365" s="592" t="s">
        <v>63</v>
      </c>
      <c r="U365" s="592" t="s">
        <v>69</v>
      </c>
      <c r="V365" s="592" t="s">
        <v>69</v>
      </c>
      <c r="W365" s="592" t="s">
        <v>70</v>
      </c>
      <c r="X365" s="37"/>
      <c r="Y365" s="37"/>
      <c r="Z365" s="592" t="s">
        <v>78</v>
      </c>
      <c r="AA365" s="592" t="s">
        <v>78</v>
      </c>
      <c r="AB365" s="37"/>
      <c r="AC365" s="679">
        <v>13.287671232876711</v>
      </c>
      <c r="AD365" s="678" t="s">
        <v>72</v>
      </c>
      <c r="AE365" s="592" t="s">
        <v>73</v>
      </c>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c r="CA365" s="393"/>
      <c r="CB365" s="393"/>
      <c r="CC365" s="393"/>
      <c r="CD365" s="393"/>
      <c r="CE365" s="393"/>
      <c r="CF365" s="393"/>
      <c r="CG365" s="393"/>
      <c r="CH365" s="393"/>
      <c r="CI365" s="393"/>
      <c r="CJ365" s="390"/>
      <c r="CK365" s="390"/>
      <c r="CL365" s="390"/>
      <c r="CM365" s="390"/>
      <c r="CN365" s="390"/>
      <c r="CO365" s="390"/>
      <c r="CP365" s="390"/>
      <c r="CQ365" s="390"/>
      <c r="CR365" s="390"/>
      <c r="CS365" s="390"/>
      <c r="CT365" s="390"/>
      <c r="CU365" s="390"/>
      <c r="CV365" s="390"/>
      <c r="CW365" s="390"/>
      <c r="CX365" s="390"/>
      <c r="CY365" s="390"/>
      <c r="CZ365" s="390"/>
      <c r="DA365" s="390"/>
      <c r="DB365" s="390"/>
      <c r="DC365" s="390"/>
    </row>
    <row r="366" spans="1:107" s="317" customFormat="1" ht="24">
      <c r="A366" s="37"/>
      <c r="B366" s="591" t="s">
        <v>23</v>
      </c>
      <c r="C366" s="592" t="s">
        <v>502</v>
      </c>
      <c r="D366" s="593" t="s">
        <v>1220</v>
      </c>
      <c r="E366" s="594">
        <v>476.27033903997773</v>
      </c>
      <c r="F366" s="592" t="s">
        <v>26</v>
      </c>
      <c r="G366" s="595">
        <v>0.25371011831724088</v>
      </c>
      <c r="H366" s="592" t="s">
        <v>66</v>
      </c>
      <c r="I366" s="596">
        <v>0.94869483209185579</v>
      </c>
      <c r="J366" s="592" t="s">
        <v>25</v>
      </c>
      <c r="K366" s="592" t="s">
        <v>1012</v>
      </c>
      <c r="L366" s="592" t="s">
        <v>24</v>
      </c>
      <c r="M366" s="592" t="s">
        <v>91</v>
      </c>
      <c r="N366" s="678">
        <v>75.723018549797118</v>
      </c>
      <c r="O366" s="678" t="s">
        <v>870</v>
      </c>
      <c r="P366" s="678">
        <v>70.486852373481355</v>
      </c>
      <c r="Q366" s="678" t="s">
        <v>870</v>
      </c>
      <c r="R366" s="37"/>
      <c r="S366" s="592" t="s">
        <v>68</v>
      </c>
      <c r="T366" s="592" t="s">
        <v>63</v>
      </c>
      <c r="U366" s="598" t="s">
        <v>69</v>
      </c>
      <c r="V366" s="598" t="s">
        <v>69</v>
      </c>
      <c r="W366" s="592" t="s">
        <v>70</v>
      </c>
      <c r="X366" s="37"/>
      <c r="Y366" s="37"/>
      <c r="Z366" s="592" t="s">
        <v>78</v>
      </c>
      <c r="AA366" s="592" t="s">
        <v>78</v>
      </c>
      <c r="AB366" s="37"/>
      <c r="AC366" s="679">
        <v>13.287671232876711</v>
      </c>
      <c r="AD366" s="678" t="s">
        <v>72</v>
      </c>
      <c r="AE366" s="592" t="s">
        <v>73</v>
      </c>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c r="CA366" s="393"/>
      <c r="CB366" s="393"/>
      <c r="CC366" s="393"/>
      <c r="CD366" s="393"/>
      <c r="CE366" s="393"/>
      <c r="CF366" s="393"/>
      <c r="CG366" s="393"/>
      <c r="CH366" s="393"/>
      <c r="CI366" s="393"/>
      <c r="CJ366" s="390"/>
      <c r="CK366" s="390"/>
      <c r="CL366" s="390"/>
      <c r="CM366" s="390"/>
      <c r="CN366" s="390"/>
      <c r="CO366" s="390"/>
      <c r="CP366" s="390"/>
      <c r="CQ366" s="390"/>
      <c r="CR366" s="390"/>
      <c r="CS366" s="390"/>
      <c r="CT366" s="390"/>
      <c r="CU366" s="390"/>
      <c r="CV366" s="390"/>
      <c r="CW366" s="390"/>
      <c r="CX366" s="390"/>
      <c r="CY366" s="390"/>
      <c r="CZ366" s="390"/>
      <c r="DA366" s="390"/>
      <c r="DB366" s="390"/>
      <c r="DC366" s="390"/>
    </row>
    <row r="367" spans="1:107" s="317" customFormat="1" ht="24">
      <c r="A367" s="37"/>
      <c r="B367" s="591" t="s">
        <v>23</v>
      </c>
      <c r="C367" s="592" t="s">
        <v>502</v>
      </c>
      <c r="D367" s="593" t="s">
        <v>1220</v>
      </c>
      <c r="E367" s="594">
        <v>476.27033903997773</v>
      </c>
      <c r="F367" s="592" t="s">
        <v>26</v>
      </c>
      <c r="G367" s="595">
        <v>0.25371011831724088</v>
      </c>
      <c r="H367" s="592" t="s">
        <v>66</v>
      </c>
      <c r="I367" s="596">
        <v>0.94869483209185579</v>
      </c>
      <c r="J367" s="592" t="s">
        <v>25</v>
      </c>
      <c r="K367" s="592" t="s">
        <v>1012</v>
      </c>
      <c r="L367" s="592" t="s">
        <v>24</v>
      </c>
      <c r="M367" s="592" t="s">
        <v>92</v>
      </c>
      <c r="N367" s="678">
        <v>75.723018549797118</v>
      </c>
      <c r="O367" s="678">
        <v>33.014927352372474</v>
      </c>
      <c r="P367" s="678">
        <v>70.486852373481355</v>
      </c>
      <c r="Q367" s="678">
        <v>14.673301045498876</v>
      </c>
      <c r="R367" s="37"/>
      <c r="S367" s="592" t="s">
        <v>68</v>
      </c>
      <c r="T367" s="592" t="s">
        <v>63</v>
      </c>
      <c r="U367" s="592" t="s">
        <v>69</v>
      </c>
      <c r="V367" s="592" t="s">
        <v>69</v>
      </c>
      <c r="W367" s="592" t="s">
        <v>70</v>
      </c>
      <c r="X367" s="37"/>
      <c r="Y367" s="37"/>
      <c r="Z367" s="592" t="s">
        <v>78</v>
      </c>
      <c r="AA367" s="592" t="s">
        <v>78</v>
      </c>
      <c r="AB367" s="37"/>
      <c r="AC367" s="679">
        <v>13.287671232876711</v>
      </c>
      <c r="AD367" s="678" t="s">
        <v>72</v>
      </c>
      <c r="AE367" s="592" t="s">
        <v>73</v>
      </c>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c r="CA367" s="393"/>
      <c r="CB367" s="393"/>
      <c r="CC367" s="393"/>
      <c r="CD367" s="393"/>
      <c r="CE367" s="393"/>
      <c r="CF367" s="393"/>
      <c r="CG367" s="393"/>
      <c r="CH367" s="393"/>
      <c r="CI367" s="393"/>
      <c r="CJ367" s="390"/>
      <c r="CK367" s="390"/>
      <c r="CL367" s="390"/>
      <c r="CM367" s="390"/>
      <c r="CN367" s="390"/>
      <c r="CO367" s="390"/>
      <c r="CP367" s="390"/>
      <c r="CQ367" s="390"/>
      <c r="CR367" s="390"/>
      <c r="CS367" s="390"/>
      <c r="CT367" s="390"/>
      <c r="CU367" s="390"/>
      <c r="CV367" s="390"/>
      <c r="CW367" s="390"/>
      <c r="CX367" s="390"/>
      <c r="CY367" s="390"/>
      <c r="CZ367" s="390"/>
      <c r="DA367" s="390"/>
      <c r="DB367" s="390"/>
      <c r="DC367" s="390"/>
    </row>
    <row r="368" spans="1:107" s="317" customFormat="1" ht="24">
      <c r="A368" s="37"/>
      <c r="B368" s="591" t="s">
        <v>23</v>
      </c>
      <c r="C368" s="592" t="s">
        <v>502</v>
      </c>
      <c r="D368" s="593" t="s">
        <v>1220</v>
      </c>
      <c r="E368" s="594">
        <v>476.27033903997773</v>
      </c>
      <c r="F368" s="592" t="s">
        <v>26</v>
      </c>
      <c r="G368" s="595">
        <v>0.25371011831724088</v>
      </c>
      <c r="H368" s="592" t="s">
        <v>66</v>
      </c>
      <c r="I368" s="596">
        <v>0.94869483209185579</v>
      </c>
      <c r="J368" s="592" t="s">
        <v>25</v>
      </c>
      <c r="K368" s="592" t="s">
        <v>1012</v>
      </c>
      <c r="L368" s="592" t="s">
        <v>24</v>
      </c>
      <c r="M368" s="592" t="s">
        <v>93</v>
      </c>
      <c r="N368" s="678">
        <v>75.723018549797118</v>
      </c>
      <c r="O368" s="678">
        <v>34.849089983059841</v>
      </c>
      <c r="P368" s="678">
        <v>70.486852373481355</v>
      </c>
      <c r="Q368" s="678">
        <v>16.507463676186237</v>
      </c>
      <c r="R368" s="37"/>
      <c r="S368" s="592" t="s">
        <v>68</v>
      </c>
      <c r="T368" s="592" t="s">
        <v>63</v>
      </c>
      <c r="U368" s="598" t="s">
        <v>44</v>
      </c>
      <c r="V368" s="598" t="s">
        <v>75</v>
      </c>
      <c r="W368" s="592" t="s">
        <v>70</v>
      </c>
      <c r="X368" s="37"/>
      <c r="Y368" s="37"/>
      <c r="Z368" s="592" t="s">
        <v>78</v>
      </c>
      <c r="AA368" s="592" t="s">
        <v>78</v>
      </c>
      <c r="AB368" s="37"/>
      <c r="AC368" s="679">
        <v>13.287671232876711</v>
      </c>
      <c r="AD368" s="678" t="s">
        <v>72</v>
      </c>
      <c r="AE368" s="592" t="s">
        <v>73</v>
      </c>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c r="CA368" s="393"/>
      <c r="CB368" s="393"/>
      <c r="CC368" s="393"/>
      <c r="CD368" s="393"/>
      <c r="CE368" s="393"/>
      <c r="CF368" s="393"/>
      <c r="CG368" s="393"/>
      <c r="CH368" s="393"/>
      <c r="CI368" s="393"/>
      <c r="CJ368" s="390"/>
      <c r="CK368" s="390"/>
      <c r="CL368" s="390"/>
      <c r="CM368" s="390"/>
      <c r="CN368" s="390"/>
      <c r="CO368" s="390"/>
      <c r="CP368" s="390"/>
      <c r="CQ368" s="390"/>
      <c r="CR368" s="390"/>
      <c r="CS368" s="390"/>
      <c r="CT368" s="390"/>
      <c r="CU368" s="390"/>
      <c r="CV368" s="390"/>
      <c r="CW368" s="390"/>
      <c r="CX368" s="390"/>
      <c r="CY368" s="390"/>
      <c r="CZ368" s="390"/>
      <c r="DA368" s="390"/>
      <c r="DB368" s="390"/>
      <c r="DC368" s="390"/>
    </row>
    <row r="369" spans="1:107" s="317" customFormat="1" ht="24">
      <c r="A369" s="37"/>
      <c r="B369" s="591" t="s">
        <v>23</v>
      </c>
      <c r="C369" s="592" t="s">
        <v>502</v>
      </c>
      <c r="D369" s="593" t="s">
        <v>1220</v>
      </c>
      <c r="E369" s="594">
        <v>476.27033903997773</v>
      </c>
      <c r="F369" s="592" t="s">
        <v>26</v>
      </c>
      <c r="G369" s="595">
        <v>0.25371011831724088</v>
      </c>
      <c r="H369" s="592" t="s">
        <v>66</v>
      </c>
      <c r="I369" s="596">
        <v>0.94869483209185579</v>
      </c>
      <c r="J369" s="592" t="s">
        <v>25</v>
      </c>
      <c r="K369" s="592" t="s">
        <v>1012</v>
      </c>
      <c r="L369" s="592" t="s">
        <v>95</v>
      </c>
      <c r="M369" s="592" t="s">
        <v>88</v>
      </c>
      <c r="N369" s="678">
        <v>80.556402712550138</v>
      </c>
      <c r="O369" s="678">
        <v>22.009951568248319</v>
      </c>
      <c r="P369" s="678">
        <v>76.528582576922616</v>
      </c>
      <c r="Q369" s="678">
        <v>3.6683252613747181</v>
      </c>
      <c r="R369" s="37"/>
      <c r="S369" s="592" t="s">
        <v>44</v>
      </c>
      <c r="T369" s="598" t="s">
        <v>63</v>
      </c>
      <c r="U369" s="592" t="s">
        <v>69</v>
      </c>
      <c r="V369" s="592" t="s">
        <v>69</v>
      </c>
      <c r="W369" s="592" t="s">
        <v>76</v>
      </c>
      <c r="X369" s="37"/>
      <c r="Y369" s="37"/>
      <c r="Z369" s="592" t="s">
        <v>78</v>
      </c>
      <c r="AA369" s="592" t="s">
        <v>78</v>
      </c>
      <c r="AB369" s="37"/>
      <c r="AC369" s="679">
        <v>13.287671232876711</v>
      </c>
      <c r="AD369" s="678" t="s">
        <v>72</v>
      </c>
      <c r="AE369" s="592" t="s">
        <v>73</v>
      </c>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c r="CA369" s="393"/>
      <c r="CB369" s="393"/>
      <c r="CC369" s="393"/>
      <c r="CD369" s="393"/>
      <c r="CE369" s="393"/>
      <c r="CF369" s="393"/>
      <c r="CG369" s="393"/>
      <c r="CH369" s="393"/>
      <c r="CI369" s="393"/>
      <c r="CJ369" s="390"/>
      <c r="CK369" s="390"/>
      <c r="CL369" s="390"/>
      <c r="CM369" s="390"/>
      <c r="CN369" s="390"/>
      <c r="CO369" s="390"/>
      <c r="CP369" s="390"/>
      <c r="CQ369" s="390"/>
      <c r="CR369" s="390"/>
      <c r="CS369" s="390"/>
      <c r="CT369" s="390"/>
      <c r="CU369" s="390"/>
      <c r="CV369" s="390"/>
      <c r="CW369" s="390"/>
      <c r="CX369" s="390"/>
      <c r="CY369" s="390"/>
      <c r="CZ369" s="390"/>
      <c r="DA369" s="390"/>
      <c r="DB369" s="390"/>
      <c r="DC369" s="390"/>
    </row>
    <row r="370" spans="1:107" s="317" customFormat="1" ht="24">
      <c r="A370" s="37"/>
      <c r="B370" s="591" t="s">
        <v>23</v>
      </c>
      <c r="C370" s="592" t="s">
        <v>502</v>
      </c>
      <c r="D370" s="593" t="s">
        <v>1220</v>
      </c>
      <c r="E370" s="594">
        <v>476.27033903997773</v>
      </c>
      <c r="F370" s="592" t="s">
        <v>26</v>
      </c>
      <c r="G370" s="595">
        <v>0.25371011831724088</v>
      </c>
      <c r="H370" s="592" t="s">
        <v>66</v>
      </c>
      <c r="I370" s="596">
        <v>0.94869483209185579</v>
      </c>
      <c r="J370" s="592" t="s">
        <v>25</v>
      </c>
      <c r="K370" s="592" t="s">
        <v>1012</v>
      </c>
      <c r="L370" s="592" t="s">
        <v>95</v>
      </c>
      <c r="M370" s="592" t="s">
        <v>90</v>
      </c>
      <c r="N370" s="678">
        <v>80.556402712550138</v>
      </c>
      <c r="O370" s="678">
        <v>25.678276829623041</v>
      </c>
      <c r="P370" s="678">
        <v>76.528582576922616</v>
      </c>
      <c r="Q370" s="678">
        <v>7.3366505227494407</v>
      </c>
      <c r="R370" s="37"/>
      <c r="S370" s="592" t="s">
        <v>44</v>
      </c>
      <c r="T370" s="598" t="s">
        <v>63</v>
      </c>
      <c r="U370" s="592" t="s">
        <v>69</v>
      </c>
      <c r="V370" s="592" t="s">
        <v>69</v>
      </c>
      <c r="W370" s="592" t="s">
        <v>76</v>
      </c>
      <c r="X370" s="37"/>
      <c r="Y370" s="37"/>
      <c r="Z370" s="592" t="s">
        <v>78</v>
      </c>
      <c r="AA370" s="592" t="s">
        <v>78</v>
      </c>
      <c r="AB370" s="37"/>
      <c r="AC370" s="679">
        <v>13.287671232876711</v>
      </c>
      <c r="AD370" s="678" t="s">
        <v>72</v>
      </c>
      <c r="AE370" s="592" t="s">
        <v>73</v>
      </c>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c r="CA370" s="393"/>
      <c r="CB370" s="393"/>
      <c r="CC370" s="393"/>
      <c r="CD370" s="393"/>
      <c r="CE370" s="393"/>
      <c r="CF370" s="393"/>
      <c r="CG370" s="393"/>
      <c r="CH370" s="393"/>
      <c r="CI370" s="393"/>
      <c r="CJ370" s="390"/>
      <c r="CK370" s="390"/>
      <c r="CL370" s="390"/>
      <c r="CM370" s="390"/>
      <c r="CN370" s="390"/>
      <c r="CO370" s="390"/>
      <c r="CP370" s="390"/>
      <c r="CQ370" s="390"/>
      <c r="CR370" s="390"/>
      <c r="CS370" s="390"/>
      <c r="CT370" s="390"/>
      <c r="CU370" s="390"/>
      <c r="CV370" s="390"/>
      <c r="CW370" s="390"/>
      <c r="CX370" s="390"/>
      <c r="CY370" s="390"/>
      <c r="CZ370" s="390"/>
      <c r="DA370" s="390"/>
      <c r="DB370" s="390"/>
      <c r="DC370" s="390"/>
    </row>
    <row r="371" spans="1:107" s="317" customFormat="1" ht="24">
      <c r="A371" s="37"/>
      <c r="B371" s="591" t="s">
        <v>23</v>
      </c>
      <c r="C371" s="592" t="s">
        <v>502</v>
      </c>
      <c r="D371" s="593" t="s">
        <v>1220</v>
      </c>
      <c r="E371" s="594">
        <v>476.27033903997773</v>
      </c>
      <c r="F371" s="592" t="s">
        <v>26</v>
      </c>
      <c r="G371" s="595">
        <v>0.25371011831724088</v>
      </c>
      <c r="H371" s="592" t="s">
        <v>66</v>
      </c>
      <c r="I371" s="596">
        <v>0.94869483209185579</v>
      </c>
      <c r="J371" s="592" t="s">
        <v>25</v>
      </c>
      <c r="K371" s="592" t="s">
        <v>1012</v>
      </c>
      <c r="L371" s="592" t="s">
        <v>95</v>
      </c>
      <c r="M371" s="592" t="s">
        <v>91</v>
      </c>
      <c r="N371" s="678">
        <v>80.556402712550138</v>
      </c>
      <c r="O371" s="678" t="s">
        <v>870</v>
      </c>
      <c r="P371" s="678">
        <v>76.528582576922616</v>
      </c>
      <c r="Q371" s="678" t="s">
        <v>870</v>
      </c>
      <c r="R371" s="37"/>
      <c r="S371" s="592" t="s">
        <v>44</v>
      </c>
      <c r="T371" s="598" t="s">
        <v>63</v>
      </c>
      <c r="U371" s="598" t="s">
        <v>870</v>
      </c>
      <c r="V371" s="598" t="s">
        <v>870</v>
      </c>
      <c r="W371" s="592" t="s">
        <v>76</v>
      </c>
      <c r="X371" s="37"/>
      <c r="Y371" s="37"/>
      <c r="Z371" s="592" t="s">
        <v>78</v>
      </c>
      <c r="AA371" s="592" t="s">
        <v>78</v>
      </c>
      <c r="AB371" s="37"/>
      <c r="AC371" s="679">
        <v>13.287671232876711</v>
      </c>
      <c r="AD371" s="678" t="s">
        <v>72</v>
      </c>
      <c r="AE371" s="592" t="s">
        <v>73</v>
      </c>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c r="CA371" s="393"/>
      <c r="CB371" s="393"/>
      <c r="CC371" s="393"/>
      <c r="CD371" s="393"/>
      <c r="CE371" s="393"/>
      <c r="CF371" s="393"/>
      <c r="CG371" s="393"/>
      <c r="CH371" s="393"/>
      <c r="CI371" s="393"/>
      <c r="CJ371" s="390"/>
      <c r="CK371" s="390"/>
      <c r="CL371" s="390"/>
      <c r="CM371" s="390"/>
      <c r="CN371" s="390"/>
      <c r="CO371" s="390"/>
      <c r="CP371" s="390"/>
      <c r="CQ371" s="390"/>
      <c r="CR371" s="390"/>
      <c r="CS371" s="390"/>
      <c r="CT371" s="390"/>
      <c r="CU371" s="390"/>
      <c r="CV371" s="390"/>
      <c r="CW371" s="390"/>
      <c r="CX371" s="390"/>
      <c r="CY371" s="390"/>
      <c r="CZ371" s="390"/>
      <c r="DA371" s="390"/>
      <c r="DB371" s="390"/>
      <c r="DC371" s="390"/>
    </row>
    <row r="372" spans="1:107" s="317" customFormat="1" ht="24">
      <c r="A372" s="37"/>
      <c r="B372" s="591" t="s">
        <v>23</v>
      </c>
      <c r="C372" s="592" t="s">
        <v>502</v>
      </c>
      <c r="D372" s="593" t="s">
        <v>1220</v>
      </c>
      <c r="E372" s="594">
        <v>476.27033903997773</v>
      </c>
      <c r="F372" s="592" t="s">
        <v>26</v>
      </c>
      <c r="G372" s="595">
        <v>0.25371011831724088</v>
      </c>
      <c r="H372" s="592" t="s">
        <v>66</v>
      </c>
      <c r="I372" s="596">
        <v>0.94869483209185579</v>
      </c>
      <c r="J372" s="592" t="s">
        <v>25</v>
      </c>
      <c r="K372" s="592" t="s">
        <v>1012</v>
      </c>
      <c r="L372" s="592" t="s">
        <v>95</v>
      </c>
      <c r="M372" s="592" t="s">
        <v>92</v>
      </c>
      <c r="N372" s="678">
        <v>80.556402712550138</v>
      </c>
      <c r="O372" s="678">
        <v>33.014927352372474</v>
      </c>
      <c r="P372" s="678">
        <v>76.528582576922616</v>
      </c>
      <c r="Q372" s="678">
        <v>14.673301045498876</v>
      </c>
      <c r="R372" s="37"/>
      <c r="S372" s="592" t="s">
        <v>44</v>
      </c>
      <c r="T372" s="598" t="s">
        <v>63</v>
      </c>
      <c r="U372" s="592" t="s">
        <v>69</v>
      </c>
      <c r="V372" s="592" t="s">
        <v>69</v>
      </c>
      <c r="W372" s="592" t="s">
        <v>76</v>
      </c>
      <c r="X372" s="37"/>
      <c r="Y372" s="37"/>
      <c r="Z372" s="592" t="s">
        <v>78</v>
      </c>
      <c r="AA372" s="592" t="s">
        <v>78</v>
      </c>
      <c r="AB372" s="37"/>
      <c r="AC372" s="679">
        <v>13.287671232876711</v>
      </c>
      <c r="AD372" s="678" t="s">
        <v>72</v>
      </c>
      <c r="AE372" s="592" t="s">
        <v>73</v>
      </c>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c r="CA372" s="393"/>
      <c r="CB372" s="393"/>
      <c r="CC372" s="393"/>
      <c r="CD372" s="393"/>
      <c r="CE372" s="393"/>
      <c r="CF372" s="393"/>
      <c r="CG372" s="393"/>
      <c r="CH372" s="393"/>
      <c r="CI372" s="393"/>
      <c r="CJ372" s="390"/>
      <c r="CK372" s="390"/>
      <c r="CL372" s="390"/>
      <c r="CM372" s="390"/>
      <c r="CN372" s="390"/>
      <c r="CO372" s="390"/>
      <c r="CP372" s="390"/>
      <c r="CQ372" s="390"/>
      <c r="CR372" s="390"/>
      <c r="CS372" s="390"/>
      <c r="CT372" s="390"/>
      <c r="CU372" s="390"/>
      <c r="CV372" s="390"/>
      <c r="CW372" s="390"/>
      <c r="CX372" s="390"/>
      <c r="CY372" s="390"/>
      <c r="CZ372" s="390"/>
      <c r="DA372" s="390"/>
      <c r="DB372" s="390"/>
      <c r="DC372" s="390"/>
    </row>
    <row r="373" spans="1:107" s="317" customFormat="1" ht="24">
      <c r="A373" s="37"/>
      <c r="B373" s="591" t="s">
        <v>23</v>
      </c>
      <c r="C373" s="592" t="s">
        <v>502</v>
      </c>
      <c r="D373" s="593" t="s">
        <v>1220</v>
      </c>
      <c r="E373" s="594">
        <v>476.27033903997773</v>
      </c>
      <c r="F373" s="592" t="s">
        <v>26</v>
      </c>
      <c r="G373" s="595">
        <v>0.25371011831724088</v>
      </c>
      <c r="H373" s="592" t="s">
        <v>66</v>
      </c>
      <c r="I373" s="596">
        <v>0.94869483209185579</v>
      </c>
      <c r="J373" s="592" t="s">
        <v>25</v>
      </c>
      <c r="K373" s="592" t="s">
        <v>1012</v>
      </c>
      <c r="L373" s="592" t="s">
        <v>95</v>
      </c>
      <c r="M373" s="592" t="s">
        <v>93</v>
      </c>
      <c r="N373" s="678">
        <v>80.556402712550138</v>
      </c>
      <c r="O373" s="678">
        <v>34.849089983059841</v>
      </c>
      <c r="P373" s="678">
        <v>76.528582576922616</v>
      </c>
      <c r="Q373" s="678">
        <v>16.507463676186237</v>
      </c>
      <c r="R373" s="37"/>
      <c r="S373" s="592" t="s">
        <v>44</v>
      </c>
      <c r="T373" s="598" t="s">
        <v>63</v>
      </c>
      <c r="U373" s="598" t="s">
        <v>44</v>
      </c>
      <c r="V373" s="598" t="s">
        <v>75</v>
      </c>
      <c r="W373" s="592" t="s">
        <v>76</v>
      </c>
      <c r="X373" s="37"/>
      <c r="Y373" s="37"/>
      <c r="Z373" s="592" t="s">
        <v>78</v>
      </c>
      <c r="AA373" s="592" t="s">
        <v>78</v>
      </c>
      <c r="AB373" s="37"/>
      <c r="AC373" s="679">
        <v>13.287671232876711</v>
      </c>
      <c r="AD373" s="678" t="s">
        <v>72</v>
      </c>
      <c r="AE373" s="592" t="s">
        <v>73</v>
      </c>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c r="CA373" s="393"/>
      <c r="CB373" s="393"/>
      <c r="CC373" s="393"/>
      <c r="CD373" s="393"/>
      <c r="CE373" s="393"/>
      <c r="CF373" s="393"/>
      <c r="CG373" s="393"/>
      <c r="CH373" s="393"/>
      <c r="CI373" s="393"/>
      <c r="CJ373" s="390"/>
      <c r="CK373" s="390"/>
      <c r="CL373" s="390"/>
      <c r="CM373" s="390"/>
      <c r="CN373" s="390"/>
      <c r="CO373" s="390"/>
      <c r="CP373" s="390"/>
      <c r="CQ373" s="390"/>
      <c r="CR373" s="390"/>
      <c r="CS373" s="390"/>
      <c r="CT373" s="390"/>
      <c r="CU373" s="390"/>
      <c r="CV373" s="390"/>
      <c r="CW373" s="390"/>
      <c r="CX373" s="390"/>
      <c r="CY373" s="390"/>
      <c r="CZ373" s="390"/>
      <c r="DA373" s="390"/>
      <c r="DB373" s="390"/>
      <c r="DC373" s="390"/>
    </row>
    <row r="374" spans="1:107" s="317" customFormat="1" ht="24">
      <c r="A374" s="37"/>
      <c r="B374" s="604" t="s">
        <v>23</v>
      </c>
      <c r="C374" s="605" t="s">
        <v>502</v>
      </c>
      <c r="D374" s="615" t="s">
        <v>1147</v>
      </c>
      <c r="E374" s="607">
        <v>611.35212104600316</v>
      </c>
      <c r="F374" s="605" t="s">
        <v>846</v>
      </c>
      <c r="G374" s="608">
        <v>0.50957050486537259</v>
      </c>
      <c r="H374" s="605" t="s">
        <v>66</v>
      </c>
      <c r="I374" s="609">
        <v>0.93461250994110145</v>
      </c>
      <c r="J374" s="605" t="s">
        <v>25</v>
      </c>
      <c r="K374" s="605" t="s">
        <v>1012</v>
      </c>
      <c r="L374" s="605" t="s">
        <v>94</v>
      </c>
      <c r="M374" s="605" t="s">
        <v>88</v>
      </c>
      <c r="N374" s="614">
        <v>197.3004390155545</v>
      </c>
      <c r="O374" s="614">
        <v>55.902151635781976</v>
      </c>
      <c r="P374" s="614">
        <v>197.3004390155545</v>
      </c>
      <c r="Q374" s="614">
        <v>9.3170252726303264</v>
      </c>
      <c r="R374" s="37"/>
      <c r="S374" s="605" t="s">
        <v>44</v>
      </c>
      <c r="T374" s="610" t="s">
        <v>63</v>
      </c>
      <c r="U374" s="605" t="s">
        <v>69</v>
      </c>
      <c r="V374" s="605" t="s">
        <v>69</v>
      </c>
      <c r="W374" s="605" t="s">
        <v>76</v>
      </c>
      <c r="X374" s="37"/>
      <c r="Y374" s="37"/>
      <c r="Z374" s="605" t="s">
        <v>78</v>
      </c>
      <c r="AA374" s="605" t="s">
        <v>78</v>
      </c>
      <c r="AB374" s="37"/>
      <c r="AC374" s="681">
        <v>13.287671232876711</v>
      </c>
      <c r="AD374" s="614" t="s">
        <v>72</v>
      </c>
      <c r="AE374" s="605" t="s">
        <v>73</v>
      </c>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c r="CA374" s="393"/>
      <c r="CB374" s="393"/>
      <c r="CC374" s="393"/>
      <c r="CD374" s="393"/>
      <c r="CE374" s="393"/>
      <c r="CF374" s="393"/>
      <c r="CG374" s="393"/>
      <c r="CH374" s="393"/>
      <c r="CI374" s="393"/>
      <c r="CJ374" s="390"/>
      <c r="CK374" s="390"/>
      <c r="CL374" s="390"/>
      <c r="CM374" s="390"/>
      <c r="CN374" s="390"/>
      <c r="CO374" s="390"/>
      <c r="CP374" s="390"/>
      <c r="CQ374" s="390"/>
      <c r="CR374" s="390"/>
      <c r="CS374" s="390"/>
      <c r="CT374" s="390"/>
      <c r="CU374" s="390"/>
      <c r="CV374" s="390"/>
      <c r="CW374" s="390"/>
      <c r="CX374" s="390"/>
      <c r="CY374" s="390"/>
      <c r="CZ374" s="390"/>
      <c r="DA374" s="390"/>
      <c r="DB374" s="390"/>
      <c r="DC374" s="390"/>
    </row>
    <row r="375" spans="1:107" s="317" customFormat="1" ht="24">
      <c r="A375" s="37"/>
      <c r="B375" s="604" t="s">
        <v>23</v>
      </c>
      <c r="C375" s="605" t="s">
        <v>502</v>
      </c>
      <c r="D375" s="615" t="s">
        <v>1147</v>
      </c>
      <c r="E375" s="607">
        <v>611.35212104600316</v>
      </c>
      <c r="F375" s="605" t="s">
        <v>846</v>
      </c>
      <c r="G375" s="608">
        <v>0.50957050486537259</v>
      </c>
      <c r="H375" s="605" t="s">
        <v>66</v>
      </c>
      <c r="I375" s="609">
        <v>0.93461250994110145</v>
      </c>
      <c r="J375" s="605" t="s">
        <v>25</v>
      </c>
      <c r="K375" s="605" t="s">
        <v>1012</v>
      </c>
      <c r="L375" s="605" t="s">
        <v>94</v>
      </c>
      <c r="M375" s="605" t="s">
        <v>90</v>
      </c>
      <c r="N375" s="614">
        <v>197.3004390155545</v>
      </c>
      <c r="O375" s="614">
        <v>65.219176908412322</v>
      </c>
      <c r="P375" s="614">
        <v>197.3004390155545</v>
      </c>
      <c r="Q375" s="614">
        <v>18.634050545260667</v>
      </c>
      <c r="R375" s="37"/>
      <c r="S375" s="605" t="s">
        <v>44</v>
      </c>
      <c r="T375" s="610" t="s">
        <v>63</v>
      </c>
      <c r="U375" s="605" t="s">
        <v>69</v>
      </c>
      <c r="V375" s="605" t="s">
        <v>69</v>
      </c>
      <c r="W375" s="605" t="s">
        <v>76</v>
      </c>
      <c r="X375" s="37"/>
      <c r="Y375" s="37"/>
      <c r="Z375" s="605" t="s">
        <v>78</v>
      </c>
      <c r="AA375" s="605" t="s">
        <v>78</v>
      </c>
      <c r="AB375" s="37"/>
      <c r="AC375" s="681">
        <v>13.287671232876711</v>
      </c>
      <c r="AD375" s="614" t="s">
        <v>72</v>
      </c>
      <c r="AE375" s="605" t="s">
        <v>73</v>
      </c>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c r="CA375" s="393"/>
      <c r="CB375" s="393"/>
      <c r="CC375" s="393"/>
      <c r="CD375" s="393"/>
      <c r="CE375" s="393"/>
      <c r="CF375" s="393"/>
      <c r="CG375" s="393"/>
      <c r="CH375" s="393"/>
      <c r="CI375" s="393"/>
      <c r="CJ375" s="390"/>
      <c r="CK375" s="390"/>
      <c r="CL375" s="390"/>
      <c r="CM375" s="390"/>
      <c r="CN375" s="390"/>
      <c r="CO375" s="390"/>
      <c r="CP375" s="390"/>
      <c r="CQ375" s="390"/>
      <c r="CR375" s="390"/>
      <c r="CS375" s="390"/>
      <c r="CT375" s="390"/>
      <c r="CU375" s="390"/>
      <c r="CV375" s="390"/>
      <c r="CW375" s="390"/>
      <c r="CX375" s="390"/>
      <c r="CY375" s="390"/>
      <c r="CZ375" s="390"/>
      <c r="DA375" s="390"/>
      <c r="DB375" s="390"/>
      <c r="DC375" s="390"/>
    </row>
    <row r="376" spans="1:107" s="317" customFormat="1" ht="24">
      <c r="A376" s="37"/>
      <c r="B376" s="604" t="s">
        <v>23</v>
      </c>
      <c r="C376" s="605" t="s">
        <v>502</v>
      </c>
      <c r="D376" s="615" t="s">
        <v>1147</v>
      </c>
      <c r="E376" s="607">
        <v>611.35212104600316</v>
      </c>
      <c r="F376" s="605" t="s">
        <v>846</v>
      </c>
      <c r="G376" s="608">
        <v>0.50957050486537259</v>
      </c>
      <c r="H376" s="605" t="s">
        <v>66</v>
      </c>
      <c r="I376" s="609">
        <v>0.93461250994110145</v>
      </c>
      <c r="J376" s="605" t="s">
        <v>25</v>
      </c>
      <c r="K376" s="605" t="s">
        <v>1012</v>
      </c>
      <c r="L376" s="605" t="s">
        <v>94</v>
      </c>
      <c r="M376" s="605" t="s">
        <v>91</v>
      </c>
      <c r="N376" s="614">
        <v>197.3004390155545</v>
      </c>
      <c r="O376" s="614" t="s">
        <v>870</v>
      </c>
      <c r="P376" s="614">
        <v>197.3004390155545</v>
      </c>
      <c r="Q376" s="614" t="s">
        <v>870</v>
      </c>
      <c r="R376" s="37"/>
      <c r="S376" s="605" t="s">
        <v>44</v>
      </c>
      <c r="T376" s="610" t="s">
        <v>63</v>
      </c>
      <c r="U376" s="610" t="s">
        <v>870</v>
      </c>
      <c r="V376" s="610" t="s">
        <v>870</v>
      </c>
      <c r="W376" s="605" t="s">
        <v>76</v>
      </c>
      <c r="X376" s="37"/>
      <c r="Y376" s="37"/>
      <c r="Z376" s="605" t="s">
        <v>78</v>
      </c>
      <c r="AA376" s="605" t="s">
        <v>78</v>
      </c>
      <c r="AB376" s="37"/>
      <c r="AC376" s="681">
        <v>13.287671232876711</v>
      </c>
      <c r="AD376" s="614" t="s">
        <v>72</v>
      </c>
      <c r="AE376" s="605" t="s">
        <v>73</v>
      </c>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c r="CA376" s="393"/>
      <c r="CB376" s="393"/>
      <c r="CC376" s="393"/>
      <c r="CD376" s="393"/>
      <c r="CE376" s="393"/>
      <c r="CF376" s="393"/>
      <c r="CG376" s="393"/>
      <c r="CH376" s="393"/>
      <c r="CI376" s="393"/>
      <c r="CJ376" s="390"/>
      <c r="CK376" s="390"/>
      <c r="CL376" s="390"/>
      <c r="CM376" s="390"/>
      <c r="CN376" s="390"/>
      <c r="CO376" s="390"/>
      <c r="CP376" s="390"/>
      <c r="CQ376" s="390"/>
      <c r="CR376" s="390"/>
      <c r="CS376" s="390"/>
      <c r="CT376" s="390"/>
      <c r="CU376" s="390"/>
      <c r="CV376" s="390"/>
      <c r="CW376" s="390"/>
      <c r="CX376" s="390"/>
      <c r="CY376" s="390"/>
      <c r="CZ376" s="390"/>
      <c r="DA376" s="390"/>
      <c r="DB376" s="390"/>
      <c r="DC376" s="390"/>
    </row>
    <row r="377" spans="1:107" s="317" customFormat="1" ht="24">
      <c r="A377" s="37"/>
      <c r="B377" s="604" t="s">
        <v>23</v>
      </c>
      <c r="C377" s="605" t="s">
        <v>502</v>
      </c>
      <c r="D377" s="615" t="s">
        <v>1147</v>
      </c>
      <c r="E377" s="607">
        <v>611.35212104600316</v>
      </c>
      <c r="F377" s="605" t="s">
        <v>846</v>
      </c>
      <c r="G377" s="608">
        <v>0.50957050486537259</v>
      </c>
      <c r="H377" s="605" t="s">
        <v>66</v>
      </c>
      <c r="I377" s="609">
        <v>0.93461250994110145</v>
      </c>
      <c r="J377" s="605" t="s">
        <v>25</v>
      </c>
      <c r="K377" s="605" t="s">
        <v>1012</v>
      </c>
      <c r="L377" s="605" t="s">
        <v>94</v>
      </c>
      <c r="M377" s="605" t="s">
        <v>92</v>
      </c>
      <c r="N377" s="614">
        <v>197.3004390155545</v>
      </c>
      <c r="O377" s="614">
        <v>83.853227453672972</v>
      </c>
      <c r="P377" s="614">
        <v>197.3004390155545</v>
      </c>
      <c r="Q377" s="614">
        <v>37.268101090521327</v>
      </c>
      <c r="R377" s="37"/>
      <c r="S377" s="605" t="s">
        <v>44</v>
      </c>
      <c r="T377" s="610" t="s">
        <v>63</v>
      </c>
      <c r="U377" s="605" t="s">
        <v>69</v>
      </c>
      <c r="V377" s="605" t="s">
        <v>69</v>
      </c>
      <c r="W377" s="605" t="s">
        <v>76</v>
      </c>
      <c r="X377" s="37"/>
      <c r="Y377" s="37"/>
      <c r="Z377" s="605" t="s">
        <v>78</v>
      </c>
      <c r="AA377" s="605" t="s">
        <v>78</v>
      </c>
      <c r="AB377" s="37"/>
      <c r="AC377" s="681">
        <v>13.287671232876711</v>
      </c>
      <c r="AD377" s="614" t="s">
        <v>72</v>
      </c>
      <c r="AE377" s="605" t="s">
        <v>73</v>
      </c>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c r="CA377" s="393"/>
      <c r="CB377" s="393"/>
      <c r="CC377" s="393"/>
      <c r="CD377" s="393"/>
      <c r="CE377" s="393"/>
      <c r="CF377" s="393"/>
      <c r="CG377" s="393"/>
      <c r="CH377" s="393"/>
      <c r="CI377" s="393"/>
      <c r="CJ377" s="390"/>
      <c r="CK377" s="390"/>
      <c r="CL377" s="390"/>
      <c r="CM377" s="390"/>
      <c r="CN377" s="390"/>
      <c r="CO377" s="390"/>
      <c r="CP377" s="390"/>
      <c r="CQ377" s="390"/>
      <c r="CR377" s="390"/>
      <c r="CS377" s="390"/>
      <c r="CT377" s="390"/>
      <c r="CU377" s="390"/>
      <c r="CV377" s="390"/>
      <c r="CW377" s="390"/>
      <c r="CX377" s="390"/>
      <c r="CY377" s="390"/>
      <c r="CZ377" s="390"/>
      <c r="DA377" s="390"/>
      <c r="DB377" s="390"/>
      <c r="DC377" s="390"/>
    </row>
    <row r="378" spans="1:107" s="317" customFormat="1" ht="24">
      <c r="A378" s="37"/>
      <c r="B378" s="604" t="s">
        <v>23</v>
      </c>
      <c r="C378" s="605" t="s">
        <v>502</v>
      </c>
      <c r="D378" s="615" t="s">
        <v>1147</v>
      </c>
      <c r="E378" s="607">
        <v>611.35212104600316</v>
      </c>
      <c r="F378" s="605" t="s">
        <v>846</v>
      </c>
      <c r="G378" s="608">
        <v>0.50957050486537259</v>
      </c>
      <c r="H378" s="605" t="s">
        <v>66</v>
      </c>
      <c r="I378" s="609">
        <v>0.93461250994110145</v>
      </c>
      <c r="J378" s="605" t="s">
        <v>25</v>
      </c>
      <c r="K378" s="605" t="s">
        <v>1012</v>
      </c>
      <c r="L378" s="605" t="s">
        <v>94</v>
      </c>
      <c r="M378" s="605" t="s">
        <v>93</v>
      </c>
      <c r="N378" s="614">
        <v>197.3004390155545</v>
      </c>
      <c r="O378" s="614">
        <v>88.511740089988152</v>
      </c>
      <c r="P378" s="614">
        <v>197.3004390155545</v>
      </c>
      <c r="Q378" s="614">
        <v>41.926613726836486</v>
      </c>
      <c r="R378" s="37"/>
      <c r="S378" s="605" t="s">
        <v>44</v>
      </c>
      <c r="T378" s="610" t="s">
        <v>63</v>
      </c>
      <c r="U378" s="610" t="s">
        <v>44</v>
      </c>
      <c r="V378" s="610" t="s">
        <v>75</v>
      </c>
      <c r="W378" s="605" t="s">
        <v>76</v>
      </c>
      <c r="X378" s="37"/>
      <c r="Y378" s="37"/>
      <c r="Z378" s="605" t="s">
        <v>78</v>
      </c>
      <c r="AA378" s="605" t="s">
        <v>78</v>
      </c>
      <c r="AB378" s="37"/>
      <c r="AC378" s="681">
        <v>13.287671232876711</v>
      </c>
      <c r="AD378" s="614" t="s">
        <v>72</v>
      </c>
      <c r="AE378" s="605" t="s">
        <v>73</v>
      </c>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c r="CA378" s="393"/>
      <c r="CB378" s="393"/>
      <c r="CC378" s="393"/>
      <c r="CD378" s="393"/>
      <c r="CE378" s="393"/>
      <c r="CF378" s="393"/>
      <c r="CG378" s="393"/>
      <c r="CH378" s="393"/>
      <c r="CI378" s="393"/>
      <c r="CJ378" s="390"/>
      <c r="CK378" s="390"/>
      <c r="CL378" s="390"/>
      <c r="CM378" s="390"/>
      <c r="CN378" s="390"/>
      <c r="CO378" s="390"/>
      <c r="CP378" s="390"/>
      <c r="CQ378" s="390"/>
      <c r="CR378" s="390"/>
      <c r="CS378" s="390"/>
      <c r="CT378" s="390"/>
      <c r="CU378" s="390"/>
      <c r="CV378" s="390"/>
      <c r="CW378" s="390"/>
      <c r="CX378" s="390"/>
      <c r="CY378" s="390"/>
      <c r="CZ378" s="390"/>
      <c r="DA378" s="390"/>
      <c r="DB378" s="390"/>
      <c r="DC378" s="390"/>
    </row>
    <row r="379" spans="1:107" s="317" customFormat="1" ht="24">
      <c r="A379" s="37"/>
      <c r="B379" s="604" t="s">
        <v>23</v>
      </c>
      <c r="C379" s="605" t="s">
        <v>502</v>
      </c>
      <c r="D379" s="615" t="s">
        <v>1147</v>
      </c>
      <c r="E379" s="607">
        <v>611.35212104600316</v>
      </c>
      <c r="F379" s="605" t="s">
        <v>846</v>
      </c>
      <c r="G379" s="608">
        <v>0.50957050486537259</v>
      </c>
      <c r="H379" s="605" t="s">
        <v>66</v>
      </c>
      <c r="I379" s="609">
        <v>0.93461250994110145</v>
      </c>
      <c r="J379" s="605" t="s">
        <v>25</v>
      </c>
      <c r="K379" s="605" t="s">
        <v>1012</v>
      </c>
      <c r="L379" s="610" t="s">
        <v>1384</v>
      </c>
      <c r="M379" s="605" t="s">
        <v>88</v>
      </c>
      <c r="N379" s="614">
        <v>181.72408856695813</v>
      </c>
      <c r="O379" s="614">
        <v>55.902151635781976</v>
      </c>
      <c r="P379" s="614">
        <v>181.72408856695813</v>
      </c>
      <c r="Q379" s="614">
        <v>9.3170252726303264</v>
      </c>
      <c r="R379" s="37"/>
      <c r="S379" s="605" t="s">
        <v>68</v>
      </c>
      <c r="T379" s="605" t="s">
        <v>63</v>
      </c>
      <c r="U379" s="605" t="s">
        <v>69</v>
      </c>
      <c r="V379" s="605" t="s">
        <v>69</v>
      </c>
      <c r="W379" s="605" t="s">
        <v>70</v>
      </c>
      <c r="X379" s="37"/>
      <c r="Y379" s="37"/>
      <c r="Z379" s="605" t="s">
        <v>78</v>
      </c>
      <c r="AA379" s="605" t="s">
        <v>78</v>
      </c>
      <c r="AB379" s="37"/>
      <c r="AC379" s="681">
        <v>13.287671232876711</v>
      </c>
      <c r="AD379" s="614" t="s">
        <v>72</v>
      </c>
      <c r="AE379" s="605" t="s">
        <v>73</v>
      </c>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c r="CA379" s="393"/>
      <c r="CB379" s="393"/>
      <c r="CC379" s="393"/>
      <c r="CD379" s="393"/>
      <c r="CE379" s="393"/>
      <c r="CF379" s="393"/>
      <c r="CG379" s="393"/>
      <c r="CH379" s="393"/>
      <c r="CI379" s="393"/>
      <c r="CJ379" s="390"/>
      <c r="CK379" s="390"/>
      <c r="CL379" s="390"/>
      <c r="CM379" s="390"/>
      <c r="CN379" s="390"/>
      <c r="CO379" s="390"/>
      <c r="CP379" s="390"/>
      <c r="CQ379" s="390"/>
      <c r="CR379" s="390"/>
      <c r="CS379" s="390"/>
      <c r="CT379" s="390"/>
      <c r="CU379" s="390"/>
      <c r="CV379" s="390"/>
      <c r="CW379" s="390"/>
      <c r="CX379" s="390"/>
      <c r="CY379" s="390"/>
      <c r="CZ379" s="390"/>
      <c r="DA379" s="390"/>
      <c r="DB379" s="390"/>
      <c r="DC379" s="390"/>
    </row>
    <row r="380" spans="1:107" s="317" customFormat="1" ht="24">
      <c r="A380" s="37"/>
      <c r="B380" s="604" t="s">
        <v>23</v>
      </c>
      <c r="C380" s="605" t="s">
        <v>502</v>
      </c>
      <c r="D380" s="615" t="s">
        <v>1147</v>
      </c>
      <c r="E380" s="607">
        <v>611.35212104600316</v>
      </c>
      <c r="F380" s="605" t="s">
        <v>846</v>
      </c>
      <c r="G380" s="608">
        <v>0.50957050486537259</v>
      </c>
      <c r="H380" s="605" t="s">
        <v>66</v>
      </c>
      <c r="I380" s="609">
        <v>0.93461250994110145</v>
      </c>
      <c r="J380" s="605" t="s">
        <v>25</v>
      </c>
      <c r="K380" s="605" t="s">
        <v>1012</v>
      </c>
      <c r="L380" s="610" t="s">
        <v>1384</v>
      </c>
      <c r="M380" s="605" t="s">
        <v>90</v>
      </c>
      <c r="N380" s="614">
        <v>181.72408856695813</v>
      </c>
      <c r="O380" s="614">
        <v>65.219176908412322</v>
      </c>
      <c r="P380" s="614">
        <v>181.72408856695813</v>
      </c>
      <c r="Q380" s="614">
        <v>18.634050545260667</v>
      </c>
      <c r="R380" s="37"/>
      <c r="S380" s="605" t="s">
        <v>68</v>
      </c>
      <c r="T380" s="605" t="s">
        <v>63</v>
      </c>
      <c r="U380" s="605" t="s">
        <v>69</v>
      </c>
      <c r="V380" s="605" t="s">
        <v>69</v>
      </c>
      <c r="W380" s="605" t="s">
        <v>70</v>
      </c>
      <c r="X380" s="37"/>
      <c r="Y380" s="37"/>
      <c r="Z380" s="605" t="s">
        <v>78</v>
      </c>
      <c r="AA380" s="605" t="s">
        <v>78</v>
      </c>
      <c r="AB380" s="37"/>
      <c r="AC380" s="681">
        <v>13.287671232876711</v>
      </c>
      <c r="AD380" s="614" t="s">
        <v>72</v>
      </c>
      <c r="AE380" s="605" t="s">
        <v>73</v>
      </c>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c r="CA380" s="393"/>
      <c r="CB380" s="393"/>
      <c r="CC380" s="393"/>
      <c r="CD380" s="393"/>
      <c r="CE380" s="393"/>
      <c r="CF380" s="393"/>
      <c r="CG380" s="393"/>
      <c r="CH380" s="393"/>
      <c r="CI380" s="393"/>
      <c r="CJ380" s="390"/>
      <c r="CK380" s="390"/>
      <c r="CL380" s="390"/>
      <c r="CM380" s="390"/>
      <c r="CN380" s="390"/>
      <c r="CO380" s="390"/>
      <c r="CP380" s="390"/>
      <c r="CQ380" s="390"/>
      <c r="CR380" s="390"/>
      <c r="CS380" s="390"/>
      <c r="CT380" s="390"/>
      <c r="CU380" s="390"/>
      <c r="CV380" s="390"/>
      <c r="CW380" s="390"/>
      <c r="CX380" s="390"/>
      <c r="CY380" s="390"/>
      <c r="CZ380" s="390"/>
      <c r="DA380" s="390"/>
      <c r="DB380" s="390"/>
      <c r="DC380" s="390"/>
    </row>
    <row r="381" spans="1:107" s="317" customFormat="1" ht="24">
      <c r="A381" s="37"/>
      <c r="B381" s="604" t="s">
        <v>23</v>
      </c>
      <c r="C381" s="605" t="s">
        <v>502</v>
      </c>
      <c r="D381" s="615" t="s">
        <v>1147</v>
      </c>
      <c r="E381" s="607">
        <v>611.35212104600316</v>
      </c>
      <c r="F381" s="605" t="s">
        <v>846</v>
      </c>
      <c r="G381" s="608">
        <v>0.50957050486537259</v>
      </c>
      <c r="H381" s="605" t="s">
        <v>66</v>
      </c>
      <c r="I381" s="609">
        <v>0.93461250994110145</v>
      </c>
      <c r="J381" s="605" t="s">
        <v>25</v>
      </c>
      <c r="K381" s="605" t="s">
        <v>1012</v>
      </c>
      <c r="L381" s="610" t="s">
        <v>1384</v>
      </c>
      <c r="M381" s="605" t="s">
        <v>91</v>
      </c>
      <c r="N381" s="614">
        <v>181.72408856695813</v>
      </c>
      <c r="O381" s="614" t="s">
        <v>870</v>
      </c>
      <c r="P381" s="614">
        <v>181.72408856695813</v>
      </c>
      <c r="Q381" s="614" t="s">
        <v>870</v>
      </c>
      <c r="R381" s="37"/>
      <c r="S381" s="605" t="s">
        <v>68</v>
      </c>
      <c r="T381" s="605" t="s">
        <v>63</v>
      </c>
      <c r="U381" s="610" t="s">
        <v>69</v>
      </c>
      <c r="V381" s="610" t="s">
        <v>69</v>
      </c>
      <c r="W381" s="605" t="s">
        <v>70</v>
      </c>
      <c r="X381" s="37"/>
      <c r="Y381" s="37"/>
      <c r="Z381" s="605" t="s">
        <v>78</v>
      </c>
      <c r="AA381" s="605" t="s">
        <v>78</v>
      </c>
      <c r="AB381" s="37"/>
      <c r="AC381" s="681">
        <v>13.287671232876711</v>
      </c>
      <c r="AD381" s="614" t="s">
        <v>72</v>
      </c>
      <c r="AE381" s="605" t="s">
        <v>73</v>
      </c>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c r="CA381" s="393"/>
      <c r="CB381" s="393"/>
      <c r="CC381" s="393"/>
      <c r="CD381" s="393"/>
      <c r="CE381" s="393"/>
      <c r="CF381" s="393"/>
      <c r="CG381" s="393"/>
      <c r="CH381" s="393"/>
      <c r="CI381" s="393"/>
      <c r="CJ381" s="390"/>
      <c r="CK381" s="390"/>
      <c r="CL381" s="390"/>
      <c r="CM381" s="390"/>
      <c r="CN381" s="390"/>
      <c r="CO381" s="390"/>
      <c r="CP381" s="390"/>
      <c r="CQ381" s="390"/>
      <c r="CR381" s="390"/>
      <c r="CS381" s="390"/>
      <c r="CT381" s="390"/>
      <c r="CU381" s="390"/>
      <c r="CV381" s="390"/>
      <c r="CW381" s="390"/>
      <c r="CX381" s="390"/>
      <c r="CY381" s="390"/>
      <c r="CZ381" s="390"/>
      <c r="DA381" s="390"/>
      <c r="DB381" s="390"/>
      <c r="DC381" s="390"/>
    </row>
    <row r="382" spans="1:107" s="317" customFormat="1" ht="24">
      <c r="A382" s="37"/>
      <c r="B382" s="604" t="s">
        <v>23</v>
      </c>
      <c r="C382" s="605" t="s">
        <v>502</v>
      </c>
      <c r="D382" s="615" t="s">
        <v>1147</v>
      </c>
      <c r="E382" s="607">
        <v>611.35212104600316</v>
      </c>
      <c r="F382" s="605" t="s">
        <v>846</v>
      </c>
      <c r="G382" s="608">
        <v>0.50957050486537259</v>
      </c>
      <c r="H382" s="605" t="s">
        <v>66</v>
      </c>
      <c r="I382" s="609">
        <v>0.93461250994110145</v>
      </c>
      <c r="J382" s="605" t="s">
        <v>25</v>
      </c>
      <c r="K382" s="605" t="s">
        <v>1012</v>
      </c>
      <c r="L382" s="610" t="s">
        <v>1384</v>
      </c>
      <c r="M382" s="605" t="s">
        <v>92</v>
      </c>
      <c r="N382" s="614">
        <v>181.72408856695813</v>
      </c>
      <c r="O382" s="614">
        <v>83.853227453672972</v>
      </c>
      <c r="P382" s="614">
        <v>181.72408856695813</v>
      </c>
      <c r="Q382" s="614">
        <v>37.268101090521327</v>
      </c>
      <c r="R382" s="37"/>
      <c r="S382" s="605" t="s">
        <v>68</v>
      </c>
      <c r="T382" s="605" t="s">
        <v>63</v>
      </c>
      <c r="U382" s="605" t="s">
        <v>69</v>
      </c>
      <c r="V382" s="605" t="s">
        <v>69</v>
      </c>
      <c r="W382" s="605" t="s">
        <v>70</v>
      </c>
      <c r="X382" s="37"/>
      <c r="Y382" s="37"/>
      <c r="Z382" s="605" t="s">
        <v>78</v>
      </c>
      <c r="AA382" s="605" t="s">
        <v>78</v>
      </c>
      <c r="AB382" s="37"/>
      <c r="AC382" s="681">
        <v>13.287671232876711</v>
      </c>
      <c r="AD382" s="614" t="s">
        <v>72</v>
      </c>
      <c r="AE382" s="605" t="s">
        <v>73</v>
      </c>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c r="CA382" s="393"/>
      <c r="CB382" s="393"/>
      <c r="CC382" s="393"/>
      <c r="CD382" s="393"/>
      <c r="CE382" s="393"/>
      <c r="CF382" s="393"/>
      <c r="CG382" s="393"/>
      <c r="CH382" s="393"/>
      <c r="CI382" s="393"/>
      <c r="CJ382" s="390"/>
      <c r="CK382" s="390"/>
      <c r="CL382" s="390"/>
      <c r="CM382" s="390"/>
      <c r="CN382" s="390"/>
      <c r="CO382" s="390"/>
      <c r="CP382" s="390"/>
      <c r="CQ382" s="390"/>
      <c r="CR382" s="390"/>
      <c r="CS382" s="390"/>
      <c r="CT382" s="390"/>
      <c r="CU382" s="390"/>
      <c r="CV382" s="390"/>
      <c r="CW382" s="390"/>
      <c r="CX382" s="390"/>
      <c r="CY382" s="390"/>
      <c r="CZ382" s="390"/>
      <c r="DA382" s="390"/>
      <c r="DB382" s="390"/>
      <c r="DC382" s="390"/>
    </row>
    <row r="383" spans="1:107" s="317" customFormat="1" ht="24">
      <c r="A383" s="37"/>
      <c r="B383" s="604" t="s">
        <v>23</v>
      </c>
      <c r="C383" s="605" t="s">
        <v>502</v>
      </c>
      <c r="D383" s="615" t="s">
        <v>1147</v>
      </c>
      <c r="E383" s="607">
        <v>611.35212104600316</v>
      </c>
      <c r="F383" s="605" t="s">
        <v>846</v>
      </c>
      <c r="G383" s="608">
        <v>0.50957050486537259</v>
      </c>
      <c r="H383" s="605" t="s">
        <v>66</v>
      </c>
      <c r="I383" s="609">
        <v>0.93461250994110145</v>
      </c>
      <c r="J383" s="605" t="s">
        <v>25</v>
      </c>
      <c r="K383" s="605" t="s">
        <v>1012</v>
      </c>
      <c r="L383" s="610" t="s">
        <v>1384</v>
      </c>
      <c r="M383" s="605" t="s">
        <v>93</v>
      </c>
      <c r="N383" s="614">
        <v>181.72408856695813</v>
      </c>
      <c r="O383" s="614">
        <v>88.511740089988152</v>
      </c>
      <c r="P383" s="614">
        <v>181.72408856695813</v>
      </c>
      <c r="Q383" s="614">
        <v>41.926613726836486</v>
      </c>
      <c r="R383" s="37"/>
      <c r="S383" s="605" t="s">
        <v>68</v>
      </c>
      <c r="T383" s="605" t="s">
        <v>63</v>
      </c>
      <c r="U383" s="610" t="s">
        <v>44</v>
      </c>
      <c r="V383" s="610" t="s">
        <v>75</v>
      </c>
      <c r="W383" s="605" t="s">
        <v>70</v>
      </c>
      <c r="X383" s="37"/>
      <c r="Y383" s="37"/>
      <c r="Z383" s="605" t="s">
        <v>78</v>
      </c>
      <c r="AA383" s="605" t="s">
        <v>78</v>
      </c>
      <c r="AB383" s="37"/>
      <c r="AC383" s="681">
        <v>13.287671232876711</v>
      </c>
      <c r="AD383" s="614" t="s">
        <v>72</v>
      </c>
      <c r="AE383" s="605" t="s">
        <v>73</v>
      </c>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c r="CA383" s="393"/>
      <c r="CB383" s="393"/>
      <c r="CC383" s="393"/>
      <c r="CD383" s="393"/>
      <c r="CE383" s="393"/>
      <c r="CF383" s="393"/>
      <c r="CG383" s="393"/>
      <c r="CH383" s="393"/>
      <c r="CI383" s="393"/>
      <c r="CJ383" s="390"/>
      <c r="CK383" s="390"/>
      <c r="CL383" s="390"/>
      <c r="CM383" s="390"/>
      <c r="CN383" s="390"/>
      <c r="CO383" s="390"/>
      <c r="CP383" s="390"/>
      <c r="CQ383" s="390"/>
      <c r="CR383" s="390"/>
      <c r="CS383" s="390"/>
      <c r="CT383" s="390"/>
      <c r="CU383" s="390"/>
      <c r="CV383" s="390"/>
      <c r="CW383" s="390"/>
      <c r="CX383" s="390"/>
      <c r="CY383" s="390"/>
      <c r="CZ383" s="390"/>
      <c r="DA383" s="390"/>
      <c r="DB383" s="390"/>
      <c r="DC383" s="390"/>
    </row>
    <row r="384" spans="1:107" s="317" customFormat="1" ht="24">
      <c r="A384" s="37"/>
      <c r="B384" s="604" t="s">
        <v>23</v>
      </c>
      <c r="C384" s="605" t="s">
        <v>502</v>
      </c>
      <c r="D384" s="615" t="s">
        <v>1147</v>
      </c>
      <c r="E384" s="607">
        <v>611.35212104600316</v>
      </c>
      <c r="F384" s="605" t="s">
        <v>26</v>
      </c>
      <c r="G384" s="608">
        <v>0.44226099007306308</v>
      </c>
      <c r="H384" s="605" t="s">
        <v>66</v>
      </c>
      <c r="I384" s="609">
        <v>0.93461250994110145</v>
      </c>
      <c r="J384" s="605" t="s">
        <v>25</v>
      </c>
      <c r="K384" s="605" t="s">
        <v>1012</v>
      </c>
      <c r="L384" s="605" t="s">
        <v>94</v>
      </c>
      <c r="M384" s="605" t="s">
        <v>88</v>
      </c>
      <c r="N384" s="614">
        <v>180.25146289138166</v>
      </c>
      <c r="O384" s="614">
        <v>48.517998380199224</v>
      </c>
      <c r="P384" s="614">
        <v>171.23888974681256</v>
      </c>
      <c r="Q384" s="614">
        <v>8.0863330633665331</v>
      </c>
      <c r="R384" s="37"/>
      <c r="S384" s="605" t="s">
        <v>44</v>
      </c>
      <c r="T384" s="610" t="s">
        <v>63</v>
      </c>
      <c r="U384" s="605" t="s">
        <v>69</v>
      </c>
      <c r="V384" s="605" t="s">
        <v>69</v>
      </c>
      <c r="W384" s="605" t="s">
        <v>76</v>
      </c>
      <c r="X384" s="37"/>
      <c r="Y384" s="37"/>
      <c r="Z384" s="605" t="s">
        <v>78</v>
      </c>
      <c r="AA384" s="605" t="s">
        <v>78</v>
      </c>
      <c r="AB384" s="37"/>
      <c r="AC384" s="681">
        <v>13.287671232876711</v>
      </c>
      <c r="AD384" s="614" t="s">
        <v>72</v>
      </c>
      <c r="AE384" s="605" t="s">
        <v>73</v>
      </c>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c r="CA384" s="393"/>
      <c r="CB384" s="393"/>
      <c r="CC384" s="393"/>
      <c r="CD384" s="393"/>
      <c r="CE384" s="393"/>
      <c r="CF384" s="393"/>
      <c r="CG384" s="393"/>
      <c r="CH384" s="393"/>
      <c r="CI384" s="393"/>
      <c r="CJ384" s="390"/>
      <c r="CK384" s="390"/>
      <c r="CL384" s="390"/>
      <c r="CM384" s="390"/>
      <c r="CN384" s="390"/>
      <c r="CO384" s="390"/>
      <c r="CP384" s="390"/>
      <c r="CQ384" s="390"/>
      <c r="CR384" s="390"/>
      <c r="CS384" s="390"/>
      <c r="CT384" s="390"/>
      <c r="CU384" s="390"/>
      <c r="CV384" s="390"/>
      <c r="CW384" s="390"/>
      <c r="CX384" s="390"/>
      <c r="CY384" s="390"/>
      <c r="CZ384" s="390"/>
      <c r="DA384" s="390"/>
      <c r="DB384" s="390"/>
      <c r="DC384" s="390"/>
    </row>
    <row r="385" spans="1:107" s="317" customFormat="1" ht="24">
      <c r="A385" s="37"/>
      <c r="B385" s="604" t="s">
        <v>23</v>
      </c>
      <c r="C385" s="605" t="s">
        <v>502</v>
      </c>
      <c r="D385" s="615" t="s">
        <v>1147</v>
      </c>
      <c r="E385" s="607">
        <v>611.35212104600316</v>
      </c>
      <c r="F385" s="605" t="s">
        <v>26</v>
      </c>
      <c r="G385" s="608">
        <v>0.44226099007306308</v>
      </c>
      <c r="H385" s="605" t="s">
        <v>66</v>
      </c>
      <c r="I385" s="609">
        <v>0.93461250994110145</v>
      </c>
      <c r="J385" s="605" t="s">
        <v>25</v>
      </c>
      <c r="K385" s="605" t="s">
        <v>1012</v>
      </c>
      <c r="L385" s="605" t="s">
        <v>94</v>
      </c>
      <c r="M385" s="605" t="s">
        <v>90</v>
      </c>
      <c r="N385" s="614">
        <v>180.25146289138166</v>
      </c>
      <c r="O385" s="614">
        <v>56.604331443565762</v>
      </c>
      <c r="P385" s="614">
        <v>171.23888974681256</v>
      </c>
      <c r="Q385" s="614">
        <v>16.172666126733077</v>
      </c>
      <c r="R385" s="37"/>
      <c r="S385" s="605" t="s">
        <v>44</v>
      </c>
      <c r="T385" s="610" t="s">
        <v>63</v>
      </c>
      <c r="U385" s="605" t="s">
        <v>69</v>
      </c>
      <c r="V385" s="605" t="s">
        <v>69</v>
      </c>
      <c r="W385" s="605" t="s">
        <v>76</v>
      </c>
      <c r="X385" s="37"/>
      <c r="Y385" s="37"/>
      <c r="Z385" s="605" t="s">
        <v>78</v>
      </c>
      <c r="AA385" s="605" t="s">
        <v>78</v>
      </c>
      <c r="AB385" s="37"/>
      <c r="AC385" s="681">
        <v>13.287671232876711</v>
      </c>
      <c r="AD385" s="614" t="s">
        <v>72</v>
      </c>
      <c r="AE385" s="605" t="s">
        <v>73</v>
      </c>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c r="CA385" s="393"/>
      <c r="CB385" s="393"/>
      <c r="CC385" s="393"/>
      <c r="CD385" s="393"/>
      <c r="CE385" s="393"/>
      <c r="CF385" s="393"/>
      <c r="CG385" s="393"/>
      <c r="CH385" s="393"/>
      <c r="CI385" s="393"/>
      <c r="CJ385" s="390"/>
      <c r="CK385" s="390"/>
      <c r="CL385" s="390"/>
      <c r="CM385" s="390"/>
      <c r="CN385" s="390"/>
      <c r="CO385" s="390"/>
      <c r="CP385" s="390"/>
      <c r="CQ385" s="390"/>
      <c r="CR385" s="390"/>
      <c r="CS385" s="390"/>
      <c r="CT385" s="390"/>
      <c r="CU385" s="390"/>
      <c r="CV385" s="390"/>
      <c r="CW385" s="390"/>
      <c r="CX385" s="390"/>
      <c r="CY385" s="390"/>
      <c r="CZ385" s="390"/>
      <c r="DA385" s="390"/>
      <c r="DB385" s="390"/>
      <c r="DC385" s="390"/>
    </row>
    <row r="386" spans="1:107" s="317" customFormat="1" ht="24">
      <c r="A386" s="37"/>
      <c r="B386" s="604" t="s">
        <v>23</v>
      </c>
      <c r="C386" s="605" t="s">
        <v>502</v>
      </c>
      <c r="D386" s="615" t="s">
        <v>1147</v>
      </c>
      <c r="E386" s="607">
        <v>611.35212104600316</v>
      </c>
      <c r="F386" s="605" t="s">
        <v>26</v>
      </c>
      <c r="G386" s="608">
        <v>0.44226099007306308</v>
      </c>
      <c r="H386" s="605" t="s">
        <v>66</v>
      </c>
      <c r="I386" s="609">
        <v>0.93461250994110145</v>
      </c>
      <c r="J386" s="605" t="s">
        <v>25</v>
      </c>
      <c r="K386" s="605" t="s">
        <v>1012</v>
      </c>
      <c r="L386" s="605" t="s">
        <v>94</v>
      </c>
      <c r="M386" s="605" t="s">
        <v>91</v>
      </c>
      <c r="N386" s="614">
        <v>180.25146289138166</v>
      </c>
      <c r="O386" s="614" t="s">
        <v>870</v>
      </c>
      <c r="P386" s="614">
        <v>171.23888974681256</v>
      </c>
      <c r="Q386" s="614" t="s">
        <v>870</v>
      </c>
      <c r="R386" s="37"/>
      <c r="S386" s="605" t="s">
        <v>44</v>
      </c>
      <c r="T386" s="610" t="s">
        <v>63</v>
      </c>
      <c r="U386" s="610" t="s">
        <v>870</v>
      </c>
      <c r="V386" s="610" t="s">
        <v>870</v>
      </c>
      <c r="W386" s="605" t="s">
        <v>76</v>
      </c>
      <c r="X386" s="37"/>
      <c r="Y386" s="37"/>
      <c r="Z386" s="605" t="s">
        <v>78</v>
      </c>
      <c r="AA386" s="605" t="s">
        <v>78</v>
      </c>
      <c r="AB386" s="37"/>
      <c r="AC386" s="681">
        <v>13.287671232876711</v>
      </c>
      <c r="AD386" s="614" t="s">
        <v>72</v>
      </c>
      <c r="AE386" s="605" t="s">
        <v>73</v>
      </c>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c r="CA386" s="393"/>
      <c r="CB386" s="393"/>
      <c r="CC386" s="393"/>
      <c r="CD386" s="393"/>
      <c r="CE386" s="393"/>
      <c r="CF386" s="393"/>
      <c r="CG386" s="393"/>
      <c r="CH386" s="393"/>
      <c r="CI386" s="393"/>
      <c r="CJ386" s="390"/>
      <c r="CK386" s="390"/>
      <c r="CL386" s="390"/>
      <c r="CM386" s="390"/>
      <c r="CN386" s="390"/>
      <c r="CO386" s="390"/>
      <c r="CP386" s="390"/>
      <c r="CQ386" s="390"/>
      <c r="CR386" s="390"/>
      <c r="CS386" s="390"/>
      <c r="CT386" s="390"/>
      <c r="CU386" s="390"/>
      <c r="CV386" s="390"/>
      <c r="CW386" s="390"/>
      <c r="CX386" s="390"/>
      <c r="CY386" s="390"/>
      <c r="CZ386" s="390"/>
      <c r="DA386" s="390"/>
      <c r="DB386" s="390"/>
      <c r="DC386" s="390"/>
    </row>
    <row r="387" spans="1:107" s="317" customFormat="1" ht="24">
      <c r="A387" s="37"/>
      <c r="B387" s="604" t="s">
        <v>23</v>
      </c>
      <c r="C387" s="605" t="s">
        <v>502</v>
      </c>
      <c r="D387" s="615" t="s">
        <v>1147</v>
      </c>
      <c r="E387" s="607">
        <v>611.35212104600316</v>
      </c>
      <c r="F387" s="605" t="s">
        <v>26</v>
      </c>
      <c r="G387" s="608">
        <v>0.44226099007306308</v>
      </c>
      <c r="H387" s="605" t="s">
        <v>66</v>
      </c>
      <c r="I387" s="609">
        <v>0.93461250994110145</v>
      </c>
      <c r="J387" s="605" t="s">
        <v>25</v>
      </c>
      <c r="K387" s="605" t="s">
        <v>1012</v>
      </c>
      <c r="L387" s="605" t="s">
        <v>94</v>
      </c>
      <c r="M387" s="605" t="s">
        <v>92</v>
      </c>
      <c r="N387" s="614">
        <v>180.25146289138166</v>
      </c>
      <c r="O387" s="614">
        <v>72.776997570298832</v>
      </c>
      <c r="P387" s="614">
        <v>171.23888974681256</v>
      </c>
      <c r="Q387" s="614">
        <v>32.345332253466147</v>
      </c>
      <c r="R387" s="37"/>
      <c r="S387" s="605" t="s">
        <v>44</v>
      </c>
      <c r="T387" s="610" t="s">
        <v>63</v>
      </c>
      <c r="U387" s="605" t="s">
        <v>69</v>
      </c>
      <c r="V387" s="605" t="s">
        <v>69</v>
      </c>
      <c r="W387" s="605" t="s">
        <v>76</v>
      </c>
      <c r="X387" s="37"/>
      <c r="Y387" s="37"/>
      <c r="Z387" s="605" t="s">
        <v>78</v>
      </c>
      <c r="AA387" s="605" t="s">
        <v>78</v>
      </c>
      <c r="AB387" s="37"/>
      <c r="AC387" s="681">
        <v>13.287671232876711</v>
      </c>
      <c r="AD387" s="614" t="s">
        <v>72</v>
      </c>
      <c r="AE387" s="605" t="s">
        <v>73</v>
      </c>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c r="CA387" s="393"/>
      <c r="CB387" s="393"/>
      <c r="CC387" s="393"/>
      <c r="CD387" s="393"/>
      <c r="CE387" s="393"/>
      <c r="CF387" s="393"/>
      <c r="CG387" s="393"/>
      <c r="CH387" s="393"/>
      <c r="CI387" s="393"/>
      <c r="CJ387" s="390"/>
      <c r="CK387" s="390"/>
      <c r="CL387" s="390"/>
      <c r="CM387" s="390"/>
      <c r="CN387" s="390"/>
      <c r="CO387" s="390"/>
      <c r="CP387" s="390"/>
      <c r="CQ387" s="390"/>
      <c r="CR387" s="390"/>
      <c r="CS387" s="390"/>
      <c r="CT387" s="390"/>
      <c r="CU387" s="390"/>
      <c r="CV387" s="390"/>
      <c r="CW387" s="390"/>
      <c r="CX387" s="390"/>
      <c r="CY387" s="390"/>
      <c r="CZ387" s="390"/>
      <c r="DA387" s="390"/>
      <c r="DB387" s="390"/>
      <c r="DC387" s="390"/>
    </row>
    <row r="388" spans="1:107" s="317" customFormat="1" ht="24">
      <c r="A388" s="37"/>
      <c r="B388" s="604" t="s">
        <v>23</v>
      </c>
      <c r="C388" s="605" t="s">
        <v>502</v>
      </c>
      <c r="D388" s="615" t="s">
        <v>1147</v>
      </c>
      <c r="E388" s="607">
        <v>611.35212104600316</v>
      </c>
      <c r="F388" s="605" t="s">
        <v>26</v>
      </c>
      <c r="G388" s="608">
        <v>0.44226099007306308</v>
      </c>
      <c r="H388" s="605" t="s">
        <v>66</v>
      </c>
      <c r="I388" s="609">
        <v>0.93461250994110145</v>
      </c>
      <c r="J388" s="605" t="s">
        <v>25</v>
      </c>
      <c r="K388" s="605" t="s">
        <v>1012</v>
      </c>
      <c r="L388" s="605" t="s">
        <v>94</v>
      </c>
      <c r="M388" s="605" t="s">
        <v>93</v>
      </c>
      <c r="N388" s="614">
        <v>180.25146289138166</v>
      </c>
      <c r="O388" s="614">
        <v>76.820164101982115</v>
      </c>
      <c r="P388" s="614">
        <v>171.23888974681256</v>
      </c>
      <c r="Q388" s="614">
        <v>36.388498785149416</v>
      </c>
      <c r="R388" s="37"/>
      <c r="S388" s="605" t="s">
        <v>44</v>
      </c>
      <c r="T388" s="610" t="s">
        <v>63</v>
      </c>
      <c r="U388" s="610" t="s">
        <v>44</v>
      </c>
      <c r="V388" s="610" t="s">
        <v>75</v>
      </c>
      <c r="W388" s="605" t="s">
        <v>76</v>
      </c>
      <c r="X388" s="37"/>
      <c r="Y388" s="37"/>
      <c r="Z388" s="605" t="s">
        <v>78</v>
      </c>
      <c r="AA388" s="605" t="s">
        <v>78</v>
      </c>
      <c r="AB388" s="37"/>
      <c r="AC388" s="681">
        <v>13.287671232876711</v>
      </c>
      <c r="AD388" s="614" t="s">
        <v>72</v>
      </c>
      <c r="AE388" s="605" t="s">
        <v>73</v>
      </c>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c r="CA388" s="393"/>
      <c r="CB388" s="393"/>
      <c r="CC388" s="393"/>
      <c r="CD388" s="393"/>
      <c r="CE388" s="393"/>
      <c r="CF388" s="393"/>
      <c r="CG388" s="393"/>
      <c r="CH388" s="393"/>
      <c r="CI388" s="393"/>
      <c r="CJ388" s="390"/>
      <c r="CK388" s="390"/>
      <c r="CL388" s="390"/>
      <c r="CM388" s="390"/>
      <c r="CN388" s="390"/>
      <c r="CO388" s="390"/>
      <c r="CP388" s="390"/>
      <c r="CQ388" s="390"/>
      <c r="CR388" s="390"/>
      <c r="CS388" s="390"/>
      <c r="CT388" s="390"/>
      <c r="CU388" s="390"/>
      <c r="CV388" s="390"/>
      <c r="CW388" s="390"/>
      <c r="CX388" s="390"/>
      <c r="CY388" s="390"/>
      <c r="CZ388" s="390"/>
      <c r="DA388" s="390"/>
      <c r="DB388" s="390"/>
      <c r="DC388" s="390"/>
    </row>
    <row r="389" spans="1:107" s="317" customFormat="1" ht="56.25">
      <c r="A389" s="37"/>
      <c r="B389" s="464" t="s">
        <v>23</v>
      </c>
      <c r="C389" s="465" t="s">
        <v>502</v>
      </c>
      <c r="D389" s="348" t="s">
        <v>1224</v>
      </c>
      <c r="E389" s="467">
        <v>36.33310217997353</v>
      </c>
      <c r="F389" s="465" t="s">
        <v>27</v>
      </c>
      <c r="G389" s="468">
        <v>0.34186101411524789</v>
      </c>
      <c r="H389" s="465" t="s">
        <v>66</v>
      </c>
      <c r="I389" s="469">
        <v>1</v>
      </c>
      <c r="J389" s="465" t="s">
        <v>1097</v>
      </c>
      <c r="K389" s="465" t="s">
        <v>1035</v>
      </c>
      <c r="L389" s="465" t="s">
        <v>15</v>
      </c>
      <c r="M389" s="465" t="s">
        <v>88</v>
      </c>
      <c r="N389" s="470">
        <v>2.5433212369502054</v>
      </c>
      <c r="O389" s="470" t="s">
        <v>870</v>
      </c>
      <c r="P389" s="470">
        <v>2.1736524525097685</v>
      </c>
      <c r="Q389" s="470" t="s">
        <v>870</v>
      </c>
      <c r="R389" s="37"/>
      <c r="S389" s="465" t="s">
        <v>44</v>
      </c>
      <c r="T389" s="344" t="s">
        <v>63</v>
      </c>
      <c r="U389" s="344" t="s">
        <v>870</v>
      </c>
      <c r="V389" s="344" t="s">
        <v>870</v>
      </c>
      <c r="W389" s="344" t="s">
        <v>76</v>
      </c>
      <c r="X389" s="37"/>
      <c r="Y389" s="37"/>
      <c r="Z389" s="465" t="s">
        <v>78</v>
      </c>
      <c r="AA389" s="465" t="s">
        <v>78</v>
      </c>
      <c r="AB389" s="37"/>
      <c r="AC389" s="474">
        <v>13.287671232876711</v>
      </c>
      <c r="AD389" s="470" t="s">
        <v>72</v>
      </c>
      <c r="AE389" s="465" t="s">
        <v>73</v>
      </c>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c r="CA389" s="393"/>
      <c r="CB389" s="393"/>
      <c r="CC389" s="393"/>
      <c r="CD389" s="393"/>
      <c r="CE389" s="393"/>
      <c r="CF389" s="393"/>
      <c r="CG389" s="393"/>
      <c r="CH389" s="393"/>
      <c r="CI389" s="393"/>
      <c r="CJ389" s="390"/>
      <c r="CK389" s="390"/>
      <c r="CL389" s="390"/>
      <c r="CM389" s="390"/>
      <c r="CN389" s="390"/>
      <c r="CO389" s="390"/>
      <c r="CP389" s="390"/>
      <c r="CQ389" s="390"/>
      <c r="CR389" s="390"/>
      <c r="CS389" s="390"/>
      <c r="CT389" s="390"/>
      <c r="CU389" s="390"/>
      <c r="CV389" s="390"/>
      <c r="CW389" s="390"/>
      <c r="CX389" s="390"/>
      <c r="CY389" s="390"/>
      <c r="CZ389" s="390"/>
      <c r="DA389" s="390"/>
      <c r="DB389" s="390"/>
      <c r="DC389" s="390"/>
    </row>
    <row r="390" spans="1:107" s="317" customFormat="1" ht="56.25">
      <c r="A390" s="37"/>
      <c r="B390" s="464" t="s">
        <v>23</v>
      </c>
      <c r="C390" s="465" t="s">
        <v>502</v>
      </c>
      <c r="D390" s="348" t="s">
        <v>1224</v>
      </c>
      <c r="E390" s="467">
        <v>36.33310217997353</v>
      </c>
      <c r="F390" s="465" t="s">
        <v>27</v>
      </c>
      <c r="G390" s="468">
        <v>0.34186101411524789</v>
      </c>
      <c r="H390" s="465" t="s">
        <v>66</v>
      </c>
      <c r="I390" s="469">
        <v>1</v>
      </c>
      <c r="J390" s="465" t="s">
        <v>1097</v>
      </c>
      <c r="K390" s="465" t="s">
        <v>1035</v>
      </c>
      <c r="L390" s="465" t="s">
        <v>15</v>
      </c>
      <c r="M390" s="465" t="s">
        <v>90</v>
      </c>
      <c r="N390" s="470">
        <v>2.5433212369502054</v>
      </c>
      <c r="O390" s="470" t="s">
        <v>870</v>
      </c>
      <c r="P390" s="470">
        <v>2.1736524525097685</v>
      </c>
      <c r="Q390" s="470" t="s">
        <v>870</v>
      </c>
      <c r="R390" s="37"/>
      <c r="S390" s="465" t="s">
        <v>44</v>
      </c>
      <c r="T390" s="344" t="s">
        <v>63</v>
      </c>
      <c r="U390" s="344" t="s">
        <v>870</v>
      </c>
      <c r="V390" s="344" t="s">
        <v>870</v>
      </c>
      <c r="W390" s="344" t="s">
        <v>76</v>
      </c>
      <c r="X390" s="37"/>
      <c r="Y390" s="37"/>
      <c r="Z390" s="465" t="s">
        <v>78</v>
      </c>
      <c r="AA390" s="465" t="s">
        <v>78</v>
      </c>
      <c r="AB390" s="37"/>
      <c r="AC390" s="474">
        <v>13.287671232876711</v>
      </c>
      <c r="AD390" s="470" t="s">
        <v>72</v>
      </c>
      <c r="AE390" s="465" t="s">
        <v>73</v>
      </c>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c r="CA390" s="393"/>
      <c r="CB390" s="393"/>
      <c r="CC390" s="393"/>
      <c r="CD390" s="393"/>
      <c r="CE390" s="393"/>
      <c r="CF390" s="393"/>
      <c r="CG390" s="393"/>
      <c r="CH390" s="393"/>
      <c r="CI390" s="393"/>
      <c r="CJ390" s="390"/>
      <c r="CK390" s="390"/>
      <c r="CL390" s="390"/>
      <c r="CM390" s="390"/>
      <c r="CN390" s="390"/>
      <c r="CO390" s="390"/>
      <c r="CP390" s="390"/>
      <c r="CQ390" s="390"/>
      <c r="CR390" s="390"/>
      <c r="CS390" s="390"/>
      <c r="CT390" s="390"/>
      <c r="CU390" s="390"/>
      <c r="CV390" s="390"/>
      <c r="CW390" s="390"/>
      <c r="CX390" s="390"/>
      <c r="CY390" s="390"/>
      <c r="CZ390" s="390"/>
      <c r="DA390" s="390"/>
      <c r="DB390" s="390"/>
      <c r="DC390" s="390"/>
    </row>
    <row r="391" spans="1:107" s="317" customFormat="1" ht="56.25">
      <c r="A391" s="37"/>
      <c r="B391" s="464" t="s">
        <v>23</v>
      </c>
      <c r="C391" s="465" t="s">
        <v>502</v>
      </c>
      <c r="D391" s="348" t="s">
        <v>1224</v>
      </c>
      <c r="E391" s="467">
        <v>36.33310217997353</v>
      </c>
      <c r="F391" s="465" t="s">
        <v>27</v>
      </c>
      <c r="G391" s="468">
        <v>0.34186101411524789</v>
      </c>
      <c r="H391" s="465" t="s">
        <v>66</v>
      </c>
      <c r="I391" s="469">
        <v>1</v>
      </c>
      <c r="J391" s="465" t="s">
        <v>1097</v>
      </c>
      <c r="K391" s="465" t="s">
        <v>1035</v>
      </c>
      <c r="L391" s="465" t="s">
        <v>15</v>
      </c>
      <c r="M391" s="465" t="s">
        <v>91</v>
      </c>
      <c r="N391" s="470">
        <v>2.5433212369502054</v>
      </c>
      <c r="O391" s="470" t="s">
        <v>870</v>
      </c>
      <c r="P391" s="470">
        <v>2.1736524525097685</v>
      </c>
      <c r="Q391" s="470" t="s">
        <v>870</v>
      </c>
      <c r="R391" s="37"/>
      <c r="S391" s="465" t="s">
        <v>44</v>
      </c>
      <c r="T391" s="344" t="s">
        <v>63</v>
      </c>
      <c r="U391" s="344" t="s">
        <v>870</v>
      </c>
      <c r="V391" s="344" t="s">
        <v>870</v>
      </c>
      <c r="W391" s="344" t="s">
        <v>76</v>
      </c>
      <c r="X391" s="37"/>
      <c r="Y391" s="37"/>
      <c r="Z391" s="465" t="s">
        <v>78</v>
      </c>
      <c r="AA391" s="465" t="s">
        <v>78</v>
      </c>
      <c r="AB391" s="37"/>
      <c r="AC391" s="474">
        <v>13.287671232876711</v>
      </c>
      <c r="AD391" s="470" t="s">
        <v>72</v>
      </c>
      <c r="AE391" s="465" t="s">
        <v>73</v>
      </c>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c r="CA391" s="393"/>
      <c r="CB391" s="393"/>
      <c r="CC391" s="393"/>
      <c r="CD391" s="393"/>
      <c r="CE391" s="393"/>
      <c r="CF391" s="393"/>
      <c r="CG391" s="393"/>
      <c r="CH391" s="393"/>
      <c r="CI391" s="393"/>
      <c r="CJ391" s="390"/>
      <c r="CK391" s="390"/>
      <c r="CL391" s="390"/>
      <c r="CM391" s="390"/>
      <c r="CN391" s="390"/>
      <c r="CO391" s="390"/>
      <c r="CP391" s="390"/>
      <c r="CQ391" s="390"/>
      <c r="CR391" s="390"/>
      <c r="CS391" s="390"/>
      <c r="CT391" s="390"/>
      <c r="CU391" s="390"/>
      <c r="CV391" s="390"/>
      <c r="CW391" s="390"/>
      <c r="CX391" s="390"/>
      <c r="CY391" s="390"/>
      <c r="CZ391" s="390"/>
      <c r="DA391" s="390"/>
      <c r="DB391" s="390"/>
      <c r="DC391" s="390"/>
    </row>
    <row r="392" spans="1:107" s="317" customFormat="1" ht="56.25">
      <c r="A392" s="37"/>
      <c r="B392" s="464" t="s">
        <v>23</v>
      </c>
      <c r="C392" s="465" t="s">
        <v>502</v>
      </c>
      <c r="D392" s="348" t="s">
        <v>1224</v>
      </c>
      <c r="E392" s="467">
        <v>36.33310217997353</v>
      </c>
      <c r="F392" s="465" t="s">
        <v>27</v>
      </c>
      <c r="G392" s="468">
        <v>0.34186101411524789</v>
      </c>
      <c r="H392" s="465" t="s">
        <v>66</v>
      </c>
      <c r="I392" s="469">
        <v>1</v>
      </c>
      <c r="J392" s="465" t="s">
        <v>1097</v>
      </c>
      <c r="K392" s="465" t="s">
        <v>1035</v>
      </c>
      <c r="L392" s="465" t="s">
        <v>15</v>
      </c>
      <c r="M392" s="465" t="s">
        <v>92</v>
      </c>
      <c r="N392" s="470">
        <v>2.5433212369502054</v>
      </c>
      <c r="O392" s="470">
        <v>3.5772108932732181</v>
      </c>
      <c r="P392" s="470">
        <v>2.1736524525097685</v>
      </c>
      <c r="Q392" s="470">
        <v>3.5772108932732181</v>
      </c>
      <c r="R392" s="37"/>
      <c r="S392" s="465" t="s">
        <v>44</v>
      </c>
      <c r="T392" s="344" t="s">
        <v>63</v>
      </c>
      <c r="U392" s="465" t="s">
        <v>69</v>
      </c>
      <c r="V392" s="465" t="s">
        <v>69</v>
      </c>
      <c r="W392" s="344" t="s">
        <v>76</v>
      </c>
      <c r="X392" s="37"/>
      <c r="Y392" s="37"/>
      <c r="Z392" s="465" t="s">
        <v>78</v>
      </c>
      <c r="AA392" s="465" t="s">
        <v>78</v>
      </c>
      <c r="AB392" s="37"/>
      <c r="AC392" s="474">
        <v>13.287671232876711</v>
      </c>
      <c r="AD392" s="470" t="s">
        <v>72</v>
      </c>
      <c r="AE392" s="465" t="s">
        <v>73</v>
      </c>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c r="CA392" s="393"/>
      <c r="CB392" s="393"/>
      <c r="CC392" s="393"/>
      <c r="CD392" s="393"/>
      <c r="CE392" s="393"/>
      <c r="CF392" s="393"/>
      <c r="CG392" s="393"/>
      <c r="CH392" s="393"/>
      <c r="CI392" s="393"/>
      <c r="CJ392" s="390"/>
      <c r="CK392" s="390"/>
      <c r="CL392" s="390"/>
      <c r="CM392" s="390"/>
      <c r="CN392" s="390"/>
      <c r="CO392" s="390"/>
      <c r="CP392" s="390"/>
      <c r="CQ392" s="390"/>
      <c r="CR392" s="390"/>
      <c r="CS392" s="390"/>
      <c r="CT392" s="390"/>
      <c r="CU392" s="390"/>
      <c r="CV392" s="390"/>
      <c r="CW392" s="390"/>
      <c r="CX392" s="390"/>
      <c r="CY392" s="390"/>
      <c r="CZ392" s="390"/>
      <c r="DA392" s="390"/>
      <c r="DB392" s="390"/>
      <c r="DC392" s="390"/>
    </row>
    <row r="393" spans="1:107" s="317" customFormat="1" ht="56.25">
      <c r="A393" s="37"/>
      <c r="B393" s="464" t="s">
        <v>23</v>
      </c>
      <c r="C393" s="465" t="s">
        <v>502</v>
      </c>
      <c r="D393" s="348" t="s">
        <v>1224</v>
      </c>
      <c r="E393" s="467">
        <v>36.33310217997353</v>
      </c>
      <c r="F393" s="465" t="s">
        <v>27</v>
      </c>
      <c r="G393" s="468">
        <v>0.34186101411524789</v>
      </c>
      <c r="H393" s="465" t="s">
        <v>66</v>
      </c>
      <c r="I393" s="469">
        <v>1</v>
      </c>
      <c r="J393" s="465" t="s">
        <v>1097</v>
      </c>
      <c r="K393" s="465" t="s">
        <v>1035</v>
      </c>
      <c r="L393" s="465" t="s">
        <v>15</v>
      </c>
      <c r="M393" s="465" t="s">
        <v>93</v>
      </c>
      <c r="N393" s="470">
        <v>2.5433212369502054</v>
      </c>
      <c r="O393" s="470" t="s">
        <v>870</v>
      </c>
      <c r="P393" s="470">
        <v>2.1736524525097685</v>
      </c>
      <c r="Q393" s="470" t="s">
        <v>870</v>
      </c>
      <c r="R393" s="37"/>
      <c r="S393" s="465" t="s">
        <v>44</v>
      </c>
      <c r="T393" s="344" t="s">
        <v>63</v>
      </c>
      <c r="U393" s="344" t="s">
        <v>870</v>
      </c>
      <c r="V393" s="344" t="s">
        <v>870</v>
      </c>
      <c r="W393" s="344" t="s">
        <v>76</v>
      </c>
      <c r="X393" s="37"/>
      <c r="Y393" s="37"/>
      <c r="Z393" s="465" t="s">
        <v>78</v>
      </c>
      <c r="AA393" s="465" t="s">
        <v>78</v>
      </c>
      <c r="AB393" s="37"/>
      <c r="AC393" s="474">
        <v>13.287671232876711</v>
      </c>
      <c r="AD393" s="470" t="s">
        <v>72</v>
      </c>
      <c r="AE393" s="465" t="s">
        <v>73</v>
      </c>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c r="CA393" s="393"/>
      <c r="CB393" s="393"/>
      <c r="CC393" s="393"/>
      <c r="CD393" s="393"/>
      <c r="CE393" s="393"/>
      <c r="CF393" s="393"/>
      <c r="CG393" s="393"/>
      <c r="CH393" s="393"/>
      <c r="CI393" s="393"/>
      <c r="CJ393" s="390"/>
      <c r="CK393" s="390"/>
      <c r="CL393" s="390"/>
      <c r="CM393" s="390"/>
      <c r="CN393" s="390"/>
      <c r="CO393" s="390"/>
      <c r="CP393" s="390"/>
      <c r="CQ393" s="390"/>
      <c r="CR393" s="390"/>
      <c r="CS393" s="390"/>
      <c r="CT393" s="390"/>
      <c r="CU393" s="390"/>
      <c r="CV393" s="390"/>
      <c r="CW393" s="390"/>
      <c r="CX393" s="390"/>
      <c r="CY393" s="390"/>
      <c r="CZ393" s="390"/>
      <c r="DA393" s="390"/>
      <c r="DB393" s="390"/>
      <c r="DC393" s="390"/>
    </row>
    <row r="394" spans="1:107" s="317" customFormat="1" ht="56.25">
      <c r="A394" s="37"/>
      <c r="B394" s="464" t="s">
        <v>23</v>
      </c>
      <c r="C394" s="465" t="s">
        <v>502</v>
      </c>
      <c r="D394" s="348" t="s">
        <v>1224</v>
      </c>
      <c r="E394" s="467">
        <v>36.33310217997353</v>
      </c>
      <c r="F394" s="465" t="s">
        <v>27</v>
      </c>
      <c r="G394" s="468">
        <v>0.34186101411524789</v>
      </c>
      <c r="H394" s="465" t="s">
        <v>66</v>
      </c>
      <c r="I394" s="469">
        <v>1</v>
      </c>
      <c r="J394" s="465" t="s">
        <v>1097</v>
      </c>
      <c r="K394" s="465" t="s">
        <v>1035</v>
      </c>
      <c r="L394" s="465" t="s">
        <v>960</v>
      </c>
      <c r="M394" s="465" t="s">
        <v>88</v>
      </c>
      <c r="N394" s="470">
        <v>1.8344671247554971</v>
      </c>
      <c r="O394" s="470" t="s">
        <v>870</v>
      </c>
      <c r="P394" s="470">
        <v>1.5898715081214303</v>
      </c>
      <c r="Q394" s="470" t="s">
        <v>870</v>
      </c>
      <c r="R394" s="37"/>
      <c r="S394" s="465" t="s">
        <v>69</v>
      </c>
      <c r="T394" s="465" t="s">
        <v>69</v>
      </c>
      <c r="U394" s="344" t="s">
        <v>870</v>
      </c>
      <c r="V394" s="344" t="s">
        <v>870</v>
      </c>
      <c r="W394" s="344" t="s">
        <v>76</v>
      </c>
      <c r="X394" s="37"/>
      <c r="Y394" s="37"/>
      <c r="Z394" s="465" t="s">
        <v>78</v>
      </c>
      <c r="AA394" s="465" t="s">
        <v>78</v>
      </c>
      <c r="AB394" s="37"/>
      <c r="AC394" s="474">
        <v>13.287671232876711</v>
      </c>
      <c r="AD394" s="470" t="s">
        <v>72</v>
      </c>
      <c r="AE394" s="465" t="s">
        <v>73</v>
      </c>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c r="CA394" s="393"/>
      <c r="CB394" s="393"/>
      <c r="CC394" s="393"/>
      <c r="CD394" s="393"/>
      <c r="CE394" s="393"/>
      <c r="CF394" s="393"/>
      <c r="CG394" s="393"/>
      <c r="CH394" s="393"/>
      <c r="CI394" s="393"/>
      <c r="CJ394" s="390"/>
      <c r="CK394" s="390"/>
      <c r="CL394" s="390"/>
      <c r="CM394" s="390"/>
      <c r="CN394" s="390"/>
      <c r="CO394" s="390"/>
      <c r="CP394" s="390"/>
      <c r="CQ394" s="390"/>
      <c r="CR394" s="390"/>
      <c r="CS394" s="390"/>
      <c r="CT394" s="390"/>
      <c r="CU394" s="390"/>
      <c r="CV394" s="390"/>
      <c r="CW394" s="390"/>
      <c r="CX394" s="390"/>
      <c r="CY394" s="390"/>
      <c r="CZ394" s="390"/>
      <c r="DA394" s="390"/>
      <c r="DB394" s="390"/>
      <c r="DC394" s="390"/>
    </row>
    <row r="395" spans="1:107" s="317" customFormat="1" ht="56.25">
      <c r="A395" s="37"/>
      <c r="B395" s="464" t="s">
        <v>23</v>
      </c>
      <c r="C395" s="465" t="s">
        <v>502</v>
      </c>
      <c r="D395" s="348" t="s">
        <v>1224</v>
      </c>
      <c r="E395" s="467">
        <v>36.33310217997353</v>
      </c>
      <c r="F395" s="465" t="s">
        <v>27</v>
      </c>
      <c r="G395" s="468">
        <v>0.34186101411524789</v>
      </c>
      <c r="H395" s="465" t="s">
        <v>66</v>
      </c>
      <c r="I395" s="469">
        <v>1</v>
      </c>
      <c r="J395" s="465" t="s">
        <v>1097</v>
      </c>
      <c r="K395" s="465" t="s">
        <v>1035</v>
      </c>
      <c r="L395" s="465" t="s">
        <v>960</v>
      </c>
      <c r="M395" s="465" t="s">
        <v>90</v>
      </c>
      <c r="N395" s="470">
        <v>1.8344671247554971</v>
      </c>
      <c r="O395" s="470" t="s">
        <v>870</v>
      </c>
      <c r="P395" s="470">
        <v>1.5898715081214303</v>
      </c>
      <c r="Q395" s="470" t="s">
        <v>870</v>
      </c>
      <c r="R395" s="37"/>
      <c r="S395" s="465" t="s">
        <v>69</v>
      </c>
      <c r="T395" s="465" t="s">
        <v>69</v>
      </c>
      <c r="U395" s="344" t="s">
        <v>870</v>
      </c>
      <c r="V395" s="344" t="s">
        <v>870</v>
      </c>
      <c r="W395" s="344" t="s">
        <v>76</v>
      </c>
      <c r="X395" s="37"/>
      <c r="Y395" s="37"/>
      <c r="Z395" s="465" t="s">
        <v>78</v>
      </c>
      <c r="AA395" s="465" t="s">
        <v>78</v>
      </c>
      <c r="AB395" s="37"/>
      <c r="AC395" s="474">
        <v>13.287671232876711</v>
      </c>
      <c r="AD395" s="470" t="s">
        <v>72</v>
      </c>
      <c r="AE395" s="465" t="s">
        <v>73</v>
      </c>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c r="CA395" s="393"/>
      <c r="CB395" s="393"/>
      <c r="CC395" s="393"/>
      <c r="CD395" s="393"/>
      <c r="CE395" s="393"/>
      <c r="CF395" s="393"/>
      <c r="CG395" s="393"/>
      <c r="CH395" s="393"/>
      <c r="CI395" s="393"/>
      <c r="CJ395" s="390"/>
      <c r="CK395" s="390"/>
      <c r="CL395" s="390"/>
      <c r="CM395" s="390"/>
      <c r="CN395" s="390"/>
      <c r="CO395" s="390"/>
      <c r="CP395" s="390"/>
      <c r="CQ395" s="390"/>
      <c r="CR395" s="390"/>
      <c r="CS395" s="390"/>
      <c r="CT395" s="390"/>
      <c r="CU395" s="390"/>
      <c r="CV395" s="390"/>
      <c r="CW395" s="390"/>
      <c r="CX395" s="390"/>
      <c r="CY395" s="390"/>
      <c r="CZ395" s="390"/>
      <c r="DA395" s="390"/>
      <c r="DB395" s="390"/>
      <c r="DC395" s="390"/>
    </row>
    <row r="396" spans="1:107" s="317" customFormat="1" ht="56.25">
      <c r="A396" s="37"/>
      <c r="B396" s="464" t="s">
        <v>23</v>
      </c>
      <c r="C396" s="465" t="s">
        <v>502</v>
      </c>
      <c r="D396" s="348" t="s">
        <v>1224</v>
      </c>
      <c r="E396" s="467">
        <v>36.33310217997353</v>
      </c>
      <c r="F396" s="465" t="s">
        <v>27</v>
      </c>
      <c r="G396" s="468">
        <v>0.34186101411524789</v>
      </c>
      <c r="H396" s="465" t="s">
        <v>66</v>
      </c>
      <c r="I396" s="469">
        <v>1</v>
      </c>
      <c r="J396" s="465" t="s">
        <v>1097</v>
      </c>
      <c r="K396" s="465" t="s">
        <v>1035</v>
      </c>
      <c r="L396" s="465" t="s">
        <v>960</v>
      </c>
      <c r="M396" s="465" t="s">
        <v>91</v>
      </c>
      <c r="N396" s="470">
        <v>1.8344671247554971</v>
      </c>
      <c r="O396" s="470" t="s">
        <v>870</v>
      </c>
      <c r="P396" s="470">
        <v>1.5898715081214303</v>
      </c>
      <c r="Q396" s="470" t="s">
        <v>870</v>
      </c>
      <c r="R396" s="37"/>
      <c r="S396" s="465" t="s">
        <v>69</v>
      </c>
      <c r="T396" s="465" t="s">
        <v>69</v>
      </c>
      <c r="U396" s="344" t="s">
        <v>870</v>
      </c>
      <c r="V396" s="344" t="s">
        <v>870</v>
      </c>
      <c r="W396" s="344" t="s">
        <v>76</v>
      </c>
      <c r="X396" s="37"/>
      <c r="Y396" s="37"/>
      <c r="Z396" s="465" t="s">
        <v>78</v>
      </c>
      <c r="AA396" s="465" t="s">
        <v>78</v>
      </c>
      <c r="AB396" s="37"/>
      <c r="AC396" s="474">
        <v>13.287671232876711</v>
      </c>
      <c r="AD396" s="470" t="s">
        <v>72</v>
      </c>
      <c r="AE396" s="465" t="s">
        <v>73</v>
      </c>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c r="CA396" s="393"/>
      <c r="CB396" s="393"/>
      <c r="CC396" s="393"/>
      <c r="CD396" s="393"/>
      <c r="CE396" s="393"/>
      <c r="CF396" s="393"/>
      <c r="CG396" s="393"/>
      <c r="CH396" s="393"/>
      <c r="CI396" s="393"/>
      <c r="CJ396" s="390"/>
      <c r="CK396" s="390"/>
      <c r="CL396" s="390"/>
      <c r="CM396" s="390"/>
      <c r="CN396" s="390"/>
      <c r="CO396" s="390"/>
      <c r="CP396" s="390"/>
      <c r="CQ396" s="390"/>
      <c r="CR396" s="390"/>
      <c r="CS396" s="390"/>
      <c r="CT396" s="390"/>
      <c r="CU396" s="390"/>
      <c r="CV396" s="390"/>
      <c r="CW396" s="390"/>
      <c r="CX396" s="390"/>
      <c r="CY396" s="390"/>
      <c r="CZ396" s="390"/>
      <c r="DA396" s="390"/>
      <c r="DB396" s="390"/>
      <c r="DC396" s="390"/>
    </row>
    <row r="397" spans="1:107" s="317" customFormat="1" ht="56.25">
      <c r="A397" s="37"/>
      <c r="B397" s="464" t="s">
        <v>23</v>
      </c>
      <c r="C397" s="465" t="s">
        <v>502</v>
      </c>
      <c r="D397" s="348" t="s">
        <v>1224</v>
      </c>
      <c r="E397" s="467">
        <v>36.33310217997353</v>
      </c>
      <c r="F397" s="465" t="s">
        <v>27</v>
      </c>
      <c r="G397" s="468">
        <v>0.34186101411524789</v>
      </c>
      <c r="H397" s="465" t="s">
        <v>66</v>
      </c>
      <c r="I397" s="469">
        <v>1</v>
      </c>
      <c r="J397" s="465" t="s">
        <v>1097</v>
      </c>
      <c r="K397" s="465" t="s">
        <v>1035</v>
      </c>
      <c r="L397" s="465" t="s">
        <v>960</v>
      </c>
      <c r="M397" s="465" t="s">
        <v>92</v>
      </c>
      <c r="N397" s="470">
        <v>1.8344671247554971</v>
      </c>
      <c r="O397" s="470">
        <v>3.5772108932732181</v>
      </c>
      <c r="P397" s="470">
        <v>1.5898715081214303</v>
      </c>
      <c r="Q397" s="470">
        <v>3.5772108932732181</v>
      </c>
      <c r="R397" s="37"/>
      <c r="S397" s="465" t="s">
        <v>69</v>
      </c>
      <c r="T397" s="465" t="s">
        <v>69</v>
      </c>
      <c r="U397" s="465" t="s">
        <v>69</v>
      </c>
      <c r="V397" s="465" t="s">
        <v>69</v>
      </c>
      <c r="W397" s="344" t="s">
        <v>76</v>
      </c>
      <c r="X397" s="37"/>
      <c r="Y397" s="37"/>
      <c r="Z397" s="465" t="s">
        <v>78</v>
      </c>
      <c r="AA397" s="465" t="s">
        <v>78</v>
      </c>
      <c r="AB397" s="37"/>
      <c r="AC397" s="474">
        <v>13.287671232876711</v>
      </c>
      <c r="AD397" s="470" t="s">
        <v>72</v>
      </c>
      <c r="AE397" s="465" t="s">
        <v>73</v>
      </c>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c r="CA397" s="393"/>
      <c r="CB397" s="393"/>
      <c r="CC397" s="393"/>
      <c r="CD397" s="393"/>
      <c r="CE397" s="393"/>
      <c r="CF397" s="393"/>
      <c r="CG397" s="393"/>
      <c r="CH397" s="393"/>
      <c r="CI397" s="393"/>
      <c r="CJ397" s="390"/>
      <c r="CK397" s="390"/>
      <c r="CL397" s="390"/>
      <c r="CM397" s="390"/>
      <c r="CN397" s="390"/>
      <c r="CO397" s="390"/>
      <c r="CP397" s="390"/>
      <c r="CQ397" s="390"/>
      <c r="CR397" s="390"/>
      <c r="CS397" s="390"/>
      <c r="CT397" s="390"/>
      <c r="CU397" s="390"/>
      <c r="CV397" s="390"/>
      <c r="CW397" s="390"/>
      <c r="CX397" s="390"/>
      <c r="CY397" s="390"/>
      <c r="CZ397" s="390"/>
      <c r="DA397" s="390"/>
      <c r="DB397" s="390"/>
      <c r="DC397" s="390"/>
    </row>
    <row r="398" spans="1:107" s="317" customFormat="1" ht="56.25">
      <c r="A398" s="37"/>
      <c r="B398" s="464" t="s">
        <v>23</v>
      </c>
      <c r="C398" s="465" t="s">
        <v>502</v>
      </c>
      <c r="D398" s="348" t="s">
        <v>1224</v>
      </c>
      <c r="E398" s="467">
        <v>36.33310217997353</v>
      </c>
      <c r="F398" s="465" t="s">
        <v>27</v>
      </c>
      <c r="G398" s="468">
        <v>0.34186101411524789</v>
      </c>
      <c r="H398" s="465" t="s">
        <v>66</v>
      </c>
      <c r="I398" s="469">
        <v>1</v>
      </c>
      <c r="J398" s="465" t="s">
        <v>1097</v>
      </c>
      <c r="K398" s="465" t="s">
        <v>1035</v>
      </c>
      <c r="L398" s="465" t="s">
        <v>960</v>
      </c>
      <c r="M398" s="465" t="s">
        <v>93</v>
      </c>
      <c r="N398" s="470">
        <v>1.8344671247554971</v>
      </c>
      <c r="O398" s="470" t="s">
        <v>870</v>
      </c>
      <c r="P398" s="470">
        <v>1.5898715081214303</v>
      </c>
      <c r="Q398" s="470" t="s">
        <v>870</v>
      </c>
      <c r="R398" s="37"/>
      <c r="S398" s="465" t="s">
        <v>69</v>
      </c>
      <c r="T398" s="465" t="s">
        <v>69</v>
      </c>
      <c r="U398" s="344" t="s">
        <v>870</v>
      </c>
      <c r="V398" s="344" t="s">
        <v>870</v>
      </c>
      <c r="W398" s="344" t="s">
        <v>76</v>
      </c>
      <c r="X398" s="37"/>
      <c r="Y398" s="37"/>
      <c r="Z398" s="465" t="s">
        <v>78</v>
      </c>
      <c r="AA398" s="465" t="s">
        <v>78</v>
      </c>
      <c r="AB398" s="37"/>
      <c r="AC398" s="474">
        <v>13.287671232876711</v>
      </c>
      <c r="AD398" s="470" t="s">
        <v>72</v>
      </c>
      <c r="AE398" s="465" t="s">
        <v>73</v>
      </c>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c r="CA398" s="393"/>
      <c r="CB398" s="393"/>
      <c r="CC398" s="393"/>
      <c r="CD398" s="393"/>
      <c r="CE398" s="393"/>
      <c r="CF398" s="393"/>
      <c r="CG398" s="393"/>
      <c r="CH398" s="393"/>
      <c r="CI398" s="393"/>
      <c r="CJ398" s="390"/>
      <c r="CK398" s="390"/>
      <c r="CL398" s="390"/>
      <c r="CM398" s="390"/>
      <c r="CN398" s="390"/>
      <c r="CO398" s="390"/>
      <c r="CP398" s="390"/>
      <c r="CQ398" s="390"/>
      <c r="CR398" s="390"/>
      <c r="CS398" s="390"/>
      <c r="CT398" s="390"/>
      <c r="CU398" s="390"/>
      <c r="CV398" s="390"/>
      <c r="CW398" s="390"/>
      <c r="CX398" s="390"/>
      <c r="CY398" s="390"/>
      <c r="CZ398" s="390"/>
      <c r="DA398" s="390"/>
      <c r="DB398" s="390"/>
      <c r="DC398" s="390"/>
    </row>
    <row r="399" spans="1:107" s="317" customFormat="1" ht="24">
      <c r="A399" s="37"/>
      <c r="B399" s="464" t="s">
        <v>23</v>
      </c>
      <c r="C399" s="465" t="s">
        <v>502</v>
      </c>
      <c r="D399" s="348" t="s">
        <v>1224</v>
      </c>
      <c r="E399" s="467">
        <v>36.33310217997353</v>
      </c>
      <c r="F399" s="465" t="s">
        <v>846</v>
      </c>
      <c r="G399" s="468">
        <v>0.132842857658061</v>
      </c>
      <c r="H399" s="465" t="s">
        <v>66</v>
      </c>
      <c r="I399" s="469">
        <v>1</v>
      </c>
      <c r="J399" s="465" t="s">
        <v>25</v>
      </c>
      <c r="K399" s="465" t="s">
        <v>1035</v>
      </c>
      <c r="L399" s="465" t="s">
        <v>95</v>
      </c>
      <c r="M399" s="465" t="s">
        <v>88</v>
      </c>
      <c r="N399" s="470">
        <v>3.0568423100743396</v>
      </c>
      <c r="O399" s="470" t="s">
        <v>870</v>
      </c>
      <c r="P399" s="470">
        <v>3.0568423100743396</v>
      </c>
      <c r="Q399" s="470" t="s">
        <v>870</v>
      </c>
      <c r="R399" s="37"/>
      <c r="S399" s="465" t="s">
        <v>44</v>
      </c>
      <c r="T399" s="344" t="s">
        <v>63</v>
      </c>
      <c r="U399" s="344" t="s">
        <v>870</v>
      </c>
      <c r="V399" s="344" t="s">
        <v>870</v>
      </c>
      <c r="W399" s="344" t="s">
        <v>76</v>
      </c>
      <c r="X399" s="37"/>
      <c r="Y399" s="37"/>
      <c r="Z399" s="465" t="s">
        <v>78</v>
      </c>
      <c r="AA399" s="465" t="s">
        <v>78</v>
      </c>
      <c r="AB399" s="37"/>
      <c r="AC399" s="474">
        <v>13.287671232876711</v>
      </c>
      <c r="AD399" s="470" t="s">
        <v>72</v>
      </c>
      <c r="AE399" s="465" t="s">
        <v>73</v>
      </c>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c r="CA399" s="393"/>
      <c r="CB399" s="393"/>
      <c r="CC399" s="393"/>
      <c r="CD399" s="393"/>
      <c r="CE399" s="393"/>
      <c r="CF399" s="393"/>
      <c r="CG399" s="393"/>
      <c r="CH399" s="393"/>
      <c r="CI399" s="393"/>
      <c r="CJ399" s="390"/>
      <c r="CK399" s="390"/>
      <c r="CL399" s="390"/>
      <c r="CM399" s="390"/>
      <c r="CN399" s="390"/>
      <c r="CO399" s="390"/>
      <c r="CP399" s="390"/>
      <c r="CQ399" s="390"/>
      <c r="CR399" s="390"/>
      <c r="CS399" s="390"/>
      <c r="CT399" s="390"/>
      <c r="CU399" s="390"/>
      <c r="CV399" s="390"/>
      <c r="CW399" s="390"/>
      <c r="CX399" s="390"/>
      <c r="CY399" s="390"/>
      <c r="CZ399" s="390"/>
      <c r="DA399" s="390"/>
      <c r="DB399" s="390"/>
      <c r="DC399" s="390"/>
    </row>
    <row r="400" spans="1:107" s="317" customFormat="1" ht="24">
      <c r="A400" s="37"/>
      <c r="B400" s="464" t="s">
        <v>23</v>
      </c>
      <c r="C400" s="465" t="s">
        <v>502</v>
      </c>
      <c r="D400" s="348" t="s">
        <v>1224</v>
      </c>
      <c r="E400" s="467">
        <v>36.33310217997353</v>
      </c>
      <c r="F400" s="465" t="s">
        <v>846</v>
      </c>
      <c r="G400" s="468">
        <v>0.132842857658061</v>
      </c>
      <c r="H400" s="465" t="s">
        <v>66</v>
      </c>
      <c r="I400" s="469">
        <v>1</v>
      </c>
      <c r="J400" s="465" t="s">
        <v>25</v>
      </c>
      <c r="K400" s="465" t="s">
        <v>1035</v>
      </c>
      <c r="L400" s="465" t="s">
        <v>95</v>
      </c>
      <c r="M400" s="465" t="s">
        <v>90</v>
      </c>
      <c r="N400" s="470">
        <v>3.0568423100743396</v>
      </c>
      <c r="O400" s="470" t="s">
        <v>870</v>
      </c>
      <c r="P400" s="470">
        <v>3.0568423100743396</v>
      </c>
      <c r="Q400" s="470" t="s">
        <v>870</v>
      </c>
      <c r="R400" s="37"/>
      <c r="S400" s="465" t="s">
        <v>44</v>
      </c>
      <c r="T400" s="344" t="s">
        <v>63</v>
      </c>
      <c r="U400" s="344" t="s">
        <v>870</v>
      </c>
      <c r="V400" s="344" t="s">
        <v>870</v>
      </c>
      <c r="W400" s="344" t="s">
        <v>76</v>
      </c>
      <c r="X400" s="37"/>
      <c r="Y400" s="37"/>
      <c r="Z400" s="465" t="s">
        <v>78</v>
      </c>
      <c r="AA400" s="465" t="s">
        <v>78</v>
      </c>
      <c r="AB400" s="37"/>
      <c r="AC400" s="474">
        <v>13.287671232876711</v>
      </c>
      <c r="AD400" s="470" t="s">
        <v>72</v>
      </c>
      <c r="AE400" s="465" t="s">
        <v>73</v>
      </c>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c r="CA400" s="393"/>
      <c r="CB400" s="393"/>
      <c r="CC400" s="393"/>
      <c r="CD400" s="393"/>
      <c r="CE400" s="393"/>
      <c r="CF400" s="393"/>
      <c r="CG400" s="393"/>
      <c r="CH400" s="393"/>
      <c r="CI400" s="393"/>
      <c r="CJ400" s="390"/>
      <c r="CK400" s="390"/>
      <c r="CL400" s="390"/>
      <c r="CM400" s="390"/>
      <c r="CN400" s="390"/>
      <c r="CO400" s="390"/>
      <c r="CP400" s="390"/>
      <c r="CQ400" s="390"/>
      <c r="CR400" s="390"/>
      <c r="CS400" s="390"/>
      <c r="CT400" s="390"/>
      <c r="CU400" s="390"/>
      <c r="CV400" s="390"/>
      <c r="CW400" s="390"/>
      <c r="CX400" s="390"/>
      <c r="CY400" s="390"/>
      <c r="CZ400" s="390"/>
      <c r="DA400" s="390"/>
      <c r="DB400" s="390"/>
      <c r="DC400" s="390"/>
    </row>
    <row r="401" spans="1:107" s="317" customFormat="1" ht="24">
      <c r="A401" s="37"/>
      <c r="B401" s="464" t="s">
        <v>23</v>
      </c>
      <c r="C401" s="465" t="s">
        <v>502</v>
      </c>
      <c r="D401" s="348" t="s">
        <v>1224</v>
      </c>
      <c r="E401" s="467">
        <v>36.33310217997353</v>
      </c>
      <c r="F401" s="465" t="s">
        <v>846</v>
      </c>
      <c r="G401" s="468">
        <v>0.132842857658061</v>
      </c>
      <c r="H401" s="465" t="s">
        <v>66</v>
      </c>
      <c r="I401" s="469">
        <v>1</v>
      </c>
      <c r="J401" s="465" t="s">
        <v>25</v>
      </c>
      <c r="K401" s="465" t="s">
        <v>1035</v>
      </c>
      <c r="L401" s="465" t="s">
        <v>95</v>
      </c>
      <c r="M401" s="465" t="s">
        <v>91</v>
      </c>
      <c r="N401" s="470">
        <v>3.0568423100743396</v>
      </c>
      <c r="O401" s="470" t="s">
        <v>870</v>
      </c>
      <c r="P401" s="470">
        <v>3.0568423100743396</v>
      </c>
      <c r="Q401" s="470" t="s">
        <v>870</v>
      </c>
      <c r="R401" s="37"/>
      <c r="S401" s="465" t="s">
        <v>44</v>
      </c>
      <c r="T401" s="344" t="s">
        <v>63</v>
      </c>
      <c r="U401" s="344" t="s">
        <v>870</v>
      </c>
      <c r="V401" s="344" t="s">
        <v>870</v>
      </c>
      <c r="W401" s="344" t="s">
        <v>76</v>
      </c>
      <c r="X401" s="37"/>
      <c r="Y401" s="37"/>
      <c r="Z401" s="465" t="s">
        <v>78</v>
      </c>
      <c r="AA401" s="465" t="s">
        <v>78</v>
      </c>
      <c r="AB401" s="37"/>
      <c r="AC401" s="474">
        <v>13.287671232876711</v>
      </c>
      <c r="AD401" s="470" t="s">
        <v>72</v>
      </c>
      <c r="AE401" s="465" t="s">
        <v>73</v>
      </c>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c r="CA401" s="393"/>
      <c r="CB401" s="393"/>
      <c r="CC401" s="393"/>
      <c r="CD401" s="393"/>
      <c r="CE401" s="393"/>
      <c r="CF401" s="393"/>
      <c r="CG401" s="393"/>
      <c r="CH401" s="393"/>
      <c r="CI401" s="393"/>
      <c r="CJ401" s="390"/>
      <c r="CK401" s="390"/>
      <c r="CL401" s="390"/>
      <c r="CM401" s="390"/>
      <c r="CN401" s="390"/>
      <c r="CO401" s="390"/>
      <c r="CP401" s="390"/>
      <c r="CQ401" s="390"/>
      <c r="CR401" s="390"/>
      <c r="CS401" s="390"/>
      <c r="CT401" s="390"/>
      <c r="CU401" s="390"/>
      <c r="CV401" s="390"/>
      <c r="CW401" s="390"/>
      <c r="CX401" s="390"/>
      <c r="CY401" s="390"/>
      <c r="CZ401" s="390"/>
      <c r="DA401" s="390"/>
      <c r="DB401" s="390"/>
      <c r="DC401" s="390"/>
    </row>
    <row r="402" spans="1:107" s="317" customFormat="1" ht="24">
      <c r="A402" s="37"/>
      <c r="B402" s="464" t="s">
        <v>23</v>
      </c>
      <c r="C402" s="465" t="s">
        <v>502</v>
      </c>
      <c r="D402" s="348" t="s">
        <v>1224</v>
      </c>
      <c r="E402" s="467">
        <v>36.33310217997353</v>
      </c>
      <c r="F402" s="465" t="s">
        <v>846</v>
      </c>
      <c r="G402" s="468">
        <v>0.132842857658061</v>
      </c>
      <c r="H402" s="465" t="s">
        <v>66</v>
      </c>
      <c r="I402" s="469">
        <v>1</v>
      </c>
      <c r="J402" s="465" t="s">
        <v>25</v>
      </c>
      <c r="K402" s="465" t="s">
        <v>1035</v>
      </c>
      <c r="L402" s="465" t="s">
        <v>95</v>
      </c>
      <c r="M402" s="465" t="s">
        <v>92</v>
      </c>
      <c r="N402" s="470">
        <v>3.0568423100743396</v>
      </c>
      <c r="O402" s="470">
        <v>1.3900588188969629</v>
      </c>
      <c r="P402" s="470">
        <v>3.0568423100743396</v>
      </c>
      <c r="Q402" s="470">
        <v>1.3900588188969629</v>
      </c>
      <c r="R402" s="37"/>
      <c r="S402" s="465" t="s">
        <v>44</v>
      </c>
      <c r="T402" s="344" t="s">
        <v>63</v>
      </c>
      <c r="U402" s="465" t="s">
        <v>69</v>
      </c>
      <c r="V402" s="465" t="s">
        <v>69</v>
      </c>
      <c r="W402" s="344" t="s">
        <v>76</v>
      </c>
      <c r="X402" s="37"/>
      <c r="Y402" s="37"/>
      <c r="Z402" s="465" t="s">
        <v>78</v>
      </c>
      <c r="AA402" s="465" t="s">
        <v>78</v>
      </c>
      <c r="AB402" s="37"/>
      <c r="AC402" s="474">
        <v>13.287671232876711</v>
      </c>
      <c r="AD402" s="470" t="s">
        <v>72</v>
      </c>
      <c r="AE402" s="465" t="s">
        <v>73</v>
      </c>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c r="CA402" s="393"/>
      <c r="CB402" s="393"/>
      <c r="CC402" s="393"/>
      <c r="CD402" s="393"/>
      <c r="CE402" s="393"/>
      <c r="CF402" s="393"/>
      <c r="CG402" s="393"/>
      <c r="CH402" s="393"/>
      <c r="CI402" s="393"/>
      <c r="CJ402" s="390"/>
      <c r="CK402" s="390"/>
      <c r="CL402" s="390"/>
      <c r="CM402" s="390"/>
      <c r="CN402" s="390"/>
      <c r="CO402" s="390"/>
      <c r="CP402" s="390"/>
      <c r="CQ402" s="390"/>
      <c r="CR402" s="390"/>
      <c r="CS402" s="390"/>
      <c r="CT402" s="390"/>
      <c r="CU402" s="390"/>
      <c r="CV402" s="390"/>
      <c r="CW402" s="390"/>
      <c r="CX402" s="390"/>
      <c r="CY402" s="390"/>
      <c r="CZ402" s="390"/>
      <c r="DA402" s="390"/>
      <c r="DB402" s="390"/>
      <c r="DC402" s="390"/>
    </row>
    <row r="403" spans="1:107" s="317" customFormat="1" ht="24">
      <c r="A403" s="37"/>
      <c r="B403" s="464" t="s">
        <v>23</v>
      </c>
      <c r="C403" s="465" t="s">
        <v>502</v>
      </c>
      <c r="D403" s="348" t="s">
        <v>1224</v>
      </c>
      <c r="E403" s="467">
        <v>36.33310217997353</v>
      </c>
      <c r="F403" s="465" t="s">
        <v>846</v>
      </c>
      <c r="G403" s="468">
        <v>0.132842857658061</v>
      </c>
      <c r="H403" s="465" t="s">
        <v>66</v>
      </c>
      <c r="I403" s="469">
        <v>1</v>
      </c>
      <c r="J403" s="465" t="s">
        <v>25</v>
      </c>
      <c r="K403" s="465" t="s">
        <v>1035</v>
      </c>
      <c r="L403" s="465" t="s">
        <v>95</v>
      </c>
      <c r="M403" s="465" t="s">
        <v>93</v>
      </c>
      <c r="N403" s="470">
        <v>3.0568423100743396</v>
      </c>
      <c r="O403" s="470" t="s">
        <v>870</v>
      </c>
      <c r="P403" s="470">
        <v>3.0568423100743396</v>
      </c>
      <c r="Q403" s="470" t="s">
        <v>870</v>
      </c>
      <c r="R403" s="37"/>
      <c r="S403" s="465" t="s">
        <v>44</v>
      </c>
      <c r="T403" s="344" t="s">
        <v>63</v>
      </c>
      <c r="U403" s="344" t="s">
        <v>870</v>
      </c>
      <c r="V403" s="344" t="s">
        <v>870</v>
      </c>
      <c r="W403" s="344" t="s">
        <v>76</v>
      </c>
      <c r="X403" s="37"/>
      <c r="Y403" s="37"/>
      <c r="Z403" s="465" t="s">
        <v>78</v>
      </c>
      <c r="AA403" s="465" t="s">
        <v>78</v>
      </c>
      <c r="AB403" s="37"/>
      <c r="AC403" s="474">
        <v>13.287671232876711</v>
      </c>
      <c r="AD403" s="470" t="s">
        <v>72</v>
      </c>
      <c r="AE403" s="465" t="s">
        <v>73</v>
      </c>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c r="CA403" s="393"/>
      <c r="CB403" s="393"/>
      <c r="CC403" s="393"/>
      <c r="CD403" s="393"/>
      <c r="CE403" s="393"/>
      <c r="CF403" s="393"/>
      <c r="CG403" s="393"/>
      <c r="CH403" s="393"/>
      <c r="CI403" s="393"/>
      <c r="CJ403" s="390"/>
      <c r="CK403" s="390"/>
      <c r="CL403" s="390"/>
      <c r="CM403" s="390"/>
      <c r="CN403" s="390"/>
      <c r="CO403" s="390"/>
      <c r="CP403" s="390"/>
      <c r="CQ403" s="390"/>
      <c r="CR403" s="390"/>
      <c r="CS403" s="390"/>
      <c r="CT403" s="390"/>
      <c r="CU403" s="390"/>
      <c r="CV403" s="390"/>
      <c r="CW403" s="390"/>
      <c r="CX403" s="390"/>
      <c r="CY403" s="390"/>
      <c r="CZ403" s="390"/>
      <c r="DA403" s="390"/>
      <c r="DB403" s="390"/>
      <c r="DC403" s="390"/>
    </row>
    <row r="404" spans="1:107" s="317" customFormat="1" ht="24">
      <c r="A404" s="37"/>
      <c r="B404" s="464" t="s">
        <v>23</v>
      </c>
      <c r="C404" s="465" t="s">
        <v>502</v>
      </c>
      <c r="D404" s="348" t="s">
        <v>1224</v>
      </c>
      <c r="E404" s="467">
        <v>36.33310217997353</v>
      </c>
      <c r="F404" s="465" t="s">
        <v>846</v>
      </c>
      <c r="G404" s="468">
        <v>0.132842857658061</v>
      </c>
      <c r="H404" s="465" t="s">
        <v>66</v>
      </c>
      <c r="I404" s="469">
        <v>1</v>
      </c>
      <c r="J404" s="465" t="s">
        <v>25</v>
      </c>
      <c r="K404" s="465" t="s">
        <v>1035</v>
      </c>
      <c r="L404" s="465" t="s">
        <v>24</v>
      </c>
      <c r="M404" s="465" t="s">
        <v>88</v>
      </c>
      <c r="N404" s="470">
        <v>2.8155126540158388</v>
      </c>
      <c r="O404" s="470" t="s">
        <v>870</v>
      </c>
      <c r="P404" s="470">
        <v>2.8155126540158388</v>
      </c>
      <c r="Q404" s="470" t="s">
        <v>870</v>
      </c>
      <c r="R404" s="37"/>
      <c r="S404" s="465" t="s">
        <v>68</v>
      </c>
      <c r="T404" s="465" t="s">
        <v>63</v>
      </c>
      <c r="U404" s="344" t="s">
        <v>69</v>
      </c>
      <c r="V404" s="344" t="s">
        <v>69</v>
      </c>
      <c r="W404" s="465" t="s">
        <v>70</v>
      </c>
      <c r="X404" s="37"/>
      <c r="Y404" s="37"/>
      <c r="Z404" s="465" t="s">
        <v>78</v>
      </c>
      <c r="AA404" s="465" t="s">
        <v>78</v>
      </c>
      <c r="AB404" s="37"/>
      <c r="AC404" s="474">
        <v>13.287671232876711</v>
      </c>
      <c r="AD404" s="470" t="s">
        <v>72</v>
      </c>
      <c r="AE404" s="465" t="s">
        <v>73</v>
      </c>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c r="CA404" s="393"/>
      <c r="CB404" s="393"/>
      <c r="CC404" s="393"/>
      <c r="CD404" s="393"/>
      <c r="CE404" s="393"/>
      <c r="CF404" s="393"/>
      <c r="CG404" s="393"/>
      <c r="CH404" s="393"/>
      <c r="CI404" s="393"/>
      <c r="CJ404" s="390"/>
      <c r="CK404" s="390"/>
      <c r="CL404" s="390"/>
      <c r="CM404" s="390"/>
      <c r="CN404" s="390"/>
      <c r="CO404" s="390"/>
      <c r="CP404" s="390"/>
      <c r="CQ404" s="390"/>
      <c r="CR404" s="390"/>
      <c r="CS404" s="390"/>
      <c r="CT404" s="390"/>
      <c r="CU404" s="390"/>
      <c r="CV404" s="390"/>
      <c r="CW404" s="390"/>
      <c r="CX404" s="390"/>
      <c r="CY404" s="390"/>
      <c r="CZ404" s="390"/>
      <c r="DA404" s="390"/>
      <c r="DB404" s="390"/>
      <c r="DC404" s="390"/>
    </row>
    <row r="405" spans="1:107" s="317" customFormat="1" ht="24">
      <c r="A405" s="37"/>
      <c r="B405" s="464" t="s">
        <v>23</v>
      </c>
      <c r="C405" s="465" t="s">
        <v>502</v>
      </c>
      <c r="D405" s="348" t="s">
        <v>1224</v>
      </c>
      <c r="E405" s="467">
        <v>36.33310217997353</v>
      </c>
      <c r="F405" s="465" t="s">
        <v>846</v>
      </c>
      <c r="G405" s="468">
        <v>0.132842857658061</v>
      </c>
      <c r="H405" s="465" t="s">
        <v>66</v>
      </c>
      <c r="I405" s="469">
        <v>1</v>
      </c>
      <c r="J405" s="465" t="s">
        <v>25</v>
      </c>
      <c r="K405" s="465" t="s">
        <v>1035</v>
      </c>
      <c r="L405" s="465" t="s">
        <v>24</v>
      </c>
      <c r="M405" s="465" t="s">
        <v>90</v>
      </c>
      <c r="N405" s="470">
        <v>2.8155126540158388</v>
      </c>
      <c r="O405" s="470" t="s">
        <v>870</v>
      </c>
      <c r="P405" s="470">
        <v>2.8155126540158388</v>
      </c>
      <c r="Q405" s="470" t="s">
        <v>870</v>
      </c>
      <c r="R405" s="37"/>
      <c r="S405" s="465" t="s">
        <v>68</v>
      </c>
      <c r="T405" s="465" t="s">
        <v>63</v>
      </c>
      <c r="U405" s="344" t="s">
        <v>69</v>
      </c>
      <c r="V405" s="344" t="s">
        <v>69</v>
      </c>
      <c r="W405" s="465" t="s">
        <v>70</v>
      </c>
      <c r="X405" s="37"/>
      <c r="Y405" s="37"/>
      <c r="Z405" s="465" t="s">
        <v>78</v>
      </c>
      <c r="AA405" s="465" t="s">
        <v>78</v>
      </c>
      <c r="AB405" s="37"/>
      <c r="AC405" s="474">
        <v>13.287671232876711</v>
      </c>
      <c r="AD405" s="470" t="s">
        <v>72</v>
      </c>
      <c r="AE405" s="465" t="s">
        <v>73</v>
      </c>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c r="CA405" s="393"/>
      <c r="CB405" s="393"/>
      <c r="CC405" s="393"/>
      <c r="CD405" s="393"/>
      <c r="CE405" s="393"/>
      <c r="CF405" s="393"/>
      <c r="CG405" s="393"/>
      <c r="CH405" s="393"/>
      <c r="CI405" s="393"/>
      <c r="CJ405" s="390"/>
      <c r="CK405" s="390"/>
      <c r="CL405" s="390"/>
      <c r="CM405" s="390"/>
      <c r="CN405" s="390"/>
      <c r="CO405" s="390"/>
      <c r="CP405" s="390"/>
      <c r="CQ405" s="390"/>
      <c r="CR405" s="390"/>
      <c r="CS405" s="390"/>
      <c r="CT405" s="390"/>
      <c r="CU405" s="390"/>
      <c r="CV405" s="390"/>
      <c r="CW405" s="390"/>
      <c r="CX405" s="390"/>
      <c r="CY405" s="390"/>
      <c r="CZ405" s="390"/>
      <c r="DA405" s="390"/>
      <c r="DB405" s="390"/>
      <c r="DC405" s="390"/>
    </row>
    <row r="406" spans="1:107" s="317" customFormat="1" ht="24">
      <c r="A406" s="37"/>
      <c r="B406" s="464" t="s">
        <v>23</v>
      </c>
      <c r="C406" s="465" t="s">
        <v>502</v>
      </c>
      <c r="D406" s="348" t="s">
        <v>1224</v>
      </c>
      <c r="E406" s="467">
        <v>36.33310217997353</v>
      </c>
      <c r="F406" s="465" t="s">
        <v>846</v>
      </c>
      <c r="G406" s="468">
        <v>0.132842857658061</v>
      </c>
      <c r="H406" s="465" t="s">
        <v>66</v>
      </c>
      <c r="I406" s="469">
        <v>1</v>
      </c>
      <c r="J406" s="465" t="s">
        <v>25</v>
      </c>
      <c r="K406" s="465" t="s">
        <v>1035</v>
      </c>
      <c r="L406" s="465" t="s">
        <v>24</v>
      </c>
      <c r="M406" s="465" t="s">
        <v>91</v>
      </c>
      <c r="N406" s="470">
        <v>2.8155126540158388</v>
      </c>
      <c r="O406" s="470" t="s">
        <v>870</v>
      </c>
      <c r="P406" s="470">
        <v>2.8155126540158388</v>
      </c>
      <c r="Q406" s="470" t="s">
        <v>870</v>
      </c>
      <c r="R406" s="37"/>
      <c r="S406" s="465" t="s">
        <v>68</v>
      </c>
      <c r="T406" s="465" t="s">
        <v>63</v>
      </c>
      <c r="U406" s="344" t="s">
        <v>69</v>
      </c>
      <c r="V406" s="344" t="s">
        <v>69</v>
      </c>
      <c r="W406" s="465" t="s">
        <v>70</v>
      </c>
      <c r="X406" s="37"/>
      <c r="Y406" s="37"/>
      <c r="Z406" s="465" t="s">
        <v>78</v>
      </c>
      <c r="AA406" s="465" t="s">
        <v>78</v>
      </c>
      <c r="AB406" s="37"/>
      <c r="AC406" s="474">
        <v>13.287671232876711</v>
      </c>
      <c r="AD406" s="470" t="s">
        <v>72</v>
      </c>
      <c r="AE406" s="465" t="s">
        <v>73</v>
      </c>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c r="CA406" s="393"/>
      <c r="CB406" s="393"/>
      <c r="CC406" s="393"/>
      <c r="CD406" s="393"/>
      <c r="CE406" s="393"/>
      <c r="CF406" s="393"/>
      <c r="CG406" s="393"/>
      <c r="CH406" s="393"/>
      <c r="CI406" s="393"/>
      <c r="CJ406" s="390"/>
      <c r="CK406" s="390"/>
      <c r="CL406" s="390"/>
      <c r="CM406" s="390"/>
      <c r="CN406" s="390"/>
      <c r="CO406" s="390"/>
      <c r="CP406" s="390"/>
      <c r="CQ406" s="390"/>
      <c r="CR406" s="390"/>
      <c r="CS406" s="390"/>
      <c r="CT406" s="390"/>
      <c r="CU406" s="390"/>
      <c r="CV406" s="390"/>
      <c r="CW406" s="390"/>
      <c r="CX406" s="390"/>
      <c r="CY406" s="390"/>
      <c r="CZ406" s="390"/>
      <c r="DA406" s="390"/>
      <c r="DB406" s="390"/>
      <c r="DC406" s="390"/>
    </row>
    <row r="407" spans="1:107" s="317" customFormat="1" ht="24">
      <c r="A407" s="37"/>
      <c r="B407" s="464" t="s">
        <v>23</v>
      </c>
      <c r="C407" s="465" t="s">
        <v>502</v>
      </c>
      <c r="D407" s="348" t="s">
        <v>1224</v>
      </c>
      <c r="E407" s="467">
        <v>36.33310217997353</v>
      </c>
      <c r="F407" s="465" t="s">
        <v>846</v>
      </c>
      <c r="G407" s="468">
        <v>0.132842857658061</v>
      </c>
      <c r="H407" s="465" t="s">
        <v>66</v>
      </c>
      <c r="I407" s="469">
        <v>1</v>
      </c>
      <c r="J407" s="465" t="s">
        <v>25</v>
      </c>
      <c r="K407" s="465" t="s">
        <v>1035</v>
      </c>
      <c r="L407" s="465" t="s">
        <v>24</v>
      </c>
      <c r="M407" s="465" t="s">
        <v>92</v>
      </c>
      <c r="N407" s="470">
        <v>2.8155126540158388</v>
      </c>
      <c r="O407" s="470">
        <v>1.3900588188969629</v>
      </c>
      <c r="P407" s="470">
        <v>2.8155126540158388</v>
      </c>
      <c r="Q407" s="470">
        <v>1.3900588188969629</v>
      </c>
      <c r="R407" s="37"/>
      <c r="S407" s="465" t="s">
        <v>68</v>
      </c>
      <c r="T407" s="465" t="s">
        <v>63</v>
      </c>
      <c r="U407" s="465" t="s">
        <v>69</v>
      </c>
      <c r="V407" s="465" t="s">
        <v>69</v>
      </c>
      <c r="W407" s="465" t="s">
        <v>70</v>
      </c>
      <c r="X407" s="37"/>
      <c r="Y407" s="37"/>
      <c r="Z407" s="465" t="s">
        <v>78</v>
      </c>
      <c r="AA407" s="465" t="s">
        <v>78</v>
      </c>
      <c r="AB407" s="37"/>
      <c r="AC407" s="474">
        <v>13.287671232876711</v>
      </c>
      <c r="AD407" s="470" t="s">
        <v>72</v>
      </c>
      <c r="AE407" s="465" t="s">
        <v>73</v>
      </c>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c r="CA407" s="393"/>
      <c r="CB407" s="393"/>
      <c r="CC407" s="393"/>
      <c r="CD407" s="393"/>
      <c r="CE407" s="393"/>
      <c r="CF407" s="393"/>
      <c r="CG407" s="393"/>
      <c r="CH407" s="393"/>
      <c r="CI407" s="393"/>
      <c r="CJ407" s="390"/>
      <c r="CK407" s="390"/>
      <c r="CL407" s="390"/>
      <c r="CM407" s="390"/>
      <c r="CN407" s="390"/>
      <c r="CO407" s="390"/>
      <c r="CP407" s="390"/>
      <c r="CQ407" s="390"/>
      <c r="CR407" s="390"/>
      <c r="CS407" s="390"/>
      <c r="CT407" s="390"/>
      <c r="CU407" s="390"/>
      <c r="CV407" s="390"/>
      <c r="CW407" s="390"/>
      <c r="CX407" s="390"/>
      <c r="CY407" s="390"/>
      <c r="CZ407" s="390"/>
      <c r="DA407" s="390"/>
      <c r="DB407" s="390"/>
      <c r="DC407" s="390"/>
    </row>
    <row r="408" spans="1:107" s="317" customFormat="1" ht="24">
      <c r="A408" s="37"/>
      <c r="B408" s="464" t="s">
        <v>23</v>
      </c>
      <c r="C408" s="465" t="s">
        <v>502</v>
      </c>
      <c r="D408" s="348" t="s">
        <v>1224</v>
      </c>
      <c r="E408" s="467">
        <v>36.33310217997353</v>
      </c>
      <c r="F408" s="465" t="s">
        <v>846</v>
      </c>
      <c r="G408" s="468">
        <v>0.132842857658061</v>
      </c>
      <c r="H408" s="465" t="s">
        <v>66</v>
      </c>
      <c r="I408" s="469">
        <v>1</v>
      </c>
      <c r="J408" s="465" t="s">
        <v>25</v>
      </c>
      <c r="K408" s="465" t="s">
        <v>1035</v>
      </c>
      <c r="L408" s="465" t="s">
        <v>24</v>
      </c>
      <c r="M408" s="465" t="s">
        <v>93</v>
      </c>
      <c r="N408" s="470">
        <v>2.8155126540158388</v>
      </c>
      <c r="O408" s="470" t="s">
        <v>870</v>
      </c>
      <c r="P408" s="470">
        <v>2.8155126540158388</v>
      </c>
      <c r="Q408" s="470" t="s">
        <v>870</v>
      </c>
      <c r="R408" s="37"/>
      <c r="S408" s="465" t="s">
        <v>68</v>
      </c>
      <c r="T408" s="465" t="s">
        <v>63</v>
      </c>
      <c r="U408" s="344" t="s">
        <v>44</v>
      </c>
      <c r="V408" s="344" t="s">
        <v>75</v>
      </c>
      <c r="W408" s="465" t="s">
        <v>70</v>
      </c>
      <c r="X408" s="37"/>
      <c r="Y408" s="37"/>
      <c r="Z408" s="465" t="s">
        <v>78</v>
      </c>
      <c r="AA408" s="465" t="s">
        <v>78</v>
      </c>
      <c r="AB408" s="37"/>
      <c r="AC408" s="474">
        <v>13.287671232876711</v>
      </c>
      <c r="AD408" s="470" t="s">
        <v>72</v>
      </c>
      <c r="AE408" s="465" t="s">
        <v>73</v>
      </c>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c r="CA408" s="393"/>
      <c r="CB408" s="393"/>
      <c r="CC408" s="393"/>
      <c r="CD408" s="393"/>
      <c r="CE408" s="393"/>
      <c r="CF408" s="393"/>
      <c r="CG408" s="393"/>
      <c r="CH408" s="393"/>
      <c r="CI408" s="393"/>
      <c r="CJ408" s="390"/>
      <c r="CK408" s="390"/>
      <c r="CL408" s="390"/>
      <c r="CM408" s="390"/>
      <c r="CN408" s="390"/>
      <c r="CO408" s="390"/>
      <c r="CP408" s="390"/>
      <c r="CQ408" s="390"/>
      <c r="CR408" s="390"/>
      <c r="CS408" s="390"/>
      <c r="CT408" s="390"/>
      <c r="CU408" s="390"/>
      <c r="CV408" s="390"/>
      <c r="CW408" s="390"/>
      <c r="CX408" s="390"/>
      <c r="CY408" s="390"/>
      <c r="CZ408" s="390"/>
      <c r="DA408" s="390"/>
      <c r="DB408" s="390"/>
      <c r="DC408" s="390"/>
    </row>
    <row r="409" spans="1:107" s="317" customFormat="1" ht="24">
      <c r="A409" s="37"/>
      <c r="B409" s="464" t="s">
        <v>23</v>
      </c>
      <c r="C409" s="465" t="s">
        <v>502</v>
      </c>
      <c r="D409" s="348" t="s">
        <v>1224</v>
      </c>
      <c r="E409" s="467">
        <v>36.33310217997353</v>
      </c>
      <c r="F409" s="465" t="s">
        <v>95</v>
      </c>
      <c r="G409" s="468">
        <v>0.13152247851085813</v>
      </c>
      <c r="H409" s="465" t="s">
        <v>66</v>
      </c>
      <c r="I409" s="469">
        <v>1</v>
      </c>
      <c r="J409" s="465" t="s">
        <v>25</v>
      </c>
      <c r="K409" s="465" t="s">
        <v>1035</v>
      </c>
      <c r="L409" s="465" t="s">
        <v>95</v>
      </c>
      <c r="M409" s="465" t="s">
        <v>88</v>
      </c>
      <c r="N409" s="349" t="s">
        <v>1049</v>
      </c>
      <c r="O409" s="470" t="s">
        <v>870</v>
      </c>
      <c r="P409" s="349" t="s">
        <v>1049</v>
      </c>
      <c r="Q409" s="470" t="s">
        <v>870</v>
      </c>
      <c r="R409" s="37"/>
      <c r="S409" s="344" t="s">
        <v>870</v>
      </c>
      <c r="T409" s="344" t="s">
        <v>870</v>
      </c>
      <c r="U409" s="344" t="s">
        <v>870</v>
      </c>
      <c r="V409" s="344" t="s">
        <v>870</v>
      </c>
      <c r="W409" s="344" t="s">
        <v>76</v>
      </c>
      <c r="X409" s="37"/>
      <c r="Y409" s="37"/>
      <c r="Z409" s="465" t="s">
        <v>78</v>
      </c>
      <c r="AA409" s="465" t="s">
        <v>78</v>
      </c>
      <c r="AB409" s="37"/>
      <c r="AC409" s="474">
        <v>13.287671232876711</v>
      </c>
      <c r="AD409" s="470" t="s">
        <v>72</v>
      </c>
      <c r="AE409" s="465" t="s">
        <v>73</v>
      </c>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c r="CA409" s="393"/>
      <c r="CB409" s="393"/>
      <c r="CC409" s="393"/>
      <c r="CD409" s="393"/>
      <c r="CE409" s="393"/>
      <c r="CF409" s="393"/>
      <c r="CG409" s="393"/>
      <c r="CH409" s="393"/>
      <c r="CI409" s="393"/>
      <c r="CJ409" s="390"/>
      <c r="CK409" s="390"/>
      <c r="CL409" s="390"/>
      <c r="CM409" s="390"/>
      <c r="CN409" s="390"/>
      <c r="CO409" s="390"/>
      <c r="CP409" s="390"/>
      <c r="CQ409" s="390"/>
      <c r="CR409" s="390"/>
      <c r="CS409" s="390"/>
      <c r="CT409" s="390"/>
      <c r="CU409" s="390"/>
      <c r="CV409" s="390"/>
      <c r="CW409" s="390"/>
      <c r="CX409" s="390"/>
      <c r="CY409" s="390"/>
      <c r="CZ409" s="390"/>
      <c r="DA409" s="390"/>
      <c r="DB409" s="390"/>
      <c r="DC409" s="390"/>
    </row>
    <row r="410" spans="1:107" s="317" customFormat="1" ht="24">
      <c r="A410" s="37"/>
      <c r="B410" s="464" t="s">
        <v>23</v>
      </c>
      <c r="C410" s="465" t="s">
        <v>502</v>
      </c>
      <c r="D410" s="348" t="s">
        <v>1224</v>
      </c>
      <c r="E410" s="467">
        <v>36.33310217997353</v>
      </c>
      <c r="F410" s="465" t="s">
        <v>95</v>
      </c>
      <c r="G410" s="468">
        <v>0.13152247851085813</v>
      </c>
      <c r="H410" s="465" t="s">
        <v>66</v>
      </c>
      <c r="I410" s="469">
        <v>1</v>
      </c>
      <c r="J410" s="465" t="s">
        <v>25</v>
      </c>
      <c r="K410" s="465" t="s">
        <v>1035</v>
      </c>
      <c r="L410" s="465" t="s">
        <v>95</v>
      </c>
      <c r="M410" s="465" t="s">
        <v>90</v>
      </c>
      <c r="N410" s="349" t="s">
        <v>1049</v>
      </c>
      <c r="O410" s="470" t="s">
        <v>870</v>
      </c>
      <c r="P410" s="349" t="s">
        <v>1049</v>
      </c>
      <c r="Q410" s="470" t="s">
        <v>870</v>
      </c>
      <c r="R410" s="37"/>
      <c r="S410" s="344" t="s">
        <v>870</v>
      </c>
      <c r="T410" s="344" t="s">
        <v>870</v>
      </c>
      <c r="U410" s="344" t="s">
        <v>870</v>
      </c>
      <c r="V410" s="344" t="s">
        <v>870</v>
      </c>
      <c r="W410" s="344" t="s">
        <v>76</v>
      </c>
      <c r="X410" s="37"/>
      <c r="Y410" s="37"/>
      <c r="Z410" s="465" t="s">
        <v>78</v>
      </c>
      <c r="AA410" s="465" t="s">
        <v>78</v>
      </c>
      <c r="AB410" s="37"/>
      <c r="AC410" s="474">
        <v>13.287671232876711</v>
      </c>
      <c r="AD410" s="470" t="s">
        <v>72</v>
      </c>
      <c r="AE410" s="465" t="s">
        <v>73</v>
      </c>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c r="CA410" s="393"/>
      <c r="CB410" s="393"/>
      <c r="CC410" s="393"/>
      <c r="CD410" s="393"/>
      <c r="CE410" s="393"/>
      <c r="CF410" s="393"/>
      <c r="CG410" s="393"/>
      <c r="CH410" s="393"/>
      <c r="CI410" s="393"/>
      <c r="CJ410" s="390"/>
      <c r="CK410" s="390"/>
      <c r="CL410" s="390"/>
      <c r="CM410" s="390"/>
      <c r="CN410" s="390"/>
      <c r="CO410" s="390"/>
      <c r="CP410" s="390"/>
      <c r="CQ410" s="390"/>
      <c r="CR410" s="390"/>
      <c r="CS410" s="390"/>
      <c r="CT410" s="390"/>
      <c r="CU410" s="390"/>
      <c r="CV410" s="390"/>
      <c r="CW410" s="390"/>
      <c r="CX410" s="390"/>
      <c r="CY410" s="390"/>
      <c r="CZ410" s="390"/>
      <c r="DA410" s="390"/>
      <c r="DB410" s="390"/>
      <c r="DC410" s="390"/>
    </row>
    <row r="411" spans="1:107" s="317" customFormat="1" ht="24">
      <c r="A411" s="37"/>
      <c r="B411" s="464" t="s">
        <v>23</v>
      </c>
      <c r="C411" s="465" t="s">
        <v>502</v>
      </c>
      <c r="D411" s="348" t="s">
        <v>1224</v>
      </c>
      <c r="E411" s="467">
        <v>36.33310217997353</v>
      </c>
      <c r="F411" s="465" t="s">
        <v>95</v>
      </c>
      <c r="G411" s="468">
        <v>0.13152247851085813</v>
      </c>
      <c r="H411" s="465" t="s">
        <v>66</v>
      </c>
      <c r="I411" s="469">
        <v>1</v>
      </c>
      <c r="J411" s="465" t="s">
        <v>25</v>
      </c>
      <c r="K411" s="465" t="s">
        <v>1035</v>
      </c>
      <c r="L411" s="465" t="s">
        <v>95</v>
      </c>
      <c r="M411" s="465" t="s">
        <v>91</v>
      </c>
      <c r="N411" s="349" t="s">
        <v>1049</v>
      </c>
      <c r="O411" s="470" t="s">
        <v>870</v>
      </c>
      <c r="P411" s="349" t="s">
        <v>1049</v>
      </c>
      <c r="Q411" s="470" t="s">
        <v>870</v>
      </c>
      <c r="R411" s="37"/>
      <c r="S411" s="344" t="s">
        <v>870</v>
      </c>
      <c r="T411" s="344" t="s">
        <v>870</v>
      </c>
      <c r="U411" s="344" t="s">
        <v>870</v>
      </c>
      <c r="V411" s="344" t="s">
        <v>870</v>
      </c>
      <c r="W411" s="344" t="s">
        <v>76</v>
      </c>
      <c r="X411" s="37"/>
      <c r="Y411" s="37"/>
      <c r="Z411" s="465" t="s">
        <v>78</v>
      </c>
      <c r="AA411" s="465" t="s">
        <v>78</v>
      </c>
      <c r="AB411" s="37"/>
      <c r="AC411" s="474">
        <v>13.287671232876711</v>
      </c>
      <c r="AD411" s="470" t="s">
        <v>72</v>
      </c>
      <c r="AE411" s="465" t="s">
        <v>73</v>
      </c>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c r="CA411" s="393"/>
      <c r="CB411" s="393"/>
      <c r="CC411" s="393"/>
      <c r="CD411" s="393"/>
      <c r="CE411" s="393"/>
      <c r="CF411" s="393"/>
      <c r="CG411" s="393"/>
      <c r="CH411" s="393"/>
      <c r="CI411" s="393"/>
      <c r="CJ411" s="390"/>
      <c r="CK411" s="390"/>
      <c r="CL411" s="390"/>
      <c r="CM411" s="390"/>
      <c r="CN411" s="390"/>
      <c r="CO411" s="390"/>
      <c r="CP411" s="390"/>
      <c r="CQ411" s="390"/>
      <c r="CR411" s="390"/>
      <c r="CS411" s="390"/>
      <c r="CT411" s="390"/>
      <c r="CU411" s="390"/>
      <c r="CV411" s="390"/>
      <c r="CW411" s="390"/>
      <c r="CX411" s="390"/>
      <c r="CY411" s="390"/>
      <c r="CZ411" s="390"/>
      <c r="DA411" s="390"/>
      <c r="DB411" s="390"/>
      <c r="DC411" s="390"/>
    </row>
    <row r="412" spans="1:107" s="317" customFormat="1" ht="24">
      <c r="A412" s="37"/>
      <c r="B412" s="464" t="s">
        <v>23</v>
      </c>
      <c r="C412" s="465" t="s">
        <v>502</v>
      </c>
      <c r="D412" s="348" t="s">
        <v>1224</v>
      </c>
      <c r="E412" s="467">
        <v>36.33310217997353</v>
      </c>
      <c r="F412" s="465" t="s">
        <v>95</v>
      </c>
      <c r="G412" s="468">
        <v>0.13152247851085813</v>
      </c>
      <c r="H412" s="465" t="s">
        <v>66</v>
      </c>
      <c r="I412" s="469">
        <v>1</v>
      </c>
      <c r="J412" s="465" t="s">
        <v>25</v>
      </c>
      <c r="K412" s="465" t="s">
        <v>1035</v>
      </c>
      <c r="L412" s="465" t="s">
        <v>95</v>
      </c>
      <c r="M412" s="465" t="s">
        <v>92</v>
      </c>
      <c r="N412" s="349" t="s">
        <v>1049</v>
      </c>
      <c r="O412" s="470">
        <v>1.3762424594011338</v>
      </c>
      <c r="P412" s="349" t="s">
        <v>1049</v>
      </c>
      <c r="Q412" s="470">
        <v>1.3762424594011338</v>
      </c>
      <c r="R412" s="37"/>
      <c r="S412" s="344" t="s">
        <v>870</v>
      </c>
      <c r="T412" s="344" t="s">
        <v>870</v>
      </c>
      <c r="U412" s="465" t="s">
        <v>69</v>
      </c>
      <c r="V412" s="465" t="s">
        <v>69</v>
      </c>
      <c r="W412" s="344" t="s">
        <v>76</v>
      </c>
      <c r="X412" s="37"/>
      <c r="Y412" s="37"/>
      <c r="Z412" s="465" t="s">
        <v>78</v>
      </c>
      <c r="AA412" s="465" t="s">
        <v>78</v>
      </c>
      <c r="AB412" s="37"/>
      <c r="AC412" s="474">
        <v>13.287671232876711</v>
      </c>
      <c r="AD412" s="470" t="s">
        <v>72</v>
      </c>
      <c r="AE412" s="465" t="s">
        <v>73</v>
      </c>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c r="CA412" s="393"/>
      <c r="CB412" s="393"/>
      <c r="CC412" s="393"/>
      <c r="CD412" s="393"/>
      <c r="CE412" s="393"/>
      <c r="CF412" s="393"/>
      <c r="CG412" s="393"/>
      <c r="CH412" s="393"/>
      <c r="CI412" s="393"/>
      <c r="CJ412" s="390"/>
      <c r="CK412" s="390"/>
      <c r="CL412" s="390"/>
      <c r="CM412" s="390"/>
      <c r="CN412" s="390"/>
      <c r="CO412" s="390"/>
      <c r="CP412" s="390"/>
      <c r="CQ412" s="390"/>
      <c r="CR412" s="390"/>
      <c r="CS412" s="390"/>
      <c r="CT412" s="390"/>
      <c r="CU412" s="390"/>
      <c r="CV412" s="390"/>
      <c r="CW412" s="390"/>
      <c r="CX412" s="390"/>
      <c r="CY412" s="390"/>
      <c r="CZ412" s="390"/>
      <c r="DA412" s="390"/>
      <c r="DB412" s="390"/>
      <c r="DC412" s="390"/>
    </row>
    <row r="413" spans="1:107" s="317" customFormat="1" ht="24">
      <c r="A413" s="37"/>
      <c r="B413" s="464" t="s">
        <v>23</v>
      </c>
      <c r="C413" s="465" t="s">
        <v>502</v>
      </c>
      <c r="D413" s="348" t="s">
        <v>1224</v>
      </c>
      <c r="E413" s="467">
        <v>36.33310217997353</v>
      </c>
      <c r="F413" s="465" t="s">
        <v>95</v>
      </c>
      <c r="G413" s="468">
        <v>0.13152247851085813</v>
      </c>
      <c r="H413" s="465" t="s">
        <v>66</v>
      </c>
      <c r="I413" s="469">
        <v>1</v>
      </c>
      <c r="J413" s="465" t="s">
        <v>25</v>
      </c>
      <c r="K413" s="465" t="s">
        <v>1035</v>
      </c>
      <c r="L413" s="465" t="s">
        <v>95</v>
      </c>
      <c r="M413" s="465" t="s">
        <v>93</v>
      </c>
      <c r="N413" s="349" t="s">
        <v>1049</v>
      </c>
      <c r="O413" s="470" t="s">
        <v>870</v>
      </c>
      <c r="P413" s="349" t="s">
        <v>1049</v>
      </c>
      <c r="Q413" s="470" t="s">
        <v>870</v>
      </c>
      <c r="R413" s="37"/>
      <c r="S413" s="344" t="s">
        <v>870</v>
      </c>
      <c r="T413" s="344" t="s">
        <v>870</v>
      </c>
      <c r="U413" s="344" t="s">
        <v>870</v>
      </c>
      <c r="V413" s="344" t="s">
        <v>870</v>
      </c>
      <c r="W413" s="344" t="s">
        <v>76</v>
      </c>
      <c r="X413" s="37"/>
      <c r="Y413" s="37"/>
      <c r="Z413" s="465" t="s">
        <v>78</v>
      </c>
      <c r="AA413" s="465" t="s">
        <v>78</v>
      </c>
      <c r="AB413" s="37"/>
      <c r="AC413" s="474">
        <v>13.287671232876711</v>
      </c>
      <c r="AD413" s="470" t="s">
        <v>72</v>
      </c>
      <c r="AE413" s="465" t="s">
        <v>73</v>
      </c>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c r="CA413" s="393"/>
      <c r="CB413" s="393"/>
      <c r="CC413" s="393"/>
      <c r="CD413" s="393"/>
      <c r="CE413" s="393"/>
      <c r="CF413" s="393"/>
      <c r="CG413" s="393"/>
      <c r="CH413" s="393"/>
      <c r="CI413" s="393"/>
      <c r="CJ413" s="390"/>
      <c r="CK413" s="390"/>
      <c r="CL413" s="390"/>
      <c r="CM413" s="390"/>
      <c r="CN413" s="390"/>
      <c r="CO413" s="390"/>
      <c r="CP413" s="390"/>
      <c r="CQ413" s="390"/>
      <c r="CR413" s="390"/>
      <c r="CS413" s="390"/>
      <c r="CT413" s="390"/>
      <c r="CU413" s="390"/>
      <c r="CV413" s="390"/>
      <c r="CW413" s="390"/>
      <c r="CX413" s="390"/>
      <c r="CY413" s="390"/>
      <c r="CZ413" s="390"/>
      <c r="DA413" s="390"/>
      <c r="DB413" s="390"/>
      <c r="DC413" s="390"/>
    </row>
    <row r="414" spans="1:107" s="317" customFormat="1" ht="24">
      <c r="A414" s="37"/>
      <c r="B414" s="464" t="s">
        <v>23</v>
      </c>
      <c r="C414" s="465" t="s">
        <v>502</v>
      </c>
      <c r="D414" s="348" t="s">
        <v>1224</v>
      </c>
      <c r="E414" s="467">
        <v>36.33310217997353</v>
      </c>
      <c r="F414" s="465" t="s">
        <v>24</v>
      </c>
      <c r="G414" s="468">
        <v>0.39377364971583301</v>
      </c>
      <c r="H414" s="465" t="s">
        <v>66</v>
      </c>
      <c r="I414" s="469">
        <v>0.60622635028416694</v>
      </c>
      <c r="J414" s="465" t="s">
        <v>25</v>
      </c>
      <c r="K414" s="465" t="s">
        <v>1035</v>
      </c>
      <c r="L414" s="465" t="s">
        <v>95</v>
      </c>
      <c r="M414" s="465" t="s">
        <v>88</v>
      </c>
      <c r="N414" s="470">
        <v>2.6412956770904246</v>
      </c>
      <c r="O414" s="470" t="s">
        <v>870</v>
      </c>
      <c r="P414" s="349">
        <v>2.6412956770904246</v>
      </c>
      <c r="Q414" s="470" t="s">
        <v>870</v>
      </c>
      <c r="R414" s="37"/>
      <c r="S414" s="465" t="s">
        <v>44</v>
      </c>
      <c r="T414" s="344" t="s">
        <v>63</v>
      </c>
      <c r="U414" s="344" t="s">
        <v>870</v>
      </c>
      <c r="V414" s="344" t="s">
        <v>870</v>
      </c>
      <c r="W414" s="344" t="s">
        <v>76</v>
      </c>
      <c r="X414" s="37"/>
      <c r="Y414" s="37"/>
      <c r="Z414" s="465" t="s">
        <v>78</v>
      </c>
      <c r="AA414" s="465" t="s">
        <v>78</v>
      </c>
      <c r="AB414" s="37"/>
      <c r="AC414" s="474">
        <v>13.287671232876711</v>
      </c>
      <c r="AD414" s="470" t="s">
        <v>72</v>
      </c>
      <c r="AE414" s="465" t="s">
        <v>73</v>
      </c>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c r="CA414" s="393"/>
      <c r="CB414" s="393"/>
      <c r="CC414" s="393"/>
      <c r="CD414" s="393"/>
      <c r="CE414" s="393"/>
      <c r="CF414" s="393"/>
      <c r="CG414" s="393"/>
      <c r="CH414" s="393"/>
      <c r="CI414" s="393"/>
      <c r="CJ414" s="390"/>
      <c r="CK414" s="390"/>
      <c r="CL414" s="390"/>
      <c r="CM414" s="390"/>
      <c r="CN414" s="390"/>
      <c r="CO414" s="390"/>
      <c r="CP414" s="390"/>
      <c r="CQ414" s="390"/>
      <c r="CR414" s="390"/>
      <c r="CS414" s="390"/>
      <c r="CT414" s="390"/>
      <c r="CU414" s="390"/>
      <c r="CV414" s="390"/>
      <c r="CW414" s="390"/>
      <c r="CX414" s="390"/>
      <c r="CY414" s="390"/>
      <c r="CZ414" s="390"/>
      <c r="DA414" s="390"/>
      <c r="DB414" s="390"/>
      <c r="DC414" s="390"/>
    </row>
    <row r="415" spans="1:107" s="317" customFormat="1" ht="24">
      <c r="A415" s="37"/>
      <c r="B415" s="464" t="s">
        <v>23</v>
      </c>
      <c r="C415" s="465" t="s">
        <v>502</v>
      </c>
      <c r="D415" s="348" t="s">
        <v>1224</v>
      </c>
      <c r="E415" s="467">
        <v>36.33310217997353</v>
      </c>
      <c r="F415" s="465" t="s">
        <v>24</v>
      </c>
      <c r="G415" s="468">
        <v>0.39377364971583301</v>
      </c>
      <c r="H415" s="465" t="s">
        <v>66</v>
      </c>
      <c r="I415" s="469">
        <v>0.60622635028416694</v>
      </c>
      <c r="J415" s="465" t="s">
        <v>25</v>
      </c>
      <c r="K415" s="465" t="s">
        <v>1035</v>
      </c>
      <c r="L415" s="465" t="s">
        <v>95</v>
      </c>
      <c r="M415" s="465" t="s">
        <v>90</v>
      </c>
      <c r="N415" s="470">
        <v>2.6412956770904246</v>
      </c>
      <c r="O415" s="470" t="s">
        <v>870</v>
      </c>
      <c r="P415" s="349">
        <v>2.6412956770904246</v>
      </c>
      <c r="Q415" s="470" t="s">
        <v>870</v>
      </c>
      <c r="R415" s="37"/>
      <c r="S415" s="465" t="s">
        <v>44</v>
      </c>
      <c r="T415" s="344" t="s">
        <v>63</v>
      </c>
      <c r="U415" s="344" t="s">
        <v>870</v>
      </c>
      <c r="V415" s="344" t="s">
        <v>870</v>
      </c>
      <c r="W415" s="344" t="s">
        <v>76</v>
      </c>
      <c r="X415" s="37"/>
      <c r="Y415" s="37"/>
      <c r="Z415" s="465" t="s">
        <v>78</v>
      </c>
      <c r="AA415" s="465" t="s">
        <v>78</v>
      </c>
      <c r="AB415" s="37"/>
      <c r="AC415" s="474">
        <v>13.287671232876711</v>
      </c>
      <c r="AD415" s="470" t="s">
        <v>72</v>
      </c>
      <c r="AE415" s="465" t="s">
        <v>73</v>
      </c>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c r="CA415" s="393"/>
      <c r="CB415" s="393"/>
      <c r="CC415" s="393"/>
      <c r="CD415" s="393"/>
      <c r="CE415" s="393"/>
      <c r="CF415" s="393"/>
      <c r="CG415" s="393"/>
      <c r="CH415" s="393"/>
      <c r="CI415" s="393"/>
      <c r="CJ415" s="390"/>
      <c r="CK415" s="390"/>
      <c r="CL415" s="390"/>
      <c r="CM415" s="390"/>
      <c r="CN415" s="390"/>
      <c r="CO415" s="390"/>
      <c r="CP415" s="390"/>
      <c r="CQ415" s="390"/>
      <c r="CR415" s="390"/>
      <c r="CS415" s="390"/>
      <c r="CT415" s="390"/>
      <c r="CU415" s="390"/>
      <c r="CV415" s="390"/>
      <c r="CW415" s="390"/>
      <c r="CX415" s="390"/>
      <c r="CY415" s="390"/>
      <c r="CZ415" s="390"/>
      <c r="DA415" s="390"/>
      <c r="DB415" s="390"/>
      <c r="DC415" s="390"/>
    </row>
    <row r="416" spans="1:107" s="317" customFormat="1" ht="24">
      <c r="A416" s="37"/>
      <c r="B416" s="464" t="s">
        <v>23</v>
      </c>
      <c r="C416" s="465" t="s">
        <v>502</v>
      </c>
      <c r="D416" s="348" t="s">
        <v>1224</v>
      </c>
      <c r="E416" s="467">
        <v>36.33310217997353</v>
      </c>
      <c r="F416" s="465" t="s">
        <v>24</v>
      </c>
      <c r="G416" s="468">
        <v>0.39377364971583301</v>
      </c>
      <c r="H416" s="465" t="s">
        <v>66</v>
      </c>
      <c r="I416" s="469">
        <v>0.60622635028416694</v>
      </c>
      <c r="J416" s="465" t="s">
        <v>25</v>
      </c>
      <c r="K416" s="465" t="s">
        <v>1035</v>
      </c>
      <c r="L416" s="465" t="s">
        <v>95</v>
      </c>
      <c r="M416" s="465" t="s">
        <v>91</v>
      </c>
      <c r="N416" s="470">
        <v>2.6412956770904246</v>
      </c>
      <c r="O416" s="470" t="s">
        <v>870</v>
      </c>
      <c r="P416" s="349">
        <v>2.6412956770904246</v>
      </c>
      <c r="Q416" s="470" t="s">
        <v>870</v>
      </c>
      <c r="R416" s="37"/>
      <c r="S416" s="465" t="s">
        <v>44</v>
      </c>
      <c r="T416" s="344" t="s">
        <v>63</v>
      </c>
      <c r="U416" s="344" t="s">
        <v>870</v>
      </c>
      <c r="V416" s="344" t="s">
        <v>870</v>
      </c>
      <c r="W416" s="344" t="s">
        <v>76</v>
      </c>
      <c r="X416" s="37"/>
      <c r="Y416" s="37"/>
      <c r="Z416" s="465" t="s">
        <v>78</v>
      </c>
      <c r="AA416" s="465" t="s">
        <v>78</v>
      </c>
      <c r="AB416" s="37"/>
      <c r="AC416" s="474">
        <v>13.287671232876711</v>
      </c>
      <c r="AD416" s="470" t="s">
        <v>72</v>
      </c>
      <c r="AE416" s="465" t="s">
        <v>73</v>
      </c>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c r="CA416" s="393"/>
      <c r="CB416" s="393"/>
      <c r="CC416" s="393"/>
      <c r="CD416" s="393"/>
      <c r="CE416" s="393"/>
      <c r="CF416" s="393"/>
      <c r="CG416" s="393"/>
      <c r="CH416" s="393"/>
      <c r="CI416" s="393"/>
      <c r="CJ416" s="390"/>
      <c r="CK416" s="390"/>
      <c r="CL416" s="390"/>
      <c r="CM416" s="390"/>
      <c r="CN416" s="390"/>
      <c r="CO416" s="390"/>
      <c r="CP416" s="390"/>
      <c r="CQ416" s="390"/>
      <c r="CR416" s="390"/>
      <c r="CS416" s="390"/>
      <c r="CT416" s="390"/>
      <c r="CU416" s="390"/>
      <c r="CV416" s="390"/>
      <c r="CW416" s="390"/>
      <c r="CX416" s="390"/>
      <c r="CY416" s="390"/>
      <c r="CZ416" s="390"/>
      <c r="DA416" s="390"/>
      <c r="DB416" s="390"/>
      <c r="DC416" s="390"/>
    </row>
    <row r="417" spans="1:107" s="317" customFormat="1" ht="24">
      <c r="A417" s="37"/>
      <c r="B417" s="464" t="s">
        <v>23</v>
      </c>
      <c r="C417" s="465" t="s">
        <v>502</v>
      </c>
      <c r="D417" s="348" t="s">
        <v>1224</v>
      </c>
      <c r="E417" s="467">
        <v>36.33310217997353</v>
      </c>
      <c r="F417" s="465" t="s">
        <v>24</v>
      </c>
      <c r="G417" s="468">
        <v>0.39377364971583301</v>
      </c>
      <c r="H417" s="465" t="s">
        <v>66</v>
      </c>
      <c r="I417" s="469">
        <v>0.60622635028416694</v>
      </c>
      <c r="J417" s="465" t="s">
        <v>25</v>
      </c>
      <c r="K417" s="465" t="s">
        <v>1035</v>
      </c>
      <c r="L417" s="465" t="s">
        <v>95</v>
      </c>
      <c r="M417" s="465" t="s">
        <v>92</v>
      </c>
      <c r="N417" s="470">
        <v>2.6412956770904246</v>
      </c>
      <c r="O417" s="470">
        <v>2.4979079398164457</v>
      </c>
      <c r="P417" s="349">
        <v>2.6412956770904246</v>
      </c>
      <c r="Q417" s="470">
        <v>2.4979079398164457</v>
      </c>
      <c r="R417" s="37"/>
      <c r="S417" s="465" t="s">
        <v>44</v>
      </c>
      <c r="T417" s="344" t="s">
        <v>63</v>
      </c>
      <c r="U417" s="465" t="s">
        <v>69</v>
      </c>
      <c r="V417" s="465" t="s">
        <v>69</v>
      </c>
      <c r="W417" s="344" t="s">
        <v>76</v>
      </c>
      <c r="X417" s="37"/>
      <c r="Y417" s="37"/>
      <c r="Z417" s="465" t="s">
        <v>78</v>
      </c>
      <c r="AA417" s="465" t="s">
        <v>78</v>
      </c>
      <c r="AB417" s="37"/>
      <c r="AC417" s="474">
        <v>13.287671232876711</v>
      </c>
      <c r="AD417" s="470" t="s">
        <v>72</v>
      </c>
      <c r="AE417" s="465" t="s">
        <v>73</v>
      </c>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c r="CA417" s="393"/>
      <c r="CB417" s="393"/>
      <c r="CC417" s="393"/>
      <c r="CD417" s="393"/>
      <c r="CE417" s="393"/>
      <c r="CF417" s="393"/>
      <c r="CG417" s="393"/>
      <c r="CH417" s="393"/>
      <c r="CI417" s="393"/>
      <c r="CJ417" s="390"/>
      <c r="CK417" s="390"/>
      <c r="CL417" s="390"/>
      <c r="CM417" s="390"/>
      <c r="CN417" s="390"/>
      <c r="CO417" s="390"/>
      <c r="CP417" s="390"/>
      <c r="CQ417" s="390"/>
      <c r="CR417" s="390"/>
      <c r="CS417" s="390"/>
      <c r="CT417" s="390"/>
      <c r="CU417" s="390"/>
      <c r="CV417" s="390"/>
      <c r="CW417" s="390"/>
      <c r="CX417" s="390"/>
      <c r="CY417" s="390"/>
      <c r="CZ417" s="390"/>
      <c r="DA417" s="390"/>
      <c r="DB417" s="390"/>
      <c r="DC417" s="390"/>
    </row>
    <row r="418" spans="1:107" s="317" customFormat="1" ht="24">
      <c r="A418" s="37"/>
      <c r="B418" s="464" t="s">
        <v>23</v>
      </c>
      <c r="C418" s="465" t="s">
        <v>502</v>
      </c>
      <c r="D418" s="348" t="s">
        <v>1224</v>
      </c>
      <c r="E418" s="467">
        <v>36.33310217997353</v>
      </c>
      <c r="F418" s="465" t="s">
        <v>24</v>
      </c>
      <c r="G418" s="468">
        <v>0.39377364971583301</v>
      </c>
      <c r="H418" s="465" t="s">
        <v>66</v>
      </c>
      <c r="I418" s="469">
        <v>0.60622635028416694</v>
      </c>
      <c r="J418" s="465" t="s">
        <v>25</v>
      </c>
      <c r="K418" s="465" t="s">
        <v>1035</v>
      </c>
      <c r="L418" s="465" t="s">
        <v>95</v>
      </c>
      <c r="M418" s="465" t="s">
        <v>93</v>
      </c>
      <c r="N418" s="470">
        <v>2.6412956770904246</v>
      </c>
      <c r="O418" s="470" t="s">
        <v>870</v>
      </c>
      <c r="P418" s="349">
        <v>2.6412956770904246</v>
      </c>
      <c r="Q418" s="470" t="s">
        <v>870</v>
      </c>
      <c r="R418" s="37"/>
      <c r="S418" s="465" t="s">
        <v>44</v>
      </c>
      <c r="T418" s="344" t="s">
        <v>63</v>
      </c>
      <c r="U418" s="344" t="s">
        <v>870</v>
      </c>
      <c r="V418" s="344" t="s">
        <v>870</v>
      </c>
      <c r="W418" s="344" t="s">
        <v>76</v>
      </c>
      <c r="X418" s="37"/>
      <c r="Y418" s="37"/>
      <c r="Z418" s="465" t="s">
        <v>78</v>
      </c>
      <c r="AA418" s="465" t="s">
        <v>78</v>
      </c>
      <c r="AB418" s="37"/>
      <c r="AC418" s="474">
        <v>13.287671232876711</v>
      </c>
      <c r="AD418" s="470" t="s">
        <v>72</v>
      </c>
      <c r="AE418" s="465" t="s">
        <v>73</v>
      </c>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c r="CA418" s="393"/>
      <c r="CB418" s="393"/>
      <c r="CC418" s="393"/>
      <c r="CD418" s="393"/>
      <c r="CE418" s="393"/>
      <c r="CF418" s="393"/>
      <c r="CG418" s="393"/>
      <c r="CH418" s="393"/>
      <c r="CI418" s="393"/>
      <c r="CJ418" s="390"/>
      <c r="CK418" s="390"/>
      <c r="CL418" s="390"/>
      <c r="CM418" s="390"/>
      <c r="CN418" s="390"/>
      <c r="CO418" s="390"/>
      <c r="CP418" s="390"/>
      <c r="CQ418" s="390"/>
      <c r="CR418" s="390"/>
      <c r="CS418" s="390"/>
      <c r="CT418" s="390"/>
      <c r="CU418" s="390"/>
      <c r="CV418" s="390"/>
      <c r="CW418" s="390"/>
      <c r="CX418" s="390"/>
      <c r="CY418" s="390"/>
      <c r="CZ418" s="390"/>
      <c r="DA418" s="390"/>
      <c r="DB418" s="390"/>
      <c r="DC418" s="390"/>
    </row>
    <row r="419" spans="1:107" s="303" customFormat="1" ht="56.25">
      <c r="A419" s="37"/>
      <c r="B419" s="318" t="s">
        <v>23</v>
      </c>
      <c r="C419" s="329" t="s">
        <v>105</v>
      </c>
      <c r="D419" s="329" t="s">
        <v>1220</v>
      </c>
      <c r="E419" s="330">
        <v>812.7364084091281</v>
      </c>
      <c r="F419" s="329" t="s">
        <v>27</v>
      </c>
      <c r="G419" s="326">
        <v>0.91322314049586784</v>
      </c>
      <c r="H419" s="329" t="s">
        <v>66</v>
      </c>
      <c r="I419" s="385">
        <v>0.83</v>
      </c>
      <c r="J419" s="329" t="s">
        <v>1097</v>
      </c>
      <c r="K419" s="329" t="s">
        <v>1040</v>
      </c>
      <c r="L419" s="329" t="s">
        <v>960</v>
      </c>
      <c r="M419" s="329" t="s">
        <v>88</v>
      </c>
      <c r="N419" s="327">
        <v>109.61866268790889</v>
      </c>
      <c r="O419" s="327">
        <v>118.27853704025364</v>
      </c>
      <c r="P419" s="327">
        <v>95.002840996187672</v>
      </c>
      <c r="Q419" s="327">
        <v>19.713089506708933</v>
      </c>
      <c r="R419" s="37"/>
      <c r="S419" s="328" t="s">
        <v>69</v>
      </c>
      <c r="T419" s="328" t="s">
        <v>69</v>
      </c>
      <c r="U419" s="328" t="s">
        <v>69</v>
      </c>
      <c r="V419" s="328" t="s">
        <v>69</v>
      </c>
      <c r="W419" s="328" t="s">
        <v>76</v>
      </c>
      <c r="X419" s="37"/>
      <c r="Y419" s="37"/>
      <c r="Z419" s="328" t="s">
        <v>78</v>
      </c>
      <c r="AA419" s="328" t="s">
        <v>78</v>
      </c>
      <c r="AB419" s="37"/>
      <c r="AC419" s="331">
        <v>6.9095890410958898</v>
      </c>
      <c r="AD419" s="331" t="s">
        <v>72</v>
      </c>
      <c r="AE419" s="328" t="s">
        <v>73</v>
      </c>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c r="CA419" s="393"/>
      <c r="CB419" s="393"/>
      <c r="CC419" s="393"/>
      <c r="CD419" s="393"/>
      <c r="CE419" s="393"/>
      <c r="CF419" s="393"/>
      <c r="CG419" s="393"/>
      <c r="CH419" s="393"/>
      <c r="CI419" s="393"/>
      <c r="CJ419" s="390"/>
      <c r="CK419" s="390"/>
      <c r="CL419" s="390"/>
      <c r="CM419" s="390"/>
      <c r="CN419" s="390"/>
      <c r="CO419" s="390"/>
      <c r="CP419" s="390"/>
      <c r="CQ419" s="390"/>
      <c r="CR419" s="390"/>
      <c r="CS419" s="390"/>
      <c r="CT419" s="390"/>
      <c r="CU419" s="390"/>
      <c r="CV419" s="390"/>
      <c r="CW419" s="390"/>
      <c r="CX419" s="390"/>
      <c r="CY419" s="390"/>
      <c r="CZ419" s="390"/>
      <c r="DA419" s="390"/>
      <c r="DB419" s="390"/>
      <c r="DC419" s="390"/>
    </row>
    <row r="420" spans="1:107" s="303" customFormat="1" ht="56.25">
      <c r="A420" s="37"/>
      <c r="B420" s="318" t="s">
        <v>23</v>
      </c>
      <c r="C420" s="329" t="s">
        <v>105</v>
      </c>
      <c r="D420" s="329" t="s">
        <v>1220</v>
      </c>
      <c r="E420" s="330">
        <v>812.7364084091281</v>
      </c>
      <c r="F420" s="329" t="s">
        <v>27</v>
      </c>
      <c r="G420" s="326">
        <v>0.91322314049586784</v>
      </c>
      <c r="H420" s="329" t="s">
        <v>66</v>
      </c>
      <c r="I420" s="385">
        <v>0.83</v>
      </c>
      <c r="J420" s="329" t="s">
        <v>1097</v>
      </c>
      <c r="K420" s="329" t="s">
        <v>1040</v>
      </c>
      <c r="L420" s="329" t="s">
        <v>960</v>
      </c>
      <c r="M420" s="329" t="s">
        <v>90</v>
      </c>
      <c r="N420" s="327">
        <v>109.61866268790889</v>
      </c>
      <c r="O420" s="327">
        <v>137.99162654696264</v>
      </c>
      <c r="P420" s="327">
        <v>95.002840996187672</v>
      </c>
      <c r="Q420" s="327">
        <v>39.426179013417894</v>
      </c>
      <c r="R420" s="37"/>
      <c r="S420" s="328" t="s">
        <v>69</v>
      </c>
      <c r="T420" s="328" t="s">
        <v>69</v>
      </c>
      <c r="U420" s="328" t="s">
        <v>69</v>
      </c>
      <c r="V420" s="328" t="s">
        <v>69</v>
      </c>
      <c r="W420" s="328" t="s">
        <v>76</v>
      </c>
      <c r="X420" s="37"/>
      <c r="Y420" s="37"/>
      <c r="Z420" s="328" t="s">
        <v>78</v>
      </c>
      <c r="AA420" s="328" t="s">
        <v>78</v>
      </c>
      <c r="AB420" s="37"/>
      <c r="AC420" s="331">
        <v>6.9095890410958898</v>
      </c>
      <c r="AD420" s="331" t="s">
        <v>72</v>
      </c>
      <c r="AE420" s="328" t="s">
        <v>73</v>
      </c>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c r="CA420" s="393"/>
      <c r="CB420" s="393"/>
      <c r="CC420" s="393"/>
      <c r="CD420" s="393"/>
      <c r="CE420" s="393"/>
      <c r="CF420" s="393"/>
      <c r="CG420" s="393"/>
      <c r="CH420" s="393"/>
      <c r="CI420" s="393"/>
      <c r="CJ420" s="390"/>
      <c r="CK420" s="390"/>
      <c r="CL420" s="390"/>
      <c r="CM420" s="390"/>
      <c r="CN420" s="390"/>
      <c r="CO420" s="390"/>
      <c r="CP420" s="390"/>
      <c r="CQ420" s="390"/>
      <c r="CR420" s="390"/>
      <c r="CS420" s="390"/>
      <c r="CT420" s="390"/>
      <c r="CU420" s="390"/>
      <c r="CV420" s="390"/>
      <c r="CW420" s="390"/>
      <c r="CX420" s="390"/>
      <c r="CY420" s="390"/>
      <c r="CZ420" s="390"/>
      <c r="DA420" s="390"/>
      <c r="DB420" s="390"/>
      <c r="DC420" s="390"/>
    </row>
    <row r="421" spans="1:107" s="303" customFormat="1" ht="56.25">
      <c r="A421" s="37"/>
      <c r="B421" s="318" t="s">
        <v>23</v>
      </c>
      <c r="C421" s="329" t="s">
        <v>105</v>
      </c>
      <c r="D421" s="329" t="s">
        <v>1220</v>
      </c>
      <c r="E421" s="330">
        <v>812.7364084091281</v>
      </c>
      <c r="F421" s="329" t="s">
        <v>27</v>
      </c>
      <c r="G421" s="326">
        <v>0.91322314049586784</v>
      </c>
      <c r="H421" s="329" t="s">
        <v>66</v>
      </c>
      <c r="I421" s="385">
        <v>0.83</v>
      </c>
      <c r="J421" s="329" t="s">
        <v>1097</v>
      </c>
      <c r="K421" s="329" t="s">
        <v>1040</v>
      </c>
      <c r="L421" s="329" t="s">
        <v>960</v>
      </c>
      <c r="M421" s="329" t="s">
        <v>91</v>
      </c>
      <c r="N421" s="327">
        <v>109.61866268790889</v>
      </c>
      <c r="O421" s="327">
        <v>152.77644367699432</v>
      </c>
      <c r="P421" s="327">
        <v>95.002840996187672</v>
      </c>
      <c r="Q421" s="327">
        <v>54.210996143449577</v>
      </c>
      <c r="R421" s="37"/>
      <c r="S421" s="328" t="s">
        <v>69</v>
      </c>
      <c r="T421" s="328" t="s">
        <v>69</v>
      </c>
      <c r="U421" s="328" t="s">
        <v>69</v>
      </c>
      <c r="V421" s="328" t="s">
        <v>69</v>
      </c>
      <c r="W421" s="328" t="s">
        <v>76</v>
      </c>
      <c r="X421" s="37"/>
      <c r="Y421" s="37"/>
      <c r="Z421" s="328" t="s">
        <v>78</v>
      </c>
      <c r="AA421" s="328" t="s">
        <v>78</v>
      </c>
      <c r="AB421" s="37"/>
      <c r="AC421" s="331">
        <v>6.9095890410958898</v>
      </c>
      <c r="AD421" s="331" t="s">
        <v>72</v>
      </c>
      <c r="AE421" s="328" t="s">
        <v>73</v>
      </c>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c r="CA421" s="393"/>
      <c r="CB421" s="393"/>
      <c r="CC421" s="393"/>
      <c r="CD421" s="393"/>
      <c r="CE421" s="393"/>
      <c r="CF421" s="393"/>
      <c r="CG421" s="393"/>
      <c r="CH421" s="393"/>
      <c r="CI421" s="393"/>
      <c r="CJ421" s="390"/>
      <c r="CK421" s="390"/>
      <c r="CL421" s="390"/>
      <c r="CM421" s="390"/>
      <c r="CN421" s="390"/>
      <c r="CO421" s="390"/>
      <c r="CP421" s="390"/>
      <c r="CQ421" s="390"/>
      <c r="CR421" s="390"/>
      <c r="CS421" s="390"/>
      <c r="CT421" s="390"/>
      <c r="CU421" s="390"/>
      <c r="CV421" s="390"/>
      <c r="CW421" s="390"/>
      <c r="CX421" s="390"/>
      <c r="CY421" s="390"/>
      <c r="CZ421" s="390"/>
      <c r="DA421" s="390"/>
      <c r="DB421" s="390"/>
      <c r="DC421" s="390"/>
    </row>
    <row r="422" spans="1:107" s="303" customFormat="1" ht="56.25">
      <c r="A422" s="37"/>
      <c r="B422" s="318" t="s">
        <v>23</v>
      </c>
      <c r="C422" s="329" t="s">
        <v>105</v>
      </c>
      <c r="D422" s="329" t="s">
        <v>1220</v>
      </c>
      <c r="E422" s="330">
        <v>812.7364084091281</v>
      </c>
      <c r="F422" s="329" t="s">
        <v>27</v>
      </c>
      <c r="G422" s="326">
        <v>0.91322314049586784</v>
      </c>
      <c r="H422" s="329" t="s">
        <v>66</v>
      </c>
      <c r="I422" s="385">
        <v>0.83</v>
      </c>
      <c r="J422" s="329" t="s">
        <v>1097</v>
      </c>
      <c r="K422" s="329" t="s">
        <v>1040</v>
      </c>
      <c r="L422" s="329" t="s">
        <v>960</v>
      </c>
      <c r="M422" s="329" t="s">
        <v>92</v>
      </c>
      <c r="N422" s="327">
        <v>109.61866268790889</v>
      </c>
      <c r="O422" s="327">
        <v>177.41780556038051</v>
      </c>
      <c r="P422" s="327">
        <v>95.002840996187672</v>
      </c>
      <c r="Q422" s="327">
        <v>78.852358026835759</v>
      </c>
      <c r="R422" s="37"/>
      <c r="S422" s="328" t="s">
        <v>69</v>
      </c>
      <c r="T422" s="328" t="s">
        <v>69</v>
      </c>
      <c r="U422" s="328" t="s">
        <v>69</v>
      </c>
      <c r="V422" s="328" t="s">
        <v>69</v>
      </c>
      <c r="W422" s="328" t="s">
        <v>76</v>
      </c>
      <c r="X422" s="37"/>
      <c r="Y422" s="37"/>
      <c r="Z422" s="328" t="s">
        <v>78</v>
      </c>
      <c r="AA422" s="328" t="s">
        <v>78</v>
      </c>
      <c r="AB422" s="37"/>
      <c r="AC422" s="331">
        <v>6.9095890410958898</v>
      </c>
      <c r="AD422" s="331" t="s">
        <v>72</v>
      </c>
      <c r="AE422" s="328" t="s">
        <v>73</v>
      </c>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c r="CA422" s="393"/>
      <c r="CB422" s="393"/>
      <c r="CC422" s="393"/>
      <c r="CD422" s="393"/>
      <c r="CE422" s="393"/>
      <c r="CF422" s="393"/>
      <c r="CG422" s="393"/>
      <c r="CH422" s="393"/>
      <c r="CI422" s="393"/>
      <c r="CJ422" s="390"/>
      <c r="CK422" s="390"/>
      <c r="CL422" s="390"/>
      <c r="CM422" s="390"/>
      <c r="CN422" s="390"/>
      <c r="CO422" s="390"/>
      <c r="CP422" s="390"/>
      <c r="CQ422" s="390"/>
      <c r="CR422" s="390"/>
      <c r="CS422" s="390"/>
      <c r="CT422" s="390"/>
      <c r="CU422" s="390"/>
      <c r="CV422" s="390"/>
      <c r="CW422" s="390"/>
      <c r="CX422" s="390"/>
      <c r="CY422" s="390"/>
      <c r="CZ422" s="390"/>
      <c r="DA422" s="390"/>
      <c r="DB422" s="390"/>
      <c r="DC422" s="390"/>
    </row>
    <row r="423" spans="1:107" s="303" customFormat="1" ht="56.25">
      <c r="A423" s="37"/>
      <c r="B423" s="318" t="s">
        <v>23</v>
      </c>
      <c r="C423" s="329" t="s">
        <v>105</v>
      </c>
      <c r="D423" s="329" t="s">
        <v>1220</v>
      </c>
      <c r="E423" s="330">
        <v>812.7364084091281</v>
      </c>
      <c r="F423" s="329" t="s">
        <v>27</v>
      </c>
      <c r="G423" s="326">
        <v>0.91322314049586784</v>
      </c>
      <c r="H423" s="329" t="s">
        <v>66</v>
      </c>
      <c r="I423" s="385">
        <v>0.83</v>
      </c>
      <c r="J423" s="329" t="s">
        <v>1097</v>
      </c>
      <c r="K423" s="329" t="s">
        <v>1040</v>
      </c>
      <c r="L423" s="329" t="s">
        <v>960</v>
      </c>
      <c r="M423" s="329" t="s">
        <v>93</v>
      </c>
      <c r="N423" s="327">
        <v>109.61866268790889</v>
      </c>
      <c r="O423" s="327">
        <v>187.27435031373497</v>
      </c>
      <c r="P423" s="327">
        <v>95.002840996187672</v>
      </c>
      <c r="Q423" s="327">
        <v>88.708902780190257</v>
      </c>
      <c r="R423" s="37"/>
      <c r="S423" s="328" t="s">
        <v>69</v>
      </c>
      <c r="T423" s="328" t="s">
        <v>69</v>
      </c>
      <c r="U423" s="328" t="s">
        <v>44</v>
      </c>
      <c r="V423" s="328" t="s">
        <v>75</v>
      </c>
      <c r="W423" s="328" t="s">
        <v>76</v>
      </c>
      <c r="X423" s="37"/>
      <c r="Y423" s="37"/>
      <c r="Z423" s="328" t="s">
        <v>78</v>
      </c>
      <c r="AA423" s="328" t="s">
        <v>78</v>
      </c>
      <c r="AB423" s="37"/>
      <c r="AC423" s="331">
        <v>6.9095890410958898</v>
      </c>
      <c r="AD423" s="331" t="s">
        <v>72</v>
      </c>
      <c r="AE423" s="328" t="s">
        <v>73</v>
      </c>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c r="CA423" s="393"/>
      <c r="CB423" s="393"/>
      <c r="CC423" s="393"/>
      <c r="CD423" s="393"/>
      <c r="CE423" s="393"/>
      <c r="CF423" s="393"/>
      <c r="CG423" s="393"/>
      <c r="CH423" s="393"/>
      <c r="CI423" s="393"/>
      <c r="CJ423" s="390"/>
      <c r="CK423" s="390"/>
      <c r="CL423" s="390"/>
      <c r="CM423" s="390"/>
      <c r="CN423" s="390"/>
      <c r="CO423" s="390"/>
      <c r="CP423" s="390"/>
      <c r="CQ423" s="390"/>
      <c r="CR423" s="390"/>
      <c r="CS423" s="390"/>
      <c r="CT423" s="390"/>
      <c r="CU423" s="390"/>
      <c r="CV423" s="390"/>
      <c r="CW423" s="390"/>
      <c r="CX423" s="390"/>
      <c r="CY423" s="390"/>
      <c r="CZ423" s="390"/>
      <c r="DA423" s="390"/>
      <c r="DB423" s="390"/>
      <c r="DC423" s="390"/>
    </row>
    <row r="424" spans="1:107" s="303" customFormat="1" ht="56.25">
      <c r="A424" s="37"/>
      <c r="B424" s="318" t="s">
        <v>23</v>
      </c>
      <c r="C424" s="329" t="s">
        <v>105</v>
      </c>
      <c r="D424" s="329" t="s">
        <v>1220</v>
      </c>
      <c r="E424" s="330">
        <v>812.7364084091281</v>
      </c>
      <c r="F424" s="329" t="s">
        <v>27</v>
      </c>
      <c r="G424" s="326">
        <v>0.91322314049586784</v>
      </c>
      <c r="H424" s="329" t="s">
        <v>66</v>
      </c>
      <c r="I424" s="385">
        <v>0.83</v>
      </c>
      <c r="J424" s="329" t="s">
        <v>1097</v>
      </c>
      <c r="K424" s="329" t="s">
        <v>1040</v>
      </c>
      <c r="L424" s="329" t="s">
        <v>15</v>
      </c>
      <c r="M424" s="329" t="s">
        <v>88</v>
      </c>
      <c r="N424" s="327">
        <v>151.97627093884191</v>
      </c>
      <c r="O424" s="327">
        <v>118.27853704025364</v>
      </c>
      <c r="P424" s="327">
        <v>129.88669667447536</v>
      </c>
      <c r="Q424" s="327">
        <v>19.713089506708933</v>
      </c>
      <c r="R424" s="37"/>
      <c r="S424" s="328" t="s">
        <v>44</v>
      </c>
      <c r="T424" s="328" t="s">
        <v>63</v>
      </c>
      <c r="U424" s="328" t="s">
        <v>69</v>
      </c>
      <c r="V424" s="328" t="s">
        <v>69</v>
      </c>
      <c r="W424" s="328" t="s">
        <v>76</v>
      </c>
      <c r="X424" s="37"/>
      <c r="Y424" s="37"/>
      <c r="Z424" s="328" t="s">
        <v>78</v>
      </c>
      <c r="AA424" s="328" t="s">
        <v>78</v>
      </c>
      <c r="AB424" s="37"/>
      <c r="AC424" s="331">
        <v>6.9095890410958898</v>
      </c>
      <c r="AD424" s="331" t="s">
        <v>72</v>
      </c>
      <c r="AE424" s="328" t="s">
        <v>73</v>
      </c>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c r="CA424" s="393"/>
      <c r="CB424" s="393"/>
      <c r="CC424" s="393"/>
      <c r="CD424" s="393"/>
      <c r="CE424" s="393"/>
      <c r="CF424" s="393"/>
      <c r="CG424" s="393"/>
      <c r="CH424" s="393"/>
      <c r="CI424" s="393"/>
      <c r="CJ424" s="390"/>
      <c r="CK424" s="390"/>
      <c r="CL424" s="390"/>
      <c r="CM424" s="390"/>
      <c r="CN424" s="390"/>
      <c r="CO424" s="390"/>
      <c r="CP424" s="390"/>
      <c r="CQ424" s="390"/>
      <c r="CR424" s="390"/>
      <c r="CS424" s="390"/>
      <c r="CT424" s="390"/>
      <c r="CU424" s="390"/>
      <c r="CV424" s="390"/>
      <c r="CW424" s="390"/>
      <c r="CX424" s="390"/>
      <c r="CY424" s="390"/>
      <c r="CZ424" s="390"/>
      <c r="DA424" s="390"/>
      <c r="DB424" s="390"/>
      <c r="DC424" s="390"/>
    </row>
    <row r="425" spans="1:107" s="303" customFormat="1" ht="56.25">
      <c r="A425" s="37"/>
      <c r="B425" s="318" t="s">
        <v>23</v>
      </c>
      <c r="C425" s="329" t="s">
        <v>105</v>
      </c>
      <c r="D425" s="329" t="s">
        <v>1220</v>
      </c>
      <c r="E425" s="330">
        <v>812.7364084091281</v>
      </c>
      <c r="F425" s="329" t="s">
        <v>27</v>
      </c>
      <c r="G425" s="326">
        <v>0.91322314049586784</v>
      </c>
      <c r="H425" s="329" t="s">
        <v>66</v>
      </c>
      <c r="I425" s="385">
        <v>0.83</v>
      </c>
      <c r="J425" s="329" t="s">
        <v>1097</v>
      </c>
      <c r="K425" s="329" t="s">
        <v>1040</v>
      </c>
      <c r="L425" s="329" t="s">
        <v>15</v>
      </c>
      <c r="M425" s="329" t="s">
        <v>90</v>
      </c>
      <c r="N425" s="327">
        <v>151.97627093884191</v>
      </c>
      <c r="O425" s="327">
        <v>137.99162654696264</v>
      </c>
      <c r="P425" s="327">
        <v>129.88669667447536</v>
      </c>
      <c r="Q425" s="327">
        <v>39.426179013417894</v>
      </c>
      <c r="R425" s="37"/>
      <c r="S425" s="328" t="s">
        <v>44</v>
      </c>
      <c r="T425" s="328" t="s">
        <v>63</v>
      </c>
      <c r="U425" s="328" t="s">
        <v>69</v>
      </c>
      <c r="V425" s="328" t="s">
        <v>69</v>
      </c>
      <c r="W425" s="328" t="s">
        <v>76</v>
      </c>
      <c r="X425" s="37"/>
      <c r="Y425" s="37"/>
      <c r="Z425" s="328" t="s">
        <v>78</v>
      </c>
      <c r="AA425" s="328" t="s">
        <v>78</v>
      </c>
      <c r="AB425" s="37"/>
      <c r="AC425" s="331">
        <v>6.9095890410958898</v>
      </c>
      <c r="AD425" s="331" t="s">
        <v>72</v>
      </c>
      <c r="AE425" s="328" t="s">
        <v>73</v>
      </c>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c r="CA425" s="393"/>
      <c r="CB425" s="393"/>
      <c r="CC425" s="393"/>
      <c r="CD425" s="393"/>
      <c r="CE425" s="393"/>
      <c r="CF425" s="393"/>
      <c r="CG425" s="393"/>
      <c r="CH425" s="393"/>
      <c r="CI425" s="393"/>
      <c r="CJ425" s="390"/>
      <c r="CK425" s="390"/>
      <c r="CL425" s="390"/>
      <c r="CM425" s="390"/>
      <c r="CN425" s="390"/>
      <c r="CO425" s="390"/>
      <c r="CP425" s="390"/>
      <c r="CQ425" s="390"/>
      <c r="CR425" s="390"/>
      <c r="CS425" s="390"/>
      <c r="CT425" s="390"/>
      <c r="CU425" s="390"/>
      <c r="CV425" s="390"/>
      <c r="CW425" s="390"/>
      <c r="CX425" s="390"/>
      <c r="CY425" s="390"/>
      <c r="CZ425" s="390"/>
      <c r="DA425" s="390"/>
      <c r="DB425" s="390"/>
      <c r="DC425" s="390"/>
    </row>
    <row r="426" spans="1:107" s="303" customFormat="1" ht="56.25">
      <c r="A426" s="37"/>
      <c r="B426" s="318" t="s">
        <v>23</v>
      </c>
      <c r="C426" s="329" t="s">
        <v>105</v>
      </c>
      <c r="D426" s="329" t="s">
        <v>1220</v>
      </c>
      <c r="E426" s="330">
        <v>812.7364084091281</v>
      </c>
      <c r="F426" s="329" t="s">
        <v>27</v>
      </c>
      <c r="G426" s="326">
        <v>0.91322314049586784</v>
      </c>
      <c r="H426" s="329" t="s">
        <v>66</v>
      </c>
      <c r="I426" s="385">
        <v>0.83</v>
      </c>
      <c r="J426" s="329" t="s">
        <v>1097</v>
      </c>
      <c r="K426" s="329" t="s">
        <v>1040</v>
      </c>
      <c r="L426" s="329" t="s">
        <v>15</v>
      </c>
      <c r="M426" s="329" t="s">
        <v>91</v>
      </c>
      <c r="N426" s="327">
        <v>151.97627093884191</v>
      </c>
      <c r="O426" s="327">
        <v>152.77644367699432</v>
      </c>
      <c r="P426" s="327">
        <v>129.88669667447536</v>
      </c>
      <c r="Q426" s="327">
        <v>54.210996143449577</v>
      </c>
      <c r="R426" s="37"/>
      <c r="S426" s="328" t="s">
        <v>44</v>
      </c>
      <c r="T426" s="328" t="s">
        <v>63</v>
      </c>
      <c r="U426" s="328" t="s">
        <v>69</v>
      </c>
      <c r="V426" s="328" t="s">
        <v>69</v>
      </c>
      <c r="W426" s="328" t="s">
        <v>76</v>
      </c>
      <c r="X426" s="37"/>
      <c r="Y426" s="37"/>
      <c r="Z426" s="328" t="s">
        <v>78</v>
      </c>
      <c r="AA426" s="328" t="s">
        <v>78</v>
      </c>
      <c r="AB426" s="37"/>
      <c r="AC426" s="331">
        <v>6.9095890410958898</v>
      </c>
      <c r="AD426" s="331" t="s">
        <v>72</v>
      </c>
      <c r="AE426" s="328" t="s">
        <v>73</v>
      </c>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c r="CA426" s="393"/>
      <c r="CB426" s="393"/>
      <c r="CC426" s="393"/>
      <c r="CD426" s="393"/>
      <c r="CE426" s="393"/>
      <c r="CF426" s="393"/>
      <c r="CG426" s="393"/>
      <c r="CH426" s="393"/>
      <c r="CI426" s="393"/>
      <c r="CJ426" s="390"/>
      <c r="CK426" s="390"/>
      <c r="CL426" s="390"/>
      <c r="CM426" s="390"/>
      <c r="CN426" s="390"/>
      <c r="CO426" s="390"/>
      <c r="CP426" s="390"/>
      <c r="CQ426" s="390"/>
      <c r="CR426" s="390"/>
      <c r="CS426" s="390"/>
      <c r="CT426" s="390"/>
      <c r="CU426" s="390"/>
      <c r="CV426" s="390"/>
      <c r="CW426" s="390"/>
      <c r="CX426" s="390"/>
      <c r="CY426" s="390"/>
      <c r="CZ426" s="390"/>
      <c r="DA426" s="390"/>
      <c r="DB426" s="390"/>
      <c r="DC426" s="390"/>
    </row>
    <row r="427" spans="1:107" s="303" customFormat="1" ht="56.25">
      <c r="A427" s="37"/>
      <c r="B427" s="318" t="s">
        <v>23</v>
      </c>
      <c r="C427" s="329" t="s">
        <v>105</v>
      </c>
      <c r="D427" s="329" t="s">
        <v>1220</v>
      </c>
      <c r="E427" s="330">
        <v>812.7364084091281</v>
      </c>
      <c r="F427" s="329" t="s">
        <v>27</v>
      </c>
      <c r="G427" s="326">
        <v>0.91322314049586784</v>
      </c>
      <c r="H427" s="329" t="s">
        <v>66</v>
      </c>
      <c r="I427" s="385">
        <v>0.83</v>
      </c>
      <c r="J427" s="329" t="s">
        <v>1097</v>
      </c>
      <c r="K427" s="329" t="s">
        <v>1040</v>
      </c>
      <c r="L427" s="329" t="s">
        <v>15</v>
      </c>
      <c r="M427" s="329" t="s">
        <v>92</v>
      </c>
      <c r="N427" s="327">
        <v>151.97627093884191</v>
      </c>
      <c r="O427" s="327">
        <v>177.41780556038051</v>
      </c>
      <c r="P427" s="327">
        <v>129.88669667447536</v>
      </c>
      <c r="Q427" s="327">
        <v>78.852358026835759</v>
      </c>
      <c r="R427" s="37"/>
      <c r="S427" s="328" t="s">
        <v>44</v>
      </c>
      <c r="T427" s="328" t="s">
        <v>63</v>
      </c>
      <c r="U427" s="328" t="s">
        <v>69</v>
      </c>
      <c r="V427" s="328" t="s">
        <v>69</v>
      </c>
      <c r="W427" s="328" t="s">
        <v>76</v>
      </c>
      <c r="X427" s="37"/>
      <c r="Y427" s="37"/>
      <c r="Z427" s="328" t="s">
        <v>78</v>
      </c>
      <c r="AA427" s="328" t="s">
        <v>78</v>
      </c>
      <c r="AB427" s="37"/>
      <c r="AC427" s="331">
        <v>6.9095890410958898</v>
      </c>
      <c r="AD427" s="331" t="s">
        <v>72</v>
      </c>
      <c r="AE427" s="328" t="s">
        <v>73</v>
      </c>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c r="CA427" s="393"/>
      <c r="CB427" s="393"/>
      <c r="CC427" s="393"/>
      <c r="CD427" s="393"/>
      <c r="CE427" s="393"/>
      <c r="CF427" s="393"/>
      <c r="CG427" s="393"/>
      <c r="CH427" s="393"/>
      <c r="CI427" s="393"/>
      <c r="CJ427" s="390"/>
      <c r="CK427" s="390"/>
      <c r="CL427" s="390"/>
      <c r="CM427" s="390"/>
      <c r="CN427" s="390"/>
      <c r="CO427" s="390"/>
      <c r="CP427" s="390"/>
      <c r="CQ427" s="390"/>
      <c r="CR427" s="390"/>
      <c r="CS427" s="390"/>
      <c r="CT427" s="390"/>
      <c r="CU427" s="390"/>
      <c r="CV427" s="390"/>
      <c r="CW427" s="390"/>
      <c r="CX427" s="390"/>
      <c r="CY427" s="390"/>
      <c r="CZ427" s="390"/>
      <c r="DA427" s="390"/>
      <c r="DB427" s="390"/>
      <c r="DC427" s="390"/>
    </row>
    <row r="428" spans="1:107" s="303" customFormat="1" ht="56.25">
      <c r="A428" s="37"/>
      <c r="B428" s="318" t="s">
        <v>23</v>
      </c>
      <c r="C428" s="329" t="s">
        <v>105</v>
      </c>
      <c r="D428" s="329" t="s">
        <v>1220</v>
      </c>
      <c r="E428" s="330">
        <v>812.7364084091281</v>
      </c>
      <c r="F428" s="329" t="s">
        <v>27</v>
      </c>
      <c r="G428" s="326">
        <v>0.91322314049586784</v>
      </c>
      <c r="H428" s="329" t="s">
        <v>66</v>
      </c>
      <c r="I428" s="385">
        <v>0.83</v>
      </c>
      <c r="J428" s="329" t="s">
        <v>1097</v>
      </c>
      <c r="K428" s="329" t="s">
        <v>1040</v>
      </c>
      <c r="L428" s="329" t="s">
        <v>15</v>
      </c>
      <c r="M428" s="329" t="s">
        <v>93</v>
      </c>
      <c r="N428" s="327">
        <v>151.97627093884191</v>
      </c>
      <c r="O428" s="327">
        <v>187.27435031373497</v>
      </c>
      <c r="P428" s="327">
        <v>129.88669667447536</v>
      </c>
      <c r="Q428" s="327">
        <v>88.708902780190257</v>
      </c>
      <c r="R428" s="37"/>
      <c r="S428" s="328" t="s">
        <v>44</v>
      </c>
      <c r="T428" s="328" t="s">
        <v>63</v>
      </c>
      <c r="U428" s="328" t="s">
        <v>44</v>
      </c>
      <c r="V428" s="328" t="s">
        <v>75</v>
      </c>
      <c r="W428" s="328" t="s">
        <v>76</v>
      </c>
      <c r="X428" s="37"/>
      <c r="Y428" s="37"/>
      <c r="Z428" s="328" t="s">
        <v>78</v>
      </c>
      <c r="AA428" s="328" t="s">
        <v>78</v>
      </c>
      <c r="AB428" s="37"/>
      <c r="AC428" s="331">
        <v>6.9095890410958898</v>
      </c>
      <c r="AD428" s="331" t="s">
        <v>72</v>
      </c>
      <c r="AE428" s="328" t="s">
        <v>73</v>
      </c>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c r="CA428" s="393"/>
      <c r="CB428" s="393"/>
      <c r="CC428" s="393"/>
      <c r="CD428" s="393"/>
      <c r="CE428" s="393"/>
      <c r="CF428" s="393"/>
      <c r="CG428" s="393"/>
      <c r="CH428" s="393"/>
      <c r="CI428" s="393"/>
      <c r="CJ428" s="390"/>
      <c r="CK428" s="390"/>
      <c r="CL428" s="390"/>
      <c r="CM428" s="390"/>
      <c r="CN428" s="390"/>
      <c r="CO428" s="390"/>
      <c r="CP428" s="390"/>
      <c r="CQ428" s="390"/>
      <c r="CR428" s="390"/>
      <c r="CS428" s="390"/>
      <c r="CT428" s="390"/>
      <c r="CU428" s="390"/>
      <c r="CV428" s="390"/>
      <c r="CW428" s="390"/>
      <c r="CX428" s="390"/>
      <c r="CY428" s="390"/>
      <c r="CZ428" s="390"/>
      <c r="DA428" s="390"/>
      <c r="DB428" s="390"/>
      <c r="DC428" s="390"/>
    </row>
    <row r="429" spans="1:107" s="303" customFormat="1" ht="33.75">
      <c r="A429" s="37"/>
      <c r="B429" s="318" t="s">
        <v>23</v>
      </c>
      <c r="C429" s="329" t="s">
        <v>105</v>
      </c>
      <c r="D429" s="329" t="s">
        <v>1220</v>
      </c>
      <c r="E429" s="330">
        <v>812.7364084091281</v>
      </c>
      <c r="F429" s="329" t="s">
        <v>24</v>
      </c>
      <c r="G429" s="326">
        <v>8.6776859504132234E-2</v>
      </c>
      <c r="H429" s="329" t="s">
        <v>66</v>
      </c>
      <c r="I429" s="385">
        <v>0.83</v>
      </c>
      <c r="J429" s="329" t="s">
        <v>25</v>
      </c>
      <c r="K429" s="329" t="s">
        <v>1040</v>
      </c>
      <c r="L429" s="329" t="s">
        <v>95</v>
      </c>
      <c r="M429" s="329" t="s">
        <v>88</v>
      </c>
      <c r="N429" s="327">
        <v>13.020316269491438</v>
      </c>
      <c r="O429" s="327">
        <v>11.239137003825009</v>
      </c>
      <c r="P429" s="327">
        <v>13.020316269491438</v>
      </c>
      <c r="Q429" s="327">
        <v>1.8731895006375003</v>
      </c>
      <c r="R429" s="37"/>
      <c r="S429" s="328" t="s">
        <v>44</v>
      </c>
      <c r="T429" s="328" t="s">
        <v>63</v>
      </c>
      <c r="U429" s="328" t="s">
        <v>69</v>
      </c>
      <c r="V429" s="328" t="s">
        <v>69</v>
      </c>
      <c r="W429" s="328" t="s">
        <v>76</v>
      </c>
      <c r="X429" s="37"/>
      <c r="Y429" s="37"/>
      <c r="Z429" s="328" t="s">
        <v>78</v>
      </c>
      <c r="AA429" s="328" t="s">
        <v>78</v>
      </c>
      <c r="AB429" s="37"/>
      <c r="AC429" s="331">
        <v>6.9095890410958898</v>
      </c>
      <c r="AD429" s="331" t="s">
        <v>72</v>
      </c>
      <c r="AE429" s="328" t="s">
        <v>73</v>
      </c>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c r="CA429" s="393"/>
      <c r="CB429" s="393"/>
      <c r="CC429" s="393"/>
      <c r="CD429" s="393"/>
      <c r="CE429" s="393"/>
      <c r="CF429" s="393"/>
      <c r="CG429" s="393"/>
      <c r="CH429" s="393"/>
      <c r="CI429" s="393"/>
      <c r="CJ429" s="390"/>
      <c r="CK429" s="390"/>
      <c r="CL429" s="390"/>
      <c r="CM429" s="390"/>
      <c r="CN429" s="390"/>
      <c r="CO429" s="390"/>
      <c r="CP429" s="390"/>
      <c r="CQ429" s="390"/>
      <c r="CR429" s="390"/>
      <c r="CS429" s="390"/>
      <c r="CT429" s="390"/>
      <c r="CU429" s="390"/>
      <c r="CV429" s="390"/>
      <c r="CW429" s="390"/>
      <c r="CX429" s="390"/>
      <c r="CY429" s="390"/>
      <c r="CZ429" s="390"/>
      <c r="DA429" s="390"/>
      <c r="DB429" s="390"/>
      <c r="DC429" s="390"/>
    </row>
    <row r="430" spans="1:107" s="303" customFormat="1" ht="33.75">
      <c r="A430" s="37"/>
      <c r="B430" s="318" t="s">
        <v>23</v>
      </c>
      <c r="C430" s="329" t="s">
        <v>105</v>
      </c>
      <c r="D430" s="329" t="s">
        <v>1220</v>
      </c>
      <c r="E430" s="330">
        <v>812.7364084091281</v>
      </c>
      <c r="F430" s="329" t="s">
        <v>24</v>
      </c>
      <c r="G430" s="326">
        <v>8.6776859504132234E-2</v>
      </c>
      <c r="H430" s="329" t="s">
        <v>66</v>
      </c>
      <c r="I430" s="385">
        <v>0.83</v>
      </c>
      <c r="J430" s="329" t="s">
        <v>25</v>
      </c>
      <c r="K430" s="329" t="s">
        <v>1040</v>
      </c>
      <c r="L430" s="329" t="s">
        <v>95</v>
      </c>
      <c r="M430" s="329" t="s">
        <v>90</v>
      </c>
      <c r="N430" s="327">
        <v>13.020316269491438</v>
      </c>
      <c r="O430" s="327">
        <v>13.11232650446251</v>
      </c>
      <c r="P430" s="327">
        <v>13.020316269491438</v>
      </c>
      <c r="Q430" s="327">
        <v>3.7463790012750038</v>
      </c>
      <c r="R430" s="37"/>
      <c r="S430" s="328" t="s">
        <v>44</v>
      </c>
      <c r="T430" s="328" t="s">
        <v>63</v>
      </c>
      <c r="U430" s="328" t="s">
        <v>69</v>
      </c>
      <c r="V430" s="328" t="s">
        <v>69</v>
      </c>
      <c r="W430" s="328" t="s">
        <v>76</v>
      </c>
      <c r="X430" s="37"/>
      <c r="Y430" s="37"/>
      <c r="Z430" s="328" t="s">
        <v>78</v>
      </c>
      <c r="AA430" s="328" t="s">
        <v>78</v>
      </c>
      <c r="AB430" s="37"/>
      <c r="AC430" s="331">
        <v>6.9095890410958898</v>
      </c>
      <c r="AD430" s="331" t="s">
        <v>72</v>
      </c>
      <c r="AE430" s="328" t="s">
        <v>73</v>
      </c>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c r="CA430" s="393"/>
      <c r="CB430" s="393"/>
      <c r="CC430" s="393"/>
      <c r="CD430" s="393"/>
      <c r="CE430" s="393"/>
      <c r="CF430" s="393"/>
      <c r="CG430" s="393"/>
      <c r="CH430" s="393"/>
      <c r="CI430" s="393"/>
      <c r="CJ430" s="390"/>
      <c r="CK430" s="390"/>
      <c r="CL430" s="390"/>
      <c r="CM430" s="390"/>
      <c r="CN430" s="390"/>
      <c r="CO430" s="390"/>
      <c r="CP430" s="390"/>
      <c r="CQ430" s="390"/>
      <c r="CR430" s="390"/>
      <c r="CS430" s="390"/>
      <c r="CT430" s="390"/>
      <c r="CU430" s="390"/>
      <c r="CV430" s="390"/>
      <c r="CW430" s="390"/>
      <c r="CX430" s="390"/>
      <c r="CY430" s="390"/>
      <c r="CZ430" s="390"/>
      <c r="DA430" s="390"/>
      <c r="DB430" s="390"/>
      <c r="DC430" s="390"/>
    </row>
    <row r="431" spans="1:107" s="303" customFormat="1" ht="33.75">
      <c r="A431" s="37"/>
      <c r="B431" s="318" t="s">
        <v>23</v>
      </c>
      <c r="C431" s="329" t="s">
        <v>105</v>
      </c>
      <c r="D431" s="329" t="s">
        <v>1220</v>
      </c>
      <c r="E431" s="330">
        <v>812.7364084091281</v>
      </c>
      <c r="F431" s="329" t="s">
        <v>24</v>
      </c>
      <c r="G431" s="326">
        <v>8.6776859504132234E-2</v>
      </c>
      <c r="H431" s="329" t="s">
        <v>66</v>
      </c>
      <c r="I431" s="385">
        <v>0.83</v>
      </c>
      <c r="J431" s="329" t="s">
        <v>25</v>
      </c>
      <c r="K431" s="329" t="s">
        <v>1040</v>
      </c>
      <c r="L431" s="329" t="s">
        <v>95</v>
      </c>
      <c r="M431" s="329" t="s">
        <v>91</v>
      </c>
      <c r="N431" s="327">
        <v>13.020316269491438</v>
      </c>
      <c r="O431" s="327">
        <v>14.517218629940635</v>
      </c>
      <c r="P431" s="327">
        <v>13.020316269491438</v>
      </c>
      <c r="Q431" s="327">
        <v>5.1512711267531284</v>
      </c>
      <c r="R431" s="37"/>
      <c r="S431" s="328" t="s">
        <v>44</v>
      </c>
      <c r="T431" s="328" t="s">
        <v>63</v>
      </c>
      <c r="U431" s="328" t="s">
        <v>69</v>
      </c>
      <c r="V431" s="328" t="s">
        <v>69</v>
      </c>
      <c r="W431" s="328" t="s">
        <v>76</v>
      </c>
      <c r="X431" s="37"/>
      <c r="Y431" s="37"/>
      <c r="Z431" s="328" t="s">
        <v>78</v>
      </c>
      <c r="AA431" s="328" t="s">
        <v>78</v>
      </c>
      <c r="AB431" s="37"/>
      <c r="AC431" s="331">
        <v>6.9095890410958898</v>
      </c>
      <c r="AD431" s="331" t="s">
        <v>72</v>
      </c>
      <c r="AE431" s="328" t="s">
        <v>73</v>
      </c>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c r="CA431" s="393"/>
      <c r="CB431" s="393"/>
      <c r="CC431" s="393"/>
      <c r="CD431" s="393"/>
      <c r="CE431" s="393"/>
      <c r="CF431" s="393"/>
      <c r="CG431" s="393"/>
      <c r="CH431" s="393"/>
      <c r="CI431" s="393"/>
      <c r="CJ431" s="390"/>
      <c r="CK431" s="390"/>
      <c r="CL431" s="390"/>
      <c r="CM431" s="390"/>
      <c r="CN431" s="390"/>
      <c r="CO431" s="390"/>
      <c r="CP431" s="390"/>
      <c r="CQ431" s="390"/>
      <c r="CR431" s="390"/>
      <c r="CS431" s="390"/>
      <c r="CT431" s="390"/>
      <c r="CU431" s="390"/>
      <c r="CV431" s="390"/>
      <c r="CW431" s="390"/>
      <c r="CX431" s="390"/>
      <c r="CY431" s="390"/>
      <c r="CZ431" s="390"/>
      <c r="DA431" s="390"/>
      <c r="DB431" s="390"/>
      <c r="DC431" s="390"/>
    </row>
    <row r="432" spans="1:107" s="303" customFormat="1" ht="33.75">
      <c r="A432" s="37"/>
      <c r="B432" s="318" t="s">
        <v>23</v>
      </c>
      <c r="C432" s="329" t="s">
        <v>105</v>
      </c>
      <c r="D432" s="329" t="s">
        <v>1220</v>
      </c>
      <c r="E432" s="330">
        <v>812.7364084091281</v>
      </c>
      <c r="F432" s="329" t="s">
        <v>24</v>
      </c>
      <c r="G432" s="326">
        <v>8.6776859504132234E-2</v>
      </c>
      <c r="H432" s="329" t="s">
        <v>66</v>
      </c>
      <c r="I432" s="385">
        <v>0.83</v>
      </c>
      <c r="J432" s="329" t="s">
        <v>25</v>
      </c>
      <c r="K432" s="329" t="s">
        <v>1040</v>
      </c>
      <c r="L432" s="329" t="s">
        <v>95</v>
      </c>
      <c r="M432" s="329" t="s">
        <v>92</v>
      </c>
      <c r="N432" s="327">
        <v>13.020316269491438</v>
      </c>
      <c r="O432" s="327">
        <v>16.858705505737511</v>
      </c>
      <c r="P432" s="327">
        <v>13.020316269491438</v>
      </c>
      <c r="Q432" s="327">
        <v>7.492758002550004</v>
      </c>
      <c r="R432" s="37"/>
      <c r="S432" s="328" t="s">
        <v>44</v>
      </c>
      <c r="T432" s="328" t="s">
        <v>63</v>
      </c>
      <c r="U432" s="328" t="s">
        <v>69</v>
      </c>
      <c r="V432" s="328" t="s">
        <v>69</v>
      </c>
      <c r="W432" s="328" t="s">
        <v>76</v>
      </c>
      <c r="X432" s="37"/>
      <c r="Y432" s="37"/>
      <c r="Z432" s="328" t="s">
        <v>78</v>
      </c>
      <c r="AA432" s="328" t="s">
        <v>78</v>
      </c>
      <c r="AB432" s="37"/>
      <c r="AC432" s="331">
        <v>6.9095890410958898</v>
      </c>
      <c r="AD432" s="331" t="s">
        <v>72</v>
      </c>
      <c r="AE432" s="328" t="s">
        <v>73</v>
      </c>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c r="CA432" s="393"/>
      <c r="CB432" s="393"/>
      <c r="CC432" s="393"/>
      <c r="CD432" s="393"/>
      <c r="CE432" s="393"/>
      <c r="CF432" s="393"/>
      <c r="CG432" s="393"/>
      <c r="CH432" s="393"/>
      <c r="CI432" s="393"/>
      <c r="CJ432" s="390"/>
      <c r="CK432" s="390"/>
      <c r="CL432" s="390"/>
      <c r="CM432" s="390"/>
      <c r="CN432" s="390"/>
      <c r="CO432" s="390"/>
      <c r="CP432" s="390"/>
      <c r="CQ432" s="390"/>
      <c r="CR432" s="390"/>
      <c r="CS432" s="390"/>
      <c r="CT432" s="390"/>
      <c r="CU432" s="390"/>
      <c r="CV432" s="390"/>
      <c r="CW432" s="390"/>
      <c r="CX432" s="390"/>
      <c r="CY432" s="390"/>
      <c r="CZ432" s="390"/>
      <c r="DA432" s="390"/>
      <c r="DB432" s="390"/>
      <c r="DC432" s="390"/>
    </row>
    <row r="433" spans="1:107" s="303" customFormat="1" ht="33.75">
      <c r="A433" s="37"/>
      <c r="B433" s="318" t="s">
        <v>23</v>
      </c>
      <c r="C433" s="329" t="s">
        <v>105</v>
      </c>
      <c r="D433" s="329" t="s">
        <v>1220</v>
      </c>
      <c r="E433" s="330">
        <v>812.7364084091281</v>
      </c>
      <c r="F433" s="329" t="s">
        <v>24</v>
      </c>
      <c r="G433" s="326">
        <v>8.6776859504132234E-2</v>
      </c>
      <c r="H433" s="329" t="s">
        <v>66</v>
      </c>
      <c r="I433" s="385">
        <v>0.83</v>
      </c>
      <c r="J433" s="329" t="s">
        <v>25</v>
      </c>
      <c r="K433" s="329" t="s">
        <v>1040</v>
      </c>
      <c r="L433" s="329" t="s">
        <v>95</v>
      </c>
      <c r="M433" s="329" t="s">
        <v>93</v>
      </c>
      <c r="N433" s="327">
        <v>13.020316269491438</v>
      </c>
      <c r="O433" s="327">
        <v>17.795300256056262</v>
      </c>
      <c r="P433" s="327">
        <v>13.020316269491438</v>
      </c>
      <c r="Q433" s="327">
        <v>8.4293527528687555</v>
      </c>
      <c r="R433" s="37"/>
      <c r="S433" s="328" t="s">
        <v>44</v>
      </c>
      <c r="T433" s="328" t="s">
        <v>63</v>
      </c>
      <c r="U433" s="328" t="s">
        <v>44</v>
      </c>
      <c r="V433" s="328" t="s">
        <v>75</v>
      </c>
      <c r="W433" s="328" t="s">
        <v>76</v>
      </c>
      <c r="X433" s="37"/>
      <c r="Y433" s="37"/>
      <c r="Z433" s="328" t="s">
        <v>78</v>
      </c>
      <c r="AA433" s="328" t="s">
        <v>78</v>
      </c>
      <c r="AB433" s="37"/>
      <c r="AC433" s="331">
        <v>6.9095890410958898</v>
      </c>
      <c r="AD433" s="331" t="s">
        <v>72</v>
      </c>
      <c r="AE433" s="328" t="s">
        <v>73</v>
      </c>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c r="CA433" s="393"/>
      <c r="CB433" s="393"/>
      <c r="CC433" s="393"/>
      <c r="CD433" s="393"/>
      <c r="CE433" s="393"/>
      <c r="CF433" s="393"/>
      <c r="CG433" s="393"/>
      <c r="CH433" s="393"/>
      <c r="CI433" s="393"/>
      <c r="CJ433" s="390"/>
      <c r="CK433" s="390"/>
      <c r="CL433" s="390"/>
      <c r="CM433" s="390"/>
      <c r="CN433" s="390"/>
      <c r="CO433" s="390"/>
      <c r="CP433" s="390"/>
      <c r="CQ433" s="390"/>
      <c r="CR433" s="390"/>
      <c r="CS433" s="390"/>
      <c r="CT433" s="390"/>
      <c r="CU433" s="390"/>
      <c r="CV433" s="390"/>
      <c r="CW433" s="390"/>
      <c r="CX433" s="390"/>
      <c r="CY433" s="390"/>
      <c r="CZ433" s="390"/>
      <c r="DA433" s="390"/>
      <c r="DB433" s="390"/>
      <c r="DC433" s="390"/>
    </row>
    <row r="434" spans="1:107" s="303" customFormat="1" ht="56.25">
      <c r="A434" s="37"/>
      <c r="B434" s="683" t="s">
        <v>23</v>
      </c>
      <c r="C434" s="582" t="s">
        <v>105</v>
      </c>
      <c r="D434" s="582" t="s">
        <v>1226</v>
      </c>
      <c r="E434" s="588">
        <v>120.47055208607148</v>
      </c>
      <c r="F434" s="582" t="s">
        <v>27</v>
      </c>
      <c r="G434" s="590">
        <v>0.77140636505360172</v>
      </c>
      <c r="H434" s="582" t="s">
        <v>66</v>
      </c>
      <c r="I434" s="684">
        <v>0.83</v>
      </c>
      <c r="J434" s="582" t="s">
        <v>1097</v>
      </c>
      <c r="K434" s="582" t="s">
        <v>1265</v>
      </c>
      <c r="L434" s="582" t="s">
        <v>1228</v>
      </c>
      <c r="M434" s="582" t="s">
        <v>88</v>
      </c>
      <c r="N434" s="685">
        <v>13.725304715921281</v>
      </c>
      <c r="O434" s="685">
        <v>14.809603788479061</v>
      </c>
      <c r="P434" s="685">
        <v>11.895264087131773</v>
      </c>
      <c r="Q434" s="685" t="s">
        <v>871</v>
      </c>
      <c r="R434" s="37"/>
      <c r="S434" s="589" t="s">
        <v>69</v>
      </c>
      <c r="T434" s="589" t="s">
        <v>69</v>
      </c>
      <c r="U434" s="589" t="s">
        <v>69</v>
      </c>
      <c r="V434" s="589" t="s">
        <v>69</v>
      </c>
      <c r="W434" s="589" t="s">
        <v>76</v>
      </c>
      <c r="X434" s="37"/>
      <c r="Y434" s="37"/>
      <c r="Z434" s="589" t="s">
        <v>78</v>
      </c>
      <c r="AA434" s="589" t="s">
        <v>78</v>
      </c>
      <c r="AB434" s="37"/>
      <c r="AC434" s="588">
        <v>6.9095890410958898</v>
      </c>
      <c r="AD434" s="588" t="s">
        <v>72</v>
      </c>
      <c r="AE434" s="589" t="s">
        <v>73</v>
      </c>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c r="CA434" s="393"/>
      <c r="CB434" s="393"/>
      <c r="CC434" s="393"/>
      <c r="CD434" s="393"/>
      <c r="CE434" s="393"/>
      <c r="CF434" s="393"/>
      <c r="CG434" s="393"/>
      <c r="CH434" s="393"/>
      <c r="CI434" s="393"/>
      <c r="CJ434" s="390"/>
      <c r="CK434" s="390"/>
      <c r="CL434" s="390"/>
      <c r="CM434" s="390"/>
      <c r="CN434" s="390"/>
      <c r="CO434" s="390"/>
      <c r="CP434" s="390"/>
      <c r="CQ434" s="390"/>
      <c r="CR434" s="390"/>
      <c r="CS434" s="390"/>
      <c r="CT434" s="390"/>
      <c r="CU434" s="390"/>
      <c r="CV434" s="390"/>
      <c r="CW434" s="390"/>
      <c r="CX434" s="390"/>
      <c r="CY434" s="390"/>
      <c r="CZ434" s="390"/>
      <c r="DA434" s="390"/>
      <c r="DB434" s="390"/>
      <c r="DC434" s="390"/>
    </row>
    <row r="435" spans="1:107" s="303" customFormat="1" ht="56.25">
      <c r="A435" s="37"/>
      <c r="B435" s="683" t="s">
        <v>23</v>
      </c>
      <c r="C435" s="582" t="s">
        <v>105</v>
      </c>
      <c r="D435" s="582" t="s">
        <v>1226</v>
      </c>
      <c r="E435" s="588">
        <v>120.47055208607148</v>
      </c>
      <c r="F435" s="582" t="s">
        <v>27</v>
      </c>
      <c r="G435" s="590">
        <v>0.77140636505360172</v>
      </c>
      <c r="H435" s="582" t="s">
        <v>66</v>
      </c>
      <c r="I435" s="684">
        <v>0.83</v>
      </c>
      <c r="J435" s="582" t="s">
        <v>1097</v>
      </c>
      <c r="K435" s="582" t="s">
        <v>1265</v>
      </c>
      <c r="L435" s="582" t="s">
        <v>1228</v>
      </c>
      <c r="M435" s="582" t="s">
        <v>90</v>
      </c>
      <c r="N435" s="685">
        <v>13.725304715921281</v>
      </c>
      <c r="O435" s="685">
        <v>17.277871086558903</v>
      </c>
      <c r="P435" s="685">
        <v>11.895264087131773</v>
      </c>
      <c r="Q435" s="686" t="s">
        <v>1109</v>
      </c>
      <c r="R435" s="37"/>
      <c r="S435" s="589" t="s">
        <v>69</v>
      </c>
      <c r="T435" s="589" t="s">
        <v>69</v>
      </c>
      <c r="U435" s="589" t="s">
        <v>69</v>
      </c>
      <c r="V435" s="589" t="s">
        <v>69</v>
      </c>
      <c r="W435" s="589" t="s">
        <v>76</v>
      </c>
      <c r="X435" s="37"/>
      <c r="Y435" s="37"/>
      <c r="Z435" s="589" t="s">
        <v>78</v>
      </c>
      <c r="AA435" s="589" t="s">
        <v>78</v>
      </c>
      <c r="AB435" s="37"/>
      <c r="AC435" s="588">
        <v>6.9095890410958898</v>
      </c>
      <c r="AD435" s="588" t="s">
        <v>72</v>
      </c>
      <c r="AE435" s="589" t="s">
        <v>73</v>
      </c>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c r="CA435" s="393"/>
      <c r="CB435" s="393"/>
      <c r="CC435" s="393"/>
      <c r="CD435" s="393"/>
      <c r="CE435" s="393"/>
      <c r="CF435" s="393"/>
      <c r="CG435" s="393"/>
      <c r="CH435" s="393"/>
      <c r="CI435" s="393"/>
      <c r="CJ435" s="390"/>
      <c r="CK435" s="390"/>
      <c r="CL435" s="390"/>
      <c r="CM435" s="390"/>
      <c r="CN435" s="390"/>
      <c r="CO435" s="390"/>
      <c r="CP435" s="390"/>
      <c r="CQ435" s="390"/>
      <c r="CR435" s="390"/>
      <c r="CS435" s="390"/>
      <c r="CT435" s="390"/>
      <c r="CU435" s="390"/>
      <c r="CV435" s="390"/>
      <c r="CW435" s="390"/>
      <c r="CX435" s="390"/>
      <c r="CY435" s="390"/>
      <c r="CZ435" s="390"/>
      <c r="DA435" s="390"/>
      <c r="DB435" s="390"/>
      <c r="DC435" s="390"/>
    </row>
    <row r="436" spans="1:107" s="303" customFormat="1" ht="56.25">
      <c r="A436" s="37"/>
      <c r="B436" s="683" t="s">
        <v>23</v>
      </c>
      <c r="C436" s="582" t="s">
        <v>105</v>
      </c>
      <c r="D436" s="582" t="s">
        <v>1226</v>
      </c>
      <c r="E436" s="588">
        <v>120.47055208607148</v>
      </c>
      <c r="F436" s="582" t="s">
        <v>27</v>
      </c>
      <c r="G436" s="590">
        <v>0.77140636505360172</v>
      </c>
      <c r="H436" s="582" t="s">
        <v>66</v>
      </c>
      <c r="I436" s="684">
        <v>0.83</v>
      </c>
      <c r="J436" s="582" t="s">
        <v>1097</v>
      </c>
      <c r="K436" s="582" t="s">
        <v>1265</v>
      </c>
      <c r="L436" s="582" t="s">
        <v>1228</v>
      </c>
      <c r="M436" s="582" t="s">
        <v>91</v>
      </c>
      <c r="N436" s="685">
        <v>13.725304715921281</v>
      </c>
      <c r="O436" s="685">
        <v>19.129071560118785</v>
      </c>
      <c r="P436" s="685">
        <v>11.895264087131773</v>
      </c>
      <c r="Q436" s="686">
        <v>4.3194677716397258</v>
      </c>
      <c r="R436" s="37"/>
      <c r="S436" s="589" t="s">
        <v>69</v>
      </c>
      <c r="T436" s="589" t="s">
        <v>69</v>
      </c>
      <c r="U436" s="589" t="s">
        <v>69</v>
      </c>
      <c r="V436" s="589" t="s">
        <v>69</v>
      </c>
      <c r="W436" s="589" t="s">
        <v>76</v>
      </c>
      <c r="X436" s="37"/>
      <c r="Y436" s="37"/>
      <c r="Z436" s="589" t="s">
        <v>78</v>
      </c>
      <c r="AA436" s="589" t="s">
        <v>78</v>
      </c>
      <c r="AB436" s="37"/>
      <c r="AC436" s="588">
        <v>6.9095890410958898</v>
      </c>
      <c r="AD436" s="588" t="s">
        <v>72</v>
      </c>
      <c r="AE436" s="589" t="s">
        <v>73</v>
      </c>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c r="CA436" s="393"/>
      <c r="CB436" s="393"/>
      <c r="CC436" s="393"/>
      <c r="CD436" s="393"/>
      <c r="CE436" s="393"/>
      <c r="CF436" s="393"/>
      <c r="CG436" s="393"/>
      <c r="CH436" s="393"/>
      <c r="CI436" s="393"/>
      <c r="CJ436" s="390"/>
      <c r="CK436" s="390"/>
      <c r="CL436" s="390"/>
      <c r="CM436" s="390"/>
      <c r="CN436" s="390"/>
      <c r="CO436" s="390"/>
      <c r="CP436" s="390"/>
      <c r="CQ436" s="390"/>
      <c r="CR436" s="390"/>
      <c r="CS436" s="390"/>
      <c r="CT436" s="390"/>
      <c r="CU436" s="390"/>
      <c r="CV436" s="390"/>
      <c r="CW436" s="390"/>
      <c r="CX436" s="390"/>
      <c r="CY436" s="390"/>
      <c r="CZ436" s="390"/>
      <c r="DA436" s="390"/>
      <c r="DB436" s="390"/>
      <c r="DC436" s="390"/>
    </row>
    <row r="437" spans="1:107" s="303" customFormat="1" ht="56.25">
      <c r="A437" s="37"/>
      <c r="B437" s="683" t="s">
        <v>23</v>
      </c>
      <c r="C437" s="582" t="s">
        <v>105</v>
      </c>
      <c r="D437" s="582" t="s">
        <v>1226</v>
      </c>
      <c r="E437" s="588">
        <v>120.47055208607148</v>
      </c>
      <c r="F437" s="582" t="s">
        <v>27</v>
      </c>
      <c r="G437" s="590">
        <v>0.77140636505360172</v>
      </c>
      <c r="H437" s="582" t="s">
        <v>66</v>
      </c>
      <c r="I437" s="684">
        <v>0.83</v>
      </c>
      <c r="J437" s="582" t="s">
        <v>1097</v>
      </c>
      <c r="K437" s="582" t="s">
        <v>1265</v>
      </c>
      <c r="L437" s="582" t="s">
        <v>1228</v>
      </c>
      <c r="M437" s="582" t="s">
        <v>92</v>
      </c>
      <c r="N437" s="685">
        <v>13.725304715921281</v>
      </c>
      <c r="O437" s="685">
        <v>22.214405682718589</v>
      </c>
      <c r="P437" s="685">
        <v>11.895264087131773</v>
      </c>
      <c r="Q437" s="686">
        <v>7.4048018942395304</v>
      </c>
      <c r="R437" s="37"/>
      <c r="S437" s="589" t="s">
        <v>69</v>
      </c>
      <c r="T437" s="589" t="s">
        <v>69</v>
      </c>
      <c r="U437" s="589" t="s">
        <v>69</v>
      </c>
      <c r="V437" s="589" t="s">
        <v>69</v>
      </c>
      <c r="W437" s="589" t="s">
        <v>76</v>
      </c>
      <c r="X437" s="37"/>
      <c r="Y437" s="37"/>
      <c r="Z437" s="589" t="s">
        <v>78</v>
      </c>
      <c r="AA437" s="589" t="s">
        <v>78</v>
      </c>
      <c r="AB437" s="37"/>
      <c r="AC437" s="588">
        <v>6.9095890410958898</v>
      </c>
      <c r="AD437" s="588" t="s">
        <v>72</v>
      </c>
      <c r="AE437" s="589" t="s">
        <v>73</v>
      </c>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c r="CA437" s="393"/>
      <c r="CB437" s="393"/>
      <c r="CC437" s="393"/>
      <c r="CD437" s="393"/>
      <c r="CE437" s="393"/>
      <c r="CF437" s="393"/>
      <c r="CG437" s="393"/>
      <c r="CH437" s="393"/>
      <c r="CI437" s="393"/>
      <c r="CJ437" s="390"/>
      <c r="CK437" s="390"/>
      <c r="CL437" s="390"/>
      <c r="CM437" s="390"/>
      <c r="CN437" s="390"/>
      <c r="CO437" s="390"/>
      <c r="CP437" s="390"/>
      <c r="CQ437" s="390"/>
      <c r="CR437" s="390"/>
      <c r="CS437" s="390"/>
      <c r="CT437" s="390"/>
      <c r="CU437" s="390"/>
      <c r="CV437" s="390"/>
      <c r="CW437" s="390"/>
      <c r="CX437" s="390"/>
      <c r="CY437" s="390"/>
      <c r="CZ437" s="390"/>
      <c r="DA437" s="390"/>
      <c r="DB437" s="390"/>
      <c r="DC437" s="390"/>
    </row>
    <row r="438" spans="1:107" s="303" customFormat="1" ht="56.25">
      <c r="A438" s="37"/>
      <c r="B438" s="683" t="s">
        <v>23</v>
      </c>
      <c r="C438" s="582" t="s">
        <v>105</v>
      </c>
      <c r="D438" s="582" t="s">
        <v>1226</v>
      </c>
      <c r="E438" s="588">
        <v>120.47055208607148</v>
      </c>
      <c r="F438" s="582" t="s">
        <v>27</v>
      </c>
      <c r="G438" s="590">
        <v>0.77140636505360172</v>
      </c>
      <c r="H438" s="582" t="s">
        <v>66</v>
      </c>
      <c r="I438" s="684">
        <v>0.83</v>
      </c>
      <c r="J438" s="582" t="s">
        <v>1097</v>
      </c>
      <c r="K438" s="582" t="s">
        <v>1265</v>
      </c>
      <c r="L438" s="582" t="s">
        <v>1228</v>
      </c>
      <c r="M438" s="582" t="s">
        <v>93</v>
      </c>
      <c r="N438" s="685">
        <v>13.725304715921281</v>
      </c>
      <c r="O438" s="685">
        <v>23.448539331758511</v>
      </c>
      <c r="P438" s="685">
        <v>11.895264087131773</v>
      </c>
      <c r="Q438" s="686">
        <v>8.6389355432794517</v>
      </c>
      <c r="R438" s="37"/>
      <c r="S438" s="589" t="s">
        <v>69</v>
      </c>
      <c r="T438" s="589" t="s">
        <v>69</v>
      </c>
      <c r="U438" s="589" t="s">
        <v>44</v>
      </c>
      <c r="V438" s="589" t="s">
        <v>75</v>
      </c>
      <c r="W438" s="589" t="s">
        <v>76</v>
      </c>
      <c r="X438" s="37"/>
      <c r="Y438" s="37"/>
      <c r="Z438" s="589" t="s">
        <v>78</v>
      </c>
      <c r="AA438" s="589" t="s">
        <v>78</v>
      </c>
      <c r="AB438" s="37"/>
      <c r="AC438" s="588">
        <v>6.9095890410958898</v>
      </c>
      <c r="AD438" s="588" t="s">
        <v>72</v>
      </c>
      <c r="AE438" s="589" t="s">
        <v>73</v>
      </c>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c r="CA438" s="393"/>
      <c r="CB438" s="393"/>
      <c r="CC438" s="393"/>
      <c r="CD438" s="393"/>
      <c r="CE438" s="393"/>
      <c r="CF438" s="393"/>
      <c r="CG438" s="393"/>
      <c r="CH438" s="393"/>
      <c r="CI438" s="393"/>
      <c r="CJ438" s="390"/>
      <c r="CK438" s="390"/>
      <c r="CL438" s="390"/>
      <c r="CM438" s="390"/>
      <c r="CN438" s="390"/>
      <c r="CO438" s="390"/>
      <c r="CP438" s="390"/>
      <c r="CQ438" s="390"/>
      <c r="CR438" s="390"/>
      <c r="CS438" s="390"/>
      <c r="CT438" s="390"/>
      <c r="CU438" s="390"/>
      <c r="CV438" s="390"/>
      <c r="CW438" s="390"/>
      <c r="CX438" s="390"/>
      <c r="CY438" s="390"/>
      <c r="CZ438" s="390"/>
      <c r="DA438" s="390"/>
      <c r="DB438" s="390"/>
      <c r="DC438" s="390"/>
    </row>
    <row r="439" spans="1:107" s="303" customFormat="1" ht="56.25">
      <c r="A439" s="37"/>
      <c r="B439" s="683" t="s">
        <v>23</v>
      </c>
      <c r="C439" s="582" t="s">
        <v>105</v>
      </c>
      <c r="D439" s="582" t="s">
        <v>1226</v>
      </c>
      <c r="E439" s="588">
        <v>120.47055208607148</v>
      </c>
      <c r="F439" s="582" t="s">
        <v>27</v>
      </c>
      <c r="G439" s="590">
        <v>0.77140636505360172</v>
      </c>
      <c r="H439" s="582" t="s">
        <v>66</v>
      </c>
      <c r="I439" s="684">
        <v>0.83</v>
      </c>
      <c r="J439" s="582" t="s">
        <v>1097</v>
      </c>
      <c r="K439" s="582" t="s">
        <v>1265</v>
      </c>
      <c r="L439" s="582" t="s">
        <v>1227</v>
      </c>
      <c r="M439" s="582" t="s">
        <v>88</v>
      </c>
      <c r="N439" s="685">
        <v>19.028882282242051</v>
      </c>
      <c r="O439" s="685">
        <v>14.809603788479061</v>
      </c>
      <c r="P439" s="685">
        <v>16.263056369125476</v>
      </c>
      <c r="Q439" s="685" t="s">
        <v>871</v>
      </c>
      <c r="R439" s="37"/>
      <c r="S439" s="589" t="s">
        <v>44</v>
      </c>
      <c r="T439" s="589" t="s">
        <v>63</v>
      </c>
      <c r="U439" s="589" t="s">
        <v>69</v>
      </c>
      <c r="V439" s="589" t="s">
        <v>69</v>
      </c>
      <c r="W439" s="589" t="s">
        <v>76</v>
      </c>
      <c r="X439" s="37"/>
      <c r="Y439" s="37"/>
      <c r="Z439" s="589" t="s">
        <v>78</v>
      </c>
      <c r="AA439" s="589" t="s">
        <v>78</v>
      </c>
      <c r="AB439" s="37"/>
      <c r="AC439" s="588">
        <v>6.9095890410958898</v>
      </c>
      <c r="AD439" s="588" t="s">
        <v>72</v>
      </c>
      <c r="AE439" s="589" t="s">
        <v>73</v>
      </c>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c r="CA439" s="393"/>
      <c r="CB439" s="393"/>
      <c r="CC439" s="393"/>
      <c r="CD439" s="393"/>
      <c r="CE439" s="393"/>
      <c r="CF439" s="393"/>
      <c r="CG439" s="393"/>
      <c r="CH439" s="393"/>
      <c r="CI439" s="393"/>
      <c r="CJ439" s="390"/>
      <c r="CK439" s="390"/>
      <c r="CL439" s="390"/>
      <c r="CM439" s="390"/>
      <c r="CN439" s="390"/>
      <c r="CO439" s="390"/>
      <c r="CP439" s="390"/>
      <c r="CQ439" s="390"/>
      <c r="CR439" s="390"/>
      <c r="CS439" s="390"/>
      <c r="CT439" s="390"/>
      <c r="CU439" s="390"/>
      <c r="CV439" s="390"/>
      <c r="CW439" s="390"/>
      <c r="CX439" s="390"/>
      <c r="CY439" s="390"/>
      <c r="CZ439" s="390"/>
      <c r="DA439" s="390"/>
      <c r="DB439" s="390"/>
      <c r="DC439" s="390"/>
    </row>
    <row r="440" spans="1:107" s="303" customFormat="1" ht="56.25">
      <c r="A440" s="37"/>
      <c r="B440" s="683" t="s">
        <v>23</v>
      </c>
      <c r="C440" s="582" t="s">
        <v>105</v>
      </c>
      <c r="D440" s="582" t="s">
        <v>1226</v>
      </c>
      <c r="E440" s="588">
        <v>120.47055208607148</v>
      </c>
      <c r="F440" s="582" t="s">
        <v>27</v>
      </c>
      <c r="G440" s="590">
        <v>0.77140636505360172</v>
      </c>
      <c r="H440" s="582" t="s">
        <v>66</v>
      </c>
      <c r="I440" s="684">
        <v>0.83</v>
      </c>
      <c r="J440" s="582" t="s">
        <v>1097</v>
      </c>
      <c r="K440" s="582" t="s">
        <v>1265</v>
      </c>
      <c r="L440" s="582" t="s">
        <v>1227</v>
      </c>
      <c r="M440" s="582" t="s">
        <v>90</v>
      </c>
      <c r="N440" s="685">
        <v>19.028882282242051</v>
      </c>
      <c r="O440" s="685">
        <v>17.277871086558903</v>
      </c>
      <c r="P440" s="685">
        <v>16.263056369125476</v>
      </c>
      <c r="Q440" s="686" t="s">
        <v>1109</v>
      </c>
      <c r="R440" s="37"/>
      <c r="S440" s="589" t="s">
        <v>44</v>
      </c>
      <c r="T440" s="589" t="s">
        <v>63</v>
      </c>
      <c r="U440" s="589" t="s">
        <v>69</v>
      </c>
      <c r="V440" s="589" t="s">
        <v>69</v>
      </c>
      <c r="W440" s="589" t="s">
        <v>76</v>
      </c>
      <c r="X440" s="37"/>
      <c r="Y440" s="37"/>
      <c r="Z440" s="589" t="s">
        <v>78</v>
      </c>
      <c r="AA440" s="589" t="s">
        <v>78</v>
      </c>
      <c r="AB440" s="37"/>
      <c r="AC440" s="588">
        <v>6.9095890410958898</v>
      </c>
      <c r="AD440" s="588" t="s">
        <v>72</v>
      </c>
      <c r="AE440" s="589" t="s">
        <v>73</v>
      </c>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c r="CA440" s="393"/>
      <c r="CB440" s="393"/>
      <c r="CC440" s="393"/>
      <c r="CD440" s="393"/>
      <c r="CE440" s="393"/>
      <c r="CF440" s="393"/>
      <c r="CG440" s="393"/>
      <c r="CH440" s="393"/>
      <c r="CI440" s="393"/>
      <c r="CJ440" s="390"/>
      <c r="CK440" s="390"/>
      <c r="CL440" s="390"/>
      <c r="CM440" s="390"/>
      <c r="CN440" s="390"/>
      <c r="CO440" s="390"/>
      <c r="CP440" s="390"/>
      <c r="CQ440" s="390"/>
      <c r="CR440" s="390"/>
      <c r="CS440" s="390"/>
      <c r="CT440" s="390"/>
      <c r="CU440" s="390"/>
      <c r="CV440" s="390"/>
      <c r="CW440" s="390"/>
      <c r="CX440" s="390"/>
      <c r="CY440" s="390"/>
      <c r="CZ440" s="390"/>
      <c r="DA440" s="390"/>
      <c r="DB440" s="390"/>
      <c r="DC440" s="390"/>
    </row>
    <row r="441" spans="1:107" s="303" customFormat="1" ht="56.25">
      <c r="A441" s="37"/>
      <c r="B441" s="683" t="s">
        <v>23</v>
      </c>
      <c r="C441" s="582" t="s">
        <v>105</v>
      </c>
      <c r="D441" s="582" t="s">
        <v>1226</v>
      </c>
      <c r="E441" s="588">
        <v>120.47055208607148</v>
      </c>
      <c r="F441" s="582" t="s">
        <v>27</v>
      </c>
      <c r="G441" s="590">
        <v>0.77140636505360172</v>
      </c>
      <c r="H441" s="582" t="s">
        <v>66</v>
      </c>
      <c r="I441" s="684">
        <v>0.83</v>
      </c>
      <c r="J441" s="582" t="s">
        <v>1097</v>
      </c>
      <c r="K441" s="582" t="s">
        <v>1265</v>
      </c>
      <c r="L441" s="582" t="s">
        <v>1227</v>
      </c>
      <c r="M441" s="582" t="s">
        <v>91</v>
      </c>
      <c r="N441" s="685">
        <v>19.028882282242051</v>
      </c>
      <c r="O441" s="685">
        <v>19.129071560118785</v>
      </c>
      <c r="P441" s="685">
        <v>16.263056369125476</v>
      </c>
      <c r="Q441" s="686">
        <v>4.3194677716397258</v>
      </c>
      <c r="R441" s="37"/>
      <c r="S441" s="589" t="s">
        <v>44</v>
      </c>
      <c r="T441" s="589" t="s">
        <v>63</v>
      </c>
      <c r="U441" s="589" t="s">
        <v>69</v>
      </c>
      <c r="V441" s="589" t="s">
        <v>69</v>
      </c>
      <c r="W441" s="589" t="s">
        <v>76</v>
      </c>
      <c r="X441" s="37"/>
      <c r="Y441" s="37"/>
      <c r="Z441" s="589" t="s">
        <v>78</v>
      </c>
      <c r="AA441" s="589" t="s">
        <v>78</v>
      </c>
      <c r="AB441" s="37"/>
      <c r="AC441" s="588">
        <v>6.9095890410958898</v>
      </c>
      <c r="AD441" s="588" t="s">
        <v>72</v>
      </c>
      <c r="AE441" s="589" t="s">
        <v>73</v>
      </c>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c r="CA441" s="393"/>
      <c r="CB441" s="393"/>
      <c r="CC441" s="393"/>
      <c r="CD441" s="393"/>
      <c r="CE441" s="393"/>
      <c r="CF441" s="393"/>
      <c r="CG441" s="393"/>
      <c r="CH441" s="393"/>
      <c r="CI441" s="393"/>
      <c r="CJ441" s="390"/>
      <c r="CK441" s="390"/>
      <c r="CL441" s="390"/>
      <c r="CM441" s="390"/>
      <c r="CN441" s="390"/>
      <c r="CO441" s="390"/>
      <c r="CP441" s="390"/>
      <c r="CQ441" s="390"/>
      <c r="CR441" s="390"/>
      <c r="CS441" s="390"/>
      <c r="CT441" s="390"/>
      <c r="CU441" s="390"/>
      <c r="CV441" s="390"/>
      <c r="CW441" s="390"/>
      <c r="CX441" s="390"/>
      <c r="CY441" s="390"/>
      <c r="CZ441" s="390"/>
      <c r="DA441" s="390"/>
      <c r="DB441" s="390"/>
      <c r="DC441" s="390"/>
    </row>
    <row r="442" spans="1:107" s="303" customFormat="1" ht="56.25">
      <c r="A442" s="37"/>
      <c r="B442" s="683" t="s">
        <v>23</v>
      </c>
      <c r="C442" s="582" t="s">
        <v>105</v>
      </c>
      <c r="D442" s="582" t="s">
        <v>1226</v>
      </c>
      <c r="E442" s="588">
        <v>120.47055208607148</v>
      </c>
      <c r="F442" s="582" t="s">
        <v>27</v>
      </c>
      <c r="G442" s="590">
        <v>0.77140636505360172</v>
      </c>
      <c r="H442" s="582" t="s">
        <v>66</v>
      </c>
      <c r="I442" s="684">
        <v>0.83</v>
      </c>
      <c r="J442" s="582" t="s">
        <v>1097</v>
      </c>
      <c r="K442" s="582" t="s">
        <v>1265</v>
      </c>
      <c r="L442" s="582" t="s">
        <v>1227</v>
      </c>
      <c r="M442" s="582" t="s">
        <v>92</v>
      </c>
      <c r="N442" s="685">
        <v>19.028882282242051</v>
      </c>
      <c r="O442" s="685">
        <v>22.214405682718589</v>
      </c>
      <c r="P442" s="685">
        <v>16.263056369125476</v>
      </c>
      <c r="Q442" s="686">
        <v>7.4048018942395304</v>
      </c>
      <c r="R442" s="37"/>
      <c r="S442" s="589" t="s">
        <v>44</v>
      </c>
      <c r="T442" s="589" t="s">
        <v>63</v>
      </c>
      <c r="U442" s="589" t="s">
        <v>69</v>
      </c>
      <c r="V442" s="589" t="s">
        <v>69</v>
      </c>
      <c r="W442" s="589" t="s">
        <v>76</v>
      </c>
      <c r="X442" s="37"/>
      <c r="Y442" s="37"/>
      <c r="Z442" s="589" t="s">
        <v>78</v>
      </c>
      <c r="AA442" s="589" t="s">
        <v>78</v>
      </c>
      <c r="AB442" s="37"/>
      <c r="AC442" s="588">
        <v>6.9095890410958898</v>
      </c>
      <c r="AD442" s="588" t="s">
        <v>72</v>
      </c>
      <c r="AE442" s="589" t="s">
        <v>73</v>
      </c>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c r="CA442" s="393"/>
      <c r="CB442" s="393"/>
      <c r="CC442" s="393"/>
      <c r="CD442" s="393"/>
      <c r="CE442" s="393"/>
      <c r="CF442" s="393"/>
      <c r="CG442" s="393"/>
      <c r="CH442" s="393"/>
      <c r="CI442" s="393"/>
      <c r="CJ442" s="390"/>
      <c r="CK442" s="390"/>
      <c r="CL442" s="390"/>
      <c r="CM442" s="390"/>
      <c r="CN442" s="390"/>
      <c r="CO442" s="390"/>
      <c r="CP442" s="390"/>
      <c r="CQ442" s="390"/>
      <c r="CR442" s="390"/>
      <c r="CS442" s="390"/>
      <c r="CT442" s="390"/>
      <c r="CU442" s="390"/>
      <c r="CV442" s="390"/>
      <c r="CW442" s="390"/>
      <c r="CX442" s="390"/>
      <c r="CY442" s="390"/>
      <c r="CZ442" s="390"/>
      <c r="DA442" s="390"/>
      <c r="DB442" s="390"/>
      <c r="DC442" s="390"/>
    </row>
    <row r="443" spans="1:107" s="303" customFormat="1" ht="56.25">
      <c r="A443" s="37"/>
      <c r="B443" s="683" t="s">
        <v>23</v>
      </c>
      <c r="C443" s="582" t="s">
        <v>105</v>
      </c>
      <c r="D443" s="582" t="s">
        <v>1226</v>
      </c>
      <c r="E443" s="588">
        <v>120.47055208607148</v>
      </c>
      <c r="F443" s="582" t="s">
        <v>27</v>
      </c>
      <c r="G443" s="590">
        <v>0.77140636505360172</v>
      </c>
      <c r="H443" s="582" t="s">
        <v>66</v>
      </c>
      <c r="I443" s="684">
        <v>0.83</v>
      </c>
      <c r="J443" s="582" t="s">
        <v>1097</v>
      </c>
      <c r="K443" s="582" t="s">
        <v>1265</v>
      </c>
      <c r="L443" s="582" t="s">
        <v>1227</v>
      </c>
      <c r="M443" s="582" t="s">
        <v>93</v>
      </c>
      <c r="N443" s="685">
        <v>19.028882282242051</v>
      </c>
      <c r="O443" s="685">
        <v>23.448539331758511</v>
      </c>
      <c r="P443" s="685">
        <v>16.263056369125476</v>
      </c>
      <c r="Q443" s="686">
        <v>8.6389355432794517</v>
      </c>
      <c r="R443" s="37"/>
      <c r="S443" s="589" t="s">
        <v>44</v>
      </c>
      <c r="T443" s="589" t="s">
        <v>63</v>
      </c>
      <c r="U443" s="589" t="s">
        <v>44</v>
      </c>
      <c r="V443" s="589" t="s">
        <v>75</v>
      </c>
      <c r="W443" s="589" t="s">
        <v>76</v>
      </c>
      <c r="X443" s="37"/>
      <c r="Y443" s="37"/>
      <c r="Z443" s="589" t="s">
        <v>78</v>
      </c>
      <c r="AA443" s="589" t="s">
        <v>78</v>
      </c>
      <c r="AB443" s="37"/>
      <c r="AC443" s="588">
        <v>6.9095890410958898</v>
      </c>
      <c r="AD443" s="588" t="s">
        <v>72</v>
      </c>
      <c r="AE443" s="589" t="s">
        <v>73</v>
      </c>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c r="CA443" s="393"/>
      <c r="CB443" s="393"/>
      <c r="CC443" s="393"/>
      <c r="CD443" s="393"/>
      <c r="CE443" s="393"/>
      <c r="CF443" s="393"/>
      <c r="CG443" s="393"/>
      <c r="CH443" s="393"/>
      <c r="CI443" s="393"/>
      <c r="CJ443" s="390"/>
      <c r="CK443" s="390"/>
      <c r="CL443" s="390"/>
      <c r="CM443" s="390"/>
      <c r="CN443" s="390"/>
      <c r="CO443" s="390"/>
      <c r="CP443" s="390"/>
      <c r="CQ443" s="390"/>
      <c r="CR443" s="390"/>
      <c r="CS443" s="390"/>
      <c r="CT443" s="390"/>
      <c r="CU443" s="390"/>
      <c r="CV443" s="390"/>
      <c r="CW443" s="390"/>
      <c r="CX443" s="390"/>
      <c r="CY443" s="390"/>
      <c r="CZ443" s="390"/>
      <c r="DA443" s="390"/>
      <c r="DB443" s="390"/>
      <c r="DC443" s="390"/>
    </row>
    <row r="444" spans="1:107" s="303" customFormat="1" ht="24">
      <c r="A444" s="37"/>
      <c r="B444" s="683" t="s">
        <v>23</v>
      </c>
      <c r="C444" s="582" t="s">
        <v>105</v>
      </c>
      <c r="D444" s="582" t="s">
        <v>1226</v>
      </c>
      <c r="E444" s="588">
        <v>120.47055208607148</v>
      </c>
      <c r="F444" s="582" t="s">
        <v>1245</v>
      </c>
      <c r="G444" s="590">
        <v>0.16313589837577527</v>
      </c>
      <c r="H444" s="582" t="s">
        <v>66</v>
      </c>
      <c r="I444" s="684">
        <v>0.83</v>
      </c>
      <c r="J444" s="582" t="s">
        <v>994</v>
      </c>
      <c r="K444" s="582" t="s">
        <v>1265</v>
      </c>
      <c r="L444" s="582" t="s">
        <v>1227</v>
      </c>
      <c r="M444" s="582" t="s">
        <v>88</v>
      </c>
      <c r="N444" s="685">
        <v>8.4757556705868851</v>
      </c>
      <c r="O444" s="685">
        <v>3.1319135128667765</v>
      </c>
      <c r="P444" s="685">
        <v>7.9273356039594152</v>
      </c>
      <c r="Q444" s="685" t="s">
        <v>871</v>
      </c>
      <c r="R444" s="37"/>
      <c r="S444" s="589" t="s">
        <v>44</v>
      </c>
      <c r="T444" s="589" t="s">
        <v>63</v>
      </c>
      <c r="U444" s="589" t="s">
        <v>69</v>
      </c>
      <c r="V444" s="589" t="s">
        <v>69</v>
      </c>
      <c r="W444" s="589" t="s">
        <v>76</v>
      </c>
      <c r="X444" s="37"/>
      <c r="Y444" s="37"/>
      <c r="Z444" s="589" t="s">
        <v>78</v>
      </c>
      <c r="AA444" s="589" t="s">
        <v>78</v>
      </c>
      <c r="AB444" s="37"/>
      <c r="AC444" s="588">
        <v>6.9095890410958898</v>
      </c>
      <c r="AD444" s="588" t="s">
        <v>72</v>
      </c>
      <c r="AE444" s="589" t="s">
        <v>73</v>
      </c>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c r="CA444" s="393"/>
      <c r="CB444" s="393"/>
      <c r="CC444" s="393"/>
      <c r="CD444" s="393"/>
      <c r="CE444" s="393"/>
      <c r="CF444" s="393"/>
      <c r="CG444" s="393"/>
      <c r="CH444" s="393"/>
      <c r="CI444" s="393"/>
      <c r="CJ444" s="390"/>
      <c r="CK444" s="390"/>
      <c r="CL444" s="390"/>
      <c r="CM444" s="390"/>
      <c r="CN444" s="390"/>
      <c r="CO444" s="390"/>
      <c r="CP444" s="390"/>
      <c r="CQ444" s="390"/>
      <c r="CR444" s="390"/>
      <c r="CS444" s="390"/>
      <c r="CT444" s="390"/>
      <c r="CU444" s="390"/>
      <c r="CV444" s="390"/>
      <c r="CW444" s="390"/>
      <c r="CX444" s="390"/>
      <c r="CY444" s="390"/>
      <c r="CZ444" s="390"/>
      <c r="DA444" s="390"/>
      <c r="DB444" s="390"/>
      <c r="DC444" s="390"/>
    </row>
    <row r="445" spans="1:107" s="303" customFormat="1" ht="24">
      <c r="A445" s="37"/>
      <c r="B445" s="683" t="s">
        <v>23</v>
      </c>
      <c r="C445" s="582" t="s">
        <v>105</v>
      </c>
      <c r="D445" s="582" t="s">
        <v>1226</v>
      </c>
      <c r="E445" s="588">
        <v>120.47055208607148</v>
      </c>
      <c r="F445" s="582" t="s">
        <v>1245</v>
      </c>
      <c r="G445" s="590">
        <v>0.16313589837577527</v>
      </c>
      <c r="H445" s="582" t="s">
        <v>66</v>
      </c>
      <c r="I445" s="684">
        <v>0.83</v>
      </c>
      <c r="J445" s="582" t="s">
        <v>994</v>
      </c>
      <c r="K445" s="582" t="s">
        <v>1265</v>
      </c>
      <c r="L445" s="582" t="s">
        <v>1227</v>
      </c>
      <c r="M445" s="582" t="s">
        <v>90</v>
      </c>
      <c r="N445" s="685">
        <v>8.4757556705868851</v>
      </c>
      <c r="O445" s="685">
        <v>3.6538990983445725</v>
      </c>
      <c r="P445" s="685">
        <v>7.9273356039594152</v>
      </c>
      <c r="Q445" s="686" t="s">
        <v>1109</v>
      </c>
      <c r="R445" s="37"/>
      <c r="S445" s="589" t="s">
        <v>44</v>
      </c>
      <c r="T445" s="589" t="s">
        <v>63</v>
      </c>
      <c r="U445" s="589" t="s">
        <v>69</v>
      </c>
      <c r="V445" s="589" t="s">
        <v>69</v>
      </c>
      <c r="W445" s="589" t="s">
        <v>76</v>
      </c>
      <c r="X445" s="37"/>
      <c r="Y445" s="37"/>
      <c r="Z445" s="589" t="s">
        <v>78</v>
      </c>
      <c r="AA445" s="589" t="s">
        <v>78</v>
      </c>
      <c r="AB445" s="37"/>
      <c r="AC445" s="588">
        <v>6.9095890410958898</v>
      </c>
      <c r="AD445" s="588" t="s">
        <v>72</v>
      </c>
      <c r="AE445" s="589" t="s">
        <v>73</v>
      </c>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c r="CA445" s="393"/>
      <c r="CB445" s="393"/>
      <c r="CC445" s="393"/>
      <c r="CD445" s="393"/>
      <c r="CE445" s="393"/>
      <c r="CF445" s="393"/>
      <c r="CG445" s="393"/>
      <c r="CH445" s="393"/>
      <c r="CI445" s="393"/>
      <c r="CJ445" s="390"/>
      <c r="CK445" s="390"/>
      <c r="CL445" s="390"/>
      <c r="CM445" s="390"/>
      <c r="CN445" s="390"/>
      <c r="CO445" s="390"/>
      <c r="CP445" s="390"/>
      <c r="CQ445" s="390"/>
      <c r="CR445" s="390"/>
      <c r="CS445" s="390"/>
      <c r="CT445" s="390"/>
      <c r="CU445" s="390"/>
      <c r="CV445" s="390"/>
      <c r="CW445" s="390"/>
      <c r="CX445" s="390"/>
      <c r="CY445" s="390"/>
      <c r="CZ445" s="390"/>
      <c r="DA445" s="390"/>
      <c r="DB445" s="390"/>
      <c r="DC445" s="390"/>
    </row>
    <row r="446" spans="1:107" s="303" customFormat="1" ht="24">
      <c r="A446" s="37"/>
      <c r="B446" s="683" t="s">
        <v>23</v>
      </c>
      <c r="C446" s="582" t="s">
        <v>105</v>
      </c>
      <c r="D446" s="582" t="s">
        <v>1226</v>
      </c>
      <c r="E446" s="588">
        <v>120.47055208607148</v>
      </c>
      <c r="F446" s="582" t="s">
        <v>1245</v>
      </c>
      <c r="G446" s="590">
        <v>0.16313589837577527</v>
      </c>
      <c r="H446" s="582" t="s">
        <v>66</v>
      </c>
      <c r="I446" s="684">
        <v>0.83</v>
      </c>
      <c r="J446" s="582" t="s">
        <v>994</v>
      </c>
      <c r="K446" s="582" t="s">
        <v>1265</v>
      </c>
      <c r="L446" s="582" t="s">
        <v>1227</v>
      </c>
      <c r="M446" s="582" t="s">
        <v>91</v>
      </c>
      <c r="N446" s="685">
        <v>8.4757556705868851</v>
      </c>
      <c r="O446" s="685">
        <v>4.0453882874529192</v>
      </c>
      <c r="P446" s="685">
        <v>7.9273356039594152</v>
      </c>
      <c r="Q446" s="686">
        <v>0.91347477458614312</v>
      </c>
      <c r="R446" s="37"/>
      <c r="S446" s="589" t="s">
        <v>44</v>
      </c>
      <c r="T446" s="589" t="s">
        <v>63</v>
      </c>
      <c r="U446" s="589" t="s">
        <v>69</v>
      </c>
      <c r="V446" s="589" t="s">
        <v>69</v>
      </c>
      <c r="W446" s="589" t="s">
        <v>76</v>
      </c>
      <c r="X446" s="37"/>
      <c r="Y446" s="37"/>
      <c r="Z446" s="589" t="s">
        <v>78</v>
      </c>
      <c r="AA446" s="589" t="s">
        <v>78</v>
      </c>
      <c r="AB446" s="37"/>
      <c r="AC446" s="588">
        <v>6.9095890410958898</v>
      </c>
      <c r="AD446" s="588" t="s">
        <v>72</v>
      </c>
      <c r="AE446" s="589" t="s">
        <v>73</v>
      </c>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c r="CA446" s="393"/>
      <c r="CB446" s="393"/>
      <c r="CC446" s="393"/>
      <c r="CD446" s="393"/>
      <c r="CE446" s="393"/>
      <c r="CF446" s="393"/>
      <c r="CG446" s="393"/>
      <c r="CH446" s="393"/>
      <c r="CI446" s="393"/>
      <c r="CJ446" s="390"/>
      <c r="CK446" s="390"/>
      <c r="CL446" s="390"/>
      <c r="CM446" s="390"/>
      <c r="CN446" s="390"/>
      <c r="CO446" s="390"/>
      <c r="CP446" s="390"/>
      <c r="CQ446" s="390"/>
      <c r="CR446" s="390"/>
      <c r="CS446" s="390"/>
      <c r="CT446" s="390"/>
      <c r="CU446" s="390"/>
      <c r="CV446" s="390"/>
      <c r="CW446" s="390"/>
      <c r="CX446" s="390"/>
      <c r="CY446" s="390"/>
      <c r="CZ446" s="390"/>
      <c r="DA446" s="390"/>
      <c r="DB446" s="390"/>
      <c r="DC446" s="390"/>
    </row>
    <row r="447" spans="1:107" s="303" customFormat="1" ht="24">
      <c r="A447" s="37"/>
      <c r="B447" s="683" t="s">
        <v>23</v>
      </c>
      <c r="C447" s="582" t="s">
        <v>105</v>
      </c>
      <c r="D447" s="582" t="s">
        <v>1226</v>
      </c>
      <c r="E447" s="588">
        <v>120.47055208607148</v>
      </c>
      <c r="F447" s="582" t="s">
        <v>1245</v>
      </c>
      <c r="G447" s="590">
        <v>0.16313589837577527</v>
      </c>
      <c r="H447" s="582" t="s">
        <v>66</v>
      </c>
      <c r="I447" s="684">
        <v>0.83</v>
      </c>
      <c r="J447" s="582" t="s">
        <v>994</v>
      </c>
      <c r="K447" s="582" t="s">
        <v>1265</v>
      </c>
      <c r="L447" s="582" t="s">
        <v>1227</v>
      </c>
      <c r="M447" s="582" t="s">
        <v>92</v>
      </c>
      <c r="N447" s="685">
        <v>8.4757556705868851</v>
      </c>
      <c r="O447" s="685">
        <v>4.6978702693001644</v>
      </c>
      <c r="P447" s="685">
        <v>7.9273356039594152</v>
      </c>
      <c r="Q447" s="686">
        <v>1.5659567564333883</v>
      </c>
      <c r="R447" s="37"/>
      <c r="S447" s="589" t="s">
        <v>44</v>
      </c>
      <c r="T447" s="589" t="s">
        <v>63</v>
      </c>
      <c r="U447" s="589" t="s">
        <v>69</v>
      </c>
      <c r="V447" s="589" t="s">
        <v>69</v>
      </c>
      <c r="W447" s="589" t="s">
        <v>76</v>
      </c>
      <c r="X447" s="37"/>
      <c r="Y447" s="37"/>
      <c r="Z447" s="589" t="s">
        <v>78</v>
      </c>
      <c r="AA447" s="589" t="s">
        <v>78</v>
      </c>
      <c r="AB447" s="37"/>
      <c r="AC447" s="588">
        <v>6.9095890410958898</v>
      </c>
      <c r="AD447" s="588" t="s">
        <v>72</v>
      </c>
      <c r="AE447" s="589" t="s">
        <v>73</v>
      </c>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c r="CA447" s="393"/>
      <c r="CB447" s="393"/>
      <c r="CC447" s="393"/>
      <c r="CD447" s="393"/>
      <c r="CE447" s="393"/>
      <c r="CF447" s="393"/>
      <c r="CG447" s="393"/>
      <c r="CH447" s="393"/>
      <c r="CI447" s="393"/>
      <c r="CJ447" s="390"/>
      <c r="CK447" s="390"/>
      <c r="CL447" s="390"/>
      <c r="CM447" s="390"/>
      <c r="CN447" s="390"/>
      <c r="CO447" s="390"/>
      <c r="CP447" s="390"/>
      <c r="CQ447" s="390"/>
      <c r="CR447" s="390"/>
      <c r="CS447" s="390"/>
      <c r="CT447" s="390"/>
      <c r="CU447" s="390"/>
      <c r="CV447" s="390"/>
      <c r="CW447" s="390"/>
      <c r="CX447" s="390"/>
      <c r="CY447" s="390"/>
      <c r="CZ447" s="390"/>
      <c r="DA447" s="390"/>
      <c r="DB447" s="390"/>
      <c r="DC447" s="390"/>
    </row>
    <row r="448" spans="1:107" s="303" customFormat="1" ht="24">
      <c r="A448" s="37"/>
      <c r="B448" s="683" t="s">
        <v>23</v>
      </c>
      <c r="C448" s="582" t="s">
        <v>105</v>
      </c>
      <c r="D448" s="582" t="s">
        <v>1226</v>
      </c>
      <c r="E448" s="588">
        <v>120.47055208607148</v>
      </c>
      <c r="F448" s="582" t="s">
        <v>1245</v>
      </c>
      <c r="G448" s="590">
        <v>0.16313589837577527</v>
      </c>
      <c r="H448" s="582" t="s">
        <v>66</v>
      </c>
      <c r="I448" s="684">
        <v>0.83</v>
      </c>
      <c r="J448" s="582" t="s">
        <v>994</v>
      </c>
      <c r="K448" s="582" t="s">
        <v>1265</v>
      </c>
      <c r="L448" s="582" t="s">
        <v>1227</v>
      </c>
      <c r="M448" s="582" t="s">
        <v>93</v>
      </c>
      <c r="N448" s="685">
        <v>8.4757556705868851</v>
      </c>
      <c r="O448" s="685">
        <v>4.9588630620390619</v>
      </c>
      <c r="P448" s="685">
        <v>7.9273356039594152</v>
      </c>
      <c r="Q448" s="686">
        <v>1.8269495491722862</v>
      </c>
      <c r="R448" s="37"/>
      <c r="S448" s="589" t="s">
        <v>44</v>
      </c>
      <c r="T448" s="589" t="s">
        <v>63</v>
      </c>
      <c r="U448" s="589" t="s">
        <v>44</v>
      </c>
      <c r="V448" s="589" t="s">
        <v>75</v>
      </c>
      <c r="W448" s="589" t="s">
        <v>76</v>
      </c>
      <c r="X448" s="37"/>
      <c r="Y448" s="37"/>
      <c r="Z448" s="589" t="s">
        <v>78</v>
      </c>
      <c r="AA448" s="589" t="s">
        <v>78</v>
      </c>
      <c r="AB448" s="37"/>
      <c r="AC448" s="588">
        <v>6.9095890410958898</v>
      </c>
      <c r="AD448" s="588" t="s">
        <v>72</v>
      </c>
      <c r="AE448" s="589" t="s">
        <v>73</v>
      </c>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c r="CA448" s="393"/>
      <c r="CB448" s="393"/>
      <c r="CC448" s="393"/>
      <c r="CD448" s="393"/>
      <c r="CE448" s="393"/>
      <c r="CF448" s="393"/>
      <c r="CG448" s="393"/>
      <c r="CH448" s="393"/>
      <c r="CI448" s="393"/>
      <c r="CJ448" s="390"/>
      <c r="CK448" s="390"/>
      <c r="CL448" s="390"/>
      <c r="CM448" s="390"/>
      <c r="CN448" s="390"/>
      <c r="CO448" s="390"/>
      <c r="CP448" s="390"/>
      <c r="CQ448" s="390"/>
      <c r="CR448" s="390"/>
      <c r="CS448" s="390"/>
      <c r="CT448" s="390"/>
      <c r="CU448" s="390"/>
      <c r="CV448" s="390"/>
      <c r="CW448" s="390"/>
      <c r="CX448" s="390"/>
      <c r="CY448" s="390"/>
      <c r="CZ448" s="390"/>
      <c r="DA448" s="390"/>
      <c r="DB448" s="390"/>
      <c r="DC448" s="390"/>
    </row>
    <row r="449" spans="1:107" s="303" customFormat="1" ht="24">
      <c r="A449" s="37"/>
      <c r="B449" s="683" t="s">
        <v>23</v>
      </c>
      <c r="C449" s="582" t="s">
        <v>105</v>
      </c>
      <c r="D449" s="582" t="s">
        <v>1226</v>
      </c>
      <c r="E449" s="588">
        <v>120.47055208607148</v>
      </c>
      <c r="F449" s="582" t="s">
        <v>1245</v>
      </c>
      <c r="G449" s="590">
        <v>0.16313589837577527</v>
      </c>
      <c r="H449" s="582" t="s">
        <v>66</v>
      </c>
      <c r="I449" s="684">
        <v>0.83</v>
      </c>
      <c r="J449" s="582" t="s">
        <v>994</v>
      </c>
      <c r="K449" s="582" t="s">
        <v>1265</v>
      </c>
      <c r="L449" s="582" t="s">
        <v>995</v>
      </c>
      <c r="M449" s="582" t="s">
        <v>88</v>
      </c>
      <c r="N449" s="685">
        <v>3.8010336556704338</v>
      </c>
      <c r="O449" s="685">
        <v>3.1319135128667765</v>
      </c>
      <c r="P449" s="685">
        <v>3.1079276243774636</v>
      </c>
      <c r="Q449" s="685" t="s">
        <v>871</v>
      </c>
      <c r="R449" s="37"/>
      <c r="S449" s="589" t="s">
        <v>44</v>
      </c>
      <c r="T449" s="589" t="s">
        <v>69</v>
      </c>
      <c r="U449" s="589" t="s">
        <v>69</v>
      </c>
      <c r="V449" s="589" t="s">
        <v>69</v>
      </c>
      <c r="W449" s="589" t="s">
        <v>76</v>
      </c>
      <c r="X449" s="37"/>
      <c r="Y449" s="37"/>
      <c r="Z449" s="589" t="s">
        <v>78</v>
      </c>
      <c r="AA449" s="589" t="s">
        <v>78</v>
      </c>
      <c r="AB449" s="37"/>
      <c r="AC449" s="588">
        <v>6.9095890410958898</v>
      </c>
      <c r="AD449" s="588" t="s">
        <v>72</v>
      </c>
      <c r="AE449" s="589" t="s">
        <v>73</v>
      </c>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c r="CA449" s="393"/>
      <c r="CB449" s="393"/>
      <c r="CC449" s="393"/>
      <c r="CD449" s="393"/>
      <c r="CE449" s="393"/>
      <c r="CF449" s="393"/>
      <c r="CG449" s="393"/>
      <c r="CH449" s="393"/>
      <c r="CI449" s="393"/>
      <c r="CJ449" s="390"/>
      <c r="CK449" s="390"/>
      <c r="CL449" s="390"/>
      <c r="CM449" s="390"/>
      <c r="CN449" s="390"/>
      <c r="CO449" s="390"/>
      <c r="CP449" s="390"/>
      <c r="CQ449" s="390"/>
      <c r="CR449" s="390"/>
      <c r="CS449" s="390"/>
      <c r="CT449" s="390"/>
      <c r="CU449" s="390"/>
      <c r="CV449" s="390"/>
      <c r="CW449" s="390"/>
      <c r="CX449" s="390"/>
      <c r="CY449" s="390"/>
      <c r="CZ449" s="390"/>
      <c r="DA449" s="390"/>
      <c r="DB449" s="390"/>
      <c r="DC449" s="390"/>
    </row>
    <row r="450" spans="1:107" s="303" customFormat="1" ht="24">
      <c r="A450" s="37"/>
      <c r="B450" s="683" t="s">
        <v>23</v>
      </c>
      <c r="C450" s="582" t="s">
        <v>105</v>
      </c>
      <c r="D450" s="582" t="s">
        <v>1226</v>
      </c>
      <c r="E450" s="588">
        <v>120.47055208607148</v>
      </c>
      <c r="F450" s="582" t="s">
        <v>1245</v>
      </c>
      <c r="G450" s="590">
        <v>0.16313589837577527</v>
      </c>
      <c r="H450" s="582" t="s">
        <v>66</v>
      </c>
      <c r="I450" s="684">
        <v>0.83</v>
      </c>
      <c r="J450" s="582" t="s">
        <v>994</v>
      </c>
      <c r="K450" s="582" t="s">
        <v>1265</v>
      </c>
      <c r="L450" s="582" t="s">
        <v>995</v>
      </c>
      <c r="M450" s="582" t="s">
        <v>90</v>
      </c>
      <c r="N450" s="685">
        <v>3.8010336556704338</v>
      </c>
      <c r="O450" s="685">
        <v>3.6538990983445725</v>
      </c>
      <c r="P450" s="685">
        <v>3.1079276243774636</v>
      </c>
      <c r="Q450" s="686" t="s">
        <v>1109</v>
      </c>
      <c r="R450" s="37"/>
      <c r="S450" s="589" t="s">
        <v>44</v>
      </c>
      <c r="T450" s="589" t="s">
        <v>69</v>
      </c>
      <c r="U450" s="589" t="s">
        <v>69</v>
      </c>
      <c r="V450" s="589" t="s">
        <v>69</v>
      </c>
      <c r="W450" s="589" t="s">
        <v>76</v>
      </c>
      <c r="X450" s="37"/>
      <c r="Y450" s="37"/>
      <c r="Z450" s="589" t="s">
        <v>78</v>
      </c>
      <c r="AA450" s="589" t="s">
        <v>78</v>
      </c>
      <c r="AB450" s="37"/>
      <c r="AC450" s="588">
        <v>6.9095890410958898</v>
      </c>
      <c r="AD450" s="588" t="s">
        <v>72</v>
      </c>
      <c r="AE450" s="589" t="s">
        <v>73</v>
      </c>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c r="CA450" s="393"/>
      <c r="CB450" s="393"/>
      <c r="CC450" s="393"/>
      <c r="CD450" s="393"/>
      <c r="CE450" s="393"/>
      <c r="CF450" s="393"/>
      <c r="CG450" s="393"/>
      <c r="CH450" s="393"/>
      <c r="CI450" s="393"/>
      <c r="CJ450" s="390"/>
      <c r="CK450" s="390"/>
      <c r="CL450" s="390"/>
      <c r="CM450" s="390"/>
      <c r="CN450" s="390"/>
      <c r="CO450" s="390"/>
      <c r="CP450" s="390"/>
      <c r="CQ450" s="390"/>
      <c r="CR450" s="390"/>
      <c r="CS450" s="390"/>
      <c r="CT450" s="390"/>
      <c r="CU450" s="390"/>
      <c r="CV450" s="390"/>
      <c r="CW450" s="390"/>
      <c r="CX450" s="390"/>
      <c r="CY450" s="390"/>
      <c r="CZ450" s="390"/>
      <c r="DA450" s="390"/>
      <c r="DB450" s="390"/>
      <c r="DC450" s="390"/>
    </row>
    <row r="451" spans="1:107" s="303" customFormat="1" ht="24">
      <c r="A451" s="37"/>
      <c r="B451" s="683" t="s">
        <v>23</v>
      </c>
      <c r="C451" s="582" t="s">
        <v>105</v>
      </c>
      <c r="D451" s="582" t="s">
        <v>1226</v>
      </c>
      <c r="E451" s="588">
        <v>120.47055208607148</v>
      </c>
      <c r="F451" s="582" t="s">
        <v>1245</v>
      </c>
      <c r="G451" s="590">
        <v>0.16313589837577527</v>
      </c>
      <c r="H451" s="582" t="s">
        <v>66</v>
      </c>
      <c r="I451" s="684">
        <v>0.83</v>
      </c>
      <c r="J451" s="582" t="s">
        <v>994</v>
      </c>
      <c r="K451" s="582" t="s">
        <v>1265</v>
      </c>
      <c r="L451" s="582" t="s">
        <v>995</v>
      </c>
      <c r="M451" s="582" t="s">
        <v>91</v>
      </c>
      <c r="N451" s="685">
        <v>3.8010336556704338</v>
      </c>
      <c r="O451" s="685">
        <v>4.0453882874529192</v>
      </c>
      <c r="P451" s="685">
        <v>3.1079276243774636</v>
      </c>
      <c r="Q451" s="686">
        <v>0.91347477458614312</v>
      </c>
      <c r="R451" s="37"/>
      <c r="S451" s="589" t="s">
        <v>44</v>
      </c>
      <c r="T451" s="589" t="s">
        <v>69</v>
      </c>
      <c r="U451" s="589" t="s">
        <v>69</v>
      </c>
      <c r="V451" s="589" t="s">
        <v>69</v>
      </c>
      <c r="W451" s="589" t="s">
        <v>76</v>
      </c>
      <c r="X451" s="37"/>
      <c r="Y451" s="37"/>
      <c r="Z451" s="589" t="s">
        <v>78</v>
      </c>
      <c r="AA451" s="589" t="s">
        <v>78</v>
      </c>
      <c r="AB451" s="37"/>
      <c r="AC451" s="588">
        <v>6.9095890410958898</v>
      </c>
      <c r="AD451" s="588" t="s">
        <v>72</v>
      </c>
      <c r="AE451" s="589" t="s">
        <v>73</v>
      </c>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c r="CA451" s="393"/>
      <c r="CB451" s="393"/>
      <c r="CC451" s="393"/>
      <c r="CD451" s="393"/>
      <c r="CE451" s="393"/>
      <c r="CF451" s="393"/>
      <c r="CG451" s="393"/>
      <c r="CH451" s="393"/>
      <c r="CI451" s="393"/>
      <c r="CJ451" s="390"/>
      <c r="CK451" s="390"/>
      <c r="CL451" s="390"/>
      <c r="CM451" s="390"/>
      <c r="CN451" s="390"/>
      <c r="CO451" s="390"/>
      <c r="CP451" s="390"/>
      <c r="CQ451" s="390"/>
      <c r="CR451" s="390"/>
      <c r="CS451" s="390"/>
      <c r="CT451" s="390"/>
      <c r="CU451" s="390"/>
      <c r="CV451" s="390"/>
      <c r="CW451" s="390"/>
      <c r="CX451" s="390"/>
      <c r="CY451" s="390"/>
      <c r="CZ451" s="390"/>
      <c r="DA451" s="390"/>
      <c r="DB451" s="390"/>
      <c r="DC451" s="390"/>
    </row>
    <row r="452" spans="1:107" s="303" customFormat="1" ht="24">
      <c r="A452" s="37"/>
      <c r="B452" s="683" t="s">
        <v>23</v>
      </c>
      <c r="C452" s="582" t="s">
        <v>105</v>
      </c>
      <c r="D452" s="582" t="s">
        <v>1226</v>
      </c>
      <c r="E452" s="588">
        <v>120.47055208607148</v>
      </c>
      <c r="F452" s="582" t="s">
        <v>1245</v>
      </c>
      <c r="G452" s="590">
        <v>0.16313589837577527</v>
      </c>
      <c r="H452" s="582" t="s">
        <v>66</v>
      </c>
      <c r="I452" s="684">
        <v>0.83</v>
      </c>
      <c r="J452" s="582" t="s">
        <v>994</v>
      </c>
      <c r="K452" s="582" t="s">
        <v>1265</v>
      </c>
      <c r="L452" s="582" t="s">
        <v>995</v>
      </c>
      <c r="M452" s="582" t="s">
        <v>92</v>
      </c>
      <c r="N452" s="685">
        <v>3.8010336556704338</v>
      </c>
      <c r="O452" s="685">
        <v>4.6978702693001644</v>
      </c>
      <c r="P452" s="685">
        <v>3.1079276243774636</v>
      </c>
      <c r="Q452" s="686">
        <v>1.5659567564333883</v>
      </c>
      <c r="R452" s="37"/>
      <c r="S452" s="589" t="s">
        <v>44</v>
      </c>
      <c r="T452" s="589" t="s">
        <v>69</v>
      </c>
      <c r="U452" s="589" t="s">
        <v>69</v>
      </c>
      <c r="V452" s="589" t="s">
        <v>69</v>
      </c>
      <c r="W452" s="589" t="s">
        <v>76</v>
      </c>
      <c r="X452" s="37"/>
      <c r="Y452" s="37"/>
      <c r="Z452" s="589" t="s">
        <v>78</v>
      </c>
      <c r="AA452" s="589" t="s">
        <v>78</v>
      </c>
      <c r="AB452" s="37"/>
      <c r="AC452" s="588">
        <v>6.9095890410958898</v>
      </c>
      <c r="AD452" s="588" t="s">
        <v>72</v>
      </c>
      <c r="AE452" s="589" t="s">
        <v>73</v>
      </c>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c r="CA452" s="393"/>
      <c r="CB452" s="393"/>
      <c r="CC452" s="393"/>
      <c r="CD452" s="393"/>
      <c r="CE452" s="393"/>
      <c r="CF452" s="393"/>
      <c r="CG452" s="393"/>
      <c r="CH452" s="393"/>
      <c r="CI452" s="393"/>
      <c r="CJ452" s="390"/>
      <c r="CK452" s="390"/>
      <c r="CL452" s="390"/>
      <c r="CM452" s="390"/>
      <c r="CN452" s="390"/>
      <c r="CO452" s="390"/>
      <c r="CP452" s="390"/>
      <c r="CQ452" s="390"/>
      <c r="CR452" s="390"/>
      <c r="CS452" s="390"/>
      <c r="CT452" s="390"/>
      <c r="CU452" s="390"/>
      <c r="CV452" s="390"/>
      <c r="CW452" s="390"/>
      <c r="CX452" s="390"/>
      <c r="CY452" s="390"/>
      <c r="CZ452" s="390"/>
      <c r="DA452" s="390"/>
      <c r="DB452" s="390"/>
      <c r="DC452" s="390"/>
    </row>
    <row r="453" spans="1:107" s="303" customFormat="1" ht="24">
      <c r="A453" s="37"/>
      <c r="B453" s="683" t="s">
        <v>23</v>
      </c>
      <c r="C453" s="582" t="s">
        <v>105</v>
      </c>
      <c r="D453" s="582" t="s">
        <v>1226</v>
      </c>
      <c r="E453" s="588">
        <v>120.47055208607148</v>
      </c>
      <c r="F453" s="582" t="s">
        <v>1245</v>
      </c>
      <c r="G453" s="590">
        <v>0.16313589837577527</v>
      </c>
      <c r="H453" s="582" t="s">
        <v>66</v>
      </c>
      <c r="I453" s="684">
        <v>0.83</v>
      </c>
      <c r="J453" s="582" t="s">
        <v>994</v>
      </c>
      <c r="K453" s="582" t="s">
        <v>1265</v>
      </c>
      <c r="L453" s="582" t="s">
        <v>995</v>
      </c>
      <c r="M453" s="582" t="s">
        <v>93</v>
      </c>
      <c r="N453" s="685">
        <v>3.8010336556704338</v>
      </c>
      <c r="O453" s="685">
        <v>4.9588630620390619</v>
      </c>
      <c r="P453" s="685">
        <v>3.1079276243774636</v>
      </c>
      <c r="Q453" s="686">
        <v>1.8269495491722862</v>
      </c>
      <c r="R453" s="37"/>
      <c r="S453" s="589" t="s">
        <v>44</v>
      </c>
      <c r="T453" s="589" t="s">
        <v>69</v>
      </c>
      <c r="U453" s="589" t="s">
        <v>44</v>
      </c>
      <c r="V453" s="589" t="s">
        <v>75</v>
      </c>
      <c r="W453" s="589" t="s">
        <v>76</v>
      </c>
      <c r="X453" s="37"/>
      <c r="Y453" s="37"/>
      <c r="Z453" s="589" t="s">
        <v>78</v>
      </c>
      <c r="AA453" s="589" t="s">
        <v>78</v>
      </c>
      <c r="AB453" s="37"/>
      <c r="AC453" s="588">
        <v>6.9095890410958898</v>
      </c>
      <c r="AD453" s="588" t="s">
        <v>72</v>
      </c>
      <c r="AE453" s="589" t="s">
        <v>73</v>
      </c>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c r="CA453" s="393"/>
      <c r="CB453" s="393"/>
      <c r="CC453" s="393"/>
      <c r="CD453" s="393"/>
      <c r="CE453" s="393"/>
      <c r="CF453" s="393"/>
      <c r="CG453" s="393"/>
      <c r="CH453" s="393"/>
      <c r="CI453" s="393"/>
      <c r="CJ453" s="390"/>
      <c r="CK453" s="390"/>
      <c r="CL453" s="390"/>
      <c r="CM453" s="390"/>
      <c r="CN453" s="390"/>
      <c r="CO453" s="390"/>
      <c r="CP453" s="390"/>
      <c r="CQ453" s="390"/>
      <c r="CR453" s="390"/>
      <c r="CS453" s="390"/>
      <c r="CT453" s="390"/>
      <c r="CU453" s="390"/>
      <c r="CV453" s="390"/>
      <c r="CW453" s="390"/>
      <c r="CX453" s="390"/>
      <c r="CY453" s="390"/>
      <c r="CZ453" s="390"/>
      <c r="DA453" s="390"/>
      <c r="DB453" s="390"/>
      <c r="DC453" s="390"/>
    </row>
    <row r="454" spans="1:107" s="303" customFormat="1" ht="33.75">
      <c r="A454" s="37"/>
      <c r="B454" s="683" t="s">
        <v>23</v>
      </c>
      <c r="C454" s="582" t="s">
        <v>105</v>
      </c>
      <c r="D454" s="582" t="s">
        <v>1226</v>
      </c>
      <c r="E454" s="588">
        <v>120.47055208607148</v>
      </c>
      <c r="F454" s="582" t="s">
        <v>1245</v>
      </c>
      <c r="G454" s="590">
        <v>0.16313589837577527</v>
      </c>
      <c r="H454" s="582" t="s">
        <v>66</v>
      </c>
      <c r="I454" s="684">
        <v>0.83</v>
      </c>
      <c r="J454" s="582" t="s">
        <v>994</v>
      </c>
      <c r="K454" s="582" t="s">
        <v>1265</v>
      </c>
      <c r="L454" s="582" t="s">
        <v>1228</v>
      </c>
      <c r="M454" s="582" t="s">
        <v>88</v>
      </c>
      <c r="N454" s="685">
        <v>3.0077744579652994</v>
      </c>
      <c r="O454" s="685">
        <v>3.1319135128667765</v>
      </c>
      <c r="P454" s="685">
        <v>2.2770455536006882</v>
      </c>
      <c r="Q454" s="685" t="s">
        <v>871</v>
      </c>
      <c r="R454" s="37"/>
      <c r="S454" s="589" t="s">
        <v>69</v>
      </c>
      <c r="T454" s="589" t="s">
        <v>69</v>
      </c>
      <c r="U454" s="589" t="s">
        <v>69</v>
      </c>
      <c r="V454" s="589" t="s">
        <v>69</v>
      </c>
      <c r="W454" s="589" t="s">
        <v>76</v>
      </c>
      <c r="X454" s="37"/>
      <c r="Y454" s="37"/>
      <c r="Z454" s="589" t="s">
        <v>78</v>
      </c>
      <c r="AA454" s="589" t="s">
        <v>78</v>
      </c>
      <c r="AB454" s="37"/>
      <c r="AC454" s="588">
        <v>6.9095890410958898</v>
      </c>
      <c r="AD454" s="588" t="s">
        <v>72</v>
      </c>
      <c r="AE454" s="589" t="s">
        <v>73</v>
      </c>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c r="CA454" s="393"/>
      <c r="CB454" s="393"/>
      <c r="CC454" s="393"/>
      <c r="CD454" s="393"/>
      <c r="CE454" s="393"/>
      <c r="CF454" s="393"/>
      <c r="CG454" s="393"/>
      <c r="CH454" s="393"/>
      <c r="CI454" s="393"/>
      <c r="CJ454" s="390"/>
      <c r="CK454" s="390"/>
      <c r="CL454" s="390"/>
      <c r="CM454" s="390"/>
      <c r="CN454" s="390"/>
      <c r="CO454" s="390"/>
      <c r="CP454" s="390"/>
      <c r="CQ454" s="390"/>
      <c r="CR454" s="390"/>
      <c r="CS454" s="390"/>
      <c r="CT454" s="390"/>
      <c r="CU454" s="390"/>
      <c r="CV454" s="390"/>
      <c r="CW454" s="390"/>
      <c r="CX454" s="390"/>
      <c r="CY454" s="390"/>
      <c r="CZ454" s="390"/>
      <c r="DA454" s="390"/>
      <c r="DB454" s="390"/>
      <c r="DC454" s="390"/>
    </row>
    <row r="455" spans="1:107" s="303" customFormat="1" ht="33.75">
      <c r="A455" s="37"/>
      <c r="B455" s="683" t="s">
        <v>23</v>
      </c>
      <c r="C455" s="582" t="s">
        <v>105</v>
      </c>
      <c r="D455" s="582" t="s">
        <v>1226</v>
      </c>
      <c r="E455" s="588">
        <v>120.47055208607148</v>
      </c>
      <c r="F455" s="582" t="s">
        <v>1245</v>
      </c>
      <c r="G455" s="590">
        <v>0.16313589837577527</v>
      </c>
      <c r="H455" s="582" t="s">
        <v>66</v>
      </c>
      <c r="I455" s="684">
        <v>0.83</v>
      </c>
      <c r="J455" s="582" t="s">
        <v>994</v>
      </c>
      <c r="K455" s="582" t="s">
        <v>1265</v>
      </c>
      <c r="L455" s="582" t="s">
        <v>1228</v>
      </c>
      <c r="M455" s="582" t="s">
        <v>90</v>
      </c>
      <c r="N455" s="685">
        <v>3.0077744579652994</v>
      </c>
      <c r="O455" s="685">
        <v>3.6538990983445725</v>
      </c>
      <c r="P455" s="685">
        <v>2.2770455536006882</v>
      </c>
      <c r="Q455" s="686" t="s">
        <v>1109</v>
      </c>
      <c r="R455" s="37"/>
      <c r="S455" s="589" t="s">
        <v>69</v>
      </c>
      <c r="T455" s="589" t="s">
        <v>69</v>
      </c>
      <c r="U455" s="589" t="s">
        <v>69</v>
      </c>
      <c r="V455" s="589" t="s">
        <v>69</v>
      </c>
      <c r="W455" s="589" t="s">
        <v>76</v>
      </c>
      <c r="X455" s="37"/>
      <c r="Y455" s="37"/>
      <c r="Z455" s="589" t="s">
        <v>78</v>
      </c>
      <c r="AA455" s="589" t="s">
        <v>78</v>
      </c>
      <c r="AB455" s="37"/>
      <c r="AC455" s="588">
        <v>6.9095890410958898</v>
      </c>
      <c r="AD455" s="588" t="s">
        <v>72</v>
      </c>
      <c r="AE455" s="589" t="s">
        <v>73</v>
      </c>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c r="CA455" s="393"/>
      <c r="CB455" s="393"/>
      <c r="CC455" s="393"/>
      <c r="CD455" s="393"/>
      <c r="CE455" s="393"/>
      <c r="CF455" s="393"/>
      <c r="CG455" s="393"/>
      <c r="CH455" s="393"/>
      <c r="CI455" s="393"/>
      <c r="CJ455" s="390"/>
      <c r="CK455" s="390"/>
      <c r="CL455" s="390"/>
      <c r="CM455" s="390"/>
      <c r="CN455" s="390"/>
      <c r="CO455" s="390"/>
      <c r="CP455" s="390"/>
      <c r="CQ455" s="390"/>
      <c r="CR455" s="390"/>
      <c r="CS455" s="390"/>
      <c r="CT455" s="390"/>
      <c r="CU455" s="390"/>
      <c r="CV455" s="390"/>
      <c r="CW455" s="390"/>
      <c r="CX455" s="390"/>
      <c r="CY455" s="390"/>
      <c r="CZ455" s="390"/>
      <c r="DA455" s="390"/>
      <c r="DB455" s="390"/>
      <c r="DC455" s="390"/>
    </row>
    <row r="456" spans="1:107" s="303" customFormat="1" ht="33.75">
      <c r="A456" s="37"/>
      <c r="B456" s="683" t="s">
        <v>23</v>
      </c>
      <c r="C456" s="582" t="s">
        <v>105</v>
      </c>
      <c r="D456" s="582" t="s">
        <v>1226</v>
      </c>
      <c r="E456" s="588">
        <v>120.47055208607148</v>
      </c>
      <c r="F456" s="582" t="s">
        <v>1245</v>
      </c>
      <c r="G456" s="590">
        <v>0.16313589837577527</v>
      </c>
      <c r="H456" s="582" t="s">
        <v>66</v>
      </c>
      <c r="I456" s="684">
        <v>0.83</v>
      </c>
      <c r="J456" s="582" t="s">
        <v>994</v>
      </c>
      <c r="K456" s="582" t="s">
        <v>1265</v>
      </c>
      <c r="L456" s="582" t="s">
        <v>1228</v>
      </c>
      <c r="M456" s="582" t="s">
        <v>91</v>
      </c>
      <c r="N456" s="685">
        <v>3.0077744579652994</v>
      </c>
      <c r="O456" s="685">
        <v>4.0453882874529192</v>
      </c>
      <c r="P456" s="685">
        <v>2.2770455536006882</v>
      </c>
      <c r="Q456" s="686">
        <v>0.91347477458614312</v>
      </c>
      <c r="R456" s="37"/>
      <c r="S456" s="589" t="s">
        <v>69</v>
      </c>
      <c r="T456" s="589" t="s">
        <v>69</v>
      </c>
      <c r="U456" s="589" t="s">
        <v>69</v>
      </c>
      <c r="V456" s="589" t="s">
        <v>69</v>
      </c>
      <c r="W456" s="589" t="s">
        <v>76</v>
      </c>
      <c r="X456" s="37"/>
      <c r="Y456" s="37"/>
      <c r="Z456" s="589" t="s">
        <v>78</v>
      </c>
      <c r="AA456" s="589" t="s">
        <v>78</v>
      </c>
      <c r="AB456" s="37"/>
      <c r="AC456" s="588">
        <v>6.9095890410958898</v>
      </c>
      <c r="AD456" s="588" t="s">
        <v>72</v>
      </c>
      <c r="AE456" s="589" t="s">
        <v>73</v>
      </c>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c r="CA456" s="393"/>
      <c r="CB456" s="393"/>
      <c r="CC456" s="393"/>
      <c r="CD456" s="393"/>
      <c r="CE456" s="393"/>
      <c r="CF456" s="393"/>
      <c r="CG456" s="393"/>
      <c r="CH456" s="393"/>
      <c r="CI456" s="393"/>
      <c r="CJ456" s="390"/>
      <c r="CK456" s="390"/>
      <c r="CL456" s="390"/>
      <c r="CM456" s="390"/>
      <c r="CN456" s="390"/>
      <c r="CO456" s="390"/>
      <c r="CP456" s="390"/>
      <c r="CQ456" s="390"/>
      <c r="CR456" s="390"/>
      <c r="CS456" s="390"/>
      <c r="CT456" s="390"/>
      <c r="CU456" s="390"/>
      <c r="CV456" s="390"/>
      <c r="CW456" s="390"/>
      <c r="CX456" s="390"/>
      <c r="CY456" s="390"/>
      <c r="CZ456" s="390"/>
      <c r="DA456" s="390"/>
      <c r="DB456" s="390"/>
      <c r="DC456" s="390"/>
    </row>
    <row r="457" spans="1:107" s="303" customFormat="1" ht="33.75">
      <c r="A457" s="37"/>
      <c r="B457" s="683" t="s">
        <v>23</v>
      </c>
      <c r="C457" s="582" t="s">
        <v>105</v>
      </c>
      <c r="D457" s="582" t="s">
        <v>1226</v>
      </c>
      <c r="E457" s="588">
        <v>120.47055208607148</v>
      </c>
      <c r="F457" s="582" t="s">
        <v>1245</v>
      </c>
      <c r="G457" s="590">
        <v>0.16313589837577527</v>
      </c>
      <c r="H457" s="582" t="s">
        <v>66</v>
      </c>
      <c r="I457" s="684">
        <v>0.83</v>
      </c>
      <c r="J457" s="582" t="s">
        <v>994</v>
      </c>
      <c r="K457" s="582" t="s">
        <v>1265</v>
      </c>
      <c r="L457" s="582" t="s">
        <v>1228</v>
      </c>
      <c r="M457" s="582" t="s">
        <v>92</v>
      </c>
      <c r="N457" s="685">
        <v>3.0077744579652994</v>
      </c>
      <c r="O457" s="685">
        <v>4.6978702693001644</v>
      </c>
      <c r="P457" s="685">
        <v>2.2770455536006882</v>
      </c>
      <c r="Q457" s="686">
        <v>1.5659567564333883</v>
      </c>
      <c r="R457" s="37"/>
      <c r="S457" s="589" t="s">
        <v>69</v>
      </c>
      <c r="T457" s="589" t="s">
        <v>69</v>
      </c>
      <c r="U457" s="589" t="s">
        <v>69</v>
      </c>
      <c r="V457" s="589" t="s">
        <v>69</v>
      </c>
      <c r="W457" s="589" t="s">
        <v>76</v>
      </c>
      <c r="X457" s="37"/>
      <c r="Y457" s="37"/>
      <c r="Z457" s="589" t="s">
        <v>78</v>
      </c>
      <c r="AA457" s="589" t="s">
        <v>78</v>
      </c>
      <c r="AB457" s="37"/>
      <c r="AC457" s="588">
        <v>6.9095890410958898</v>
      </c>
      <c r="AD457" s="588" t="s">
        <v>72</v>
      </c>
      <c r="AE457" s="589" t="s">
        <v>73</v>
      </c>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c r="CA457" s="393"/>
      <c r="CB457" s="393"/>
      <c r="CC457" s="393"/>
      <c r="CD457" s="393"/>
      <c r="CE457" s="393"/>
      <c r="CF457" s="393"/>
      <c r="CG457" s="393"/>
      <c r="CH457" s="393"/>
      <c r="CI457" s="393"/>
      <c r="CJ457" s="390"/>
      <c r="CK457" s="390"/>
      <c r="CL457" s="390"/>
      <c r="CM457" s="390"/>
      <c r="CN457" s="390"/>
      <c r="CO457" s="390"/>
      <c r="CP457" s="390"/>
      <c r="CQ457" s="390"/>
      <c r="CR457" s="390"/>
      <c r="CS457" s="390"/>
      <c r="CT457" s="390"/>
      <c r="CU457" s="390"/>
      <c r="CV457" s="390"/>
      <c r="CW457" s="390"/>
      <c r="CX457" s="390"/>
      <c r="CY457" s="390"/>
      <c r="CZ457" s="390"/>
      <c r="DA457" s="390"/>
      <c r="DB457" s="390"/>
      <c r="DC457" s="390"/>
    </row>
    <row r="458" spans="1:107" s="317" customFormat="1" ht="33.75">
      <c r="A458" s="37"/>
      <c r="B458" s="687" t="s">
        <v>23</v>
      </c>
      <c r="C458" s="688" t="s">
        <v>105</v>
      </c>
      <c r="D458" s="582" t="s">
        <v>1226</v>
      </c>
      <c r="E458" s="588">
        <v>120.47055208607148</v>
      </c>
      <c r="F458" s="582" t="s">
        <v>1245</v>
      </c>
      <c r="G458" s="590">
        <v>0.16313589837577527</v>
      </c>
      <c r="H458" s="688" t="s">
        <v>66</v>
      </c>
      <c r="I458" s="684">
        <v>0.83</v>
      </c>
      <c r="J458" s="582" t="s">
        <v>994</v>
      </c>
      <c r="K458" s="582" t="s">
        <v>1265</v>
      </c>
      <c r="L458" s="582" t="s">
        <v>1228</v>
      </c>
      <c r="M458" s="688" t="s">
        <v>93</v>
      </c>
      <c r="N458" s="685">
        <v>3.0077744579652994</v>
      </c>
      <c r="O458" s="686">
        <v>4.9588630620390619</v>
      </c>
      <c r="P458" s="685">
        <v>2.2770455536006882</v>
      </c>
      <c r="Q458" s="686">
        <v>1.8269495491722862</v>
      </c>
      <c r="R458" s="37"/>
      <c r="S458" s="689" t="s">
        <v>69</v>
      </c>
      <c r="T458" s="689" t="s">
        <v>69</v>
      </c>
      <c r="U458" s="589" t="s">
        <v>44</v>
      </c>
      <c r="V458" s="589" t="s">
        <v>75</v>
      </c>
      <c r="W458" s="689" t="s">
        <v>76</v>
      </c>
      <c r="X458" s="37"/>
      <c r="Y458" s="37"/>
      <c r="Z458" s="689" t="s">
        <v>78</v>
      </c>
      <c r="AA458" s="689" t="s">
        <v>78</v>
      </c>
      <c r="AB458" s="37"/>
      <c r="AC458" s="690">
        <v>6.9095890410958898</v>
      </c>
      <c r="AD458" s="690" t="s">
        <v>72</v>
      </c>
      <c r="AE458" s="689" t="s">
        <v>73</v>
      </c>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c r="CA458" s="393"/>
      <c r="CB458" s="393"/>
      <c r="CC458" s="393"/>
      <c r="CD458" s="393"/>
      <c r="CE458" s="393"/>
      <c r="CF458" s="393"/>
      <c r="CG458" s="393"/>
      <c r="CH458" s="393"/>
      <c r="CI458" s="393"/>
      <c r="CJ458" s="390"/>
      <c r="CK458" s="390"/>
      <c r="CL458" s="390"/>
      <c r="CM458" s="390"/>
      <c r="CN458" s="390"/>
      <c r="CO458" s="390"/>
      <c r="CP458" s="390"/>
      <c r="CQ458" s="390"/>
      <c r="CR458" s="390"/>
      <c r="CS458" s="390"/>
      <c r="CT458" s="390"/>
      <c r="CU458" s="390"/>
      <c r="CV458" s="390"/>
      <c r="CW458" s="390"/>
      <c r="CX458" s="390"/>
      <c r="CY458" s="390"/>
      <c r="CZ458" s="390"/>
      <c r="DA458" s="390"/>
      <c r="DB458" s="390"/>
      <c r="DC458" s="390"/>
    </row>
    <row r="459" spans="1:107" s="317" customFormat="1" ht="56.25">
      <c r="A459" s="37"/>
      <c r="B459" s="464" t="s">
        <v>23</v>
      </c>
      <c r="C459" s="465" t="s">
        <v>1154</v>
      </c>
      <c r="D459" s="466" t="s">
        <v>1220</v>
      </c>
      <c r="E459" s="467">
        <v>1092.12859663873</v>
      </c>
      <c r="F459" s="465" t="s">
        <v>27</v>
      </c>
      <c r="G459" s="468">
        <v>0.98654390340989651</v>
      </c>
      <c r="H459" s="465" t="s">
        <v>66</v>
      </c>
      <c r="I459" s="469">
        <v>0.82758569308617402</v>
      </c>
      <c r="J459" s="465" t="s">
        <v>1097</v>
      </c>
      <c r="K459" s="465" t="s">
        <v>1041</v>
      </c>
      <c r="L459" s="465" t="s">
        <v>960</v>
      </c>
      <c r="M459" s="465" t="s">
        <v>88</v>
      </c>
      <c r="N459" s="470">
        <v>159.12853790821592</v>
      </c>
      <c r="O459" s="470">
        <v>171.20025173492846</v>
      </c>
      <c r="P459" s="470">
        <v>137.91139952045373</v>
      </c>
      <c r="Q459" s="470" t="s">
        <v>871</v>
      </c>
      <c r="R459" s="37"/>
      <c r="S459" s="465" t="s">
        <v>69</v>
      </c>
      <c r="T459" s="465" t="s">
        <v>69</v>
      </c>
      <c r="U459" s="465" t="s">
        <v>69</v>
      </c>
      <c r="V459" s="465" t="s">
        <v>69</v>
      </c>
      <c r="W459" s="465" t="s">
        <v>76</v>
      </c>
      <c r="X459" s="37"/>
      <c r="Y459" s="37"/>
      <c r="Z459" s="465" t="s">
        <v>78</v>
      </c>
      <c r="AA459" s="465" t="s">
        <v>78</v>
      </c>
      <c r="AB459" s="37"/>
      <c r="AC459" s="474">
        <v>6.6986301369863011</v>
      </c>
      <c r="AD459" s="470" t="s">
        <v>72</v>
      </c>
      <c r="AE459" s="465" t="s">
        <v>73</v>
      </c>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c r="CA459" s="393"/>
      <c r="CB459" s="393"/>
      <c r="CC459" s="393"/>
      <c r="CD459" s="393"/>
      <c r="CE459" s="393"/>
      <c r="CF459" s="393"/>
      <c r="CG459" s="393"/>
      <c r="CH459" s="393"/>
      <c r="CI459" s="393"/>
      <c r="CJ459" s="390"/>
      <c r="CK459" s="390"/>
      <c r="CL459" s="390"/>
      <c r="CM459" s="390"/>
      <c r="CN459" s="390"/>
      <c r="CO459" s="390"/>
      <c r="CP459" s="390"/>
      <c r="CQ459" s="390"/>
      <c r="CR459" s="390"/>
      <c r="CS459" s="390"/>
      <c r="CT459" s="390"/>
      <c r="CU459" s="390"/>
      <c r="CV459" s="390"/>
      <c r="CW459" s="390"/>
      <c r="CX459" s="390"/>
      <c r="CY459" s="390"/>
      <c r="CZ459" s="390"/>
      <c r="DA459" s="390"/>
      <c r="DB459" s="390"/>
      <c r="DC459" s="390"/>
    </row>
    <row r="460" spans="1:107" s="317" customFormat="1" ht="56.25">
      <c r="A460" s="37"/>
      <c r="B460" s="464" t="s">
        <v>23</v>
      </c>
      <c r="C460" s="465" t="s">
        <v>1154</v>
      </c>
      <c r="D460" s="466" t="s">
        <v>1220</v>
      </c>
      <c r="E460" s="467">
        <v>1092.12859663873</v>
      </c>
      <c r="F460" s="465" t="s">
        <v>27</v>
      </c>
      <c r="G460" s="468">
        <v>0.98654390340989651</v>
      </c>
      <c r="H460" s="465" t="s">
        <v>66</v>
      </c>
      <c r="I460" s="469">
        <v>0.82758569308617402</v>
      </c>
      <c r="J460" s="465" t="s">
        <v>1097</v>
      </c>
      <c r="K460" s="465" t="s">
        <v>1041</v>
      </c>
      <c r="L460" s="465" t="s">
        <v>960</v>
      </c>
      <c r="M460" s="465" t="s">
        <v>90</v>
      </c>
      <c r="N460" s="470">
        <v>159.12853790821592</v>
      </c>
      <c r="O460" s="470">
        <v>199.73362702408323</v>
      </c>
      <c r="P460" s="470">
        <v>137.91139952045373</v>
      </c>
      <c r="Q460" s="470" t="s">
        <v>1109</v>
      </c>
      <c r="R460" s="37"/>
      <c r="S460" s="465" t="s">
        <v>69</v>
      </c>
      <c r="T460" s="465" t="s">
        <v>69</v>
      </c>
      <c r="U460" s="465" t="s">
        <v>69</v>
      </c>
      <c r="V460" s="465" t="s">
        <v>69</v>
      </c>
      <c r="W460" s="465" t="s">
        <v>76</v>
      </c>
      <c r="X460" s="37"/>
      <c r="Y460" s="37"/>
      <c r="Z460" s="465" t="s">
        <v>78</v>
      </c>
      <c r="AA460" s="465" t="s">
        <v>78</v>
      </c>
      <c r="AB460" s="37"/>
      <c r="AC460" s="474">
        <v>6.6986301369863011</v>
      </c>
      <c r="AD460" s="470" t="s">
        <v>72</v>
      </c>
      <c r="AE460" s="465" t="s">
        <v>73</v>
      </c>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c r="CA460" s="393"/>
      <c r="CB460" s="393"/>
      <c r="CC460" s="393"/>
      <c r="CD460" s="393"/>
      <c r="CE460" s="393"/>
      <c r="CF460" s="393"/>
      <c r="CG460" s="393"/>
      <c r="CH460" s="393"/>
      <c r="CI460" s="393"/>
      <c r="CJ460" s="390"/>
      <c r="CK460" s="390"/>
      <c r="CL460" s="390"/>
      <c r="CM460" s="390"/>
      <c r="CN460" s="390"/>
      <c r="CO460" s="390"/>
      <c r="CP460" s="390"/>
      <c r="CQ460" s="390"/>
      <c r="CR460" s="390"/>
      <c r="CS460" s="390"/>
      <c r="CT460" s="390"/>
      <c r="CU460" s="390"/>
      <c r="CV460" s="390"/>
      <c r="CW460" s="390"/>
      <c r="CX460" s="390"/>
      <c r="CY460" s="390"/>
      <c r="CZ460" s="390"/>
      <c r="DA460" s="390"/>
      <c r="DB460" s="390"/>
      <c r="DC460" s="390"/>
    </row>
    <row r="461" spans="1:107" s="317" customFormat="1" ht="56.25">
      <c r="A461" s="37"/>
      <c r="B461" s="464" t="s">
        <v>23</v>
      </c>
      <c r="C461" s="465" t="s">
        <v>1154</v>
      </c>
      <c r="D461" s="466" t="s">
        <v>1220</v>
      </c>
      <c r="E461" s="467">
        <v>1092.12859663873</v>
      </c>
      <c r="F461" s="465" t="s">
        <v>27</v>
      </c>
      <c r="G461" s="468">
        <v>0.98654390340989651</v>
      </c>
      <c r="H461" s="465" t="s">
        <v>66</v>
      </c>
      <c r="I461" s="469">
        <v>0.82758569308617402</v>
      </c>
      <c r="J461" s="465" t="s">
        <v>1097</v>
      </c>
      <c r="K461" s="465" t="s">
        <v>1041</v>
      </c>
      <c r="L461" s="465" t="s">
        <v>960</v>
      </c>
      <c r="M461" s="465" t="s">
        <v>91</v>
      </c>
      <c r="N461" s="470">
        <v>159.12853790821592</v>
      </c>
      <c r="O461" s="470">
        <v>221.13365849094927</v>
      </c>
      <c r="P461" s="470">
        <v>137.91139952045373</v>
      </c>
      <c r="Q461" s="470">
        <v>49.933406756020808</v>
      </c>
      <c r="R461" s="37"/>
      <c r="S461" s="465" t="s">
        <v>69</v>
      </c>
      <c r="T461" s="465" t="s">
        <v>69</v>
      </c>
      <c r="U461" s="465" t="s">
        <v>69</v>
      </c>
      <c r="V461" s="465" t="s">
        <v>69</v>
      </c>
      <c r="W461" s="465" t="s">
        <v>76</v>
      </c>
      <c r="X461" s="37"/>
      <c r="Y461" s="37"/>
      <c r="Z461" s="465" t="s">
        <v>78</v>
      </c>
      <c r="AA461" s="465" t="s">
        <v>78</v>
      </c>
      <c r="AB461" s="37"/>
      <c r="AC461" s="474">
        <v>6.6986301369863011</v>
      </c>
      <c r="AD461" s="470" t="s">
        <v>72</v>
      </c>
      <c r="AE461" s="465" t="s">
        <v>73</v>
      </c>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c r="CA461" s="393"/>
      <c r="CB461" s="393"/>
      <c r="CC461" s="393"/>
      <c r="CD461" s="393"/>
      <c r="CE461" s="393"/>
      <c r="CF461" s="393"/>
      <c r="CG461" s="393"/>
      <c r="CH461" s="393"/>
      <c r="CI461" s="393"/>
      <c r="CJ461" s="390"/>
      <c r="CK461" s="390"/>
      <c r="CL461" s="390"/>
      <c r="CM461" s="390"/>
      <c r="CN461" s="390"/>
      <c r="CO461" s="390"/>
      <c r="CP461" s="390"/>
      <c r="CQ461" s="390"/>
      <c r="CR461" s="390"/>
      <c r="CS461" s="390"/>
      <c r="CT461" s="390"/>
      <c r="CU461" s="390"/>
      <c r="CV461" s="390"/>
      <c r="CW461" s="390"/>
      <c r="CX461" s="390"/>
      <c r="CY461" s="390"/>
      <c r="CZ461" s="390"/>
      <c r="DA461" s="390"/>
      <c r="DB461" s="390"/>
      <c r="DC461" s="390"/>
    </row>
    <row r="462" spans="1:107" s="317" customFormat="1" ht="56.25">
      <c r="A462" s="37"/>
      <c r="B462" s="464" t="s">
        <v>23</v>
      </c>
      <c r="C462" s="465" t="s">
        <v>1154</v>
      </c>
      <c r="D462" s="466" t="s">
        <v>1220</v>
      </c>
      <c r="E462" s="467">
        <v>1092.12859663873</v>
      </c>
      <c r="F462" s="465" t="s">
        <v>27</v>
      </c>
      <c r="G462" s="468">
        <v>0.98654390340989651</v>
      </c>
      <c r="H462" s="465" t="s">
        <v>66</v>
      </c>
      <c r="I462" s="469">
        <v>0.82758569308617402</v>
      </c>
      <c r="J462" s="465" t="s">
        <v>1097</v>
      </c>
      <c r="K462" s="465" t="s">
        <v>1041</v>
      </c>
      <c r="L462" s="465" t="s">
        <v>960</v>
      </c>
      <c r="M462" s="465" t="s">
        <v>92</v>
      </c>
      <c r="N462" s="470">
        <v>159.12853790821592</v>
      </c>
      <c r="O462" s="470">
        <v>256.8003776023927</v>
      </c>
      <c r="P462" s="470">
        <v>137.91139952045373</v>
      </c>
      <c r="Q462" s="470">
        <v>85.600125867464229</v>
      </c>
      <c r="R462" s="37"/>
      <c r="S462" s="465" t="s">
        <v>69</v>
      </c>
      <c r="T462" s="465" t="s">
        <v>69</v>
      </c>
      <c r="U462" s="465" t="s">
        <v>69</v>
      </c>
      <c r="V462" s="465" t="s">
        <v>69</v>
      </c>
      <c r="W462" s="465" t="s">
        <v>76</v>
      </c>
      <c r="X462" s="37"/>
      <c r="Y462" s="37"/>
      <c r="Z462" s="465" t="s">
        <v>78</v>
      </c>
      <c r="AA462" s="465" t="s">
        <v>78</v>
      </c>
      <c r="AB462" s="37"/>
      <c r="AC462" s="474">
        <v>6.6986301369863011</v>
      </c>
      <c r="AD462" s="470" t="s">
        <v>72</v>
      </c>
      <c r="AE462" s="465" t="s">
        <v>73</v>
      </c>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c r="CA462" s="393"/>
      <c r="CB462" s="393"/>
      <c r="CC462" s="393"/>
      <c r="CD462" s="393"/>
      <c r="CE462" s="393"/>
      <c r="CF462" s="393"/>
      <c r="CG462" s="393"/>
      <c r="CH462" s="393"/>
      <c r="CI462" s="393"/>
      <c r="CJ462" s="390"/>
      <c r="CK462" s="390"/>
      <c r="CL462" s="390"/>
      <c r="CM462" s="390"/>
      <c r="CN462" s="390"/>
      <c r="CO462" s="390"/>
      <c r="CP462" s="390"/>
      <c r="CQ462" s="390"/>
      <c r="CR462" s="390"/>
      <c r="CS462" s="390"/>
      <c r="CT462" s="390"/>
      <c r="CU462" s="390"/>
      <c r="CV462" s="390"/>
      <c r="CW462" s="390"/>
      <c r="CX462" s="390"/>
      <c r="CY462" s="390"/>
      <c r="CZ462" s="390"/>
      <c r="DA462" s="390"/>
      <c r="DB462" s="390"/>
      <c r="DC462" s="390"/>
    </row>
    <row r="463" spans="1:107" s="317" customFormat="1" ht="56.25">
      <c r="A463" s="37"/>
      <c r="B463" s="464" t="s">
        <v>23</v>
      </c>
      <c r="C463" s="465" t="s">
        <v>1154</v>
      </c>
      <c r="D463" s="466" t="s">
        <v>1220</v>
      </c>
      <c r="E463" s="467">
        <v>1092.12859663873</v>
      </c>
      <c r="F463" s="465" t="s">
        <v>27</v>
      </c>
      <c r="G463" s="468">
        <v>0.98654390340989651</v>
      </c>
      <c r="H463" s="465" t="s">
        <v>66</v>
      </c>
      <c r="I463" s="469">
        <v>0.82758569308617402</v>
      </c>
      <c r="J463" s="465" t="s">
        <v>1097</v>
      </c>
      <c r="K463" s="465" t="s">
        <v>1041</v>
      </c>
      <c r="L463" s="465" t="s">
        <v>960</v>
      </c>
      <c r="M463" s="465" t="s">
        <v>93</v>
      </c>
      <c r="N463" s="470">
        <v>159.12853790821592</v>
      </c>
      <c r="O463" s="470">
        <v>271.06706524697006</v>
      </c>
      <c r="P463" s="470">
        <v>137.91139952045373</v>
      </c>
      <c r="Q463" s="470">
        <v>99.866813512041617</v>
      </c>
      <c r="R463" s="37"/>
      <c r="S463" s="465" t="s">
        <v>69</v>
      </c>
      <c r="T463" s="465" t="s">
        <v>69</v>
      </c>
      <c r="U463" s="465" t="s">
        <v>44</v>
      </c>
      <c r="V463" s="465" t="s">
        <v>75</v>
      </c>
      <c r="W463" s="465" t="s">
        <v>76</v>
      </c>
      <c r="X463" s="37"/>
      <c r="Y463" s="37"/>
      <c r="Z463" s="465" t="s">
        <v>78</v>
      </c>
      <c r="AA463" s="465" t="s">
        <v>78</v>
      </c>
      <c r="AB463" s="37"/>
      <c r="AC463" s="474">
        <v>6.6986301369863011</v>
      </c>
      <c r="AD463" s="470" t="s">
        <v>72</v>
      </c>
      <c r="AE463" s="465" t="s">
        <v>73</v>
      </c>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c r="CA463" s="393"/>
      <c r="CB463" s="393"/>
      <c r="CC463" s="393"/>
      <c r="CD463" s="393"/>
      <c r="CE463" s="393"/>
      <c r="CF463" s="393"/>
      <c r="CG463" s="393"/>
      <c r="CH463" s="393"/>
      <c r="CI463" s="393"/>
      <c r="CJ463" s="390"/>
      <c r="CK463" s="390"/>
      <c r="CL463" s="390"/>
      <c r="CM463" s="390"/>
      <c r="CN463" s="390"/>
      <c r="CO463" s="390"/>
      <c r="CP463" s="390"/>
      <c r="CQ463" s="390"/>
      <c r="CR463" s="390"/>
      <c r="CS463" s="390"/>
      <c r="CT463" s="390"/>
      <c r="CU463" s="390"/>
      <c r="CV463" s="390"/>
      <c r="CW463" s="390"/>
      <c r="CX463" s="390"/>
      <c r="CY463" s="390"/>
      <c r="CZ463" s="390"/>
      <c r="DA463" s="390"/>
      <c r="DB463" s="390"/>
      <c r="DC463" s="390"/>
    </row>
    <row r="464" spans="1:107" s="317" customFormat="1" ht="56.25">
      <c r="A464" s="37"/>
      <c r="B464" s="464" t="s">
        <v>23</v>
      </c>
      <c r="C464" s="465" t="s">
        <v>1154</v>
      </c>
      <c r="D464" s="466" t="s">
        <v>1220</v>
      </c>
      <c r="E464" s="467">
        <v>1092.12859663873</v>
      </c>
      <c r="F464" s="465" t="s">
        <v>27</v>
      </c>
      <c r="G464" s="468">
        <v>0.98654390340989651</v>
      </c>
      <c r="H464" s="465" t="s">
        <v>66</v>
      </c>
      <c r="I464" s="469">
        <v>0.82758569308617402</v>
      </c>
      <c r="J464" s="465" t="s">
        <v>1097</v>
      </c>
      <c r="K464" s="465" t="s">
        <v>1041</v>
      </c>
      <c r="L464" s="465" t="s">
        <v>15</v>
      </c>
      <c r="M464" s="465" t="s">
        <v>88</v>
      </c>
      <c r="N464" s="470">
        <v>220.61719417334498</v>
      </c>
      <c r="O464" s="470">
        <v>171.20025173492846</v>
      </c>
      <c r="P464" s="470">
        <v>188.55074153187039</v>
      </c>
      <c r="Q464" s="470" t="s">
        <v>871</v>
      </c>
      <c r="R464" s="37"/>
      <c r="S464" s="344" t="s">
        <v>44</v>
      </c>
      <c r="T464" s="344" t="s">
        <v>63</v>
      </c>
      <c r="U464" s="465" t="s">
        <v>69</v>
      </c>
      <c r="V464" s="465" t="s">
        <v>69</v>
      </c>
      <c r="W464" s="465" t="s">
        <v>76</v>
      </c>
      <c r="X464" s="37"/>
      <c r="Y464" s="37"/>
      <c r="Z464" s="465" t="s">
        <v>78</v>
      </c>
      <c r="AA464" s="465" t="s">
        <v>78</v>
      </c>
      <c r="AB464" s="37"/>
      <c r="AC464" s="474">
        <v>6.6986301369863011</v>
      </c>
      <c r="AD464" s="470" t="s">
        <v>72</v>
      </c>
      <c r="AE464" s="465" t="s">
        <v>73</v>
      </c>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c r="CA464" s="393"/>
      <c r="CB464" s="393"/>
      <c r="CC464" s="393"/>
      <c r="CD464" s="393"/>
      <c r="CE464" s="393"/>
      <c r="CF464" s="393"/>
      <c r="CG464" s="393"/>
      <c r="CH464" s="393"/>
      <c r="CI464" s="393"/>
      <c r="CJ464" s="390"/>
      <c r="CK464" s="390"/>
      <c r="CL464" s="390"/>
      <c r="CM464" s="390"/>
      <c r="CN464" s="390"/>
      <c r="CO464" s="390"/>
      <c r="CP464" s="390"/>
      <c r="CQ464" s="390"/>
      <c r="CR464" s="390"/>
      <c r="CS464" s="390"/>
      <c r="CT464" s="390"/>
      <c r="CU464" s="390"/>
      <c r="CV464" s="390"/>
      <c r="CW464" s="390"/>
      <c r="CX464" s="390"/>
      <c r="CY464" s="390"/>
      <c r="CZ464" s="390"/>
      <c r="DA464" s="390"/>
      <c r="DB464" s="390"/>
      <c r="DC464" s="390"/>
    </row>
    <row r="465" spans="1:107" s="317" customFormat="1" ht="56.25">
      <c r="A465" s="37"/>
      <c r="B465" s="464" t="s">
        <v>23</v>
      </c>
      <c r="C465" s="465" t="s">
        <v>1154</v>
      </c>
      <c r="D465" s="466" t="s">
        <v>1220</v>
      </c>
      <c r="E465" s="467">
        <v>1092.12859663873</v>
      </c>
      <c r="F465" s="465" t="s">
        <v>27</v>
      </c>
      <c r="G465" s="468">
        <v>0.98654390340989651</v>
      </c>
      <c r="H465" s="465" t="s">
        <v>66</v>
      </c>
      <c r="I465" s="469">
        <v>0.82758569308617402</v>
      </c>
      <c r="J465" s="465" t="s">
        <v>1097</v>
      </c>
      <c r="K465" s="465" t="s">
        <v>1041</v>
      </c>
      <c r="L465" s="465" t="s">
        <v>15</v>
      </c>
      <c r="M465" s="465" t="s">
        <v>90</v>
      </c>
      <c r="N465" s="470">
        <v>220.61719417334498</v>
      </c>
      <c r="O465" s="470">
        <v>199.73362702408323</v>
      </c>
      <c r="P465" s="470">
        <v>188.55074153187039</v>
      </c>
      <c r="Q465" s="470" t="s">
        <v>1109</v>
      </c>
      <c r="R465" s="37"/>
      <c r="S465" s="344" t="s">
        <v>44</v>
      </c>
      <c r="T465" s="344" t="s">
        <v>63</v>
      </c>
      <c r="U465" s="465" t="s">
        <v>69</v>
      </c>
      <c r="V465" s="465" t="s">
        <v>69</v>
      </c>
      <c r="W465" s="465" t="s">
        <v>76</v>
      </c>
      <c r="X465" s="37"/>
      <c r="Y465" s="37"/>
      <c r="Z465" s="465" t="s">
        <v>78</v>
      </c>
      <c r="AA465" s="465" t="s">
        <v>78</v>
      </c>
      <c r="AB465" s="37"/>
      <c r="AC465" s="474">
        <v>6.6986301369863011</v>
      </c>
      <c r="AD465" s="470" t="s">
        <v>72</v>
      </c>
      <c r="AE465" s="465" t="s">
        <v>73</v>
      </c>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c r="CA465" s="393"/>
      <c r="CB465" s="393"/>
      <c r="CC465" s="393"/>
      <c r="CD465" s="393"/>
      <c r="CE465" s="393"/>
      <c r="CF465" s="393"/>
      <c r="CG465" s="393"/>
      <c r="CH465" s="393"/>
      <c r="CI465" s="393"/>
      <c r="CJ465" s="390"/>
      <c r="CK465" s="390"/>
      <c r="CL465" s="390"/>
      <c r="CM465" s="390"/>
      <c r="CN465" s="390"/>
      <c r="CO465" s="390"/>
      <c r="CP465" s="390"/>
      <c r="CQ465" s="390"/>
      <c r="CR465" s="390"/>
      <c r="CS465" s="390"/>
      <c r="CT465" s="390"/>
      <c r="CU465" s="390"/>
      <c r="CV465" s="390"/>
      <c r="CW465" s="390"/>
      <c r="CX465" s="390"/>
      <c r="CY465" s="390"/>
      <c r="CZ465" s="390"/>
      <c r="DA465" s="390"/>
      <c r="DB465" s="390"/>
      <c r="DC465" s="390"/>
    </row>
    <row r="466" spans="1:107" s="317" customFormat="1" ht="56.25">
      <c r="A466" s="37"/>
      <c r="B466" s="464" t="s">
        <v>23</v>
      </c>
      <c r="C466" s="465" t="s">
        <v>1154</v>
      </c>
      <c r="D466" s="466" t="s">
        <v>1220</v>
      </c>
      <c r="E466" s="467">
        <v>1092.12859663873</v>
      </c>
      <c r="F466" s="465" t="s">
        <v>27</v>
      </c>
      <c r="G466" s="468">
        <v>0.98654390340989651</v>
      </c>
      <c r="H466" s="465" t="s">
        <v>66</v>
      </c>
      <c r="I466" s="469">
        <v>0.82758569308617402</v>
      </c>
      <c r="J466" s="465" t="s">
        <v>1097</v>
      </c>
      <c r="K466" s="465" t="s">
        <v>1041</v>
      </c>
      <c r="L466" s="465" t="s">
        <v>15</v>
      </c>
      <c r="M466" s="465" t="s">
        <v>91</v>
      </c>
      <c r="N466" s="470">
        <v>220.61719417334498</v>
      </c>
      <c r="O466" s="470">
        <v>221.13365849094927</v>
      </c>
      <c r="P466" s="470">
        <v>188.55074153187039</v>
      </c>
      <c r="Q466" s="470">
        <v>49.933406756020808</v>
      </c>
      <c r="R466" s="37"/>
      <c r="S466" s="344" t="s">
        <v>44</v>
      </c>
      <c r="T466" s="344" t="s">
        <v>63</v>
      </c>
      <c r="U466" s="465" t="s">
        <v>69</v>
      </c>
      <c r="V466" s="465" t="s">
        <v>69</v>
      </c>
      <c r="W466" s="465" t="s">
        <v>76</v>
      </c>
      <c r="X466" s="37"/>
      <c r="Y466" s="37"/>
      <c r="Z466" s="465" t="s">
        <v>78</v>
      </c>
      <c r="AA466" s="465" t="s">
        <v>78</v>
      </c>
      <c r="AB466" s="37"/>
      <c r="AC466" s="474">
        <v>6.6986301369863011</v>
      </c>
      <c r="AD466" s="470" t="s">
        <v>72</v>
      </c>
      <c r="AE466" s="465" t="s">
        <v>73</v>
      </c>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c r="CA466" s="393"/>
      <c r="CB466" s="393"/>
      <c r="CC466" s="393"/>
      <c r="CD466" s="393"/>
      <c r="CE466" s="393"/>
      <c r="CF466" s="393"/>
      <c r="CG466" s="393"/>
      <c r="CH466" s="393"/>
      <c r="CI466" s="393"/>
      <c r="CJ466" s="390"/>
      <c r="CK466" s="390"/>
      <c r="CL466" s="390"/>
      <c r="CM466" s="390"/>
      <c r="CN466" s="390"/>
      <c r="CO466" s="390"/>
      <c r="CP466" s="390"/>
      <c r="CQ466" s="390"/>
      <c r="CR466" s="390"/>
      <c r="CS466" s="390"/>
      <c r="CT466" s="390"/>
      <c r="CU466" s="390"/>
      <c r="CV466" s="390"/>
      <c r="CW466" s="390"/>
      <c r="CX466" s="390"/>
      <c r="CY466" s="390"/>
      <c r="CZ466" s="390"/>
      <c r="DA466" s="390"/>
      <c r="DB466" s="390"/>
      <c r="DC466" s="390"/>
    </row>
    <row r="467" spans="1:107" s="317" customFormat="1" ht="56.25">
      <c r="A467" s="37"/>
      <c r="B467" s="464" t="s">
        <v>23</v>
      </c>
      <c r="C467" s="465" t="s">
        <v>1154</v>
      </c>
      <c r="D467" s="466" t="s">
        <v>1220</v>
      </c>
      <c r="E467" s="467">
        <v>1092.12859663873</v>
      </c>
      <c r="F467" s="465" t="s">
        <v>27</v>
      </c>
      <c r="G467" s="468">
        <v>0.98654390340989651</v>
      </c>
      <c r="H467" s="465" t="s">
        <v>66</v>
      </c>
      <c r="I467" s="469">
        <v>0.82758569308617402</v>
      </c>
      <c r="J467" s="465" t="s">
        <v>1097</v>
      </c>
      <c r="K467" s="465" t="s">
        <v>1041</v>
      </c>
      <c r="L467" s="465" t="s">
        <v>15</v>
      </c>
      <c r="M467" s="465" t="s">
        <v>92</v>
      </c>
      <c r="N467" s="470">
        <v>220.61719417334498</v>
      </c>
      <c r="O467" s="470">
        <v>256.8003776023927</v>
      </c>
      <c r="P467" s="470">
        <v>188.55074153187039</v>
      </c>
      <c r="Q467" s="470">
        <v>85.600125867464229</v>
      </c>
      <c r="R467" s="37"/>
      <c r="S467" s="344" t="s">
        <v>44</v>
      </c>
      <c r="T467" s="344" t="s">
        <v>63</v>
      </c>
      <c r="U467" s="465" t="s">
        <v>69</v>
      </c>
      <c r="V467" s="465" t="s">
        <v>69</v>
      </c>
      <c r="W467" s="465" t="s">
        <v>76</v>
      </c>
      <c r="X467" s="37"/>
      <c r="Y467" s="37"/>
      <c r="Z467" s="465" t="s">
        <v>78</v>
      </c>
      <c r="AA467" s="465" t="s">
        <v>78</v>
      </c>
      <c r="AB467" s="37"/>
      <c r="AC467" s="474">
        <v>6.6986301369863011</v>
      </c>
      <c r="AD467" s="470" t="s">
        <v>72</v>
      </c>
      <c r="AE467" s="465" t="s">
        <v>73</v>
      </c>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c r="CA467" s="393"/>
      <c r="CB467" s="393"/>
      <c r="CC467" s="393"/>
      <c r="CD467" s="393"/>
      <c r="CE467" s="393"/>
      <c r="CF467" s="393"/>
      <c r="CG467" s="393"/>
      <c r="CH467" s="393"/>
      <c r="CI467" s="393"/>
      <c r="CJ467" s="390"/>
      <c r="CK467" s="390"/>
      <c r="CL467" s="390"/>
      <c r="CM467" s="390"/>
      <c r="CN467" s="390"/>
      <c r="CO467" s="390"/>
      <c r="CP467" s="390"/>
      <c r="CQ467" s="390"/>
      <c r="CR467" s="390"/>
      <c r="CS467" s="390"/>
      <c r="CT467" s="390"/>
      <c r="CU467" s="390"/>
      <c r="CV467" s="390"/>
      <c r="CW467" s="390"/>
      <c r="CX467" s="390"/>
      <c r="CY467" s="390"/>
      <c r="CZ467" s="390"/>
      <c r="DA467" s="390"/>
      <c r="DB467" s="390"/>
      <c r="DC467" s="390"/>
    </row>
    <row r="468" spans="1:107" s="317" customFormat="1" ht="56.25">
      <c r="A468" s="37"/>
      <c r="B468" s="464" t="s">
        <v>23</v>
      </c>
      <c r="C468" s="465" t="s">
        <v>1154</v>
      </c>
      <c r="D468" s="466" t="s">
        <v>1220</v>
      </c>
      <c r="E468" s="467">
        <v>1092.12859663873</v>
      </c>
      <c r="F468" s="465" t="s">
        <v>27</v>
      </c>
      <c r="G468" s="468">
        <v>0.98654390340989651</v>
      </c>
      <c r="H468" s="465" t="s">
        <v>66</v>
      </c>
      <c r="I468" s="469">
        <v>0.82758569308617402</v>
      </c>
      <c r="J468" s="465" t="s">
        <v>1097</v>
      </c>
      <c r="K468" s="465" t="s">
        <v>1041</v>
      </c>
      <c r="L468" s="465" t="s">
        <v>15</v>
      </c>
      <c r="M468" s="465" t="s">
        <v>93</v>
      </c>
      <c r="N468" s="470">
        <v>220.61719417334498</v>
      </c>
      <c r="O468" s="470">
        <v>271.06706524697006</v>
      </c>
      <c r="P468" s="470">
        <v>188.55074153187039</v>
      </c>
      <c r="Q468" s="470">
        <v>99.866813512041617</v>
      </c>
      <c r="R468" s="37"/>
      <c r="S468" s="344" t="s">
        <v>44</v>
      </c>
      <c r="T468" s="344" t="s">
        <v>63</v>
      </c>
      <c r="U468" s="465" t="s">
        <v>44</v>
      </c>
      <c r="V468" s="465" t="s">
        <v>75</v>
      </c>
      <c r="W468" s="465" t="s">
        <v>76</v>
      </c>
      <c r="X468" s="37"/>
      <c r="Y468" s="37"/>
      <c r="Z468" s="465" t="s">
        <v>78</v>
      </c>
      <c r="AA468" s="465" t="s">
        <v>78</v>
      </c>
      <c r="AB468" s="37"/>
      <c r="AC468" s="474">
        <v>6.6986301369863011</v>
      </c>
      <c r="AD468" s="470" t="s">
        <v>72</v>
      </c>
      <c r="AE468" s="465" t="s">
        <v>73</v>
      </c>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c r="CA468" s="393"/>
      <c r="CB468" s="393"/>
      <c r="CC468" s="393"/>
      <c r="CD468" s="393"/>
      <c r="CE468" s="393"/>
      <c r="CF468" s="393"/>
      <c r="CG468" s="393"/>
      <c r="CH468" s="393"/>
      <c r="CI468" s="393"/>
      <c r="CJ468" s="390"/>
      <c r="CK468" s="390"/>
      <c r="CL468" s="390"/>
      <c r="CM468" s="390"/>
      <c r="CN468" s="390"/>
      <c r="CO468" s="390"/>
      <c r="CP468" s="390"/>
      <c r="CQ468" s="390"/>
      <c r="CR468" s="390"/>
      <c r="CS468" s="390"/>
      <c r="CT468" s="390"/>
      <c r="CU468" s="390"/>
      <c r="CV468" s="390"/>
      <c r="CW468" s="390"/>
      <c r="CX468" s="390"/>
      <c r="CY468" s="390"/>
      <c r="CZ468" s="390"/>
      <c r="DA468" s="390"/>
      <c r="DB468" s="390"/>
      <c r="DC468" s="390"/>
    </row>
    <row r="469" spans="1:107" s="317" customFormat="1" ht="56.25">
      <c r="A469" s="37"/>
      <c r="B469" s="658" t="s">
        <v>23</v>
      </c>
      <c r="C469" s="659" t="s">
        <v>1154</v>
      </c>
      <c r="D469" s="691" t="s">
        <v>1226</v>
      </c>
      <c r="E469" s="661">
        <v>419.28477946906577</v>
      </c>
      <c r="F469" s="659" t="s">
        <v>27</v>
      </c>
      <c r="G469" s="662">
        <v>0.77140636505360172</v>
      </c>
      <c r="H469" s="659" t="s">
        <v>66</v>
      </c>
      <c r="I469" s="663">
        <v>0.98415313112366065</v>
      </c>
      <c r="J469" s="659" t="s">
        <v>1097</v>
      </c>
      <c r="K469" s="665" t="s">
        <v>1265</v>
      </c>
      <c r="L469" s="665" t="s">
        <v>1228</v>
      </c>
      <c r="M469" s="659" t="s">
        <v>88</v>
      </c>
      <c r="N469" s="664">
        <v>47.769444576374127</v>
      </c>
      <c r="O469" s="664">
        <v>61.116182987439778</v>
      </c>
      <c r="P469" s="664">
        <v>41.400185299524225</v>
      </c>
      <c r="Q469" s="664" t="s">
        <v>871</v>
      </c>
      <c r="R469" s="37"/>
      <c r="S469" s="659" t="s">
        <v>69</v>
      </c>
      <c r="T469" s="659" t="s">
        <v>69</v>
      </c>
      <c r="U469" s="659" t="s">
        <v>69</v>
      </c>
      <c r="V469" s="659" t="s">
        <v>69</v>
      </c>
      <c r="W469" s="659" t="s">
        <v>76</v>
      </c>
      <c r="X469" s="37"/>
      <c r="Y469" s="37"/>
      <c r="Z469" s="659" t="s">
        <v>78</v>
      </c>
      <c r="AA469" s="659" t="s">
        <v>78</v>
      </c>
      <c r="AB469" s="37"/>
      <c r="AC469" s="666">
        <v>6.6986301369863011</v>
      </c>
      <c r="AD469" s="664" t="s">
        <v>72</v>
      </c>
      <c r="AE469" s="659" t="s">
        <v>73</v>
      </c>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c r="CA469" s="393"/>
      <c r="CB469" s="393"/>
      <c r="CC469" s="393"/>
      <c r="CD469" s="393"/>
      <c r="CE469" s="393"/>
      <c r="CF469" s="393"/>
      <c r="CG469" s="393"/>
      <c r="CH469" s="393"/>
      <c r="CI469" s="393"/>
      <c r="CJ469" s="390"/>
      <c r="CK469" s="390"/>
      <c r="CL469" s="390"/>
      <c r="CM469" s="390"/>
      <c r="CN469" s="390"/>
      <c r="CO469" s="390"/>
      <c r="CP469" s="390"/>
      <c r="CQ469" s="390"/>
      <c r="CR469" s="390"/>
      <c r="CS469" s="390"/>
      <c r="CT469" s="390"/>
      <c r="CU469" s="390"/>
      <c r="CV469" s="390"/>
      <c r="CW469" s="390"/>
      <c r="CX469" s="390"/>
      <c r="CY469" s="390"/>
      <c r="CZ469" s="390"/>
      <c r="DA469" s="390"/>
      <c r="DB469" s="390"/>
      <c r="DC469" s="390"/>
    </row>
    <row r="470" spans="1:107" s="317" customFormat="1" ht="56.25">
      <c r="A470" s="37"/>
      <c r="B470" s="658" t="s">
        <v>23</v>
      </c>
      <c r="C470" s="659" t="s">
        <v>1154</v>
      </c>
      <c r="D470" s="691" t="s">
        <v>1226</v>
      </c>
      <c r="E470" s="661">
        <v>419.28477946906577</v>
      </c>
      <c r="F470" s="659" t="s">
        <v>27</v>
      </c>
      <c r="G470" s="662">
        <v>0.77140636505360172</v>
      </c>
      <c r="H470" s="659" t="s">
        <v>66</v>
      </c>
      <c r="I470" s="663">
        <v>0.98415313112366065</v>
      </c>
      <c r="J470" s="659" t="s">
        <v>1097</v>
      </c>
      <c r="K470" s="665" t="s">
        <v>1265</v>
      </c>
      <c r="L470" s="665" t="s">
        <v>1228</v>
      </c>
      <c r="M470" s="659" t="s">
        <v>90</v>
      </c>
      <c r="N470" s="664">
        <v>47.769444576374127</v>
      </c>
      <c r="O470" s="664">
        <v>71.302213485346414</v>
      </c>
      <c r="P470" s="664">
        <v>41.400185299524225</v>
      </c>
      <c r="Q470" s="664" t="s">
        <v>1109</v>
      </c>
      <c r="R470" s="37"/>
      <c r="S470" s="659" t="s">
        <v>69</v>
      </c>
      <c r="T470" s="659" t="s">
        <v>69</v>
      </c>
      <c r="U470" s="659" t="s">
        <v>69</v>
      </c>
      <c r="V470" s="659" t="s">
        <v>69</v>
      </c>
      <c r="W470" s="659" t="s">
        <v>76</v>
      </c>
      <c r="X470" s="37"/>
      <c r="Y470" s="37"/>
      <c r="Z470" s="659" t="s">
        <v>78</v>
      </c>
      <c r="AA470" s="659" t="s">
        <v>78</v>
      </c>
      <c r="AB470" s="37"/>
      <c r="AC470" s="666">
        <v>6.6986301369863011</v>
      </c>
      <c r="AD470" s="664" t="s">
        <v>72</v>
      </c>
      <c r="AE470" s="659" t="s">
        <v>73</v>
      </c>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c r="CA470" s="393"/>
      <c r="CB470" s="393"/>
      <c r="CC470" s="393"/>
      <c r="CD470" s="393"/>
      <c r="CE470" s="393"/>
      <c r="CF470" s="393"/>
      <c r="CG470" s="393"/>
      <c r="CH470" s="393"/>
      <c r="CI470" s="393"/>
      <c r="CJ470" s="390"/>
      <c r="CK470" s="390"/>
      <c r="CL470" s="390"/>
      <c r="CM470" s="390"/>
      <c r="CN470" s="390"/>
      <c r="CO470" s="390"/>
      <c r="CP470" s="390"/>
      <c r="CQ470" s="390"/>
      <c r="CR470" s="390"/>
      <c r="CS470" s="390"/>
      <c r="CT470" s="390"/>
      <c r="CU470" s="390"/>
      <c r="CV470" s="390"/>
      <c r="CW470" s="390"/>
      <c r="CX470" s="390"/>
      <c r="CY470" s="390"/>
      <c r="CZ470" s="390"/>
      <c r="DA470" s="390"/>
      <c r="DB470" s="390"/>
      <c r="DC470" s="390"/>
    </row>
    <row r="471" spans="1:107" s="317" customFormat="1" ht="56.25">
      <c r="A471" s="37"/>
      <c r="B471" s="658" t="s">
        <v>23</v>
      </c>
      <c r="C471" s="659" t="s">
        <v>1154</v>
      </c>
      <c r="D471" s="691" t="s">
        <v>1226</v>
      </c>
      <c r="E471" s="661">
        <v>419.28477946906577</v>
      </c>
      <c r="F471" s="659" t="s">
        <v>27</v>
      </c>
      <c r="G471" s="662">
        <v>0.77140636505360172</v>
      </c>
      <c r="H471" s="659" t="s">
        <v>66</v>
      </c>
      <c r="I471" s="663">
        <v>0.98415313112366065</v>
      </c>
      <c r="J471" s="659" t="s">
        <v>1097</v>
      </c>
      <c r="K471" s="665" t="s">
        <v>1265</v>
      </c>
      <c r="L471" s="665" t="s">
        <v>1228</v>
      </c>
      <c r="M471" s="659" t="s">
        <v>91</v>
      </c>
      <c r="N471" s="664">
        <v>47.769444576374127</v>
      </c>
      <c r="O471" s="664" t="s">
        <v>870</v>
      </c>
      <c r="P471" s="664">
        <v>41.400185299524225</v>
      </c>
      <c r="Q471" s="664">
        <v>17.825553371336603</v>
      </c>
      <c r="R471" s="37"/>
      <c r="S471" s="659" t="s">
        <v>69</v>
      </c>
      <c r="T471" s="659" t="s">
        <v>69</v>
      </c>
      <c r="U471" s="665" t="s">
        <v>870</v>
      </c>
      <c r="V471" s="665" t="s">
        <v>870</v>
      </c>
      <c r="W471" s="659" t="s">
        <v>76</v>
      </c>
      <c r="X471" s="37"/>
      <c r="Y471" s="37"/>
      <c r="Z471" s="659" t="s">
        <v>78</v>
      </c>
      <c r="AA471" s="659" t="s">
        <v>78</v>
      </c>
      <c r="AB471" s="37"/>
      <c r="AC471" s="666">
        <v>6.6986301369863011</v>
      </c>
      <c r="AD471" s="664" t="s">
        <v>72</v>
      </c>
      <c r="AE471" s="659" t="s">
        <v>73</v>
      </c>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c r="CA471" s="393"/>
      <c r="CB471" s="393"/>
      <c r="CC471" s="393"/>
      <c r="CD471" s="393"/>
      <c r="CE471" s="393"/>
      <c r="CF471" s="393"/>
      <c r="CG471" s="393"/>
      <c r="CH471" s="393"/>
      <c r="CI471" s="393"/>
      <c r="CJ471" s="390"/>
      <c r="CK471" s="390"/>
      <c r="CL471" s="390"/>
      <c r="CM471" s="390"/>
      <c r="CN471" s="390"/>
      <c r="CO471" s="390"/>
      <c r="CP471" s="390"/>
      <c r="CQ471" s="390"/>
      <c r="CR471" s="390"/>
      <c r="CS471" s="390"/>
      <c r="CT471" s="390"/>
      <c r="CU471" s="390"/>
      <c r="CV471" s="390"/>
      <c r="CW471" s="390"/>
      <c r="CX471" s="390"/>
      <c r="CY471" s="390"/>
      <c r="CZ471" s="390"/>
      <c r="DA471" s="390"/>
      <c r="DB471" s="390"/>
      <c r="DC471" s="390"/>
    </row>
    <row r="472" spans="1:107" s="317" customFormat="1" ht="56.25">
      <c r="A472" s="37"/>
      <c r="B472" s="658" t="s">
        <v>23</v>
      </c>
      <c r="C472" s="659" t="s">
        <v>1154</v>
      </c>
      <c r="D472" s="691" t="s">
        <v>1226</v>
      </c>
      <c r="E472" s="661">
        <v>419.28477946906577</v>
      </c>
      <c r="F472" s="659" t="s">
        <v>27</v>
      </c>
      <c r="G472" s="662">
        <v>0.77140636505360172</v>
      </c>
      <c r="H472" s="659" t="s">
        <v>66</v>
      </c>
      <c r="I472" s="663">
        <v>0.98415313112366065</v>
      </c>
      <c r="J472" s="659" t="s">
        <v>1097</v>
      </c>
      <c r="K472" s="665" t="s">
        <v>1265</v>
      </c>
      <c r="L472" s="665" t="s">
        <v>1228</v>
      </c>
      <c r="M472" s="659" t="s">
        <v>92</v>
      </c>
      <c r="N472" s="664">
        <v>47.769444576374127</v>
      </c>
      <c r="O472" s="664">
        <v>91.674274481159671</v>
      </c>
      <c r="P472" s="664">
        <v>41.400185299524225</v>
      </c>
      <c r="Q472" s="664">
        <v>30.558091493719889</v>
      </c>
      <c r="R472" s="37"/>
      <c r="S472" s="659" t="s">
        <v>69</v>
      </c>
      <c r="T472" s="659" t="s">
        <v>69</v>
      </c>
      <c r="U472" s="659" t="s">
        <v>69</v>
      </c>
      <c r="V472" s="659" t="s">
        <v>69</v>
      </c>
      <c r="W472" s="659" t="s">
        <v>76</v>
      </c>
      <c r="X472" s="37"/>
      <c r="Y472" s="37"/>
      <c r="Z472" s="659" t="s">
        <v>78</v>
      </c>
      <c r="AA472" s="659" t="s">
        <v>78</v>
      </c>
      <c r="AB472" s="37"/>
      <c r="AC472" s="666">
        <v>6.6986301369863011</v>
      </c>
      <c r="AD472" s="664" t="s">
        <v>72</v>
      </c>
      <c r="AE472" s="659" t="s">
        <v>73</v>
      </c>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c r="CA472" s="393"/>
      <c r="CB472" s="393"/>
      <c r="CC472" s="393"/>
      <c r="CD472" s="393"/>
      <c r="CE472" s="393"/>
      <c r="CF472" s="393"/>
      <c r="CG472" s="393"/>
      <c r="CH472" s="393"/>
      <c r="CI472" s="393"/>
      <c r="CJ472" s="390"/>
      <c r="CK472" s="390"/>
      <c r="CL472" s="390"/>
      <c r="CM472" s="390"/>
      <c r="CN472" s="390"/>
      <c r="CO472" s="390"/>
      <c r="CP472" s="390"/>
      <c r="CQ472" s="390"/>
      <c r="CR472" s="390"/>
      <c r="CS472" s="390"/>
      <c r="CT472" s="390"/>
      <c r="CU472" s="390"/>
      <c r="CV472" s="390"/>
      <c r="CW472" s="390"/>
      <c r="CX472" s="390"/>
      <c r="CY472" s="390"/>
      <c r="CZ472" s="390"/>
      <c r="DA472" s="390"/>
      <c r="DB472" s="390"/>
      <c r="DC472" s="390"/>
    </row>
    <row r="473" spans="1:107" s="317" customFormat="1" ht="56.25">
      <c r="A473" s="37"/>
      <c r="B473" s="658" t="s">
        <v>23</v>
      </c>
      <c r="C473" s="659" t="s">
        <v>1154</v>
      </c>
      <c r="D473" s="691" t="s">
        <v>1226</v>
      </c>
      <c r="E473" s="661">
        <v>419.28477946906577</v>
      </c>
      <c r="F473" s="659" t="s">
        <v>27</v>
      </c>
      <c r="G473" s="662">
        <v>0.77140636505360172</v>
      </c>
      <c r="H473" s="659" t="s">
        <v>66</v>
      </c>
      <c r="I473" s="663">
        <v>0.98415313112366065</v>
      </c>
      <c r="J473" s="659" t="s">
        <v>1097</v>
      </c>
      <c r="K473" s="665" t="s">
        <v>1265</v>
      </c>
      <c r="L473" s="665" t="s">
        <v>1228</v>
      </c>
      <c r="M473" s="659" t="s">
        <v>93</v>
      </c>
      <c r="N473" s="664">
        <v>47.769444576374127</v>
      </c>
      <c r="O473" s="664">
        <v>96.767289730112978</v>
      </c>
      <c r="P473" s="664">
        <v>41.400185299524225</v>
      </c>
      <c r="Q473" s="664">
        <v>35.651106742673207</v>
      </c>
      <c r="R473" s="37"/>
      <c r="S473" s="659" t="s">
        <v>69</v>
      </c>
      <c r="T473" s="659" t="s">
        <v>69</v>
      </c>
      <c r="U473" s="659" t="s">
        <v>44</v>
      </c>
      <c r="V473" s="659" t="s">
        <v>75</v>
      </c>
      <c r="W473" s="659" t="s">
        <v>76</v>
      </c>
      <c r="X473" s="37"/>
      <c r="Y473" s="37"/>
      <c r="Z473" s="659" t="s">
        <v>78</v>
      </c>
      <c r="AA473" s="659" t="s">
        <v>78</v>
      </c>
      <c r="AB473" s="37"/>
      <c r="AC473" s="666">
        <v>6.6986301369863011</v>
      </c>
      <c r="AD473" s="664" t="s">
        <v>72</v>
      </c>
      <c r="AE473" s="659" t="s">
        <v>73</v>
      </c>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c r="CA473" s="393"/>
      <c r="CB473" s="393"/>
      <c r="CC473" s="393"/>
      <c r="CD473" s="393"/>
      <c r="CE473" s="393"/>
      <c r="CF473" s="393"/>
      <c r="CG473" s="393"/>
      <c r="CH473" s="393"/>
      <c r="CI473" s="393"/>
      <c r="CJ473" s="390"/>
      <c r="CK473" s="390"/>
      <c r="CL473" s="390"/>
      <c r="CM473" s="390"/>
      <c r="CN473" s="390"/>
      <c r="CO473" s="390"/>
      <c r="CP473" s="390"/>
      <c r="CQ473" s="390"/>
      <c r="CR473" s="390"/>
      <c r="CS473" s="390"/>
      <c r="CT473" s="390"/>
      <c r="CU473" s="390"/>
      <c r="CV473" s="390"/>
      <c r="CW473" s="390"/>
      <c r="CX473" s="390"/>
      <c r="CY473" s="390"/>
      <c r="CZ473" s="390"/>
      <c r="DA473" s="390"/>
      <c r="DB473" s="390"/>
      <c r="DC473" s="390"/>
    </row>
    <row r="474" spans="1:107" s="317" customFormat="1" ht="56.25">
      <c r="A474" s="37"/>
      <c r="B474" s="658" t="s">
        <v>23</v>
      </c>
      <c r="C474" s="659" t="s">
        <v>1154</v>
      </c>
      <c r="D474" s="691" t="s">
        <v>1226</v>
      </c>
      <c r="E474" s="661">
        <v>419.28477946906577</v>
      </c>
      <c r="F474" s="659" t="s">
        <v>27</v>
      </c>
      <c r="G474" s="662">
        <v>0.77140636505360172</v>
      </c>
      <c r="H474" s="659" t="s">
        <v>66</v>
      </c>
      <c r="I474" s="663">
        <v>0.98415313112366065</v>
      </c>
      <c r="J474" s="659" t="s">
        <v>1097</v>
      </c>
      <c r="K474" s="665" t="s">
        <v>1265</v>
      </c>
      <c r="L474" s="665" t="s">
        <v>1227</v>
      </c>
      <c r="M474" s="659" t="s">
        <v>88</v>
      </c>
      <c r="N474" s="664">
        <v>66.227974995518693</v>
      </c>
      <c r="O474" s="664">
        <v>61.116182987439778</v>
      </c>
      <c r="P474" s="664">
        <v>56.601815839193286</v>
      </c>
      <c r="Q474" s="664" t="s">
        <v>871</v>
      </c>
      <c r="R474" s="37"/>
      <c r="S474" s="665" t="s">
        <v>44</v>
      </c>
      <c r="T474" s="665" t="s">
        <v>63</v>
      </c>
      <c r="U474" s="659" t="s">
        <v>69</v>
      </c>
      <c r="V474" s="659" t="s">
        <v>69</v>
      </c>
      <c r="W474" s="659" t="s">
        <v>76</v>
      </c>
      <c r="X474" s="37"/>
      <c r="Y474" s="37"/>
      <c r="Z474" s="659" t="s">
        <v>78</v>
      </c>
      <c r="AA474" s="659" t="s">
        <v>78</v>
      </c>
      <c r="AB474" s="37"/>
      <c r="AC474" s="666">
        <v>6.6986301369863011</v>
      </c>
      <c r="AD474" s="664" t="s">
        <v>72</v>
      </c>
      <c r="AE474" s="659" t="s">
        <v>73</v>
      </c>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c r="CA474" s="393"/>
      <c r="CB474" s="393"/>
      <c r="CC474" s="393"/>
      <c r="CD474" s="393"/>
      <c r="CE474" s="393"/>
      <c r="CF474" s="393"/>
      <c r="CG474" s="393"/>
      <c r="CH474" s="393"/>
      <c r="CI474" s="393"/>
      <c r="CJ474" s="390"/>
      <c r="CK474" s="390"/>
      <c r="CL474" s="390"/>
      <c r="CM474" s="390"/>
      <c r="CN474" s="390"/>
      <c r="CO474" s="390"/>
      <c r="CP474" s="390"/>
      <c r="CQ474" s="390"/>
      <c r="CR474" s="390"/>
      <c r="CS474" s="390"/>
      <c r="CT474" s="390"/>
      <c r="CU474" s="390"/>
      <c r="CV474" s="390"/>
      <c r="CW474" s="390"/>
      <c r="CX474" s="390"/>
      <c r="CY474" s="390"/>
      <c r="CZ474" s="390"/>
      <c r="DA474" s="390"/>
      <c r="DB474" s="390"/>
      <c r="DC474" s="390"/>
    </row>
    <row r="475" spans="1:107" s="317" customFormat="1" ht="56.25">
      <c r="A475" s="37"/>
      <c r="B475" s="658" t="s">
        <v>23</v>
      </c>
      <c r="C475" s="659" t="s">
        <v>1154</v>
      </c>
      <c r="D475" s="691" t="s">
        <v>1226</v>
      </c>
      <c r="E475" s="661">
        <v>419.28477946906577</v>
      </c>
      <c r="F475" s="659" t="s">
        <v>27</v>
      </c>
      <c r="G475" s="662">
        <v>0.77140636505360172</v>
      </c>
      <c r="H475" s="659" t="s">
        <v>66</v>
      </c>
      <c r="I475" s="663">
        <v>0.98415313112366065</v>
      </c>
      <c r="J475" s="659" t="s">
        <v>1097</v>
      </c>
      <c r="K475" s="665" t="s">
        <v>1265</v>
      </c>
      <c r="L475" s="665" t="s">
        <v>1227</v>
      </c>
      <c r="M475" s="659" t="s">
        <v>90</v>
      </c>
      <c r="N475" s="664">
        <v>66.227974995518693</v>
      </c>
      <c r="O475" s="664">
        <v>71.302213485346414</v>
      </c>
      <c r="P475" s="664">
        <v>56.601815839193286</v>
      </c>
      <c r="Q475" s="664" t="s">
        <v>1109</v>
      </c>
      <c r="R475" s="37"/>
      <c r="S475" s="665" t="s">
        <v>44</v>
      </c>
      <c r="T475" s="665" t="s">
        <v>63</v>
      </c>
      <c r="U475" s="659" t="s">
        <v>69</v>
      </c>
      <c r="V475" s="659" t="s">
        <v>69</v>
      </c>
      <c r="W475" s="659" t="s">
        <v>76</v>
      </c>
      <c r="X475" s="37"/>
      <c r="Y475" s="37"/>
      <c r="Z475" s="659" t="s">
        <v>78</v>
      </c>
      <c r="AA475" s="659" t="s">
        <v>78</v>
      </c>
      <c r="AB475" s="37"/>
      <c r="AC475" s="666">
        <v>6.6986301369863011</v>
      </c>
      <c r="AD475" s="664" t="s">
        <v>72</v>
      </c>
      <c r="AE475" s="659" t="s">
        <v>73</v>
      </c>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c r="CA475" s="393"/>
      <c r="CB475" s="393"/>
      <c r="CC475" s="393"/>
      <c r="CD475" s="393"/>
      <c r="CE475" s="393"/>
      <c r="CF475" s="393"/>
      <c r="CG475" s="393"/>
      <c r="CH475" s="393"/>
      <c r="CI475" s="393"/>
      <c r="CJ475" s="390"/>
      <c r="CK475" s="390"/>
      <c r="CL475" s="390"/>
      <c r="CM475" s="390"/>
      <c r="CN475" s="390"/>
      <c r="CO475" s="390"/>
      <c r="CP475" s="390"/>
      <c r="CQ475" s="390"/>
      <c r="CR475" s="390"/>
      <c r="CS475" s="390"/>
      <c r="CT475" s="390"/>
      <c r="CU475" s="390"/>
      <c r="CV475" s="390"/>
      <c r="CW475" s="390"/>
      <c r="CX475" s="390"/>
      <c r="CY475" s="390"/>
      <c r="CZ475" s="390"/>
      <c r="DA475" s="390"/>
      <c r="DB475" s="390"/>
      <c r="DC475" s="390"/>
    </row>
    <row r="476" spans="1:107" s="317" customFormat="1" ht="56.25">
      <c r="A476" s="37"/>
      <c r="B476" s="658" t="s">
        <v>23</v>
      </c>
      <c r="C476" s="659" t="s">
        <v>1154</v>
      </c>
      <c r="D476" s="691" t="s">
        <v>1226</v>
      </c>
      <c r="E476" s="661">
        <v>419.28477946906577</v>
      </c>
      <c r="F476" s="659" t="s">
        <v>27</v>
      </c>
      <c r="G476" s="662">
        <v>0.77140636505360172</v>
      </c>
      <c r="H476" s="659" t="s">
        <v>66</v>
      </c>
      <c r="I476" s="663">
        <v>0.98415313112366065</v>
      </c>
      <c r="J476" s="659" t="s">
        <v>1097</v>
      </c>
      <c r="K476" s="665" t="s">
        <v>1265</v>
      </c>
      <c r="L476" s="665" t="s">
        <v>1227</v>
      </c>
      <c r="M476" s="659" t="s">
        <v>91</v>
      </c>
      <c r="N476" s="664">
        <v>66.227974995518693</v>
      </c>
      <c r="O476" s="664" t="s">
        <v>870</v>
      </c>
      <c r="P476" s="664">
        <v>56.601815839193286</v>
      </c>
      <c r="Q476" s="664">
        <v>17.825553371336603</v>
      </c>
      <c r="R476" s="37"/>
      <c r="S476" s="665" t="s">
        <v>44</v>
      </c>
      <c r="T476" s="665" t="s">
        <v>63</v>
      </c>
      <c r="U476" s="665" t="s">
        <v>870</v>
      </c>
      <c r="V476" s="665" t="s">
        <v>870</v>
      </c>
      <c r="W476" s="659" t="s">
        <v>76</v>
      </c>
      <c r="X476" s="37"/>
      <c r="Y476" s="37"/>
      <c r="Z476" s="659" t="s">
        <v>78</v>
      </c>
      <c r="AA476" s="659" t="s">
        <v>78</v>
      </c>
      <c r="AB476" s="37"/>
      <c r="AC476" s="666">
        <v>6.6986301369863011</v>
      </c>
      <c r="AD476" s="664" t="s">
        <v>72</v>
      </c>
      <c r="AE476" s="659" t="s">
        <v>73</v>
      </c>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c r="CA476" s="393"/>
      <c r="CB476" s="393"/>
      <c r="CC476" s="393"/>
      <c r="CD476" s="393"/>
      <c r="CE476" s="393"/>
      <c r="CF476" s="393"/>
      <c r="CG476" s="393"/>
      <c r="CH476" s="393"/>
      <c r="CI476" s="393"/>
      <c r="CJ476" s="390"/>
      <c r="CK476" s="390"/>
      <c r="CL476" s="390"/>
      <c r="CM476" s="390"/>
      <c r="CN476" s="390"/>
      <c r="CO476" s="390"/>
      <c r="CP476" s="390"/>
      <c r="CQ476" s="390"/>
      <c r="CR476" s="390"/>
      <c r="CS476" s="390"/>
      <c r="CT476" s="390"/>
      <c r="CU476" s="390"/>
      <c r="CV476" s="390"/>
      <c r="CW476" s="390"/>
      <c r="CX476" s="390"/>
      <c r="CY476" s="390"/>
      <c r="CZ476" s="390"/>
      <c r="DA476" s="390"/>
      <c r="DB476" s="390"/>
      <c r="DC476" s="390"/>
    </row>
    <row r="477" spans="1:107" s="317" customFormat="1" ht="56.25">
      <c r="A477" s="37"/>
      <c r="B477" s="658" t="s">
        <v>23</v>
      </c>
      <c r="C477" s="659" t="s">
        <v>1154</v>
      </c>
      <c r="D477" s="691" t="s">
        <v>1226</v>
      </c>
      <c r="E477" s="661">
        <v>419.28477946906577</v>
      </c>
      <c r="F477" s="659" t="s">
        <v>27</v>
      </c>
      <c r="G477" s="662">
        <v>0.77140636505360172</v>
      </c>
      <c r="H477" s="659" t="s">
        <v>66</v>
      </c>
      <c r="I477" s="663">
        <v>0.98415313112366065</v>
      </c>
      <c r="J477" s="659" t="s">
        <v>1097</v>
      </c>
      <c r="K477" s="665" t="s">
        <v>1265</v>
      </c>
      <c r="L477" s="665" t="s">
        <v>1227</v>
      </c>
      <c r="M477" s="659" t="s">
        <v>92</v>
      </c>
      <c r="N477" s="664">
        <v>66.227974995518693</v>
      </c>
      <c r="O477" s="664">
        <v>91.674274481159671</v>
      </c>
      <c r="P477" s="664">
        <v>56.601815839193286</v>
      </c>
      <c r="Q477" s="664">
        <v>30.558091493719889</v>
      </c>
      <c r="R477" s="37"/>
      <c r="S477" s="665" t="s">
        <v>44</v>
      </c>
      <c r="T477" s="665" t="s">
        <v>63</v>
      </c>
      <c r="U477" s="659" t="s">
        <v>69</v>
      </c>
      <c r="V477" s="659" t="s">
        <v>69</v>
      </c>
      <c r="W477" s="659" t="s">
        <v>76</v>
      </c>
      <c r="X477" s="37"/>
      <c r="Y477" s="37"/>
      <c r="Z477" s="659" t="s">
        <v>78</v>
      </c>
      <c r="AA477" s="659" t="s">
        <v>78</v>
      </c>
      <c r="AB477" s="37"/>
      <c r="AC477" s="666">
        <v>6.6986301369863011</v>
      </c>
      <c r="AD477" s="664" t="s">
        <v>72</v>
      </c>
      <c r="AE477" s="659" t="s">
        <v>73</v>
      </c>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c r="CA477" s="393"/>
      <c r="CB477" s="393"/>
      <c r="CC477" s="393"/>
      <c r="CD477" s="393"/>
      <c r="CE477" s="393"/>
      <c r="CF477" s="393"/>
      <c r="CG477" s="393"/>
      <c r="CH477" s="393"/>
      <c r="CI477" s="393"/>
      <c r="CJ477" s="390"/>
      <c r="CK477" s="390"/>
      <c r="CL477" s="390"/>
      <c r="CM477" s="390"/>
      <c r="CN477" s="390"/>
      <c r="CO477" s="390"/>
      <c r="CP477" s="390"/>
      <c r="CQ477" s="390"/>
      <c r="CR477" s="390"/>
      <c r="CS477" s="390"/>
      <c r="CT477" s="390"/>
      <c r="CU477" s="390"/>
      <c r="CV477" s="390"/>
      <c r="CW477" s="390"/>
      <c r="CX477" s="390"/>
      <c r="CY477" s="390"/>
      <c r="CZ477" s="390"/>
      <c r="DA477" s="390"/>
      <c r="DB477" s="390"/>
      <c r="DC477" s="390"/>
    </row>
    <row r="478" spans="1:107" s="317" customFormat="1" ht="56.25">
      <c r="A478" s="37"/>
      <c r="B478" s="658" t="s">
        <v>23</v>
      </c>
      <c r="C478" s="659" t="s">
        <v>1154</v>
      </c>
      <c r="D478" s="691" t="s">
        <v>1226</v>
      </c>
      <c r="E478" s="661">
        <v>419.28477946906577</v>
      </c>
      <c r="F478" s="659" t="s">
        <v>27</v>
      </c>
      <c r="G478" s="662">
        <v>0.77140636505360172</v>
      </c>
      <c r="H478" s="659" t="s">
        <v>66</v>
      </c>
      <c r="I478" s="663">
        <v>0.98415313112366065</v>
      </c>
      <c r="J478" s="659" t="s">
        <v>1097</v>
      </c>
      <c r="K478" s="665" t="s">
        <v>1265</v>
      </c>
      <c r="L478" s="665" t="s">
        <v>1227</v>
      </c>
      <c r="M478" s="659" t="s">
        <v>93</v>
      </c>
      <c r="N478" s="664">
        <v>66.227974995518693</v>
      </c>
      <c r="O478" s="664">
        <v>96.767289730112978</v>
      </c>
      <c r="P478" s="664">
        <v>56.601815839193286</v>
      </c>
      <c r="Q478" s="664">
        <v>35.651106742673207</v>
      </c>
      <c r="R478" s="37"/>
      <c r="S478" s="665" t="s">
        <v>44</v>
      </c>
      <c r="T478" s="665" t="s">
        <v>63</v>
      </c>
      <c r="U478" s="659" t="s">
        <v>44</v>
      </c>
      <c r="V478" s="659" t="s">
        <v>75</v>
      </c>
      <c r="W478" s="659" t="s">
        <v>76</v>
      </c>
      <c r="X478" s="37"/>
      <c r="Y478" s="37"/>
      <c r="Z478" s="659" t="s">
        <v>78</v>
      </c>
      <c r="AA478" s="659" t="s">
        <v>78</v>
      </c>
      <c r="AB478" s="37"/>
      <c r="AC478" s="666">
        <v>6.6986301369863011</v>
      </c>
      <c r="AD478" s="664" t="s">
        <v>72</v>
      </c>
      <c r="AE478" s="659" t="s">
        <v>73</v>
      </c>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c r="CA478" s="393"/>
      <c r="CB478" s="393"/>
      <c r="CC478" s="393"/>
      <c r="CD478" s="393"/>
      <c r="CE478" s="393"/>
      <c r="CF478" s="393"/>
      <c r="CG478" s="393"/>
      <c r="CH478" s="393"/>
      <c r="CI478" s="393"/>
      <c r="CJ478" s="390"/>
      <c r="CK478" s="390"/>
      <c r="CL478" s="390"/>
      <c r="CM478" s="390"/>
      <c r="CN478" s="390"/>
      <c r="CO478" s="390"/>
      <c r="CP478" s="390"/>
      <c r="CQ478" s="390"/>
      <c r="CR478" s="390"/>
      <c r="CS478" s="390"/>
      <c r="CT478" s="390"/>
      <c r="CU478" s="390"/>
      <c r="CV478" s="390"/>
      <c r="CW478" s="390"/>
      <c r="CX478" s="390"/>
      <c r="CY478" s="390"/>
      <c r="CZ478" s="390"/>
      <c r="DA478" s="390"/>
      <c r="DB478" s="390"/>
      <c r="DC478" s="390"/>
    </row>
    <row r="479" spans="1:107" s="317" customFormat="1" ht="24">
      <c r="A479" s="37"/>
      <c r="B479" s="658" t="s">
        <v>23</v>
      </c>
      <c r="C479" s="659" t="s">
        <v>1154</v>
      </c>
      <c r="D479" s="691" t="s">
        <v>1226</v>
      </c>
      <c r="E479" s="661">
        <v>419.28477946906577</v>
      </c>
      <c r="F479" s="659" t="s">
        <v>1245</v>
      </c>
      <c r="G479" s="662">
        <v>0.16313589837577527</v>
      </c>
      <c r="H479" s="659" t="s">
        <v>66</v>
      </c>
      <c r="I479" s="663">
        <v>0.99318613029000236</v>
      </c>
      <c r="J479" s="659" t="s">
        <v>994</v>
      </c>
      <c r="K479" s="665" t="s">
        <v>1265</v>
      </c>
      <c r="L479" s="665" t="s">
        <v>1227</v>
      </c>
      <c r="M479" s="659" t="s">
        <v>88</v>
      </c>
      <c r="N479" s="664">
        <v>29.498954604579939</v>
      </c>
      <c r="O479" s="664">
        <v>13.04339093105118</v>
      </c>
      <c r="P479" s="664">
        <v>27.590237638395351</v>
      </c>
      <c r="Q479" s="664" t="s">
        <v>871</v>
      </c>
      <c r="R479" s="37"/>
      <c r="S479" s="665" t="s">
        <v>44</v>
      </c>
      <c r="T479" s="665" t="s">
        <v>63</v>
      </c>
      <c r="U479" s="659" t="s">
        <v>69</v>
      </c>
      <c r="V479" s="659" t="s">
        <v>69</v>
      </c>
      <c r="W479" s="659" t="s">
        <v>76</v>
      </c>
      <c r="X479" s="37"/>
      <c r="Y479" s="37"/>
      <c r="Z479" s="659" t="s">
        <v>78</v>
      </c>
      <c r="AA479" s="659" t="s">
        <v>78</v>
      </c>
      <c r="AB479" s="37"/>
      <c r="AC479" s="666">
        <v>6.6986301369863011</v>
      </c>
      <c r="AD479" s="664" t="s">
        <v>72</v>
      </c>
      <c r="AE479" s="659" t="s">
        <v>73</v>
      </c>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c r="CA479" s="393"/>
      <c r="CB479" s="393"/>
      <c r="CC479" s="393"/>
      <c r="CD479" s="393"/>
      <c r="CE479" s="393"/>
      <c r="CF479" s="393"/>
      <c r="CG479" s="393"/>
      <c r="CH479" s="393"/>
      <c r="CI479" s="393"/>
      <c r="CJ479" s="390"/>
      <c r="CK479" s="390"/>
      <c r="CL479" s="390"/>
      <c r="CM479" s="390"/>
      <c r="CN479" s="390"/>
      <c r="CO479" s="390"/>
      <c r="CP479" s="390"/>
      <c r="CQ479" s="390"/>
      <c r="CR479" s="390"/>
      <c r="CS479" s="390"/>
      <c r="CT479" s="390"/>
      <c r="CU479" s="390"/>
      <c r="CV479" s="390"/>
      <c r="CW479" s="390"/>
      <c r="CX479" s="390"/>
      <c r="CY479" s="390"/>
      <c r="CZ479" s="390"/>
      <c r="DA479" s="390"/>
      <c r="DB479" s="390"/>
      <c r="DC479" s="390"/>
    </row>
    <row r="480" spans="1:107" s="317" customFormat="1" ht="24">
      <c r="A480" s="37"/>
      <c r="B480" s="658" t="s">
        <v>23</v>
      </c>
      <c r="C480" s="659" t="s">
        <v>1154</v>
      </c>
      <c r="D480" s="691" t="s">
        <v>1226</v>
      </c>
      <c r="E480" s="661">
        <v>419.28477946906577</v>
      </c>
      <c r="F480" s="659" t="s">
        <v>1245</v>
      </c>
      <c r="G480" s="662">
        <v>0.16313589837577527</v>
      </c>
      <c r="H480" s="659" t="s">
        <v>66</v>
      </c>
      <c r="I480" s="663">
        <v>0.99318613029000236</v>
      </c>
      <c r="J480" s="659" t="s">
        <v>994</v>
      </c>
      <c r="K480" s="665" t="s">
        <v>1265</v>
      </c>
      <c r="L480" s="665" t="s">
        <v>1227</v>
      </c>
      <c r="M480" s="659" t="s">
        <v>90</v>
      </c>
      <c r="N480" s="664">
        <v>29.498954604579939</v>
      </c>
      <c r="O480" s="664">
        <v>15.217289419559714</v>
      </c>
      <c r="P480" s="664">
        <v>27.590237638395351</v>
      </c>
      <c r="Q480" s="664" t="s">
        <v>1109</v>
      </c>
      <c r="R480" s="37"/>
      <c r="S480" s="665" t="s">
        <v>44</v>
      </c>
      <c r="T480" s="665" t="s">
        <v>63</v>
      </c>
      <c r="U480" s="659" t="s">
        <v>69</v>
      </c>
      <c r="V480" s="659" t="s">
        <v>69</v>
      </c>
      <c r="W480" s="659" t="s">
        <v>76</v>
      </c>
      <c r="X480" s="37"/>
      <c r="Y480" s="37"/>
      <c r="Z480" s="659" t="s">
        <v>78</v>
      </c>
      <c r="AA480" s="659" t="s">
        <v>78</v>
      </c>
      <c r="AB480" s="37"/>
      <c r="AC480" s="666">
        <v>6.6986301369863011</v>
      </c>
      <c r="AD480" s="664" t="s">
        <v>72</v>
      </c>
      <c r="AE480" s="659" t="s">
        <v>73</v>
      </c>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c r="CA480" s="393"/>
      <c r="CB480" s="393"/>
      <c r="CC480" s="393"/>
      <c r="CD480" s="393"/>
      <c r="CE480" s="393"/>
      <c r="CF480" s="393"/>
      <c r="CG480" s="393"/>
      <c r="CH480" s="393"/>
      <c r="CI480" s="393"/>
      <c r="CJ480" s="390"/>
      <c r="CK480" s="390"/>
      <c r="CL480" s="390"/>
      <c r="CM480" s="390"/>
      <c r="CN480" s="390"/>
      <c r="CO480" s="390"/>
      <c r="CP480" s="390"/>
      <c r="CQ480" s="390"/>
      <c r="CR480" s="390"/>
      <c r="CS480" s="390"/>
      <c r="CT480" s="390"/>
      <c r="CU480" s="390"/>
      <c r="CV480" s="390"/>
      <c r="CW480" s="390"/>
      <c r="CX480" s="390"/>
      <c r="CY480" s="390"/>
      <c r="CZ480" s="390"/>
      <c r="DA480" s="390"/>
      <c r="DB480" s="390"/>
      <c r="DC480" s="390"/>
    </row>
    <row r="481" spans="1:107" s="317" customFormat="1" ht="24">
      <c r="A481" s="37"/>
      <c r="B481" s="658" t="s">
        <v>23</v>
      </c>
      <c r="C481" s="659" t="s">
        <v>1154</v>
      </c>
      <c r="D481" s="691" t="s">
        <v>1226</v>
      </c>
      <c r="E481" s="661">
        <v>419.28477946906577</v>
      </c>
      <c r="F481" s="659" t="s">
        <v>1245</v>
      </c>
      <c r="G481" s="662">
        <v>0.16313589837577527</v>
      </c>
      <c r="H481" s="659" t="s">
        <v>66</v>
      </c>
      <c r="I481" s="663">
        <v>0.99318613029000236</v>
      </c>
      <c r="J481" s="659" t="s">
        <v>994</v>
      </c>
      <c r="K481" s="665" t="s">
        <v>1265</v>
      </c>
      <c r="L481" s="665" t="s">
        <v>1227</v>
      </c>
      <c r="M481" s="659" t="s">
        <v>91</v>
      </c>
      <c r="N481" s="664">
        <v>29.498954604579939</v>
      </c>
      <c r="O481" s="664" t="s">
        <v>870</v>
      </c>
      <c r="P481" s="664">
        <v>27.590237638395351</v>
      </c>
      <c r="Q481" s="664">
        <v>3.8043223548899285</v>
      </c>
      <c r="R481" s="37"/>
      <c r="S481" s="665" t="s">
        <v>44</v>
      </c>
      <c r="T481" s="665" t="s">
        <v>63</v>
      </c>
      <c r="U481" s="665" t="s">
        <v>870</v>
      </c>
      <c r="V481" s="665" t="s">
        <v>870</v>
      </c>
      <c r="W481" s="659" t="s">
        <v>76</v>
      </c>
      <c r="X481" s="37"/>
      <c r="Y481" s="37"/>
      <c r="Z481" s="659" t="s">
        <v>78</v>
      </c>
      <c r="AA481" s="659" t="s">
        <v>78</v>
      </c>
      <c r="AB481" s="37"/>
      <c r="AC481" s="666">
        <v>6.6986301369863011</v>
      </c>
      <c r="AD481" s="664" t="s">
        <v>72</v>
      </c>
      <c r="AE481" s="659" t="s">
        <v>73</v>
      </c>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c r="CA481" s="393"/>
      <c r="CB481" s="393"/>
      <c r="CC481" s="393"/>
      <c r="CD481" s="393"/>
      <c r="CE481" s="393"/>
      <c r="CF481" s="393"/>
      <c r="CG481" s="393"/>
      <c r="CH481" s="393"/>
      <c r="CI481" s="393"/>
      <c r="CJ481" s="390"/>
      <c r="CK481" s="390"/>
      <c r="CL481" s="390"/>
      <c r="CM481" s="390"/>
      <c r="CN481" s="390"/>
      <c r="CO481" s="390"/>
      <c r="CP481" s="390"/>
      <c r="CQ481" s="390"/>
      <c r="CR481" s="390"/>
      <c r="CS481" s="390"/>
      <c r="CT481" s="390"/>
      <c r="CU481" s="390"/>
      <c r="CV481" s="390"/>
      <c r="CW481" s="390"/>
      <c r="CX481" s="390"/>
      <c r="CY481" s="390"/>
      <c r="CZ481" s="390"/>
      <c r="DA481" s="390"/>
      <c r="DB481" s="390"/>
      <c r="DC481" s="390"/>
    </row>
    <row r="482" spans="1:107" s="317" customFormat="1" ht="24">
      <c r="A482" s="37"/>
      <c r="B482" s="658" t="s">
        <v>23</v>
      </c>
      <c r="C482" s="659" t="s">
        <v>1154</v>
      </c>
      <c r="D482" s="691" t="s">
        <v>1226</v>
      </c>
      <c r="E482" s="661">
        <v>419.28477946906577</v>
      </c>
      <c r="F482" s="659" t="s">
        <v>1245</v>
      </c>
      <c r="G482" s="662">
        <v>0.16313589837577527</v>
      </c>
      <c r="H482" s="659" t="s">
        <v>66</v>
      </c>
      <c r="I482" s="663">
        <v>0.99318613029000236</v>
      </c>
      <c r="J482" s="659" t="s">
        <v>994</v>
      </c>
      <c r="K482" s="665" t="s">
        <v>1265</v>
      </c>
      <c r="L482" s="665" t="s">
        <v>1227</v>
      </c>
      <c r="M482" s="659" t="s">
        <v>92</v>
      </c>
      <c r="N482" s="664">
        <v>29.498954604579939</v>
      </c>
      <c r="O482" s="664">
        <v>19.565086396576774</v>
      </c>
      <c r="P482" s="664">
        <v>27.590237638395351</v>
      </c>
      <c r="Q482" s="664">
        <v>6.5216954655255899</v>
      </c>
      <c r="R482" s="37"/>
      <c r="S482" s="665" t="s">
        <v>44</v>
      </c>
      <c r="T482" s="665" t="s">
        <v>63</v>
      </c>
      <c r="U482" s="659" t="s">
        <v>69</v>
      </c>
      <c r="V482" s="659" t="s">
        <v>69</v>
      </c>
      <c r="W482" s="659" t="s">
        <v>76</v>
      </c>
      <c r="X482" s="37"/>
      <c r="Y482" s="37"/>
      <c r="Z482" s="659" t="s">
        <v>78</v>
      </c>
      <c r="AA482" s="659" t="s">
        <v>78</v>
      </c>
      <c r="AB482" s="37"/>
      <c r="AC482" s="666">
        <v>6.6986301369863011</v>
      </c>
      <c r="AD482" s="664" t="s">
        <v>72</v>
      </c>
      <c r="AE482" s="659" t="s">
        <v>73</v>
      </c>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c r="CA482" s="393"/>
      <c r="CB482" s="393"/>
      <c r="CC482" s="393"/>
      <c r="CD482" s="393"/>
      <c r="CE482" s="393"/>
      <c r="CF482" s="393"/>
      <c r="CG482" s="393"/>
      <c r="CH482" s="393"/>
      <c r="CI482" s="393"/>
      <c r="CJ482" s="390"/>
      <c r="CK482" s="390"/>
      <c r="CL482" s="390"/>
      <c r="CM482" s="390"/>
      <c r="CN482" s="390"/>
      <c r="CO482" s="390"/>
      <c r="CP482" s="390"/>
      <c r="CQ482" s="390"/>
      <c r="CR482" s="390"/>
      <c r="CS482" s="390"/>
      <c r="CT482" s="390"/>
      <c r="CU482" s="390"/>
      <c r="CV482" s="390"/>
      <c r="CW482" s="390"/>
      <c r="CX482" s="390"/>
      <c r="CY482" s="390"/>
      <c r="CZ482" s="390"/>
      <c r="DA482" s="390"/>
      <c r="DB482" s="390"/>
      <c r="DC482" s="390"/>
    </row>
    <row r="483" spans="1:107" s="317" customFormat="1" ht="24">
      <c r="A483" s="37"/>
      <c r="B483" s="658" t="s">
        <v>23</v>
      </c>
      <c r="C483" s="659" t="s">
        <v>1154</v>
      </c>
      <c r="D483" s="691" t="s">
        <v>1226</v>
      </c>
      <c r="E483" s="661">
        <v>419.28477946906577</v>
      </c>
      <c r="F483" s="659" t="s">
        <v>1245</v>
      </c>
      <c r="G483" s="662">
        <v>0.16313589837577527</v>
      </c>
      <c r="H483" s="659" t="s">
        <v>66</v>
      </c>
      <c r="I483" s="663">
        <v>0.99318613029000236</v>
      </c>
      <c r="J483" s="659" t="s">
        <v>994</v>
      </c>
      <c r="K483" s="665" t="s">
        <v>1265</v>
      </c>
      <c r="L483" s="665" t="s">
        <v>1227</v>
      </c>
      <c r="M483" s="659" t="s">
        <v>93</v>
      </c>
      <c r="N483" s="664">
        <v>29.498954604579939</v>
      </c>
      <c r="O483" s="664">
        <v>20.652035640831038</v>
      </c>
      <c r="P483" s="664">
        <v>27.590237638395351</v>
      </c>
      <c r="Q483" s="664">
        <v>7.6086447097798571</v>
      </c>
      <c r="R483" s="37"/>
      <c r="S483" s="665" t="s">
        <v>44</v>
      </c>
      <c r="T483" s="665" t="s">
        <v>63</v>
      </c>
      <c r="U483" s="659" t="s">
        <v>44</v>
      </c>
      <c r="V483" s="659" t="s">
        <v>75</v>
      </c>
      <c r="W483" s="659" t="s">
        <v>76</v>
      </c>
      <c r="X483" s="37"/>
      <c r="Y483" s="37"/>
      <c r="Z483" s="659" t="s">
        <v>78</v>
      </c>
      <c r="AA483" s="659" t="s">
        <v>78</v>
      </c>
      <c r="AB483" s="37"/>
      <c r="AC483" s="666">
        <v>6.6986301369863011</v>
      </c>
      <c r="AD483" s="664" t="s">
        <v>72</v>
      </c>
      <c r="AE483" s="659" t="s">
        <v>73</v>
      </c>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c r="CA483" s="393"/>
      <c r="CB483" s="393"/>
      <c r="CC483" s="393"/>
      <c r="CD483" s="393"/>
      <c r="CE483" s="393"/>
      <c r="CF483" s="393"/>
      <c r="CG483" s="393"/>
      <c r="CH483" s="393"/>
      <c r="CI483" s="393"/>
      <c r="CJ483" s="390"/>
      <c r="CK483" s="390"/>
      <c r="CL483" s="390"/>
      <c r="CM483" s="390"/>
      <c r="CN483" s="390"/>
      <c r="CO483" s="390"/>
      <c r="CP483" s="390"/>
      <c r="CQ483" s="390"/>
      <c r="CR483" s="390"/>
      <c r="CS483" s="390"/>
      <c r="CT483" s="390"/>
      <c r="CU483" s="390"/>
      <c r="CV483" s="390"/>
      <c r="CW483" s="390"/>
      <c r="CX483" s="390"/>
      <c r="CY483" s="390"/>
      <c r="CZ483" s="390"/>
      <c r="DA483" s="390"/>
      <c r="DB483" s="390"/>
      <c r="DC483" s="390"/>
    </row>
    <row r="484" spans="1:107" s="317" customFormat="1" ht="24">
      <c r="A484" s="37"/>
      <c r="B484" s="658" t="s">
        <v>23</v>
      </c>
      <c r="C484" s="659" t="s">
        <v>1154</v>
      </c>
      <c r="D484" s="691" t="s">
        <v>1226</v>
      </c>
      <c r="E484" s="661">
        <v>419.28477946906577</v>
      </c>
      <c r="F484" s="659" t="s">
        <v>1245</v>
      </c>
      <c r="G484" s="662">
        <v>0.16313589837577527</v>
      </c>
      <c r="H484" s="659" t="s">
        <v>66</v>
      </c>
      <c r="I484" s="663">
        <v>0.99318613029000236</v>
      </c>
      <c r="J484" s="659" t="s">
        <v>994</v>
      </c>
      <c r="K484" s="665" t="s">
        <v>1265</v>
      </c>
      <c r="L484" s="665" t="s">
        <v>995</v>
      </c>
      <c r="M484" s="659" t="s">
        <v>88</v>
      </c>
      <c r="N484" s="664">
        <v>13.229088191889645</v>
      </c>
      <c r="O484" s="664">
        <v>13.04339093105118</v>
      </c>
      <c r="P484" s="664">
        <v>10.816807311233235</v>
      </c>
      <c r="Q484" s="664" t="s">
        <v>871</v>
      </c>
      <c r="R484" s="37"/>
      <c r="S484" s="659" t="s">
        <v>44</v>
      </c>
      <c r="T484" s="659" t="s">
        <v>69</v>
      </c>
      <c r="U484" s="659" t="s">
        <v>69</v>
      </c>
      <c r="V484" s="659" t="s">
        <v>69</v>
      </c>
      <c r="W484" s="659" t="s">
        <v>76</v>
      </c>
      <c r="X484" s="37"/>
      <c r="Y484" s="37"/>
      <c r="Z484" s="659" t="s">
        <v>78</v>
      </c>
      <c r="AA484" s="659" t="s">
        <v>78</v>
      </c>
      <c r="AB484" s="37"/>
      <c r="AC484" s="666">
        <v>6.6986301369863011</v>
      </c>
      <c r="AD484" s="664" t="s">
        <v>72</v>
      </c>
      <c r="AE484" s="659" t="s">
        <v>73</v>
      </c>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c r="CA484" s="393"/>
      <c r="CB484" s="393"/>
      <c r="CC484" s="393"/>
      <c r="CD484" s="393"/>
      <c r="CE484" s="393"/>
      <c r="CF484" s="393"/>
      <c r="CG484" s="393"/>
      <c r="CH484" s="393"/>
      <c r="CI484" s="393"/>
      <c r="CJ484" s="390"/>
      <c r="CK484" s="390"/>
      <c r="CL484" s="390"/>
      <c r="CM484" s="390"/>
      <c r="CN484" s="390"/>
      <c r="CO484" s="390"/>
      <c r="CP484" s="390"/>
      <c r="CQ484" s="390"/>
      <c r="CR484" s="390"/>
      <c r="CS484" s="390"/>
      <c r="CT484" s="390"/>
      <c r="CU484" s="390"/>
      <c r="CV484" s="390"/>
      <c r="CW484" s="390"/>
      <c r="CX484" s="390"/>
      <c r="CY484" s="390"/>
      <c r="CZ484" s="390"/>
      <c r="DA484" s="390"/>
      <c r="DB484" s="390"/>
      <c r="DC484" s="390"/>
    </row>
    <row r="485" spans="1:107" s="317" customFormat="1" ht="24">
      <c r="A485" s="37"/>
      <c r="B485" s="658" t="s">
        <v>23</v>
      </c>
      <c r="C485" s="659" t="s">
        <v>1154</v>
      </c>
      <c r="D485" s="691" t="s">
        <v>1226</v>
      </c>
      <c r="E485" s="661">
        <v>419.28477946906577</v>
      </c>
      <c r="F485" s="659" t="s">
        <v>1245</v>
      </c>
      <c r="G485" s="662">
        <v>0.16313589837577527</v>
      </c>
      <c r="H485" s="659" t="s">
        <v>66</v>
      </c>
      <c r="I485" s="663">
        <v>0.99318613029000236</v>
      </c>
      <c r="J485" s="659" t="s">
        <v>994</v>
      </c>
      <c r="K485" s="665" t="s">
        <v>1265</v>
      </c>
      <c r="L485" s="665" t="s">
        <v>995</v>
      </c>
      <c r="M485" s="659" t="s">
        <v>90</v>
      </c>
      <c r="N485" s="664">
        <v>13.229088191889645</v>
      </c>
      <c r="O485" s="664">
        <v>15.217289419559714</v>
      </c>
      <c r="P485" s="664">
        <v>10.816807311233235</v>
      </c>
      <c r="Q485" s="664" t="s">
        <v>1109</v>
      </c>
      <c r="R485" s="37"/>
      <c r="S485" s="659" t="s">
        <v>44</v>
      </c>
      <c r="T485" s="659" t="s">
        <v>69</v>
      </c>
      <c r="U485" s="659" t="s">
        <v>69</v>
      </c>
      <c r="V485" s="659" t="s">
        <v>69</v>
      </c>
      <c r="W485" s="659" t="s">
        <v>76</v>
      </c>
      <c r="X485" s="37"/>
      <c r="Y485" s="37"/>
      <c r="Z485" s="659" t="s">
        <v>78</v>
      </c>
      <c r="AA485" s="659" t="s">
        <v>78</v>
      </c>
      <c r="AB485" s="37"/>
      <c r="AC485" s="666">
        <v>6.6986301369863011</v>
      </c>
      <c r="AD485" s="664" t="s">
        <v>72</v>
      </c>
      <c r="AE485" s="659" t="s">
        <v>73</v>
      </c>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c r="CA485" s="393"/>
      <c r="CB485" s="393"/>
      <c r="CC485" s="393"/>
      <c r="CD485" s="393"/>
      <c r="CE485" s="393"/>
      <c r="CF485" s="393"/>
      <c r="CG485" s="393"/>
      <c r="CH485" s="393"/>
      <c r="CI485" s="393"/>
      <c r="CJ485" s="390"/>
      <c r="CK485" s="390"/>
      <c r="CL485" s="390"/>
      <c r="CM485" s="390"/>
      <c r="CN485" s="390"/>
      <c r="CO485" s="390"/>
      <c r="CP485" s="390"/>
      <c r="CQ485" s="390"/>
      <c r="CR485" s="390"/>
      <c r="CS485" s="390"/>
      <c r="CT485" s="390"/>
      <c r="CU485" s="390"/>
      <c r="CV485" s="390"/>
      <c r="CW485" s="390"/>
      <c r="CX485" s="390"/>
      <c r="CY485" s="390"/>
      <c r="CZ485" s="390"/>
      <c r="DA485" s="390"/>
      <c r="DB485" s="390"/>
      <c r="DC485" s="390"/>
    </row>
    <row r="486" spans="1:107" s="317" customFormat="1" ht="24">
      <c r="A486" s="37"/>
      <c r="B486" s="658" t="s">
        <v>23</v>
      </c>
      <c r="C486" s="659" t="s">
        <v>1154</v>
      </c>
      <c r="D486" s="691" t="s">
        <v>1226</v>
      </c>
      <c r="E486" s="661">
        <v>419.28477946906577</v>
      </c>
      <c r="F486" s="659" t="s">
        <v>1245</v>
      </c>
      <c r="G486" s="662">
        <v>0.16313589837577527</v>
      </c>
      <c r="H486" s="659" t="s">
        <v>66</v>
      </c>
      <c r="I486" s="663">
        <v>0.99318613029000236</v>
      </c>
      <c r="J486" s="659" t="s">
        <v>994</v>
      </c>
      <c r="K486" s="665" t="s">
        <v>1265</v>
      </c>
      <c r="L486" s="665" t="s">
        <v>995</v>
      </c>
      <c r="M486" s="659" t="s">
        <v>91</v>
      </c>
      <c r="N486" s="664">
        <v>13.229088191889645</v>
      </c>
      <c r="O486" s="664" t="s">
        <v>870</v>
      </c>
      <c r="P486" s="664">
        <v>10.816807311233235</v>
      </c>
      <c r="Q486" s="664">
        <v>3.8043223548899285</v>
      </c>
      <c r="R486" s="37"/>
      <c r="S486" s="659" t="s">
        <v>44</v>
      </c>
      <c r="T486" s="659" t="s">
        <v>69</v>
      </c>
      <c r="U486" s="665" t="s">
        <v>870</v>
      </c>
      <c r="V486" s="665" t="s">
        <v>870</v>
      </c>
      <c r="W486" s="659" t="s">
        <v>76</v>
      </c>
      <c r="X486" s="37"/>
      <c r="Y486" s="37"/>
      <c r="Z486" s="659" t="s">
        <v>78</v>
      </c>
      <c r="AA486" s="659" t="s">
        <v>78</v>
      </c>
      <c r="AB486" s="37"/>
      <c r="AC486" s="666">
        <v>6.6986301369863011</v>
      </c>
      <c r="AD486" s="664" t="s">
        <v>72</v>
      </c>
      <c r="AE486" s="659" t="s">
        <v>73</v>
      </c>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c r="CA486" s="393"/>
      <c r="CB486" s="393"/>
      <c r="CC486" s="393"/>
      <c r="CD486" s="393"/>
      <c r="CE486" s="393"/>
      <c r="CF486" s="393"/>
      <c r="CG486" s="393"/>
      <c r="CH486" s="393"/>
      <c r="CI486" s="393"/>
      <c r="CJ486" s="390"/>
      <c r="CK486" s="390"/>
      <c r="CL486" s="390"/>
      <c r="CM486" s="390"/>
      <c r="CN486" s="390"/>
      <c r="CO486" s="390"/>
      <c r="CP486" s="390"/>
      <c r="CQ486" s="390"/>
      <c r="CR486" s="390"/>
      <c r="CS486" s="390"/>
      <c r="CT486" s="390"/>
      <c r="CU486" s="390"/>
      <c r="CV486" s="390"/>
      <c r="CW486" s="390"/>
      <c r="CX486" s="390"/>
      <c r="CY486" s="390"/>
      <c r="CZ486" s="390"/>
      <c r="DA486" s="390"/>
      <c r="DB486" s="390"/>
      <c r="DC486" s="390"/>
    </row>
    <row r="487" spans="1:107" s="317" customFormat="1" ht="24">
      <c r="A487" s="37"/>
      <c r="B487" s="658" t="s">
        <v>23</v>
      </c>
      <c r="C487" s="659" t="s">
        <v>1154</v>
      </c>
      <c r="D487" s="691" t="s">
        <v>1226</v>
      </c>
      <c r="E487" s="661">
        <v>419.28477946906577</v>
      </c>
      <c r="F487" s="659" t="s">
        <v>1245</v>
      </c>
      <c r="G487" s="662">
        <v>0.16313589837577527</v>
      </c>
      <c r="H487" s="659" t="s">
        <v>66</v>
      </c>
      <c r="I487" s="663">
        <v>0.99318613029000236</v>
      </c>
      <c r="J487" s="659" t="s">
        <v>994</v>
      </c>
      <c r="K487" s="665" t="s">
        <v>1265</v>
      </c>
      <c r="L487" s="665" t="s">
        <v>995</v>
      </c>
      <c r="M487" s="659" t="s">
        <v>92</v>
      </c>
      <c r="N487" s="664">
        <v>13.229088191889645</v>
      </c>
      <c r="O487" s="664">
        <v>19.565086396576774</v>
      </c>
      <c r="P487" s="664">
        <v>10.816807311233235</v>
      </c>
      <c r="Q487" s="664">
        <v>6.5216954655255899</v>
      </c>
      <c r="R487" s="37"/>
      <c r="S487" s="659" t="s">
        <v>44</v>
      </c>
      <c r="T487" s="659" t="s">
        <v>69</v>
      </c>
      <c r="U487" s="659" t="s">
        <v>69</v>
      </c>
      <c r="V487" s="659" t="s">
        <v>69</v>
      </c>
      <c r="W487" s="659" t="s">
        <v>76</v>
      </c>
      <c r="X487" s="37"/>
      <c r="Y487" s="37"/>
      <c r="Z487" s="659" t="s">
        <v>78</v>
      </c>
      <c r="AA487" s="659" t="s">
        <v>78</v>
      </c>
      <c r="AB487" s="37"/>
      <c r="AC487" s="666">
        <v>6.6986301369863011</v>
      </c>
      <c r="AD487" s="664" t="s">
        <v>72</v>
      </c>
      <c r="AE487" s="659" t="s">
        <v>73</v>
      </c>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c r="CA487" s="393"/>
      <c r="CB487" s="393"/>
      <c r="CC487" s="393"/>
      <c r="CD487" s="393"/>
      <c r="CE487" s="393"/>
      <c r="CF487" s="393"/>
      <c r="CG487" s="393"/>
      <c r="CH487" s="393"/>
      <c r="CI487" s="393"/>
      <c r="CJ487" s="390"/>
      <c r="CK487" s="390"/>
      <c r="CL487" s="390"/>
      <c r="CM487" s="390"/>
      <c r="CN487" s="390"/>
      <c r="CO487" s="390"/>
      <c r="CP487" s="390"/>
      <c r="CQ487" s="390"/>
      <c r="CR487" s="390"/>
      <c r="CS487" s="390"/>
      <c r="CT487" s="390"/>
      <c r="CU487" s="390"/>
      <c r="CV487" s="390"/>
      <c r="CW487" s="390"/>
      <c r="CX487" s="390"/>
      <c r="CY487" s="390"/>
      <c r="CZ487" s="390"/>
      <c r="DA487" s="390"/>
      <c r="DB487" s="390"/>
      <c r="DC487" s="390"/>
    </row>
    <row r="488" spans="1:107" s="317" customFormat="1" ht="24">
      <c r="A488" s="37"/>
      <c r="B488" s="658" t="s">
        <v>23</v>
      </c>
      <c r="C488" s="659" t="s">
        <v>1154</v>
      </c>
      <c r="D488" s="691" t="s">
        <v>1226</v>
      </c>
      <c r="E488" s="661">
        <v>419.28477946906577</v>
      </c>
      <c r="F488" s="659" t="s">
        <v>1245</v>
      </c>
      <c r="G488" s="662">
        <v>0.16313589837577527</v>
      </c>
      <c r="H488" s="659" t="s">
        <v>66</v>
      </c>
      <c r="I488" s="663">
        <v>0.99318613029000236</v>
      </c>
      <c r="J488" s="659" t="s">
        <v>994</v>
      </c>
      <c r="K488" s="665" t="s">
        <v>1265</v>
      </c>
      <c r="L488" s="665" t="s">
        <v>995</v>
      </c>
      <c r="M488" s="659" t="s">
        <v>93</v>
      </c>
      <c r="N488" s="664">
        <v>13.229088191889645</v>
      </c>
      <c r="O488" s="664">
        <v>20.652035640831038</v>
      </c>
      <c r="P488" s="664">
        <v>10.816807311233235</v>
      </c>
      <c r="Q488" s="664">
        <v>7.6086447097798571</v>
      </c>
      <c r="R488" s="37"/>
      <c r="S488" s="659" t="s">
        <v>44</v>
      </c>
      <c r="T488" s="659" t="s">
        <v>69</v>
      </c>
      <c r="U488" s="659" t="s">
        <v>44</v>
      </c>
      <c r="V488" s="659" t="s">
        <v>75</v>
      </c>
      <c r="W488" s="659" t="s">
        <v>76</v>
      </c>
      <c r="X488" s="37"/>
      <c r="Y488" s="37"/>
      <c r="Z488" s="659" t="s">
        <v>78</v>
      </c>
      <c r="AA488" s="659" t="s">
        <v>78</v>
      </c>
      <c r="AB488" s="37"/>
      <c r="AC488" s="666">
        <v>6.6986301369863011</v>
      </c>
      <c r="AD488" s="664" t="s">
        <v>72</v>
      </c>
      <c r="AE488" s="659" t="s">
        <v>73</v>
      </c>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c r="CA488" s="393"/>
      <c r="CB488" s="393"/>
      <c r="CC488" s="393"/>
      <c r="CD488" s="393"/>
      <c r="CE488" s="393"/>
      <c r="CF488" s="393"/>
      <c r="CG488" s="393"/>
      <c r="CH488" s="393"/>
      <c r="CI488" s="393"/>
      <c r="CJ488" s="390"/>
      <c r="CK488" s="390"/>
      <c r="CL488" s="390"/>
      <c r="CM488" s="390"/>
      <c r="CN488" s="390"/>
      <c r="CO488" s="390"/>
      <c r="CP488" s="390"/>
      <c r="CQ488" s="390"/>
      <c r="CR488" s="390"/>
      <c r="CS488" s="390"/>
      <c r="CT488" s="390"/>
      <c r="CU488" s="390"/>
      <c r="CV488" s="390"/>
      <c r="CW488" s="390"/>
      <c r="CX488" s="390"/>
      <c r="CY488" s="390"/>
      <c r="CZ488" s="390"/>
      <c r="DA488" s="390"/>
      <c r="DB488" s="390"/>
      <c r="DC488" s="390"/>
    </row>
    <row r="489" spans="1:107" s="317" customFormat="1" ht="33.75">
      <c r="A489" s="37"/>
      <c r="B489" s="658" t="s">
        <v>23</v>
      </c>
      <c r="C489" s="659" t="s">
        <v>1154</v>
      </c>
      <c r="D489" s="691" t="s">
        <v>1226</v>
      </c>
      <c r="E489" s="661">
        <v>419.28477946906577</v>
      </c>
      <c r="F489" s="659" t="s">
        <v>1245</v>
      </c>
      <c r="G489" s="662">
        <v>0.16313589837577527</v>
      </c>
      <c r="H489" s="659" t="s">
        <v>66</v>
      </c>
      <c r="I489" s="663">
        <v>0.99318613029000236</v>
      </c>
      <c r="J489" s="659" t="s">
        <v>994</v>
      </c>
      <c r="K489" s="665" t="s">
        <v>1265</v>
      </c>
      <c r="L489" s="665" t="s">
        <v>1228</v>
      </c>
      <c r="M489" s="659" t="s">
        <v>88</v>
      </c>
      <c r="N489" s="664">
        <v>10.468235004017023</v>
      </c>
      <c r="O489" s="664">
        <v>13.04339093105118</v>
      </c>
      <c r="P489" s="664">
        <v>7.9250117663639816</v>
      </c>
      <c r="Q489" s="664" t="s">
        <v>871</v>
      </c>
      <c r="R489" s="37"/>
      <c r="S489" s="659" t="s">
        <v>69</v>
      </c>
      <c r="T489" s="659" t="s">
        <v>69</v>
      </c>
      <c r="U489" s="659" t="s">
        <v>69</v>
      </c>
      <c r="V489" s="659" t="s">
        <v>69</v>
      </c>
      <c r="W489" s="659" t="s">
        <v>76</v>
      </c>
      <c r="X489" s="37"/>
      <c r="Y489" s="37"/>
      <c r="Z489" s="659" t="s">
        <v>78</v>
      </c>
      <c r="AA489" s="659" t="s">
        <v>78</v>
      </c>
      <c r="AB489" s="37"/>
      <c r="AC489" s="666">
        <v>6.6986301369863011</v>
      </c>
      <c r="AD489" s="664" t="s">
        <v>72</v>
      </c>
      <c r="AE489" s="659" t="s">
        <v>73</v>
      </c>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c r="CA489" s="393"/>
      <c r="CB489" s="393"/>
      <c r="CC489" s="393"/>
      <c r="CD489" s="393"/>
      <c r="CE489" s="393"/>
      <c r="CF489" s="393"/>
      <c r="CG489" s="393"/>
      <c r="CH489" s="393"/>
      <c r="CI489" s="393"/>
      <c r="CJ489" s="390"/>
      <c r="CK489" s="390"/>
      <c r="CL489" s="390"/>
      <c r="CM489" s="390"/>
      <c r="CN489" s="390"/>
      <c r="CO489" s="390"/>
      <c r="CP489" s="390"/>
      <c r="CQ489" s="390"/>
      <c r="CR489" s="390"/>
      <c r="CS489" s="390"/>
      <c r="CT489" s="390"/>
      <c r="CU489" s="390"/>
      <c r="CV489" s="390"/>
      <c r="CW489" s="390"/>
      <c r="CX489" s="390"/>
      <c r="CY489" s="390"/>
      <c r="CZ489" s="390"/>
      <c r="DA489" s="390"/>
      <c r="DB489" s="390"/>
      <c r="DC489" s="390"/>
    </row>
    <row r="490" spans="1:107" s="317" customFormat="1" ht="33.75">
      <c r="A490" s="37"/>
      <c r="B490" s="658" t="s">
        <v>23</v>
      </c>
      <c r="C490" s="659" t="s">
        <v>1154</v>
      </c>
      <c r="D490" s="691" t="s">
        <v>1226</v>
      </c>
      <c r="E490" s="661">
        <v>419.28477946906577</v>
      </c>
      <c r="F490" s="659" t="s">
        <v>1245</v>
      </c>
      <c r="G490" s="662">
        <v>0.16313589837577527</v>
      </c>
      <c r="H490" s="659" t="s">
        <v>66</v>
      </c>
      <c r="I490" s="663">
        <v>0.99318613029000236</v>
      </c>
      <c r="J490" s="659" t="s">
        <v>994</v>
      </c>
      <c r="K490" s="665" t="s">
        <v>1265</v>
      </c>
      <c r="L490" s="665" t="s">
        <v>1228</v>
      </c>
      <c r="M490" s="659" t="s">
        <v>90</v>
      </c>
      <c r="N490" s="664">
        <v>10.468235004017023</v>
      </c>
      <c r="O490" s="664">
        <v>15.217289419559714</v>
      </c>
      <c r="P490" s="664">
        <v>7.9250117663639816</v>
      </c>
      <c r="Q490" s="664" t="s">
        <v>1109</v>
      </c>
      <c r="R490" s="37"/>
      <c r="S490" s="659" t="s">
        <v>69</v>
      </c>
      <c r="T490" s="659" t="s">
        <v>69</v>
      </c>
      <c r="U490" s="659" t="s">
        <v>69</v>
      </c>
      <c r="V490" s="659" t="s">
        <v>69</v>
      </c>
      <c r="W490" s="659" t="s">
        <v>76</v>
      </c>
      <c r="X490" s="37"/>
      <c r="Y490" s="37"/>
      <c r="Z490" s="659" t="s">
        <v>78</v>
      </c>
      <c r="AA490" s="659" t="s">
        <v>78</v>
      </c>
      <c r="AB490" s="37"/>
      <c r="AC490" s="666">
        <v>6.6986301369863011</v>
      </c>
      <c r="AD490" s="664" t="s">
        <v>72</v>
      </c>
      <c r="AE490" s="659" t="s">
        <v>73</v>
      </c>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c r="CA490" s="393"/>
      <c r="CB490" s="393"/>
      <c r="CC490" s="393"/>
      <c r="CD490" s="393"/>
      <c r="CE490" s="393"/>
      <c r="CF490" s="393"/>
      <c r="CG490" s="393"/>
      <c r="CH490" s="393"/>
      <c r="CI490" s="393"/>
      <c r="CJ490" s="390"/>
      <c r="CK490" s="390"/>
      <c r="CL490" s="390"/>
      <c r="CM490" s="390"/>
      <c r="CN490" s="390"/>
      <c r="CO490" s="390"/>
      <c r="CP490" s="390"/>
      <c r="CQ490" s="390"/>
      <c r="CR490" s="390"/>
      <c r="CS490" s="390"/>
      <c r="CT490" s="390"/>
      <c r="CU490" s="390"/>
      <c r="CV490" s="390"/>
      <c r="CW490" s="390"/>
      <c r="CX490" s="390"/>
      <c r="CY490" s="390"/>
      <c r="CZ490" s="390"/>
      <c r="DA490" s="390"/>
      <c r="DB490" s="390"/>
      <c r="DC490" s="390"/>
    </row>
    <row r="491" spans="1:107" s="317" customFormat="1" ht="33.75">
      <c r="A491" s="37"/>
      <c r="B491" s="658" t="s">
        <v>23</v>
      </c>
      <c r="C491" s="659" t="s">
        <v>1154</v>
      </c>
      <c r="D491" s="691" t="s">
        <v>1226</v>
      </c>
      <c r="E491" s="661">
        <v>419.28477946906577</v>
      </c>
      <c r="F491" s="659" t="s">
        <v>1245</v>
      </c>
      <c r="G491" s="662">
        <v>0.16313589837577527</v>
      </c>
      <c r="H491" s="659" t="s">
        <v>66</v>
      </c>
      <c r="I491" s="663">
        <v>0.99318613029000236</v>
      </c>
      <c r="J491" s="659" t="s">
        <v>994</v>
      </c>
      <c r="K491" s="665" t="s">
        <v>1265</v>
      </c>
      <c r="L491" s="665" t="s">
        <v>1228</v>
      </c>
      <c r="M491" s="659" t="s">
        <v>91</v>
      </c>
      <c r="N491" s="664">
        <v>10.468235004017023</v>
      </c>
      <c r="O491" s="664" t="s">
        <v>870</v>
      </c>
      <c r="P491" s="664">
        <v>7.9250117663639816</v>
      </c>
      <c r="Q491" s="664">
        <v>3.8043223548899285</v>
      </c>
      <c r="R491" s="37"/>
      <c r="S491" s="659" t="s">
        <v>69</v>
      </c>
      <c r="T491" s="659" t="s">
        <v>69</v>
      </c>
      <c r="U491" s="665" t="s">
        <v>870</v>
      </c>
      <c r="V491" s="665" t="s">
        <v>870</v>
      </c>
      <c r="W491" s="659" t="s">
        <v>76</v>
      </c>
      <c r="X491" s="37"/>
      <c r="Y491" s="37"/>
      <c r="Z491" s="659" t="s">
        <v>78</v>
      </c>
      <c r="AA491" s="659" t="s">
        <v>78</v>
      </c>
      <c r="AB491" s="37"/>
      <c r="AC491" s="666">
        <v>6.6986301369863011</v>
      </c>
      <c r="AD491" s="664" t="s">
        <v>72</v>
      </c>
      <c r="AE491" s="659" t="s">
        <v>73</v>
      </c>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c r="CA491" s="393"/>
      <c r="CB491" s="393"/>
      <c r="CC491" s="393"/>
      <c r="CD491" s="393"/>
      <c r="CE491" s="393"/>
      <c r="CF491" s="393"/>
      <c r="CG491" s="393"/>
      <c r="CH491" s="393"/>
      <c r="CI491" s="393"/>
      <c r="CJ491" s="390"/>
      <c r="CK491" s="390"/>
      <c r="CL491" s="390"/>
      <c r="CM491" s="390"/>
      <c r="CN491" s="390"/>
      <c r="CO491" s="390"/>
      <c r="CP491" s="390"/>
      <c r="CQ491" s="390"/>
      <c r="CR491" s="390"/>
      <c r="CS491" s="390"/>
      <c r="CT491" s="390"/>
      <c r="CU491" s="390"/>
      <c r="CV491" s="390"/>
      <c r="CW491" s="390"/>
      <c r="CX491" s="390"/>
      <c r="CY491" s="390"/>
      <c r="CZ491" s="390"/>
      <c r="DA491" s="390"/>
      <c r="DB491" s="390"/>
      <c r="DC491" s="390"/>
    </row>
    <row r="492" spans="1:107" s="317" customFormat="1" ht="33.75">
      <c r="A492" s="37"/>
      <c r="B492" s="658" t="s">
        <v>23</v>
      </c>
      <c r="C492" s="659" t="s">
        <v>1154</v>
      </c>
      <c r="D492" s="691" t="s">
        <v>1226</v>
      </c>
      <c r="E492" s="661">
        <v>419.28477946906577</v>
      </c>
      <c r="F492" s="659" t="s">
        <v>1245</v>
      </c>
      <c r="G492" s="662">
        <v>0.16313589837577527</v>
      </c>
      <c r="H492" s="659" t="s">
        <v>66</v>
      </c>
      <c r="I492" s="663">
        <v>0.99318613029000236</v>
      </c>
      <c r="J492" s="659" t="s">
        <v>994</v>
      </c>
      <c r="K492" s="665" t="s">
        <v>1265</v>
      </c>
      <c r="L492" s="665" t="s">
        <v>1228</v>
      </c>
      <c r="M492" s="659" t="s">
        <v>92</v>
      </c>
      <c r="N492" s="664">
        <v>10.468235004017023</v>
      </c>
      <c r="O492" s="664">
        <v>19.565086396576774</v>
      </c>
      <c r="P492" s="664">
        <v>7.9250117663639816</v>
      </c>
      <c r="Q492" s="664">
        <v>6.5216954655255899</v>
      </c>
      <c r="R492" s="37"/>
      <c r="S492" s="659" t="s">
        <v>69</v>
      </c>
      <c r="T492" s="659" t="s">
        <v>69</v>
      </c>
      <c r="U492" s="659" t="s">
        <v>69</v>
      </c>
      <c r="V492" s="659" t="s">
        <v>69</v>
      </c>
      <c r="W492" s="659" t="s">
        <v>76</v>
      </c>
      <c r="X492" s="37"/>
      <c r="Y492" s="37"/>
      <c r="Z492" s="659" t="s">
        <v>78</v>
      </c>
      <c r="AA492" s="659" t="s">
        <v>78</v>
      </c>
      <c r="AB492" s="37"/>
      <c r="AC492" s="666">
        <v>6.6986301369863011</v>
      </c>
      <c r="AD492" s="664" t="s">
        <v>72</v>
      </c>
      <c r="AE492" s="659" t="s">
        <v>73</v>
      </c>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c r="CA492" s="393"/>
      <c r="CB492" s="393"/>
      <c r="CC492" s="393"/>
      <c r="CD492" s="393"/>
      <c r="CE492" s="393"/>
      <c r="CF492" s="393"/>
      <c r="CG492" s="393"/>
      <c r="CH492" s="393"/>
      <c r="CI492" s="393"/>
      <c r="CJ492" s="390"/>
      <c r="CK492" s="390"/>
      <c r="CL492" s="390"/>
      <c r="CM492" s="390"/>
      <c r="CN492" s="390"/>
      <c r="CO492" s="390"/>
      <c r="CP492" s="390"/>
      <c r="CQ492" s="390"/>
      <c r="CR492" s="390"/>
      <c r="CS492" s="390"/>
      <c r="CT492" s="390"/>
      <c r="CU492" s="390"/>
      <c r="CV492" s="390"/>
      <c r="CW492" s="390"/>
      <c r="CX492" s="390"/>
      <c r="CY492" s="390"/>
      <c r="CZ492" s="390"/>
      <c r="DA492" s="390"/>
      <c r="DB492" s="390"/>
      <c r="DC492" s="390"/>
    </row>
    <row r="493" spans="1:107" s="317" customFormat="1" ht="33.75">
      <c r="A493" s="37"/>
      <c r="B493" s="658" t="s">
        <v>23</v>
      </c>
      <c r="C493" s="659" t="s">
        <v>1154</v>
      </c>
      <c r="D493" s="691" t="s">
        <v>1226</v>
      </c>
      <c r="E493" s="661">
        <v>419.28477946906577</v>
      </c>
      <c r="F493" s="659" t="s">
        <v>1245</v>
      </c>
      <c r="G493" s="662">
        <v>0.16313589837577527</v>
      </c>
      <c r="H493" s="659" t="s">
        <v>66</v>
      </c>
      <c r="I493" s="663">
        <v>0.99318613029000236</v>
      </c>
      <c r="J493" s="659" t="s">
        <v>994</v>
      </c>
      <c r="K493" s="665" t="s">
        <v>1265</v>
      </c>
      <c r="L493" s="665" t="s">
        <v>1228</v>
      </c>
      <c r="M493" s="659" t="s">
        <v>93</v>
      </c>
      <c r="N493" s="664">
        <v>10.468235004017023</v>
      </c>
      <c r="O493" s="664">
        <v>20.652035640831038</v>
      </c>
      <c r="P493" s="664">
        <v>7.9250117663639816</v>
      </c>
      <c r="Q493" s="664">
        <v>7.6086447097798571</v>
      </c>
      <c r="R493" s="37"/>
      <c r="S493" s="659" t="s">
        <v>69</v>
      </c>
      <c r="T493" s="659" t="s">
        <v>69</v>
      </c>
      <c r="U493" s="659" t="s">
        <v>44</v>
      </c>
      <c r="V493" s="659" t="s">
        <v>75</v>
      </c>
      <c r="W493" s="659" t="s">
        <v>76</v>
      </c>
      <c r="X493" s="37"/>
      <c r="Y493" s="37"/>
      <c r="Z493" s="659" t="s">
        <v>78</v>
      </c>
      <c r="AA493" s="659" t="s">
        <v>78</v>
      </c>
      <c r="AB493" s="37"/>
      <c r="AC493" s="666">
        <v>6.6986301369863011</v>
      </c>
      <c r="AD493" s="664" t="s">
        <v>72</v>
      </c>
      <c r="AE493" s="659" t="s">
        <v>73</v>
      </c>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c r="CA493" s="393"/>
      <c r="CB493" s="393"/>
      <c r="CC493" s="393"/>
      <c r="CD493" s="393"/>
      <c r="CE493" s="393"/>
      <c r="CF493" s="393"/>
      <c r="CG493" s="393"/>
      <c r="CH493" s="393"/>
      <c r="CI493" s="393"/>
      <c r="CJ493" s="390"/>
      <c r="CK493" s="390"/>
      <c r="CL493" s="390"/>
      <c r="CM493" s="390"/>
      <c r="CN493" s="390"/>
      <c r="CO493" s="390"/>
      <c r="CP493" s="390"/>
      <c r="CQ493" s="390"/>
      <c r="CR493" s="390"/>
      <c r="CS493" s="390"/>
      <c r="CT493" s="390"/>
      <c r="CU493" s="390"/>
      <c r="CV493" s="390"/>
      <c r="CW493" s="390"/>
      <c r="CX493" s="390"/>
      <c r="CY493" s="390"/>
      <c r="CZ493" s="390"/>
      <c r="DA493" s="390"/>
      <c r="DB493" s="390"/>
      <c r="DC493" s="390"/>
    </row>
    <row r="494" spans="1:107" s="303" customFormat="1" ht="56.25">
      <c r="A494" s="37"/>
      <c r="B494" s="626" t="s">
        <v>23</v>
      </c>
      <c r="C494" s="632" t="s">
        <v>828</v>
      </c>
      <c r="D494" s="628" t="s">
        <v>1226</v>
      </c>
      <c r="E494" s="636">
        <v>3416.6569160000008</v>
      </c>
      <c r="F494" s="632" t="s">
        <v>27</v>
      </c>
      <c r="G494" s="637">
        <v>0.90425531914893609</v>
      </c>
      <c r="H494" s="632" t="s">
        <v>66</v>
      </c>
      <c r="I494" s="682">
        <v>1</v>
      </c>
      <c r="J494" s="632" t="s">
        <v>1097</v>
      </c>
      <c r="K494" s="632" t="s">
        <v>1020</v>
      </c>
      <c r="L494" s="632" t="s">
        <v>1228</v>
      </c>
      <c r="M494" s="632" t="s">
        <v>88</v>
      </c>
      <c r="N494" s="680">
        <v>456.299843446154</v>
      </c>
      <c r="O494" s="680">
        <v>766.2034871200002</v>
      </c>
      <c r="P494" s="680">
        <v>395.45986432000001</v>
      </c>
      <c r="Q494" s="680" t="s">
        <v>1109</v>
      </c>
      <c r="R494" s="37"/>
      <c r="S494" s="632" t="s">
        <v>69</v>
      </c>
      <c r="T494" s="632" t="s">
        <v>69</v>
      </c>
      <c r="U494" s="632" t="s">
        <v>69</v>
      </c>
      <c r="V494" s="632" t="s">
        <v>69</v>
      </c>
      <c r="W494" s="632" t="s">
        <v>76</v>
      </c>
      <c r="X494" s="37"/>
      <c r="Y494" s="37"/>
      <c r="Z494" s="632" t="s">
        <v>78</v>
      </c>
      <c r="AA494" s="632" t="s">
        <v>78</v>
      </c>
      <c r="AB494" s="37"/>
      <c r="AC494" s="634">
        <v>13.200000000000001</v>
      </c>
      <c r="AD494" s="680" t="s">
        <v>72</v>
      </c>
      <c r="AE494" s="632" t="s">
        <v>73</v>
      </c>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c r="CA494" s="393"/>
      <c r="CB494" s="393"/>
      <c r="CC494" s="393"/>
      <c r="CD494" s="393"/>
      <c r="CE494" s="393"/>
      <c r="CF494" s="393"/>
      <c r="CG494" s="393"/>
      <c r="CH494" s="393"/>
      <c r="CI494" s="393"/>
      <c r="CJ494" s="390"/>
      <c r="CK494" s="390"/>
      <c r="CL494" s="390"/>
      <c r="CM494" s="390"/>
      <c r="CN494" s="390"/>
      <c r="CO494" s="390"/>
      <c r="CP494" s="390"/>
      <c r="CQ494" s="390"/>
      <c r="CR494" s="390"/>
      <c r="CS494" s="390"/>
      <c r="CT494" s="390"/>
      <c r="CU494" s="390"/>
      <c r="CV494" s="390"/>
      <c r="CW494" s="390"/>
      <c r="CX494" s="390"/>
      <c r="CY494" s="390"/>
      <c r="CZ494" s="390"/>
      <c r="DA494" s="390"/>
      <c r="DB494" s="390"/>
      <c r="DC494" s="390"/>
    </row>
    <row r="495" spans="1:107" s="303" customFormat="1" ht="56.25">
      <c r="A495" s="37"/>
      <c r="B495" s="626" t="s">
        <v>23</v>
      </c>
      <c r="C495" s="632" t="s">
        <v>828</v>
      </c>
      <c r="D495" s="628" t="s">
        <v>1226</v>
      </c>
      <c r="E495" s="636">
        <v>3416.6569160000008</v>
      </c>
      <c r="F495" s="632" t="s">
        <v>27</v>
      </c>
      <c r="G495" s="637">
        <v>0.90425531914893609</v>
      </c>
      <c r="H495" s="632" t="s">
        <v>66</v>
      </c>
      <c r="I495" s="682">
        <v>1</v>
      </c>
      <c r="J495" s="632" t="s">
        <v>1097</v>
      </c>
      <c r="K495" s="632" t="s">
        <v>1020</v>
      </c>
      <c r="L495" s="632" t="s">
        <v>1228</v>
      </c>
      <c r="M495" s="632" t="s">
        <v>90</v>
      </c>
      <c r="N495" s="680">
        <v>456.299843446154</v>
      </c>
      <c r="O495" s="680">
        <v>692.0547625600002</v>
      </c>
      <c r="P495" s="680">
        <v>395.45986432000001</v>
      </c>
      <c r="Q495" s="680" t="s">
        <v>871</v>
      </c>
      <c r="R495" s="37"/>
      <c r="S495" s="632" t="s">
        <v>69</v>
      </c>
      <c r="T495" s="632" t="s">
        <v>69</v>
      </c>
      <c r="U495" s="632" t="s">
        <v>69</v>
      </c>
      <c r="V495" s="632" t="s">
        <v>69</v>
      </c>
      <c r="W495" s="632" t="s">
        <v>76</v>
      </c>
      <c r="X495" s="37"/>
      <c r="Y495" s="37"/>
      <c r="Z495" s="632" t="s">
        <v>78</v>
      </c>
      <c r="AA495" s="632" t="s">
        <v>78</v>
      </c>
      <c r="AB495" s="37"/>
      <c r="AC495" s="634">
        <v>13.200000000000001</v>
      </c>
      <c r="AD495" s="680" t="s">
        <v>72</v>
      </c>
      <c r="AE495" s="632" t="s">
        <v>73</v>
      </c>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c r="CA495" s="393"/>
      <c r="CB495" s="393"/>
      <c r="CC495" s="393"/>
      <c r="CD495" s="393"/>
      <c r="CE495" s="393"/>
      <c r="CF495" s="393"/>
      <c r="CG495" s="393"/>
      <c r="CH495" s="393"/>
      <c r="CI495" s="393"/>
      <c r="CJ495" s="390"/>
      <c r="CK495" s="390"/>
      <c r="CL495" s="390"/>
      <c r="CM495" s="390"/>
      <c r="CN495" s="390"/>
      <c r="CO495" s="390"/>
      <c r="CP495" s="390"/>
      <c r="CQ495" s="390"/>
      <c r="CR495" s="390"/>
      <c r="CS495" s="390"/>
      <c r="CT495" s="390"/>
      <c r="CU495" s="390"/>
      <c r="CV495" s="390"/>
      <c r="CW495" s="390"/>
      <c r="CX495" s="390"/>
      <c r="CY495" s="390"/>
      <c r="CZ495" s="390"/>
      <c r="DA495" s="390"/>
      <c r="DB495" s="390"/>
      <c r="DC495" s="390"/>
    </row>
    <row r="496" spans="1:107" s="303" customFormat="1" ht="56.25">
      <c r="A496" s="37"/>
      <c r="B496" s="626" t="s">
        <v>23</v>
      </c>
      <c r="C496" s="632" t="s">
        <v>828</v>
      </c>
      <c r="D496" s="628" t="s">
        <v>1226</v>
      </c>
      <c r="E496" s="636">
        <v>3416.6569160000008</v>
      </c>
      <c r="F496" s="632" t="s">
        <v>27</v>
      </c>
      <c r="G496" s="637">
        <v>0.90425531914893609</v>
      </c>
      <c r="H496" s="632" t="s">
        <v>66</v>
      </c>
      <c r="I496" s="682">
        <v>1</v>
      </c>
      <c r="J496" s="632" t="s">
        <v>1097</v>
      </c>
      <c r="K496" s="632" t="s">
        <v>1020</v>
      </c>
      <c r="L496" s="632" t="s">
        <v>1228</v>
      </c>
      <c r="M496" s="632" t="s">
        <v>91</v>
      </c>
      <c r="N496" s="680">
        <v>456.299843446154</v>
      </c>
      <c r="O496" s="680" t="s">
        <v>870</v>
      </c>
      <c r="P496" s="680">
        <v>395.45986432000001</v>
      </c>
      <c r="Q496" s="680" t="s">
        <v>870</v>
      </c>
      <c r="R496" s="37"/>
      <c r="S496" s="632" t="s">
        <v>69</v>
      </c>
      <c r="T496" s="632" t="s">
        <v>69</v>
      </c>
      <c r="U496" s="632" t="s">
        <v>870</v>
      </c>
      <c r="V496" s="632" t="s">
        <v>870</v>
      </c>
      <c r="W496" s="632" t="s">
        <v>76</v>
      </c>
      <c r="X496" s="37"/>
      <c r="Y496" s="37"/>
      <c r="Z496" s="632" t="s">
        <v>78</v>
      </c>
      <c r="AA496" s="632" t="s">
        <v>78</v>
      </c>
      <c r="AB496" s="37"/>
      <c r="AC496" s="634">
        <v>13.200000000000001</v>
      </c>
      <c r="AD496" s="680" t="s">
        <v>72</v>
      </c>
      <c r="AE496" s="632" t="s">
        <v>73</v>
      </c>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c r="CA496" s="393"/>
      <c r="CB496" s="393"/>
      <c r="CC496" s="393"/>
      <c r="CD496" s="393"/>
      <c r="CE496" s="393"/>
      <c r="CF496" s="393"/>
      <c r="CG496" s="393"/>
      <c r="CH496" s="393"/>
      <c r="CI496" s="393"/>
      <c r="CJ496" s="390"/>
      <c r="CK496" s="390"/>
      <c r="CL496" s="390"/>
      <c r="CM496" s="390"/>
      <c r="CN496" s="390"/>
      <c r="CO496" s="390"/>
      <c r="CP496" s="390"/>
      <c r="CQ496" s="390"/>
      <c r="CR496" s="390"/>
      <c r="CS496" s="390"/>
      <c r="CT496" s="390"/>
      <c r="CU496" s="390"/>
      <c r="CV496" s="390"/>
      <c r="CW496" s="390"/>
      <c r="CX496" s="390"/>
      <c r="CY496" s="390"/>
      <c r="CZ496" s="390"/>
      <c r="DA496" s="390"/>
      <c r="DB496" s="390"/>
      <c r="DC496" s="390"/>
    </row>
    <row r="497" spans="1:107" s="303" customFormat="1" ht="56.25">
      <c r="A497" s="37"/>
      <c r="B497" s="626" t="s">
        <v>23</v>
      </c>
      <c r="C497" s="632" t="s">
        <v>828</v>
      </c>
      <c r="D497" s="628" t="s">
        <v>1226</v>
      </c>
      <c r="E497" s="636">
        <v>3416.6569160000008</v>
      </c>
      <c r="F497" s="632" t="s">
        <v>27</v>
      </c>
      <c r="G497" s="637">
        <v>0.90425531914893609</v>
      </c>
      <c r="H497" s="632" t="s">
        <v>66</v>
      </c>
      <c r="I497" s="682">
        <v>1</v>
      </c>
      <c r="J497" s="632" t="s">
        <v>1097</v>
      </c>
      <c r="K497" s="632" t="s">
        <v>1020</v>
      </c>
      <c r="L497" s="632" t="s">
        <v>1228</v>
      </c>
      <c r="M497" s="632" t="s">
        <v>92</v>
      </c>
      <c r="N497" s="680">
        <v>456.299843446154</v>
      </c>
      <c r="O497" s="680">
        <v>889.78469472000018</v>
      </c>
      <c r="P497" s="680">
        <v>395.45986432000001</v>
      </c>
      <c r="Q497" s="680">
        <v>197.72993215999995</v>
      </c>
      <c r="R497" s="37"/>
      <c r="S497" s="632" t="s">
        <v>69</v>
      </c>
      <c r="T497" s="632" t="s">
        <v>69</v>
      </c>
      <c r="U497" s="632" t="s">
        <v>69</v>
      </c>
      <c r="V497" s="632" t="s">
        <v>69</v>
      </c>
      <c r="W497" s="632" t="s">
        <v>76</v>
      </c>
      <c r="X497" s="37"/>
      <c r="Y497" s="37"/>
      <c r="Z497" s="632" t="s">
        <v>78</v>
      </c>
      <c r="AA497" s="632" t="s">
        <v>78</v>
      </c>
      <c r="AB497" s="37"/>
      <c r="AC497" s="634">
        <v>13.200000000000001</v>
      </c>
      <c r="AD497" s="680" t="s">
        <v>72</v>
      </c>
      <c r="AE497" s="632" t="s">
        <v>73</v>
      </c>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c r="CA497" s="393"/>
      <c r="CB497" s="393"/>
      <c r="CC497" s="393"/>
      <c r="CD497" s="393"/>
      <c r="CE497" s="393"/>
      <c r="CF497" s="393"/>
      <c r="CG497" s="393"/>
      <c r="CH497" s="393"/>
      <c r="CI497" s="393"/>
      <c r="CJ497" s="390"/>
      <c r="CK497" s="390"/>
      <c r="CL497" s="390"/>
      <c r="CM497" s="390"/>
      <c r="CN497" s="390"/>
      <c r="CO497" s="390"/>
      <c r="CP497" s="390"/>
      <c r="CQ497" s="390"/>
      <c r="CR497" s="390"/>
      <c r="CS497" s="390"/>
      <c r="CT497" s="390"/>
      <c r="CU497" s="390"/>
      <c r="CV497" s="390"/>
      <c r="CW497" s="390"/>
      <c r="CX497" s="390"/>
      <c r="CY497" s="390"/>
      <c r="CZ497" s="390"/>
      <c r="DA497" s="390"/>
      <c r="DB497" s="390"/>
      <c r="DC497" s="390"/>
    </row>
    <row r="498" spans="1:107" s="303" customFormat="1" ht="56.25">
      <c r="A498" s="37"/>
      <c r="B498" s="626" t="s">
        <v>23</v>
      </c>
      <c r="C498" s="632" t="s">
        <v>828</v>
      </c>
      <c r="D498" s="628" t="s">
        <v>1226</v>
      </c>
      <c r="E498" s="636">
        <v>3416.6569160000008</v>
      </c>
      <c r="F498" s="632" t="s">
        <v>27</v>
      </c>
      <c r="G498" s="637">
        <v>0.90425531914893609</v>
      </c>
      <c r="H498" s="632" t="s">
        <v>66</v>
      </c>
      <c r="I498" s="682">
        <v>1</v>
      </c>
      <c r="J498" s="632" t="s">
        <v>1097</v>
      </c>
      <c r="K498" s="632" t="s">
        <v>1020</v>
      </c>
      <c r="L498" s="632" t="s">
        <v>1228</v>
      </c>
      <c r="M498" s="632" t="s">
        <v>93</v>
      </c>
      <c r="N498" s="680">
        <v>456.299843446154</v>
      </c>
      <c r="O498" s="680">
        <v>939.21717776000014</v>
      </c>
      <c r="P498" s="680">
        <v>395.45986432000001</v>
      </c>
      <c r="Q498" s="680">
        <v>247.1624152</v>
      </c>
      <c r="R498" s="37"/>
      <c r="S498" s="632" t="s">
        <v>69</v>
      </c>
      <c r="T498" s="632" t="s">
        <v>69</v>
      </c>
      <c r="U498" s="632" t="s">
        <v>44</v>
      </c>
      <c r="V498" s="632" t="s">
        <v>75</v>
      </c>
      <c r="W498" s="632" t="s">
        <v>76</v>
      </c>
      <c r="X498" s="37"/>
      <c r="Y498" s="37"/>
      <c r="Z498" s="632" t="s">
        <v>78</v>
      </c>
      <c r="AA498" s="632" t="s">
        <v>78</v>
      </c>
      <c r="AB498" s="37"/>
      <c r="AC498" s="634">
        <v>13.200000000000001</v>
      </c>
      <c r="AD498" s="680" t="s">
        <v>72</v>
      </c>
      <c r="AE498" s="632" t="s">
        <v>73</v>
      </c>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c r="CA498" s="393"/>
      <c r="CB498" s="393"/>
      <c r="CC498" s="393"/>
      <c r="CD498" s="393"/>
      <c r="CE498" s="393"/>
      <c r="CF498" s="393"/>
      <c r="CG498" s="393"/>
      <c r="CH498" s="393"/>
      <c r="CI498" s="393"/>
      <c r="CJ498" s="390"/>
      <c r="CK498" s="390"/>
      <c r="CL498" s="390"/>
      <c r="CM498" s="390"/>
      <c r="CN498" s="390"/>
      <c r="CO498" s="390"/>
      <c r="CP498" s="390"/>
      <c r="CQ498" s="390"/>
      <c r="CR498" s="390"/>
      <c r="CS498" s="390"/>
      <c r="CT498" s="390"/>
      <c r="CU498" s="390"/>
      <c r="CV498" s="390"/>
      <c r="CW498" s="390"/>
      <c r="CX498" s="390"/>
      <c r="CY498" s="390"/>
      <c r="CZ498" s="390"/>
      <c r="DA498" s="390"/>
      <c r="DB498" s="390"/>
      <c r="DC498" s="390"/>
    </row>
    <row r="499" spans="1:107" s="303" customFormat="1" ht="56.25">
      <c r="A499" s="37"/>
      <c r="B499" s="626" t="s">
        <v>23</v>
      </c>
      <c r="C499" s="632" t="s">
        <v>828</v>
      </c>
      <c r="D499" s="628" t="s">
        <v>1226</v>
      </c>
      <c r="E499" s="636">
        <v>3416.6569160000008</v>
      </c>
      <c r="F499" s="632" t="s">
        <v>27</v>
      </c>
      <c r="G499" s="637">
        <v>0.90425531914893609</v>
      </c>
      <c r="H499" s="632" t="s">
        <v>66</v>
      </c>
      <c r="I499" s="682">
        <v>1</v>
      </c>
      <c r="J499" s="632" t="s">
        <v>1097</v>
      </c>
      <c r="K499" s="632" t="s">
        <v>1020</v>
      </c>
      <c r="L499" s="632" t="s">
        <v>1227</v>
      </c>
      <c r="M499" s="632" t="s">
        <v>88</v>
      </c>
      <c r="N499" s="680">
        <v>632.61808652380978</v>
      </c>
      <c r="O499" s="680">
        <v>766.2034871200002</v>
      </c>
      <c r="P499" s="680">
        <v>540.66778325000007</v>
      </c>
      <c r="Q499" s="680" t="s">
        <v>1109</v>
      </c>
      <c r="R499" s="37"/>
      <c r="S499" s="632" t="s">
        <v>44</v>
      </c>
      <c r="T499" s="632" t="s">
        <v>63</v>
      </c>
      <c r="U499" s="632" t="s">
        <v>69</v>
      </c>
      <c r="V499" s="632" t="s">
        <v>69</v>
      </c>
      <c r="W499" s="632" t="s">
        <v>76</v>
      </c>
      <c r="X499" s="37"/>
      <c r="Y499" s="37"/>
      <c r="Z499" s="632" t="s">
        <v>78</v>
      </c>
      <c r="AA499" s="632" t="s">
        <v>78</v>
      </c>
      <c r="AB499" s="37"/>
      <c r="AC499" s="634">
        <v>13.200000000000001</v>
      </c>
      <c r="AD499" s="680" t="s">
        <v>72</v>
      </c>
      <c r="AE499" s="632" t="s">
        <v>73</v>
      </c>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c r="CA499" s="393"/>
      <c r="CB499" s="393"/>
      <c r="CC499" s="393"/>
      <c r="CD499" s="393"/>
      <c r="CE499" s="393"/>
      <c r="CF499" s="393"/>
      <c r="CG499" s="393"/>
      <c r="CH499" s="393"/>
      <c r="CI499" s="393"/>
      <c r="CJ499" s="390"/>
      <c r="CK499" s="390"/>
      <c r="CL499" s="390"/>
      <c r="CM499" s="390"/>
      <c r="CN499" s="390"/>
      <c r="CO499" s="390"/>
      <c r="CP499" s="390"/>
      <c r="CQ499" s="390"/>
      <c r="CR499" s="390"/>
      <c r="CS499" s="390"/>
      <c r="CT499" s="390"/>
      <c r="CU499" s="390"/>
      <c r="CV499" s="390"/>
      <c r="CW499" s="390"/>
      <c r="CX499" s="390"/>
      <c r="CY499" s="390"/>
      <c r="CZ499" s="390"/>
      <c r="DA499" s="390"/>
      <c r="DB499" s="390"/>
      <c r="DC499" s="390"/>
    </row>
    <row r="500" spans="1:107" s="303" customFormat="1" ht="56.25">
      <c r="A500" s="37"/>
      <c r="B500" s="626" t="s">
        <v>23</v>
      </c>
      <c r="C500" s="632" t="s">
        <v>828</v>
      </c>
      <c r="D500" s="628" t="s">
        <v>1226</v>
      </c>
      <c r="E500" s="636">
        <v>3416.6569160000008</v>
      </c>
      <c r="F500" s="632" t="s">
        <v>27</v>
      </c>
      <c r="G500" s="637">
        <v>0.90425531914893609</v>
      </c>
      <c r="H500" s="632" t="s">
        <v>66</v>
      </c>
      <c r="I500" s="682">
        <v>1</v>
      </c>
      <c r="J500" s="632" t="s">
        <v>1097</v>
      </c>
      <c r="K500" s="632" t="s">
        <v>1020</v>
      </c>
      <c r="L500" s="632" t="s">
        <v>1227</v>
      </c>
      <c r="M500" s="632" t="s">
        <v>90</v>
      </c>
      <c r="N500" s="680">
        <v>632.61808652380978</v>
      </c>
      <c r="O500" s="680">
        <v>692.0547625600002</v>
      </c>
      <c r="P500" s="680">
        <v>540.66778325000007</v>
      </c>
      <c r="Q500" s="680" t="s">
        <v>871</v>
      </c>
      <c r="R500" s="37"/>
      <c r="S500" s="632" t="s">
        <v>44</v>
      </c>
      <c r="T500" s="632" t="s">
        <v>63</v>
      </c>
      <c r="U500" s="632" t="s">
        <v>69</v>
      </c>
      <c r="V500" s="632" t="s">
        <v>69</v>
      </c>
      <c r="W500" s="632" t="s">
        <v>76</v>
      </c>
      <c r="X500" s="37"/>
      <c r="Y500" s="37"/>
      <c r="Z500" s="632" t="s">
        <v>78</v>
      </c>
      <c r="AA500" s="632" t="s">
        <v>78</v>
      </c>
      <c r="AB500" s="37"/>
      <c r="AC500" s="634">
        <v>13.200000000000001</v>
      </c>
      <c r="AD500" s="680" t="s">
        <v>72</v>
      </c>
      <c r="AE500" s="632" t="s">
        <v>73</v>
      </c>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c r="CA500" s="393"/>
      <c r="CB500" s="393"/>
      <c r="CC500" s="393"/>
      <c r="CD500" s="393"/>
      <c r="CE500" s="393"/>
      <c r="CF500" s="393"/>
      <c r="CG500" s="393"/>
      <c r="CH500" s="393"/>
      <c r="CI500" s="393"/>
      <c r="CJ500" s="390"/>
      <c r="CK500" s="390"/>
      <c r="CL500" s="390"/>
      <c r="CM500" s="390"/>
      <c r="CN500" s="390"/>
      <c r="CO500" s="390"/>
      <c r="CP500" s="390"/>
      <c r="CQ500" s="390"/>
      <c r="CR500" s="390"/>
      <c r="CS500" s="390"/>
      <c r="CT500" s="390"/>
      <c r="CU500" s="390"/>
      <c r="CV500" s="390"/>
      <c r="CW500" s="390"/>
      <c r="CX500" s="390"/>
      <c r="CY500" s="390"/>
      <c r="CZ500" s="390"/>
      <c r="DA500" s="390"/>
      <c r="DB500" s="390"/>
      <c r="DC500" s="390"/>
    </row>
    <row r="501" spans="1:107" s="303" customFormat="1" ht="56.25">
      <c r="A501" s="37"/>
      <c r="B501" s="626" t="s">
        <v>23</v>
      </c>
      <c r="C501" s="632" t="s">
        <v>828</v>
      </c>
      <c r="D501" s="628" t="s">
        <v>1226</v>
      </c>
      <c r="E501" s="636">
        <v>3416.6569160000008</v>
      </c>
      <c r="F501" s="632" t="s">
        <v>27</v>
      </c>
      <c r="G501" s="637">
        <v>0.90425531914893609</v>
      </c>
      <c r="H501" s="632" t="s">
        <v>66</v>
      </c>
      <c r="I501" s="682">
        <v>1</v>
      </c>
      <c r="J501" s="632" t="s">
        <v>1097</v>
      </c>
      <c r="K501" s="632" t="s">
        <v>1020</v>
      </c>
      <c r="L501" s="632" t="s">
        <v>1227</v>
      </c>
      <c r="M501" s="632" t="s">
        <v>91</v>
      </c>
      <c r="N501" s="680">
        <v>632.61808652380978</v>
      </c>
      <c r="O501" s="680" t="s">
        <v>870</v>
      </c>
      <c r="P501" s="680">
        <v>540.66778325000007</v>
      </c>
      <c r="Q501" s="680" t="s">
        <v>870</v>
      </c>
      <c r="R501" s="37"/>
      <c r="S501" s="632" t="s">
        <v>44</v>
      </c>
      <c r="T501" s="632" t="s">
        <v>63</v>
      </c>
      <c r="U501" s="632" t="s">
        <v>870</v>
      </c>
      <c r="V501" s="632" t="s">
        <v>870</v>
      </c>
      <c r="W501" s="632" t="s">
        <v>76</v>
      </c>
      <c r="X501" s="37"/>
      <c r="Y501" s="37"/>
      <c r="Z501" s="632" t="s">
        <v>78</v>
      </c>
      <c r="AA501" s="632" t="s">
        <v>78</v>
      </c>
      <c r="AB501" s="37"/>
      <c r="AC501" s="634">
        <v>13.200000000000001</v>
      </c>
      <c r="AD501" s="680" t="s">
        <v>72</v>
      </c>
      <c r="AE501" s="632" t="s">
        <v>73</v>
      </c>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c r="CA501" s="393"/>
      <c r="CB501" s="393"/>
      <c r="CC501" s="393"/>
      <c r="CD501" s="393"/>
      <c r="CE501" s="393"/>
      <c r="CF501" s="393"/>
      <c r="CG501" s="393"/>
      <c r="CH501" s="393"/>
      <c r="CI501" s="393"/>
      <c r="CJ501" s="390"/>
      <c r="CK501" s="390"/>
      <c r="CL501" s="390"/>
      <c r="CM501" s="390"/>
      <c r="CN501" s="390"/>
      <c r="CO501" s="390"/>
      <c r="CP501" s="390"/>
      <c r="CQ501" s="390"/>
      <c r="CR501" s="390"/>
      <c r="CS501" s="390"/>
      <c r="CT501" s="390"/>
      <c r="CU501" s="390"/>
      <c r="CV501" s="390"/>
      <c r="CW501" s="390"/>
      <c r="CX501" s="390"/>
      <c r="CY501" s="390"/>
      <c r="CZ501" s="390"/>
      <c r="DA501" s="390"/>
      <c r="DB501" s="390"/>
      <c r="DC501" s="390"/>
    </row>
    <row r="502" spans="1:107" s="303" customFormat="1" ht="56.25">
      <c r="A502" s="37"/>
      <c r="B502" s="626" t="s">
        <v>23</v>
      </c>
      <c r="C502" s="632" t="s">
        <v>828</v>
      </c>
      <c r="D502" s="628" t="s">
        <v>1226</v>
      </c>
      <c r="E502" s="636">
        <v>3416.6569160000008</v>
      </c>
      <c r="F502" s="632" t="s">
        <v>27</v>
      </c>
      <c r="G502" s="637">
        <v>0.90425531914893609</v>
      </c>
      <c r="H502" s="632" t="s">
        <v>66</v>
      </c>
      <c r="I502" s="682">
        <v>1</v>
      </c>
      <c r="J502" s="632" t="s">
        <v>1097</v>
      </c>
      <c r="K502" s="632" t="s">
        <v>1020</v>
      </c>
      <c r="L502" s="632" t="s">
        <v>1227</v>
      </c>
      <c r="M502" s="632" t="s">
        <v>92</v>
      </c>
      <c r="N502" s="680">
        <v>632.61808652380978</v>
      </c>
      <c r="O502" s="680">
        <v>889.78469472000018</v>
      </c>
      <c r="P502" s="680">
        <v>540.66778325000007</v>
      </c>
      <c r="Q502" s="680">
        <v>197.72993215999995</v>
      </c>
      <c r="R502" s="37"/>
      <c r="S502" s="632" t="s">
        <v>44</v>
      </c>
      <c r="T502" s="632" t="s">
        <v>63</v>
      </c>
      <c r="U502" s="632" t="s">
        <v>69</v>
      </c>
      <c r="V502" s="632" t="s">
        <v>69</v>
      </c>
      <c r="W502" s="632" t="s">
        <v>76</v>
      </c>
      <c r="X502" s="37"/>
      <c r="Y502" s="37"/>
      <c r="Z502" s="632" t="s">
        <v>78</v>
      </c>
      <c r="AA502" s="632" t="s">
        <v>78</v>
      </c>
      <c r="AB502" s="37"/>
      <c r="AC502" s="634">
        <v>13.200000000000001</v>
      </c>
      <c r="AD502" s="680" t="s">
        <v>72</v>
      </c>
      <c r="AE502" s="632" t="s">
        <v>73</v>
      </c>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c r="CA502" s="393"/>
      <c r="CB502" s="393"/>
      <c r="CC502" s="393"/>
      <c r="CD502" s="393"/>
      <c r="CE502" s="393"/>
      <c r="CF502" s="393"/>
      <c r="CG502" s="393"/>
      <c r="CH502" s="393"/>
      <c r="CI502" s="393"/>
      <c r="CJ502" s="390"/>
      <c r="CK502" s="390"/>
      <c r="CL502" s="390"/>
      <c r="CM502" s="390"/>
      <c r="CN502" s="390"/>
      <c r="CO502" s="390"/>
      <c r="CP502" s="390"/>
      <c r="CQ502" s="390"/>
      <c r="CR502" s="390"/>
      <c r="CS502" s="390"/>
      <c r="CT502" s="390"/>
      <c r="CU502" s="390"/>
      <c r="CV502" s="390"/>
      <c r="CW502" s="390"/>
      <c r="CX502" s="390"/>
      <c r="CY502" s="390"/>
      <c r="CZ502" s="390"/>
      <c r="DA502" s="390"/>
      <c r="DB502" s="390"/>
      <c r="DC502" s="390"/>
    </row>
    <row r="503" spans="1:107" s="303" customFormat="1" ht="56.25">
      <c r="A503" s="37"/>
      <c r="B503" s="626" t="s">
        <v>23</v>
      </c>
      <c r="C503" s="632" t="s">
        <v>828</v>
      </c>
      <c r="D503" s="628" t="s">
        <v>1226</v>
      </c>
      <c r="E503" s="636">
        <v>3416.6569160000008</v>
      </c>
      <c r="F503" s="632" t="s">
        <v>27</v>
      </c>
      <c r="G503" s="637">
        <v>0.90425531914893609</v>
      </c>
      <c r="H503" s="632" t="s">
        <v>66</v>
      </c>
      <c r="I503" s="682">
        <v>1</v>
      </c>
      <c r="J503" s="632" t="s">
        <v>1097</v>
      </c>
      <c r="K503" s="632" t="s">
        <v>1020</v>
      </c>
      <c r="L503" s="632" t="s">
        <v>1227</v>
      </c>
      <c r="M503" s="632" t="s">
        <v>93</v>
      </c>
      <c r="N503" s="680">
        <v>632.61808652380978</v>
      </c>
      <c r="O503" s="680">
        <v>939.21717776000014</v>
      </c>
      <c r="P503" s="680">
        <v>540.66778325000007</v>
      </c>
      <c r="Q503" s="680">
        <v>247.1624152</v>
      </c>
      <c r="R503" s="37"/>
      <c r="S503" s="632" t="s">
        <v>44</v>
      </c>
      <c r="T503" s="632" t="s">
        <v>63</v>
      </c>
      <c r="U503" s="632" t="s">
        <v>44</v>
      </c>
      <c r="V503" s="632" t="s">
        <v>75</v>
      </c>
      <c r="W503" s="632" t="s">
        <v>76</v>
      </c>
      <c r="X503" s="37"/>
      <c r="Y503" s="37"/>
      <c r="Z503" s="632" t="s">
        <v>78</v>
      </c>
      <c r="AA503" s="632" t="s">
        <v>78</v>
      </c>
      <c r="AB503" s="37"/>
      <c r="AC503" s="634">
        <v>13.200000000000001</v>
      </c>
      <c r="AD503" s="680" t="s">
        <v>72</v>
      </c>
      <c r="AE503" s="632" t="s">
        <v>73</v>
      </c>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c r="CA503" s="393"/>
      <c r="CB503" s="393"/>
      <c r="CC503" s="393"/>
      <c r="CD503" s="393"/>
      <c r="CE503" s="393"/>
      <c r="CF503" s="393"/>
      <c r="CG503" s="393"/>
      <c r="CH503" s="393"/>
      <c r="CI503" s="393"/>
      <c r="CJ503" s="390"/>
      <c r="CK503" s="390"/>
      <c r="CL503" s="390"/>
      <c r="CM503" s="390"/>
      <c r="CN503" s="390"/>
      <c r="CO503" s="390"/>
      <c r="CP503" s="390"/>
      <c r="CQ503" s="390"/>
      <c r="CR503" s="390"/>
      <c r="CS503" s="390"/>
      <c r="CT503" s="390"/>
      <c r="CU503" s="390"/>
      <c r="CV503" s="390"/>
      <c r="CW503" s="390"/>
      <c r="CX503" s="390"/>
      <c r="CY503" s="390"/>
      <c r="CZ503" s="390"/>
      <c r="DA503" s="390"/>
      <c r="DB503" s="390"/>
      <c r="DC503" s="390"/>
    </row>
    <row r="504" spans="1:107" s="303" customFormat="1" ht="33.75">
      <c r="A504" s="37"/>
      <c r="B504" s="626" t="s">
        <v>23</v>
      </c>
      <c r="C504" s="632" t="s">
        <v>828</v>
      </c>
      <c r="D504" s="628" t="s">
        <v>1226</v>
      </c>
      <c r="E504" s="636">
        <v>3416.6569160000008</v>
      </c>
      <c r="F504" s="632" t="s">
        <v>1245</v>
      </c>
      <c r="G504" s="637">
        <v>4.2553191489361701E-2</v>
      </c>
      <c r="H504" s="632" t="s">
        <v>66</v>
      </c>
      <c r="I504" s="682">
        <v>1</v>
      </c>
      <c r="J504" s="632" t="s">
        <v>994</v>
      </c>
      <c r="K504" s="632" t="s">
        <v>1020</v>
      </c>
      <c r="L504" s="632" t="s">
        <v>1227</v>
      </c>
      <c r="M504" s="632" t="s">
        <v>88</v>
      </c>
      <c r="N504" s="680">
        <v>62.702015106825911</v>
      </c>
      <c r="O504" s="680">
        <v>36.05663468800001</v>
      </c>
      <c r="P504" s="680">
        <v>58.644908621100484</v>
      </c>
      <c r="Q504" s="680" t="s">
        <v>1109</v>
      </c>
      <c r="R504" s="37"/>
      <c r="S504" s="632" t="s">
        <v>44</v>
      </c>
      <c r="T504" s="632" t="s">
        <v>63</v>
      </c>
      <c r="U504" s="632" t="s">
        <v>69</v>
      </c>
      <c r="V504" s="632" t="s">
        <v>69</v>
      </c>
      <c r="W504" s="632" t="s">
        <v>76</v>
      </c>
      <c r="X504" s="37"/>
      <c r="Y504" s="37"/>
      <c r="Z504" s="632" t="s">
        <v>78</v>
      </c>
      <c r="AA504" s="632" t="s">
        <v>78</v>
      </c>
      <c r="AB504" s="37"/>
      <c r="AC504" s="634">
        <v>13.200000000000001</v>
      </c>
      <c r="AD504" s="680" t="s">
        <v>72</v>
      </c>
      <c r="AE504" s="632" t="s">
        <v>73</v>
      </c>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c r="CA504" s="393"/>
      <c r="CB504" s="393"/>
      <c r="CC504" s="393"/>
      <c r="CD504" s="393"/>
      <c r="CE504" s="393"/>
      <c r="CF504" s="393"/>
      <c r="CG504" s="393"/>
      <c r="CH504" s="393"/>
      <c r="CI504" s="393"/>
      <c r="CJ504" s="390"/>
      <c r="CK504" s="390"/>
      <c r="CL504" s="390"/>
      <c r="CM504" s="390"/>
      <c r="CN504" s="390"/>
      <c r="CO504" s="390"/>
      <c r="CP504" s="390"/>
      <c r="CQ504" s="390"/>
      <c r="CR504" s="390"/>
      <c r="CS504" s="390"/>
      <c r="CT504" s="390"/>
      <c r="CU504" s="390"/>
      <c r="CV504" s="390"/>
      <c r="CW504" s="390"/>
      <c r="CX504" s="390"/>
      <c r="CY504" s="390"/>
      <c r="CZ504" s="390"/>
      <c r="DA504" s="390"/>
      <c r="DB504" s="390"/>
      <c r="DC504" s="390"/>
    </row>
    <row r="505" spans="1:107" s="303" customFormat="1" ht="33.75">
      <c r="A505" s="37"/>
      <c r="B505" s="626" t="s">
        <v>23</v>
      </c>
      <c r="C505" s="632" t="s">
        <v>828</v>
      </c>
      <c r="D505" s="628" t="s">
        <v>1226</v>
      </c>
      <c r="E505" s="636">
        <v>3416.6569160000008</v>
      </c>
      <c r="F505" s="632" t="s">
        <v>1245</v>
      </c>
      <c r="G505" s="637">
        <v>4.2553191489361701E-2</v>
      </c>
      <c r="H505" s="632" t="s">
        <v>66</v>
      </c>
      <c r="I505" s="682">
        <v>1</v>
      </c>
      <c r="J505" s="632" t="s">
        <v>994</v>
      </c>
      <c r="K505" s="632" t="s">
        <v>1020</v>
      </c>
      <c r="L505" s="632" t="s">
        <v>1227</v>
      </c>
      <c r="M505" s="632" t="s">
        <v>90</v>
      </c>
      <c r="N505" s="680">
        <v>62.702015106825911</v>
      </c>
      <c r="O505" s="680">
        <v>32.567282944000013</v>
      </c>
      <c r="P505" s="680">
        <v>58.644908621100484</v>
      </c>
      <c r="Q505" s="680" t="s">
        <v>871</v>
      </c>
      <c r="R505" s="37"/>
      <c r="S505" s="632" t="s">
        <v>44</v>
      </c>
      <c r="T505" s="632" t="s">
        <v>63</v>
      </c>
      <c r="U505" s="632" t="s">
        <v>69</v>
      </c>
      <c r="V505" s="632" t="s">
        <v>69</v>
      </c>
      <c r="W505" s="632" t="s">
        <v>76</v>
      </c>
      <c r="X505" s="37"/>
      <c r="Y505" s="37"/>
      <c r="Z505" s="632" t="s">
        <v>78</v>
      </c>
      <c r="AA505" s="632" t="s">
        <v>78</v>
      </c>
      <c r="AB505" s="37"/>
      <c r="AC505" s="634">
        <v>13.200000000000001</v>
      </c>
      <c r="AD505" s="680" t="s">
        <v>72</v>
      </c>
      <c r="AE505" s="632" t="s">
        <v>73</v>
      </c>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c r="CA505" s="393"/>
      <c r="CB505" s="393"/>
      <c r="CC505" s="393"/>
      <c r="CD505" s="393"/>
      <c r="CE505" s="393"/>
      <c r="CF505" s="393"/>
      <c r="CG505" s="393"/>
      <c r="CH505" s="393"/>
      <c r="CI505" s="393"/>
      <c r="CJ505" s="390"/>
      <c r="CK505" s="390"/>
      <c r="CL505" s="390"/>
      <c r="CM505" s="390"/>
      <c r="CN505" s="390"/>
      <c r="CO505" s="390"/>
      <c r="CP505" s="390"/>
      <c r="CQ505" s="390"/>
      <c r="CR505" s="390"/>
      <c r="CS505" s="390"/>
      <c r="CT505" s="390"/>
      <c r="CU505" s="390"/>
      <c r="CV505" s="390"/>
      <c r="CW505" s="390"/>
      <c r="CX505" s="390"/>
      <c r="CY505" s="390"/>
      <c r="CZ505" s="390"/>
      <c r="DA505" s="390"/>
      <c r="DB505" s="390"/>
      <c r="DC505" s="390"/>
    </row>
    <row r="506" spans="1:107" s="303" customFormat="1" ht="33.75">
      <c r="A506" s="37"/>
      <c r="B506" s="626" t="s">
        <v>23</v>
      </c>
      <c r="C506" s="632" t="s">
        <v>828</v>
      </c>
      <c r="D506" s="628" t="s">
        <v>1226</v>
      </c>
      <c r="E506" s="636">
        <v>3416.6569160000008</v>
      </c>
      <c r="F506" s="632" t="s">
        <v>1245</v>
      </c>
      <c r="G506" s="637">
        <v>4.2553191489361701E-2</v>
      </c>
      <c r="H506" s="632" t="s">
        <v>66</v>
      </c>
      <c r="I506" s="682">
        <v>1</v>
      </c>
      <c r="J506" s="632" t="s">
        <v>994</v>
      </c>
      <c r="K506" s="632" t="s">
        <v>1020</v>
      </c>
      <c r="L506" s="632" t="s">
        <v>1227</v>
      </c>
      <c r="M506" s="632" t="s">
        <v>91</v>
      </c>
      <c r="N506" s="680">
        <v>62.702015106825911</v>
      </c>
      <c r="O506" s="680" t="s">
        <v>870</v>
      </c>
      <c r="P506" s="680">
        <v>58.644908621100484</v>
      </c>
      <c r="Q506" s="680" t="s">
        <v>870</v>
      </c>
      <c r="R506" s="37"/>
      <c r="S506" s="632" t="s">
        <v>44</v>
      </c>
      <c r="T506" s="632" t="s">
        <v>63</v>
      </c>
      <c r="U506" s="632" t="s">
        <v>870</v>
      </c>
      <c r="V506" s="632" t="s">
        <v>870</v>
      </c>
      <c r="W506" s="632" t="s">
        <v>76</v>
      </c>
      <c r="X506" s="37"/>
      <c r="Y506" s="37"/>
      <c r="Z506" s="632" t="s">
        <v>78</v>
      </c>
      <c r="AA506" s="632" t="s">
        <v>78</v>
      </c>
      <c r="AB506" s="37"/>
      <c r="AC506" s="634">
        <v>13.200000000000001</v>
      </c>
      <c r="AD506" s="680" t="s">
        <v>72</v>
      </c>
      <c r="AE506" s="632" t="s">
        <v>73</v>
      </c>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c r="CA506" s="393"/>
      <c r="CB506" s="393"/>
      <c r="CC506" s="393"/>
      <c r="CD506" s="393"/>
      <c r="CE506" s="393"/>
      <c r="CF506" s="393"/>
      <c r="CG506" s="393"/>
      <c r="CH506" s="393"/>
      <c r="CI506" s="393"/>
      <c r="CJ506" s="390"/>
      <c r="CK506" s="390"/>
      <c r="CL506" s="390"/>
      <c r="CM506" s="390"/>
      <c r="CN506" s="390"/>
      <c r="CO506" s="390"/>
      <c r="CP506" s="390"/>
      <c r="CQ506" s="390"/>
      <c r="CR506" s="390"/>
      <c r="CS506" s="390"/>
      <c r="CT506" s="390"/>
      <c r="CU506" s="390"/>
      <c r="CV506" s="390"/>
      <c r="CW506" s="390"/>
      <c r="CX506" s="390"/>
      <c r="CY506" s="390"/>
      <c r="CZ506" s="390"/>
      <c r="DA506" s="390"/>
      <c r="DB506" s="390"/>
      <c r="DC506" s="390"/>
    </row>
    <row r="507" spans="1:107" s="303" customFormat="1" ht="33.75">
      <c r="A507" s="37"/>
      <c r="B507" s="626" t="s">
        <v>23</v>
      </c>
      <c r="C507" s="632" t="s">
        <v>828</v>
      </c>
      <c r="D507" s="628" t="s">
        <v>1226</v>
      </c>
      <c r="E507" s="636">
        <v>3416.6569160000008</v>
      </c>
      <c r="F507" s="632" t="s">
        <v>1245</v>
      </c>
      <c r="G507" s="637">
        <v>4.2553191489361701E-2</v>
      </c>
      <c r="H507" s="632" t="s">
        <v>66</v>
      </c>
      <c r="I507" s="682">
        <v>1</v>
      </c>
      <c r="J507" s="632" t="s">
        <v>994</v>
      </c>
      <c r="K507" s="632" t="s">
        <v>1020</v>
      </c>
      <c r="L507" s="632" t="s">
        <v>1227</v>
      </c>
      <c r="M507" s="632" t="s">
        <v>92</v>
      </c>
      <c r="N507" s="680">
        <v>62.702015106825911</v>
      </c>
      <c r="O507" s="680">
        <v>41.872220928000011</v>
      </c>
      <c r="P507" s="680">
        <v>58.644908621100484</v>
      </c>
      <c r="Q507" s="680">
        <v>9.3049379839999968</v>
      </c>
      <c r="R507" s="37"/>
      <c r="S507" s="632" t="s">
        <v>44</v>
      </c>
      <c r="T507" s="632" t="s">
        <v>63</v>
      </c>
      <c r="U507" s="632" t="s">
        <v>69</v>
      </c>
      <c r="V507" s="632" t="s">
        <v>69</v>
      </c>
      <c r="W507" s="632" t="s">
        <v>76</v>
      </c>
      <c r="X507" s="37"/>
      <c r="Y507" s="37"/>
      <c r="Z507" s="632" t="s">
        <v>78</v>
      </c>
      <c r="AA507" s="632" t="s">
        <v>78</v>
      </c>
      <c r="AB507" s="37"/>
      <c r="AC507" s="634">
        <v>13.200000000000001</v>
      </c>
      <c r="AD507" s="680" t="s">
        <v>72</v>
      </c>
      <c r="AE507" s="632" t="s">
        <v>73</v>
      </c>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c r="CA507" s="393"/>
      <c r="CB507" s="393"/>
      <c r="CC507" s="393"/>
      <c r="CD507" s="393"/>
      <c r="CE507" s="393"/>
      <c r="CF507" s="393"/>
      <c r="CG507" s="393"/>
      <c r="CH507" s="393"/>
      <c r="CI507" s="393"/>
      <c r="CJ507" s="390"/>
      <c r="CK507" s="390"/>
      <c r="CL507" s="390"/>
      <c r="CM507" s="390"/>
      <c r="CN507" s="390"/>
      <c r="CO507" s="390"/>
      <c r="CP507" s="390"/>
      <c r="CQ507" s="390"/>
      <c r="CR507" s="390"/>
      <c r="CS507" s="390"/>
      <c r="CT507" s="390"/>
      <c r="CU507" s="390"/>
      <c r="CV507" s="390"/>
      <c r="CW507" s="390"/>
      <c r="CX507" s="390"/>
      <c r="CY507" s="390"/>
      <c r="CZ507" s="390"/>
      <c r="DA507" s="390"/>
      <c r="DB507" s="390"/>
      <c r="DC507" s="390"/>
    </row>
    <row r="508" spans="1:107" s="303" customFormat="1" ht="33.75">
      <c r="A508" s="37"/>
      <c r="B508" s="626" t="s">
        <v>23</v>
      </c>
      <c r="C508" s="632" t="s">
        <v>828</v>
      </c>
      <c r="D508" s="628" t="s">
        <v>1226</v>
      </c>
      <c r="E508" s="636">
        <v>3416.6569160000008</v>
      </c>
      <c r="F508" s="632" t="s">
        <v>1245</v>
      </c>
      <c r="G508" s="637">
        <v>4.2553191489361701E-2</v>
      </c>
      <c r="H508" s="632" t="s">
        <v>66</v>
      </c>
      <c r="I508" s="682">
        <v>1</v>
      </c>
      <c r="J508" s="632" t="s">
        <v>994</v>
      </c>
      <c r="K508" s="632" t="s">
        <v>1020</v>
      </c>
      <c r="L508" s="632" t="s">
        <v>1227</v>
      </c>
      <c r="M508" s="632" t="s">
        <v>93</v>
      </c>
      <c r="N508" s="680">
        <v>62.702015106825911</v>
      </c>
      <c r="O508" s="680">
        <v>44.198455424000009</v>
      </c>
      <c r="P508" s="680">
        <v>58.644908621100484</v>
      </c>
      <c r="Q508" s="680">
        <v>11.63117248</v>
      </c>
      <c r="R508" s="37"/>
      <c r="S508" s="632" t="s">
        <v>44</v>
      </c>
      <c r="T508" s="632" t="s">
        <v>63</v>
      </c>
      <c r="U508" s="632" t="s">
        <v>44</v>
      </c>
      <c r="V508" s="632" t="s">
        <v>75</v>
      </c>
      <c r="W508" s="632" t="s">
        <v>76</v>
      </c>
      <c r="X508" s="37"/>
      <c r="Y508" s="37"/>
      <c r="Z508" s="632" t="s">
        <v>78</v>
      </c>
      <c r="AA508" s="632" t="s">
        <v>78</v>
      </c>
      <c r="AB508" s="37"/>
      <c r="AC508" s="634">
        <v>13.200000000000001</v>
      </c>
      <c r="AD508" s="680" t="s">
        <v>72</v>
      </c>
      <c r="AE508" s="632" t="s">
        <v>73</v>
      </c>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c r="CA508" s="393"/>
      <c r="CB508" s="393"/>
      <c r="CC508" s="393"/>
      <c r="CD508" s="393"/>
      <c r="CE508" s="393"/>
      <c r="CF508" s="393"/>
      <c r="CG508" s="393"/>
      <c r="CH508" s="393"/>
      <c r="CI508" s="393"/>
      <c r="CJ508" s="390"/>
      <c r="CK508" s="390"/>
      <c r="CL508" s="390"/>
      <c r="CM508" s="390"/>
      <c r="CN508" s="390"/>
      <c r="CO508" s="390"/>
      <c r="CP508" s="390"/>
      <c r="CQ508" s="390"/>
      <c r="CR508" s="390"/>
      <c r="CS508" s="390"/>
      <c r="CT508" s="390"/>
      <c r="CU508" s="390"/>
      <c r="CV508" s="390"/>
      <c r="CW508" s="390"/>
      <c r="CX508" s="390"/>
      <c r="CY508" s="390"/>
      <c r="CZ508" s="390"/>
      <c r="DA508" s="390"/>
      <c r="DB508" s="390"/>
      <c r="DC508" s="390"/>
    </row>
    <row r="509" spans="1:107" s="303" customFormat="1" ht="33.75">
      <c r="A509" s="37"/>
      <c r="B509" s="626" t="s">
        <v>23</v>
      </c>
      <c r="C509" s="632" t="s">
        <v>828</v>
      </c>
      <c r="D509" s="628" t="s">
        <v>1226</v>
      </c>
      <c r="E509" s="636">
        <v>3416.6569160000008</v>
      </c>
      <c r="F509" s="632" t="s">
        <v>1245</v>
      </c>
      <c r="G509" s="637">
        <v>4.2553191489361701E-2</v>
      </c>
      <c r="H509" s="632" t="s">
        <v>66</v>
      </c>
      <c r="I509" s="682">
        <v>1</v>
      </c>
      <c r="J509" s="632" t="s">
        <v>994</v>
      </c>
      <c r="K509" s="632" t="s">
        <v>1020</v>
      </c>
      <c r="L509" s="632" t="s">
        <v>995</v>
      </c>
      <c r="M509" s="632" t="s">
        <v>88</v>
      </c>
      <c r="N509" s="680">
        <v>28.119318083516493</v>
      </c>
      <c r="O509" s="680">
        <v>36.05663468800001</v>
      </c>
      <c r="P509" s="680">
        <v>22.991852576744193</v>
      </c>
      <c r="Q509" s="680" t="s">
        <v>1109</v>
      </c>
      <c r="R509" s="37"/>
      <c r="S509" s="632" t="s">
        <v>44</v>
      </c>
      <c r="T509" s="632" t="s">
        <v>69</v>
      </c>
      <c r="U509" s="632" t="s">
        <v>69</v>
      </c>
      <c r="V509" s="632" t="s">
        <v>69</v>
      </c>
      <c r="W509" s="632" t="s">
        <v>76</v>
      </c>
      <c r="X509" s="37"/>
      <c r="Y509" s="37"/>
      <c r="Z509" s="632" t="s">
        <v>78</v>
      </c>
      <c r="AA509" s="632" t="s">
        <v>78</v>
      </c>
      <c r="AB509" s="37"/>
      <c r="AC509" s="634">
        <v>13.200000000000001</v>
      </c>
      <c r="AD509" s="680" t="s">
        <v>72</v>
      </c>
      <c r="AE509" s="632" t="s">
        <v>73</v>
      </c>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c r="CA509" s="393"/>
      <c r="CB509" s="393"/>
      <c r="CC509" s="393"/>
      <c r="CD509" s="393"/>
      <c r="CE509" s="393"/>
      <c r="CF509" s="393"/>
      <c r="CG509" s="393"/>
      <c r="CH509" s="393"/>
      <c r="CI509" s="393"/>
      <c r="CJ509" s="390"/>
      <c r="CK509" s="390"/>
      <c r="CL509" s="390"/>
      <c r="CM509" s="390"/>
      <c r="CN509" s="390"/>
      <c r="CO509" s="390"/>
      <c r="CP509" s="390"/>
      <c r="CQ509" s="390"/>
      <c r="CR509" s="390"/>
      <c r="CS509" s="390"/>
      <c r="CT509" s="390"/>
      <c r="CU509" s="390"/>
      <c r="CV509" s="390"/>
      <c r="CW509" s="390"/>
      <c r="CX509" s="390"/>
      <c r="CY509" s="390"/>
      <c r="CZ509" s="390"/>
      <c r="DA509" s="390"/>
      <c r="DB509" s="390"/>
      <c r="DC509" s="390"/>
    </row>
    <row r="510" spans="1:107" s="303" customFormat="1" ht="33.75">
      <c r="A510" s="37"/>
      <c r="B510" s="626" t="s">
        <v>23</v>
      </c>
      <c r="C510" s="632" t="s">
        <v>828</v>
      </c>
      <c r="D510" s="628" t="s">
        <v>1226</v>
      </c>
      <c r="E510" s="636">
        <v>3416.6569160000008</v>
      </c>
      <c r="F510" s="632" t="s">
        <v>1245</v>
      </c>
      <c r="G510" s="637">
        <v>4.2553191489361701E-2</v>
      </c>
      <c r="H510" s="632" t="s">
        <v>66</v>
      </c>
      <c r="I510" s="682">
        <v>1</v>
      </c>
      <c r="J510" s="632" t="s">
        <v>994</v>
      </c>
      <c r="K510" s="632" t="s">
        <v>1020</v>
      </c>
      <c r="L510" s="632" t="s">
        <v>995</v>
      </c>
      <c r="M510" s="632" t="s">
        <v>90</v>
      </c>
      <c r="N510" s="680">
        <v>28.119318083516493</v>
      </c>
      <c r="O510" s="680">
        <v>32.567282944000013</v>
      </c>
      <c r="P510" s="680">
        <v>22.991852576744193</v>
      </c>
      <c r="Q510" s="680" t="s">
        <v>871</v>
      </c>
      <c r="R510" s="37"/>
      <c r="S510" s="632" t="s">
        <v>44</v>
      </c>
      <c r="T510" s="632" t="s">
        <v>69</v>
      </c>
      <c r="U510" s="632" t="s">
        <v>69</v>
      </c>
      <c r="V510" s="632" t="s">
        <v>69</v>
      </c>
      <c r="W510" s="632" t="s">
        <v>76</v>
      </c>
      <c r="X510" s="37"/>
      <c r="Y510" s="37"/>
      <c r="Z510" s="632" t="s">
        <v>78</v>
      </c>
      <c r="AA510" s="632" t="s">
        <v>78</v>
      </c>
      <c r="AB510" s="37"/>
      <c r="AC510" s="634">
        <v>13.200000000000001</v>
      </c>
      <c r="AD510" s="680" t="s">
        <v>72</v>
      </c>
      <c r="AE510" s="632" t="s">
        <v>73</v>
      </c>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c r="CA510" s="393"/>
      <c r="CB510" s="393"/>
      <c r="CC510" s="393"/>
      <c r="CD510" s="393"/>
      <c r="CE510" s="393"/>
      <c r="CF510" s="393"/>
      <c r="CG510" s="393"/>
      <c r="CH510" s="393"/>
      <c r="CI510" s="393"/>
      <c r="CJ510" s="390"/>
      <c r="CK510" s="390"/>
      <c r="CL510" s="390"/>
      <c r="CM510" s="390"/>
      <c r="CN510" s="390"/>
      <c r="CO510" s="390"/>
      <c r="CP510" s="390"/>
      <c r="CQ510" s="390"/>
      <c r="CR510" s="390"/>
      <c r="CS510" s="390"/>
      <c r="CT510" s="390"/>
      <c r="CU510" s="390"/>
      <c r="CV510" s="390"/>
      <c r="CW510" s="390"/>
      <c r="CX510" s="390"/>
      <c r="CY510" s="390"/>
      <c r="CZ510" s="390"/>
      <c r="DA510" s="390"/>
      <c r="DB510" s="390"/>
      <c r="DC510" s="390"/>
    </row>
    <row r="511" spans="1:107" s="303" customFormat="1" ht="33.75">
      <c r="A511" s="37"/>
      <c r="B511" s="626" t="s">
        <v>23</v>
      </c>
      <c r="C511" s="632" t="s">
        <v>828</v>
      </c>
      <c r="D511" s="628" t="s">
        <v>1226</v>
      </c>
      <c r="E511" s="636">
        <v>3416.6569160000008</v>
      </c>
      <c r="F511" s="632" t="s">
        <v>1245</v>
      </c>
      <c r="G511" s="637">
        <v>4.2553191489361701E-2</v>
      </c>
      <c r="H511" s="632" t="s">
        <v>66</v>
      </c>
      <c r="I511" s="682">
        <v>1</v>
      </c>
      <c r="J511" s="632" t="s">
        <v>994</v>
      </c>
      <c r="K511" s="632" t="s">
        <v>1020</v>
      </c>
      <c r="L511" s="632" t="s">
        <v>995</v>
      </c>
      <c r="M511" s="632" t="s">
        <v>91</v>
      </c>
      <c r="N511" s="680">
        <v>28.119318083516493</v>
      </c>
      <c r="O511" s="680" t="s">
        <v>870</v>
      </c>
      <c r="P511" s="680">
        <v>22.991852576744193</v>
      </c>
      <c r="Q511" s="680" t="s">
        <v>870</v>
      </c>
      <c r="R511" s="37"/>
      <c r="S511" s="632" t="s">
        <v>44</v>
      </c>
      <c r="T511" s="632" t="s">
        <v>69</v>
      </c>
      <c r="U511" s="632" t="s">
        <v>870</v>
      </c>
      <c r="V511" s="632" t="s">
        <v>870</v>
      </c>
      <c r="W511" s="632" t="s">
        <v>76</v>
      </c>
      <c r="X511" s="37"/>
      <c r="Y511" s="37"/>
      <c r="Z511" s="632" t="s">
        <v>78</v>
      </c>
      <c r="AA511" s="632" t="s">
        <v>78</v>
      </c>
      <c r="AB511" s="37"/>
      <c r="AC511" s="634">
        <v>13.200000000000001</v>
      </c>
      <c r="AD511" s="680" t="s">
        <v>72</v>
      </c>
      <c r="AE511" s="632" t="s">
        <v>73</v>
      </c>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c r="CA511" s="393"/>
      <c r="CB511" s="393"/>
      <c r="CC511" s="393"/>
      <c r="CD511" s="393"/>
      <c r="CE511" s="393"/>
      <c r="CF511" s="393"/>
      <c r="CG511" s="393"/>
      <c r="CH511" s="393"/>
      <c r="CI511" s="393"/>
      <c r="CJ511" s="390"/>
      <c r="CK511" s="390"/>
      <c r="CL511" s="390"/>
      <c r="CM511" s="390"/>
      <c r="CN511" s="390"/>
      <c r="CO511" s="390"/>
      <c r="CP511" s="390"/>
      <c r="CQ511" s="390"/>
      <c r="CR511" s="390"/>
      <c r="CS511" s="390"/>
      <c r="CT511" s="390"/>
      <c r="CU511" s="390"/>
      <c r="CV511" s="390"/>
      <c r="CW511" s="390"/>
      <c r="CX511" s="390"/>
      <c r="CY511" s="390"/>
      <c r="CZ511" s="390"/>
      <c r="DA511" s="390"/>
      <c r="DB511" s="390"/>
      <c r="DC511" s="390"/>
    </row>
    <row r="512" spans="1:107" s="303" customFormat="1" ht="33.75">
      <c r="A512" s="37"/>
      <c r="B512" s="626" t="s">
        <v>23</v>
      </c>
      <c r="C512" s="632" t="s">
        <v>828</v>
      </c>
      <c r="D512" s="628" t="s">
        <v>1226</v>
      </c>
      <c r="E512" s="636">
        <v>3416.6569160000008</v>
      </c>
      <c r="F512" s="632" t="s">
        <v>1245</v>
      </c>
      <c r="G512" s="637">
        <v>4.2553191489361701E-2</v>
      </c>
      <c r="H512" s="632" t="s">
        <v>66</v>
      </c>
      <c r="I512" s="682">
        <v>1</v>
      </c>
      <c r="J512" s="632" t="s">
        <v>994</v>
      </c>
      <c r="K512" s="632" t="s">
        <v>1020</v>
      </c>
      <c r="L512" s="632" t="s">
        <v>995</v>
      </c>
      <c r="M512" s="632" t="s">
        <v>92</v>
      </c>
      <c r="N512" s="680">
        <v>28.119318083516493</v>
      </c>
      <c r="O512" s="680">
        <v>41.872220928000011</v>
      </c>
      <c r="P512" s="680">
        <v>22.991852576744193</v>
      </c>
      <c r="Q512" s="680">
        <v>9.3049379839999968</v>
      </c>
      <c r="R512" s="37"/>
      <c r="S512" s="632" t="s">
        <v>44</v>
      </c>
      <c r="T512" s="632" t="s">
        <v>69</v>
      </c>
      <c r="U512" s="632" t="s">
        <v>69</v>
      </c>
      <c r="V512" s="632" t="s">
        <v>69</v>
      </c>
      <c r="W512" s="632" t="s">
        <v>76</v>
      </c>
      <c r="X512" s="37"/>
      <c r="Y512" s="37"/>
      <c r="Z512" s="632" t="s">
        <v>78</v>
      </c>
      <c r="AA512" s="632" t="s">
        <v>78</v>
      </c>
      <c r="AB512" s="37"/>
      <c r="AC512" s="634">
        <v>13.200000000000001</v>
      </c>
      <c r="AD512" s="680" t="s">
        <v>72</v>
      </c>
      <c r="AE512" s="632" t="s">
        <v>73</v>
      </c>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c r="CA512" s="393"/>
      <c r="CB512" s="393"/>
      <c r="CC512" s="393"/>
      <c r="CD512" s="393"/>
      <c r="CE512" s="393"/>
      <c r="CF512" s="393"/>
      <c r="CG512" s="393"/>
      <c r="CH512" s="393"/>
      <c r="CI512" s="393"/>
      <c r="CJ512" s="390"/>
      <c r="CK512" s="390"/>
      <c r="CL512" s="390"/>
      <c r="CM512" s="390"/>
      <c r="CN512" s="390"/>
      <c r="CO512" s="390"/>
      <c r="CP512" s="390"/>
      <c r="CQ512" s="390"/>
      <c r="CR512" s="390"/>
      <c r="CS512" s="390"/>
      <c r="CT512" s="390"/>
      <c r="CU512" s="390"/>
      <c r="CV512" s="390"/>
      <c r="CW512" s="390"/>
      <c r="CX512" s="390"/>
      <c r="CY512" s="390"/>
      <c r="CZ512" s="390"/>
      <c r="DA512" s="390"/>
      <c r="DB512" s="390"/>
      <c r="DC512" s="390"/>
    </row>
    <row r="513" spans="1:107" s="303" customFormat="1" ht="33.75">
      <c r="A513" s="37"/>
      <c r="B513" s="626" t="s">
        <v>23</v>
      </c>
      <c r="C513" s="632" t="s">
        <v>828</v>
      </c>
      <c r="D513" s="628" t="s">
        <v>1226</v>
      </c>
      <c r="E513" s="636">
        <v>3416.6569160000008</v>
      </c>
      <c r="F513" s="632" t="s">
        <v>1245</v>
      </c>
      <c r="G513" s="637">
        <v>4.2553191489361701E-2</v>
      </c>
      <c r="H513" s="632" t="s">
        <v>66</v>
      </c>
      <c r="I513" s="682">
        <v>1</v>
      </c>
      <c r="J513" s="632" t="s">
        <v>994</v>
      </c>
      <c r="K513" s="632" t="s">
        <v>1020</v>
      </c>
      <c r="L513" s="632" t="s">
        <v>995</v>
      </c>
      <c r="M513" s="632" t="s">
        <v>93</v>
      </c>
      <c r="N513" s="680">
        <v>28.119318083516493</v>
      </c>
      <c r="O513" s="680">
        <v>44.198455424000009</v>
      </c>
      <c r="P513" s="680">
        <v>22.991852576744193</v>
      </c>
      <c r="Q513" s="680">
        <v>11.63117248</v>
      </c>
      <c r="R513" s="37"/>
      <c r="S513" s="632" t="s">
        <v>44</v>
      </c>
      <c r="T513" s="632" t="s">
        <v>69</v>
      </c>
      <c r="U513" s="632" t="s">
        <v>44</v>
      </c>
      <c r="V513" s="632" t="s">
        <v>75</v>
      </c>
      <c r="W513" s="632" t="s">
        <v>76</v>
      </c>
      <c r="X513" s="37"/>
      <c r="Y513" s="37"/>
      <c r="Z513" s="632" t="s">
        <v>78</v>
      </c>
      <c r="AA513" s="632" t="s">
        <v>78</v>
      </c>
      <c r="AB513" s="37"/>
      <c r="AC513" s="634">
        <v>13.200000000000001</v>
      </c>
      <c r="AD513" s="680" t="s">
        <v>72</v>
      </c>
      <c r="AE513" s="632" t="s">
        <v>73</v>
      </c>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c r="CA513" s="393"/>
      <c r="CB513" s="393"/>
      <c r="CC513" s="393"/>
      <c r="CD513" s="393"/>
      <c r="CE513" s="393"/>
      <c r="CF513" s="393"/>
      <c r="CG513" s="393"/>
      <c r="CH513" s="393"/>
      <c r="CI513" s="393"/>
      <c r="CJ513" s="390"/>
      <c r="CK513" s="390"/>
      <c r="CL513" s="390"/>
      <c r="CM513" s="390"/>
      <c r="CN513" s="390"/>
      <c r="CO513" s="390"/>
      <c r="CP513" s="390"/>
      <c r="CQ513" s="390"/>
      <c r="CR513" s="390"/>
      <c r="CS513" s="390"/>
      <c r="CT513" s="390"/>
      <c r="CU513" s="390"/>
      <c r="CV513" s="390"/>
      <c r="CW513" s="390"/>
      <c r="CX513" s="390"/>
      <c r="CY513" s="390"/>
      <c r="CZ513" s="390"/>
      <c r="DA513" s="390"/>
      <c r="DB513" s="390"/>
      <c r="DC513" s="390"/>
    </row>
    <row r="514" spans="1:107" s="303" customFormat="1" ht="33.75">
      <c r="A514" s="37"/>
      <c r="B514" s="626" t="s">
        <v>23</v>
      </c>
      <c r="C514" s="632" t="s">
        <v>828</v>
      </c>
      <c r="D514" s="628" t="s">
        <v>1226</v>
      </c>
      <c r="E514" s="636">
        <v>3416.6569160000008</v>
      </c>
      <c r="F514" s="632" t="s">
        <v>1245</v>
      </c>
      <c r="G514" s="637">
        <v>4.2553191489361701E-2</v>
      </c>
      <c r="H514" s="632" t="s">
        <v>66</v>
      </c>
      <c r="I514" s="682">
        <v>1</v>
      </c>
      <c r="J514" s="632" t="s">
        <v>994</v>
      </c>
      <c r="K514" s="632" t="s">
        <v>1020</v>
      </c>
      <c r="L514" s="632" t="s">
        <v>1228</v>
      </c>
      <c r="M514" s="632" t="s">
        <v>88</v>
      </c>
      <c r="N514" s="680">
        <v>22.250938657391313</v>
      </c>
      <c r="O514" s="680">
        <v>36.05663468800001</v>
      </c>
      <c r="P514" s="680">
        <v>16.845146350344827</v>
      </c>
      <c r="Q514" s="680" t="s">
        <v>1109</v>
      </c>
      <c r="R514" s="37"/>
      <c r="S514" s="632" t="s">
        <v>69</v>
      </c>
      <c r="T514" s="632" t="s">
        <v>69</v>
      </c>
      <c r="U514" s="632" t="s">
        <v>69</v>
      </c>
      <c r="V514" s="632" t="s">
        <v>69</v>
      </c>
      <c r="W514" s="632" t="s">
        <v>76</v>
      </c>
      <c r="X514" s="37"/>
      <c r="Y514" s="37"/>
      <c r="Z514" s="632" t="s">
        <v>78</v>
      </c>
      <c r="AA514" s="632" t="s">
        <v>78</v>
      </c>
      <c r="AB514" s="37"/>
      <c r="AC514" s="634">
        <v>13.200000000000001</v>
      </c>
      <c r="AD514" s="680" t="s">
        <v>72</v>
      </c>
      <c r="AE514" s="632" t="s">
        <v>73</v>
      </c>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c r="CA514" s="393"/>
      <c r="CB514" s="393"/>
      <c r="CC514" s="393"/>
      <c r="CD514" s="393"/>
      <c r="CE514" s="393"/>
      <c r="CF514" s="393"/>
      <c r="CG514" s="393"/>
      <c r="CH514" s="393"/>
      <c r="CI514" s="393"/>
      <c r="CJ514" s="390"/>
      <c r="CK514" s="390"/>
      <c r="CL514" s="390"/>
      <c r="CM514" s="390"/>
      <c r="CN514" s="390"/>
      <c r="CO514" s="390"/>
      <c r="CP514" s="390"/>
      <c r="CQ514" s="390"/>
      <c r="CR514" s="390"/>
      <c r="CS514" s="390"/>
      <c r="CT514" s="390"/>
      <c r="CU514" s="390"/>
      <c r="CV514" s="390"/>
      <c r="CW514" s="390"/>
      <c r="CX514" s="390"/>
      <c r="CY514" s="390"/>
      <c r="CZ514" s="390"/>
      <c r="DA514" s="390"/>
      <c r="DB514" s="390"/>
      <c r="DC514" s="390"/>
    </row>
    <row r="515" spans="1:107" s="303" customFormat="1" ht="33.75">
      <c r="A515" s="37"/>
      <c r="B515" s="626" t="s">
        <v>23</v>
      </c>
      <c r="C515" s="632" t="s">
        <v>828</v>
      </c>
      <c r="D515" s="628" t="s">
        <v>1226</v>
      </c>
      <c r="E515" s="636">
        <v>3416.6569160000008</v>
      </c>
      <c r="F515" s="632" t="s">
        <v>1245</v>
      </c>
      <c r="G515" s="637">
        <v>4.2553191489361701E-2</v>
      </c>
      <c r="H515" s="632" t="s">
        <v>66</v>
      </c>
      <c r="I515" s="682">
        <v>1</v>
      </c>
      <c r="J515" s="632" t="s">
        <v>994</v>
      </c>
      <c r="K515" s="632" t="s">
        <v>1020</v>
      </c>
      <c r="L515" s="632" t="s">
        <v>1228</v>
      </c>
      <c r="M515" s="632" t="s">
        <v>90</v>
      </c>
      <c r="N515" s="680">
        <v>22.250938657391313</v>
      </c>
      <c r="O515" s="680">
        <v>32.567282944000013</v>
      </c>
      <c r="P515" s="680">
        <v>16.845146350344827</v>
      </c>
      <c r="Q515" s="680" t="s">
        <v>871</v>
      </c>
      <c r="R515" s="37"/>
      <c r="S515" s="632" t="s">
        <v>69</v>
      </c>
      <c r="T515" s="632" t="s">
        <v>69</v>
      </c>
      <c r="U515" s="632" t="s">
        <v>69</v>
      </c>
      <c r="V515" s="632" t="s">
        <v>69</v>
      </c>
      <c r="W515" s="632" t="s">
        <v>76</v>
      </c>
      <c r="X515" s="37"/>
      <c r="Y515" s="37"/>
      <c r="Z515" s="632" t="s">
        <v>78</v>
      </c>
      <c r="AA515" s="632" t="s">
        <v>78</v>
      </c>
      <c r="AB515" s="37"/>
      <c r="AC515" s="634">
        <v>13.200000000000001</v>
      </c>
      <c r="AD515" s="680" t="s">
        <v>72</v>
      </c>
      <c r="AE515" s="632" t="s">
        <v>73</v>
      </c>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c r="CA515" s="393"/>
      <c r="CB515" s="393"/>
      <c r="CC515" s="393"/>
      <c r="CD515" s="393"/>
      <c r="CE515" s="393"/>
      <c r="CF515" s="393"/>
      <c r="CG515" s="393"/>
      <c r="CH515" s="393"/>
      <c r="CI515" s="393"/>
      <c r="CJ515" s="390"/>
      <c r="CK515" s="390"/>
      <c r="CL515" s="390"/>
      <c r="CM515" s="390"/>
      <c r="CN515" s="390"/>
      <c r="CO515" s="390"/>
      <c r="CP515" s="390"/>
      <c r="CQ515" s="390"/>
      <c r="CR515" s="390"/>
      <c r="CS515" s="390"/>
      <c r="CT515" s="390"/>
      <c r="CU515" s="390"/>
      <c r="CV515" s="390"/>
      <c r="CW515" s="390"/>
      <c r="CX515" s="390"/>
      <c r="CY515" s="390"/>
      <c r="CZ515" s="390"/>
      <c r="DA515" s="390"/>
      <c r="DB515" s="390"/>
      <c r="DC515" s="390"/>
    </row>
    <row r="516" spans="1:107" s="303" customFormat="1" ht="33.75">
      <c r="A516" s="37"/>
      <c r="B516" s="626" t="s">
        <v>23</v>
      </c>
      <c r="C516" s="632" t="s">
        <v>828</v>
      </c>
      <c r="D516" s="628" t="s">
        <v>1226</v>
      </c>
      <c r="E516" s="636">
        <v>3416.6569160000008</v>
      </c>
      <c r="F516" s="632" t="s">
        <v>1245</v>
      </c>
      <c r="G516" s="637">
        <v>4.2553191489361701E-2</v>
      </c>
      <c r="H516" s="632" t="s">
        <v>66</v>
      </c>
      <c r="I516" s="682">
        <v>1</v>
      </c>
      <c r="J516" s="632" t="s">
        <v>994</v>
      </c>
      <c r="K516" s="632" t="s">
        <v>1020</v>
      </c>
      <c r="L516" s="632" t="s">
        <v>1228</v>
      </c>
      <c r="M516" s="632" t="s">
        <v>91</v>
      </c>
      <c r="N516" s="680">
        <v>22.250938657391313</v>
      </c>
      <c r="O516" s="680" t="s">
        <v>870</v>
      </c>
      <c r="P516" s="680">
        <v>16.845146350344827</v>
      </c>
      <c r="Q516" s="680" t="s">
        <v>870</v>
      </c>
      <c r="R516" s="37"/>
      <c r="S516" s="632" t="s">
        <v>69</v>
      </c>
      <c r="T516" s="632" t="s">
        <v>69</v>
      </c>
      <c r="U516" s="632" t="s">
        <v>870</v>
      </c>
      <c r="V516" s="632" t="s">
        <v>870</v>
      </c>
      <c r="W516" s="632" t="s">
        <v>76</v>
      </c>
      <c r="X516" s="37"/>
      <c r="Y516" s="37"/>
      <c r="Z516" s="632" t="s">
        <v>78</v>
      </c>
      <c r="AA516" s="632" t="s">
        <v>78</v>
      </c>
      <c r="AB516" s="37"/>
      <c r="AC516" s="634">
        <v>13.200000000000001</v>
      </c>
      <c r="AD516" s="680" t="s">
        <v>72</v>
      </c>
      <c r="AE516" s="632" t="s">
        <v>73</v>
      </c>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c r="CA516" s="393"/>
      <c r="CB516" s="393"/>
      <c r="CC516" s="393"/>
      <c r="CD516" s="393"/>
      <c r="CE516" s="393"/>
      <c r="CF516" s="393"/>
      <c r="CG516" s="393"/>
      <c r="CH516" s="393"/>
      <c r="CI516" s="393"/>
      <c r="CJ516" s="390"/>
      <c r="CK516" s="390"/>
      <c r="CL516" s="390"/>
      <c r="CM516" s="390"/>
      <c r="CN516" s="390"/>
      <c r="CO516" s="390"/>
      <c r="CP516" s="390"/>
      <c r="CQ516" s="390"/>
      <c r="CR516" s="390"/>
      <c r="CS516" s="390"/>
      <c r="CT516" s="390"/>
      <c r="CU516" s="390"/>
      <c r="CV516" s="390"/>
      <c r="CW516" s="390"/>
      <c r="CX516" s="390"/>
      <c r="CY516" s="390"/>
      <c r="CZ516" s="390"/>
      <c r="DA516" s="390"/>
      <c r="DB516" s="390"/>
      <c r="DC516" s="390"/>
    </row>
    <row r="517" spans="1:107" s="303" customFormat="1" ht="33.75">
      <c r="A517" s="37"/>
      <c r="B517" s="626" t="s">
        <v>23</v>
      </c>
      <c r="C517" s="632" t="s">
        <v>828</v>
      </c>
      <c r="D517" s="628" t="s">
        <v>1226</v>
      </c>
      <c r="E517" s="636">
        <v>3416.6569160000008</v>
      </c>
      <c r="F517" s="632" t="s">
        <v>1245</v>
      </c>
      <c r="G517" s="637">
        <v>4.2553191489361701E-2</v>
      </c>
      <c r="H517" s="632" t="s">
        <v>66</v>
      </c>
      <c r="I517" s="682">
        <v>1</v>
      </c>
      <c r="J517" s="632" t="s">
        <v>994</v>
      </c>
      <c r="K517" s="632" t="s">
        <v>1020</v>
      </c>
      <c r="L517" s="632" t="s">
        <v>1228</v>
      </c>
      <c r="M517" s="632" t="s">
        <v>92</v>
      </c>
      <c r="N517" s="680">
        <v>22.250938657391313</v>
      </c>
      <c r="O517" s="680">
        <v>41.872220928000011</v>
      </c>
      <c r="P517" s="680">
        <v>16.845146350344827</v>
      </c>
      <c r="Q517" s="680">
        <v>9.3049379839999968</v>
      </c>
      <c r="R517" s="37"/>
      <c r="S517" s="632" t="s">
        <v>69</v>
      </c>
      <c r="T517" s="632" t="s">
        <v>69</v>
      </c>
      <c r="U517" s="632" t="s">
        <v>69</v>
      </c>
      <c r="V517" s="632" t="s">
        <v>69</v>
      </c>
      <c r="W517" s="632" t="s">
        <v>76</v>
      </c>
      <c r="X517" s="37"/>
      <c r="Y517" s="37"/>
      <c r="Z517" s="632" t="s">
        <v>78</v>
      </c>
      <c r="AA517" s="632" t="s">
        <v>78</v>
      </c>
      <c r="AB517" s="37"/>
      <c r="AC517" s="634">
        <v>13.200000000000001</v>
      </c>
      <c r="AD517" s="680" t="s">
        <v>72</v>
      </c>
      <c r="AE517" s="632" t="s">
        <v>73</v>
      </c>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c r="CA517" s="393"/>
      <c r="CB517" s="393"/>
      <c r="CC517" s="393"/>
      <c r="CD517" s="393"/>
      <c r="CE517" s="393"/>
      <c r="CF517" s="393"/>
      <c r="CG517" s="393"/>
      <c r="CH517" s="393"/>
      <c r="CI517" s="393"/>
      <c r="CJ517" s="390"/>
      <c r="CK517" s="390"/>
      <c r="CL517" s="390"/>
      <c r="CM517" s="390"/>
      <c r="CN517" s="390"/>
      <c r="CO517" s="390"/>
      <c r="CP517" s="390"/>
      <c r="CQ517" s="390"/>
      <c r="CR517" s="390"/>
      <c r="CS517" s="390"/>
      <c r="CT517" s="390"/>
      <c r="CU517" s="390"/>
      <c r="CV517" s="390"/>
      <c r="CW517" s="390"/>
      <c r="CX517" s="390"/>
      <c r="CY517" s="390"/>
      <c r="CZ517" s="390"/>
      <c r="DA517" s="390"/>
      <c r="DB517" s="390"/>
      <c r="DC517" s="390"/>
    </row>
    <row r="518" spans="1:107" s="303" customFormat="1" ht="33.75">
      <c r="A518" s="37"/>
      <c r="B518" s="626" t="s">
        <v>23</v>
      </c>
      <c r="C518" s="632" t="s">
        <v>828</v>
      </c>
      <c r="D518" s="628" t="s">
        <v>1226</v>
      </c>
      <c r="E518" s="636">
        <v>3416.6569160000008</v>
      </c>
      <c r="F518" s="632" t="s">
        <v>1245</v>
      </c>
      <c r="G518" s="637">
        <v>4.2553191489361701E-2</v>
      </c>
      <c r="H518" s="632" t="s">
        <v>66</v>
      </c>
      <c r="I518" s="682">
        <v>1</v>
      </c>
      <c r="J518" s="632" t="s">
        <v>994</v>
      </c>
      <c r="K518" s="632" t="s">
        <v>1020</v>
      </c>
      <c r="L518" s="632" t="s">
        <v>1228</v>
      </c>
      <c r="M518" s="632" t="s">
        <v>93</v>
      </c>
      <c r="N518" s="680">
        <v>22.250938657391313</v>
      </c>
      <c r="O518" s="680">
        <v>44.198455424000009</v>
      </c>
      <c r="P518" s="680">
        <v>16.845146350344827</v>
      </c>
      <c r="Q518" s="680">
        <v>11.63117248</v>
      </c>
      <c r="R518" s="37"/>
      <c r="S518" s="632" t="s">
        <v>69</v>
      </c>
      <c r="T518" s="632" t="s">
        <v>69</v>
      </c>
      <c r="U518" s="632" t="s">
        <v>44</v>
      </c>
      <c r="V518" s="632" t="s">
        <v>75</v>
      </c>
      <c r="W518" s="632" t="s">
        <v>76</v>
      </c>
      <c r="X518" s="37"/>
      <c r="Y518" s="37"/>
      <c r="Z518" s="632" t="s">
        <v>78</v>
      </c>
      <c r="AA518" s="632" t="s">
        <v>78</v>
      </c>
      <c r="AB518" s="37"/>
      <c r="AC518" s="634">
        <v>13.200000000000001</v>
      </c>
      <c r="AD518" s="680" t="s">
        <v>72</v>
      </c>
      <c r="AE518" s="632" t="s">
        <v>73</v>
      </c>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c r="CA518" s="393"/>
      <c r="CB518" s="393"/>
      <c r="CC518" s="393"/>
      <c r="CD518" s="393"/>
      <c r="CE518" s="393"/>
      <c r="CF518" s="393"/>
      <c r="CG518" s="393"/>
      <c r="CH518" s="393"/>
      <c r="CI518" s="393"/>
      <c r="CJ518" s="390"/>
      <c r="CK518" s="390"/>
      <c r="CL518" s="390"/>
      <c r="CM518" s="390"/>
      <c r="CN518" s="390"/>
      <c r="CO518" s="390"/>
      <c r="CP518" s="390"/>
      <c r="CQ518" s="390"/>
      <c r="CR518" s="390"/>
      <c r="CS518" s="390"/>
      <c r="CT518" s="390"/>
      <c r="CU518" s="390"/>
      <c r="CV518" s="390"/>
      <c r="CW518" s="390"/>
      <c r="CX518" s="390"/>
      <c r="CY518" s="390"/>
      <c r="CZ518" s="390"/>
      <c r="DA518" s="390"/>
      <c r="DB518" s="390"/>
      <c r="DC518" s="390"/>
    </row>
    <row r="519" spans="1:107" s="303" customFormat="1" ht="56.25">
      <c r="A519" s="37"/>
      <c r="B519" s="464" t="s">
        <v>23</v>
      </c>
      <c r="C519" s="465" t="s">
        <v>541</v>
      </c>
      <c r="D519" s="466" t="s">
        <v>1220</v>
      </c>
      <c r="E519" s="467">
        <v>3383.5093556389602</v>
      </c>
      <c r="F519" s="465" t="s">
        <v>27</v>
      </c>
      <c r="G519" s="468">
        <v>0.86423746645293475</v>
      </c>
      <c r="H519" s="465" t="s">
        <v>66</v>
      </c>
      <c r="I519" s="469">
        <v>0.82010731195288333</v>
      </c>
      <c r="J519" s="465" t="s">
        <v>1097</v>
      </c>
      <c r="K519" s="465" t="s">
        <v>1012</v>
      </c>
      <c r="L519" s="465" t="s">
        <v>960</v>
      </c>
      <c r="M519" s="465" t="s">
        <v>88</v>
      </c>
      <c r="N519" s="470">
        <v>431.8752817088814</v>
      </c>
      <c r="O519" s="470">
        <v>460.43929929551427</v>
      </c>
      <c r="P519" s="470">
        <v>374.29191081436375</v>
      </c>
      <c r="Q519" s="470">
        <v>76.739883215919008</v>
      </c>
      <c r="R519" s="37"/>
      <c r="S519" s="344" t="s">
        <v>69</v>
      </c>
      <c r="T519" s="344" t="s">
        <v>69</v>
      </c>
      <c r="U519" s="344" t="s">
        <v>69</v>
      </c>
      <c r="V519" s="344" t="s">
        <v>69</v>
      </c>
      <c r="W519" s="344" t="s">
        <v>76</v>
      </c>
      <c r="X519" s="37"/>
      <c r="Y519" s="37"/>
      <c r="Z519" s="465" t="s">
        <v>78</v>
      </c>
      <c r="AA519" s="465" t="s">
        <v>78</v>
      </c>
      <c r="AB519" s="37"/>
      <c r="AC519" s="474">
        <v>9.4273972602739722</v>
      </c>
      <c r="AD519" s="470" t="s">
        <v>72</v>
      </c>
      <c r="AE519" s="465" t="s">
        <v>73</v>
      </c>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c r="CA519" s="393"/>
      <c r="CB519" s="393"/>
      <c r="CC519" s="393"/>
      <c r="CD519" s="393"/>
      <c r="CE519" s="393"/>
      <c r="CF519" s="393"/>
      <c r="CG519" s="393"/>
      <c r="CH519" s="393"/>
      <c r="CI519" s="393"/>
      <c r="CJ519" s="390"/>
      <c r="CK519" s="390"/>
      <c r="CL519" s="390"/>
      <c r="CM519" s="390"/>
      <c r="CN519" s="390"/>
      <c r="CO519" s="390"/>
      <c r="CP519" s="390"/>
      <c r="CQ519" s="390"/>
      <c r="CR519" s="390"/>
      <c r="CS519" s="390"/>
      <c r="CT519" s="390"/>
      <c r="CU519" s="390"/>
      <c r="CV519" s="390"/>
      <c r="CW519" s="390"/>
      <c r="CX519" s="390"/>
      <c r="CY519" s="390"/>
      <c r="CZ519" s="390"/>
      <c r="DA519" s="390"/>
      <c r="DB519" s="390"/>
      <c r="DC519" s="390"/>
    </row>
    <row r="520" spans="1:107" s="303" customFormat="1" ht="56.25">
      <c r="A520" s="37"/>
      <c r="B520" s="464" t="s">
        <v>23</v>
      </c>
      <c r="C520" s="465" t="s">
        <v>541</v>
      </c>
      <c r="D520" s="466" t="s">
        <v>1220</v>
      </c>
      <c r="E520" s="467">
        <v>3383.5093556389602</v>
      </c>
      <c r="F520" s="465" t="s">
        <v>27</v>
      </c>
      <c r="G520" s="468">
        <v>0.86423746645293475</v>
      </c>
      <c r="H520" s="465" t="s">
        <v>66</v>
      </c>
      <c r="I520" s="469">
        <v>0.82010731195288333</v>
      </c>
      <c r="J520" s="465" t="s">
        <v>1097</v>
      </c>
      <c r="K520" s="465" t="s">
        <v>1012</v>
      </c>
      <c r="L520" s="465" t="s">
        <v>960</v>
      </c>
      <c r="M520" s="465" t="s">
        <v>90</v>
      </c>
      <c r="N520" s="470">
        <v>431.8752817088814</v>
      </c>
      <c r="O520" s="470">
        <v>537.1791825114334</v>
      </c>
      <c r="P520" s="470">
        <v>374.29191081436375</v>
      </c>
      <c r="Q520" s="470">
        <v>153.47976643183816</v>
      </c>
      <c r="R520" s="37"/>
      <c r="S520" s="344" t="s">
        <v>69</v>
      </c>
      <c r="T520" s="344" t="s">
        <v>69</v>
      </c>
      <c r="U520" s="344" t="s">
        <v>69</v>
      </c>
      <c r="V520" s="344" t="s">
        <v>69</v>
      </c>
      <c r="W520" s="344" t="s">
        <v>76</v>
      </c>
      <c r="X520" s="37"/>
      <c r="Y520" s="37"/>
      <c r="Z520" s="465" t="s">
        <v>78</v>
      </c>
      <c r="AA520" s="465" t="s">
        <v>78</v>
      </c>
      <c r="AB520" s="37"/>
      <c r="AC520" s="474">
        <v>9.4273972602739722</v>
      </c>
      <c r="AD520" s="470" t="s">
        <v>72</v>
      </c>
      <c r="AE520" s="465" t="s">
        <v>73</v>
      </c>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c r="CA520" s="393"/>
      <c r="CB520" s="393"/>
      <c r="CC520" s="393"/>
      <c r="CD520" s="393"/>
      <c r="CE520" s="393"/>
      <c r="CF520" s="393"/>
      <c r="CG520" s="393"/>
      <c r="CH520" s="393"/>
      <c r="CI520" s="393"/>
      <c r="CJ520" s="390"/>
      <c r="CK520" s="390"/>
      <c r="CL520" s="390"/>
      <c r="CM520" s="390"/>
      <c r="CN520" s="390"/>
      <c r="CO520" s="390"/>
      <c r="CP520" s="390"/>
      <c r="CQ520" s="390"/>
      <c r="CR520" s="390"/>
      <c r="CS520" s="390"/>
      <c r="CT520" s="390"/>
      <c r="CU520" s="390"/>
      <c r="CV520" s="390"/>
      <c r="CW520" s="390"/>
      <c r="CX520" s="390"/>
      <c r="CY520" s="390"/>
      <c r="CZ520" s="390"/>
      <c r="DA520" s="390"/>
      <c r="DB520" s="390"/>
      <c r="DC520" s="390"/>
    </row>
    <row r="521" spans="1:107" s="303" customFormat="1" ht="56.25">
      <c r="A521" s="37"/>
      <c r="B521" s="464" t="s">
        <v>23</v>
      </c>
      <c r="C521" s="465" t="s">
        <v>541</v>
      </c>
      <c r="D521" s="466" t="s">
        <v>1220</v>
      </c>
      <c r="E521" s="467">
        <v>3383.5093556389602</v>
      </c>
      <c r="F521" s="465" t="s">
        <v>27</v>
      </c>
      <c r="G521" s="468">
        <v>0.86423746645293475</v>
      </c>
      <c r="H521" s="465" t="s">
        <v>66</v>
      </c>
      <c r="I521" s="469">
        <v>0.82010731195288333</v>
      </c>
      <c r="J521" s="465" t="s">
        <v>1097</v>
      </c>
      <c r="K521" s="465" t="s">
        <v>1012</v>
      </c>
      <c r="L521" s="465" t="s">
        <v>960</v>
      </c>
      <c r="M521" s="465" t="s">
        <v>91</v>
      </c>
      <c r="N521" s="470">
        <v>431.8752817088814</v>
      </c>
      <c r="O521" s="470">
        <v>594.7340949233726</v>
      </c>
      <c r="P521" s="470">
        <v>374.29191081436375</v>
      </c>
      <c r="Q521" s="470">
        <v>211.03467884377736</v>
      </c>
      <c r="R521" s="37"/>
      <c r="S521" s="344" t="s">
        <v>69</v>
      </c>
      <c r="T521" s="344" t="s">
        <v>69</v>
      </c>
      <c r="U521" s="344" t="s">
        <v>870</v>
      </c>
      <c r="V521" s="344" t="s">
        <v>870</v>
      </c>
      <c r="W521" s="344" t="s">
        <v>76</v>
      </c>
      <c r="X521" s="37"/>
      <c r="Y521" s="37"/>
      <c r="Z521" s="465" t="s">
        <v>78</v>
      </c>
      <c r="AA521" s="465" t="s">
        <v>78</v>
      </c>
      <c r="AB521" s="37"/>
      <c r="AC521" s="474">
        <v>9.4273972602739722</v>
      </c>
      <c r="AD521" s="470" t="s">
        <v>72</v>
      </c>
      <c r="AE521" s="465" t="s">
        <v>73</v>
      </c>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c r="CA521" s="393"/>
      <c r="CB521" s="393"/>
      <c r="CC521" s="393"/>
      <c r="CD521" s="393"/>
      <c r="CE521" s="393"/>
      <c r="CF521" s="393"/>
      <c r="CG521" s="393"/>
      <c r="CH521" s="393"/>
      <c r="CI521" s="393"/>
      <c r="CJ521" s="390"/>
      <c r="CK521" s="390"/>
      <c r="CL521" s="390"/>
      <c r="CM521" s="390"/>
      <c r="CN521" s="390"/>
      <c r="CO521" s="390"/>
      <c r="CP521" s="390"/>
      <c r="CQ521" s="390"/>
      <c r="CR521" s="390"/>
      <c r="CS521" s="390"/>
      <c r="CT521" s="390"/>
      <c r="CU521" s="390"/>
      <c r="CV521" s="390"/>
      <c r="CW521" s="390"/>
      <c r="CX521" s="390"/>
      <c r="CY521" s="390"/>
      <c r="CZ521" s="390"/>
      <c r="DA521" s="390"/>
      <c r="DB521" s="390"/>
      <c r="DC521" s="390"/>
    </row>
    <row r="522" spans="1:107" s="303" customFormat="1" ht="56.25">
      <c r="A522" s="37"/>
      <c r="B522" s="464" t="s">
        <v>23</v>
      </c>
      <c r="C522" s="465" t="s">
        <v>541</v>
      </c>
      <c r="D522" s="466" t="s">
        <v>1220</v>
      </c>
      <c r="E522" s="467">
        <v>3383.5093556389602</v>
      </c>
      <c r="F522" s="465" t="s">
        <v>27</v>
      </c>
      <c r="G522" s="468">
        <v>0.86423746645293475</v>
      </c>
      <c r="H522" s="465" t="s">
        <v>66</v>
      </c>
      <c r="I522" s="469">
        <v>0.82010731195288333</v>
      </c>
      <c r="J522" s="465" t="s">
        <v>1097</v>
      </c>
      <c r="K522" s="465" t="s">
        <v>1012</v>
      </c>
      <c r="L522" s="465" t="s">
        <v>960</v>
      </c>
      <c r="M522" s="465" t="s">
        <v>92</v>
      </c>
      <c r="N522" s="470">
        <v>431.8752817088814</v>
      </c>
      <c r="O522" s="470">
        <v>690.65894894327141</v>
      </c>
      <c r="P522" s="470">
        <v>374.29191081436375</v>
      </c>
      <c r="Q522" s="470">
        <v>306.9595328636762</v>
      </c>
      <c r="R522" s="37"/>
      <c r="S522" s="344" t="s">
        <v>69</v>
      </c>
      <c r="T522" s="344" t="s">
        <v>69</v>
      </c>
      <c r="U522" s="344" t="s">
        <v>69</v>
      </c>
      <c r="V522" s="344" t="s">
        <v>69</v>
      </c>
      <c r="W522" s="344" t="s">
        <v>76</v>
      </c>
      <c r="X522" s="37"/>
      <c r="Y522" s="37"/>
      <c r="Z522" s="465" t="s">
        <v>78</v>
      </c>
      <c r="AA522" s="465" t="s">
        <v>78</v>
      </c>
      <c r="AB522" s="37"/>
      <c r="AC522" s="474">
        <v>9.4273972602739722</v>
      </c>
      <c r="AD522" s="470" t="s">
        <v>72</v>
      </c>
      <c r="AE522" s="465" t="s">
        <v>73</v>
      </c>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c r="CA522" s="393"/>
      <c r="CB522" s="393"/>
      <c r="CC522" s="393"/>
      <c r="CD522" s="393"/>
      <c r="CE522" s="393"/>
      <c r="CF522" s="393"/>
      <c r="CG522" s="393"/>
      <c r="CH522" s="393"/>
      <c r="CI522" s="393"/>
      <c r="CJ522" s="390"/>
      <c r="CK522" s="390"/>
      <c r="CL522" s="390"/>
      <c r="CM522" s="390"/>
      <c r="CN522" s="390"/>
      <c r="CO522" s="390"/>
      <c r="CP522" s="390"/>
      <c r="CQ522" s="390"/>
      <c r="CR522" s="390"/>
      <c r="CS522" s="390"/>
      <c r="CT522" s="390"/>
      <c r="CU522" s="390"/>
      <c r="CV522" s="390"/>
      <c r="CW522" s="390"/>
      <c r="CX522" s="390"/>
      <c r="CY522" s="390"/>
      <c r="CZ522" s="390"/>
      <c r="DA522" s="390"/>
      <c r="DB522" s="390"/>
      <c r="DC522" s="390"/>
    </row>
    <row r="523" spans="1:107" s="303" customFormat="1" ht="56.25">
      <c r="A523" s="37"/>
      <c r="B523" s="464" t="s">
        <v>23</v>
      </c>
      <c r="C523" s="465" t="s">
        <v>541</v>
      </c>
      <c r="D523" s="466" t="s">
        <v>1220</v>
      </c>
      <c r="E523" s="467">
        <v>3383.5093556389602</v>
      </c>
      <c r="F523" s="465" t="s">
        <v>27</v>
      </c>
      <c r="G523" s="468">
        <v>0.86423746645293475</v>
      </c>
      <c r="H523" s="465" t="s">
        <v>66</v>
      </c>
      <c r="I523" s="469">
        <v>0.82010731195288333</v>
      </c>
      <c r="J523" s="465" t="s">
        <v>1097</v>
      </c>
      <c r="K523" s="465" t="s">
        <v>1012</v>
      </c>
      <c r="L523" s="465" t="s">
        <v>960</v>
      </c>
      <c r="M523" s="465" t="s">
        <v>93</v>
      </c>
      <c r="N523" s="470">
        <v>431.8752817088814</v>
      </c>
      <c r="O523" s="470">
        <v>729.02889055123103</v>
      </c>
      <c r="P523" s="470">
        <v>374.29191081436375</v>
      </c>
      <c r="Q523" s="470">
        <v>345.32947447163571</v>
      </c>
      <c r="R523" s="37"/>
      <c r="S523" s="344" t="s">
        <v>69</v>
      </c>
      <c r="T523" s="344" t="s">
        <v>69</v>
      </c>
      <c r="U523" s="344" t="s">
        <v>44</v>
      </c>
      <c r="V523" s="344" t="s">
        <v>75</v>
      </c>
      <c r="W523" s="344" t="s">
        <v>76</v>
      </c>
      <c r="X523" s="37"/>
      <c r="Y523" s="37"/>
      <c r="Z523" s="465" t="s">
        <v>78</v>
      </c>
      <c r="AA523" s="465" t="s">
        <v>78</v>
      </c>
      <c r="AB523" s="37"/>
      <c r="AC523" s="474">
        <v>9.4273972602739722</v>
      </c>
      <c r="AD523" s="470" t="s">
        <v>72</v>
      </c>
      <c r="AE523" s="465" t="s">
        <v>73</v>
      </c>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c r="CA523" s="393"/>
      <c r="CB523" s="393"/>
      <c r="CC523" s="393"/>
      <c r="CD523" s="393"/>
      <c r="CE523" s="393"/>
      <c r="CF523" s="393"/>
      <c r="CG523" s="393"/>
      <c r="CH523" s="393"/>
      <c r="CI523" s="393"/>
      <c r="CJ523" s="390"/>
      <c r="CK523" s="390"/>
      <c r="CL523" s="390"/>
      <c r="CM523" s="390"/>
      <c r="CN523" s="390"/>
      <c r="CO523" s="390"/>
      <c r="CP523" s="390"/>
      <c r="CQ523" s="390"/>
      <c r="CR523" s="390"/>
      <c r="CS523" s="390"/>
      <c r="CT523" s="390"/>
      <c r="CU523" s="390"/>
      <c r="CV523" s="390"/>
      <c r="CW523" s="390"/>
      <c r="CX523" s="390"/>
      <c r="CY523" s="390"/>
      <c r="CZ523" s="390"/>
      <c r="DA523" s="390"/>
      <c r="DB523" s="390"/>
      <c r="DC523" s="390"/>
    </row>
    <row r="524" spans="1:107" s="303" customFormat="1" ht="56.25">
      <c r="A524" s="37"/>
      <c r="B524" s="464" t="s">
        <v>23</v>
      </c>
      <c r="C524" s="465" t="s">
        <v>541</v>
      </c>
      <c r="D524" s="466" t="s">
        <v>1220</v>
      </c>
      <c r="E524" s="467">
        <v>3383.5093556389602</v>
      </c>
      <c r="F524" s="465" t="s">
        <v>27</v>
      </c>
      <c r="G524" s="468">
        <v>0.86423746645293475</v>
      </c>
      <c r="H524" s="465" t="s">
        <v>66</v>
      </c>
      <c r="I524" s="469">
        <v>0.82010731195288333</v>
      </c>
      <c r="J524" s="465" t="s">
        <v>1097</v>
      </c>
      <c r="K524" s="465" t="s">
        <v>1012</v>
      </c>
      <c r="L524" s="465" t="s">
        <v>15</v>
      </c>
      <c r="M524" s="465" t="s">
        <v>88</v>
      </c>
      <c r="N524" s="470">
        <v>598.75566090095401</v>
      </c>
      <c r="O524" s="470">
        <v>460.43929929551427</v>
      </c>
      <c r="P524" s="470">
        <v>511.72722181651301</v>
      </c>
      <c r="Q524" s="470">
        <v>76.739883215919008</v>
      </c>
      <c r="R524" s="37"/>
      <c r="S524" s="344" t="s">
        <v>44</v>
      </c>
      <c r="T524" s="344" t="s">
        <v>63</v>
      </c>
      <c r="U524" s="344" t="s">
        <v>69</v>
      </c>
      <c r="V524" s="344" t="s">
        <v>69</v>
      </c>
      <c r="W524" s="344" t="s">
        <v>76</v>
      </c>
      <c r="X524" s="37"/>
      <c r="Y524" s="37"/>
      <c r="Z524" s="465" t="s">
        <v>78</v>
      </c>
      <c r="AA524" s="465" t="s">
        <v>78</v>
      </c>
      <c r="AB524" s="37"/>
      <c r="AC524" s="474">
        <v>9.4273972602739722</v>
      </c>
      <c r="AD524" s="470" t="s">
        <v>72</v>
      </c>
      <c r="AE524" s="465" t="s">
        <v>73</v>
      </c>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c r="CA524" s="393"/>
      <c r="CB524" s="393"/>
      <c r="CC524" s="393"/>
      <c r="CD524" s="393"/>
      <c r="CE524" s="393"/>
      <c r="CF524" s="393"/>
      <c r="CG524" s="393"/>
      <c r="CH524" s="393"/>
      <c r="CI524" s="393"/>
      <c r="CJ524" s="390"/>
      <c r="CK524" s="390"/>
      <c r="CL524" s="390"/>
      <c r="CM524" s="390"/>
      <c r="CN524" s="390"/>
      <c r="CO524" s="390"/>
      <c r="CP524" s="390"/>
      <c r="CQ524" s="390"/>
      <c r="CR524" s="390"/>
      <c r="CS524" s="390"/>
      <c r="CT524" s="390"/>
      <c r="CU524" s="390"/>
      <c r="CV524" s="390"/>
      <c r="CW524" s="390"/>
      <c r="CX524" s="390"/>
      <c r="CY524" s="390"/>
      <c r="CZ524" s="390"/>
      <c r="DA524" s="390"/>
      <c r="DB524" s="390"/>
      <c r="DC524" s="390"/>
    </row>
    <row r="525" spans="1:107" s="303" customFormat="1" ht="56.25">
      <c r="A525" s="37"/>
      <c r="B525" s="464" t="s">
        <v>23</v>
      </c>
      <c r="C525" s="465" t="s">
        <v>541</v>
      </c>
      <c r="D525" s="466" t="s">
        <v>1220</v>
      </c>
      <c r="E525" s="467">
        <v>3383.5093556389602</v>
      </c>
      <c r="F525" s="465" t="s">
        <v>27</v>
      </c>
      <c r="G525" s="468">
        <v>0.86423746645293475</v>
      </c>
      <c r="H525" s="465" t="s">
        <v>66</v>
      </c>
      <c r="I525" s="469">
        <v>0.82010731195288333</v>
      </c>
      <c r="J525" s="465" t="s">
        <v>1097</v>
      </c>
      <c r="K525" s="465" t="s">
        <v>1012</v>
      </c>
      <c r="L525" s="465" t="s">
        <v>15</v>
      </c>
      <c r="M525" s="465" t="s">
        <v>90</v>
      </c>
      <c r="N525" s="470">
        <v>598.75566090095401</v>
      </c>
      <c r="O525" s="470">
        <v>537.1791825114334</v>
      </c>
      <c r="P525" s="470">
        <v>511.72722181651301</v>
      </c>
      <c r="Q525" s="470">
        <v>153.47976643183816</v>
      </c>
      <c r="R525" s="37"/>
      <c r="S525" s="344" t="s">
        <v>44</v>
      </c>
      <c r="T525" s="344" t="s">
        <v>63</v>
      </c>
      <c r="U525" s="344" t="s">
        <v>69</v>
      </c>
      <c r="V525" s="344" t="s">
        <v>69</v>
      </c>
      <c r="W525" s="344" t="s">
        <v>76</v>
      </c>
      <c r="X525" s="37"/>
      <c r="Y525" s="37"/>
      <c r="Z525" s="465" t="s">
        <v>78</v>
      </c>
      <c r="AA525" s="465" t="s">
        <v>78</v>
      </c>
      <c r="AB525" s="37"/>
      <c r="AC525" s="474">
        <v>9.4273972602739722</v>
      </c>
      <c r="AD525" s="470" t="s">
        <v>72</v>
      </c>
      <c r="AE525" s="465" t="s">
        <v>73</v>
      </c>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c r="CA525" s="393"/>
      <c r="CB525" s="393"/>
      <c r="CC525" s="393"/>
      <c r="CD525" s="393"/>
      <c r="CE525" s="393"/>
      <c r="CF525" s="393"/>
      <c r="CG525" s="393"/>
      <c r="CH525" s="393"/>
      <c r="CI525" s="393"/>
      <c r="CJ525" s="390"/>
      <c r="CK525" s="390"/>
      <c r="CL525" s="390"/>
      <c r="CM525" s="390"/>
      <c r="CN525" s="390"/>
      <c r="CO525" s="390"/>
      <c r="CP525" s="390"/>
      <c r="CQ525" s="390"/>
      <c r="CR525" s="390"/>
      <c r="CS525" s="390"/>
      <c r="CT525" s="390"/>
      <c r="CU525" s="390"/>
      <c r="CV525" s="390"/>
      <c r="CW525" s="390"/>
      <c r="CX525" s="390"/>
      <c r="CY525" s="390"/>
      <c r="CZ525" s="390"/>
      <c r="DA525" s="390"/>
      <c r="DB525" s="390"/>
      <c r="DC525" s="390"/>
    </row>
    <row r="526" spans="1:107" s="303" customFormat="1" ht="56.25">
      <c r="A526" s="37"/>
      <c r="B526" s="464" t="s">
        <v>23</v>
      </c>
      <c r="C526" s="465" t="s">
        <v>541</v>
      </c>
      <c r="D526" s="466" t="s">
        <v>1220</v>
      </c>
      <c r="E526" s="467">
        <v>3383.5093556389602</v>
      </c>
      <c r="F526" s="465" t="s">
        <v>27</v>
      </c>
      <c r="G526" s="468">
        <v>0.86423746645293475</v>
      </c>
      <c r="H526" s="465" t="s">
        <v>66</v>
      </c>
      <c r="I526" s="469">
        <v>0.82010731195288333</v>
      </c>
      <c r="J526" s="465" t="s">
        <v>1097</v>
      </c>
      <c r="K526" s="465" t="s">
        <v>1012</v>
      </c>
      <c r="L526" s="465" t="s">
        <v>15</v>
      </c>
      <c r="M526" s="465" t="s">
        <v>91</v>
      </c>
      <c r="N526" s="470">
        <v>598.75566090095401</v>
      </c>
      <c r="O526" s="470">
        <v>594.7340949233726</v>
      </c>
      <c r="P526" s="470">
        <v>511.72722181651301</v>
      </c>
      <c r="Q526" s="470">
        <v>211.03467884377736</v>
      </c>
      <c r="R526" s="37"/>
      <c r="S526" s="344" t="s">
        <v>44</v>
      </c>
      <c r="T526" s="344" t="s">
        <v>63</v>
      </c>
      <c r="U526" s="344" t="s">
        <v>870</v>
      </c>
      <c r="V526" s="344" t="s">
        <v>870</v>
      </c>
      <c r="W526" s="344" t="s">
        <v>76</v>
      </c>
      <c r="X526" s="37"/>
      <c r="Y526" s="37"/>
      <c r="Z526" s="465" t="s">
        <v>78</v>
      </c>
      <c r="AA526" s="465" t="s">
        <v>78</v>
      </c>
      <c r="AB526" s="37"/>
      <c r="AC526" s="474">
        <v>9.4273972602739722</v>
      </c>
      <c r="AD526" s="470" t="s">
        <v>72</v>
      </c>
      <c r="AE526" s="465" t="s">
        <v>73</v>
      </c>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c r="CA526" s="393"/>
      <c r="CB526" s="393"/>
      <c r="CC526" s="393"/>
      <c r="CD526" s="393"/>
      <c r="CE526" s="393"/>
      <c r="CF526" s="393"/>
      <c r="CG526" s="393"/>
      <c r="CH526" s="393"/>
      <c r="CI526" s="393"/>
      <c r="CJ526" s="390"/>
      <c r="CK526" s="390"/>
      <c r="CL526" s="390"/>
      <c r="CM526" s="390"/>
      <c r="CN526" s="390"/>
      <c r="CO526" s="390"/>
      <c r="CP526" s="390"/>
      <c r="CQ526" s="390"/>
      <c r="CR526" s="390"/>
      <c r="CS526" s="390"/>
      <c r="CT526" s="390"/>
      <c r="CU526" s="390"/>
      <c r="CV526" s="390"/>
      <c r="CW526" s="390"/>
      <c r="CX526" s="390"/>
      <c r="CY526" s="390"/>
      <c r="CZ526" s="390"/>
      <c r="DA526" s="390"/>
      <c r="DB526" s="390"/>
      <c r="DC526" s="390"/>
    </row>
    <row r="527" spans="1:107" s="303" customFormat="1" ht="56.25">
      <c r="A527" s="37"/>
      <c r="B527" s="464" t="s">
        <v>23</v>
      </c>
      <c r="C527" s="465" t="s">
        <v>541</v>
      </c>
      <c r="D527" s="466" t="s">
        <v>1220</v>
      </c>
      <c r="E527" s="467">
        <v>3383.5093556389602</v>
      </c>
      <c r="F527" s="465" t="s">
        <v>27</v>
      </c>
      <c r="G527" s="468">
        <v>0.86423746645293475</v>
      </c>
      <c r="H527" s="465" t="s">
        <v>66</v>
      </c>
      <c r="I527" s="469">
        <v>0.82010731195288333</v>
      </c>
      <c r="J527" s="465" t="s">
        <v>1097</v>
      </c>
      <c r="K527" s="465" t="s">
        <v>1012</v>
      </c>
      <c r="L527" s="465" t="s">
        <v>15</v>
      </c>
      <c r="M527" s="465" t="s">
        <v>92</v>
      </c>
      <c r="N527" s="470">
        <v>598.75566090095401</v>
      </c>
      <c r="O527" s="470">
        <v>690.65894894327141</v>
      </c>
      <c r="P527" s="470">
        <v>511.72722181651301</v>
      </c>
      <c r="Q527" s="470">
        <v>306.9595328636762</v>
      </c>
      <c r="R527" s="37"/>
      <c r="S527" s="344" t="s">
        <v>44</v>
      </c>
      <c r="T527" s="344" t="s">
        <v>63</v>
      </c>
      <c r="U527" s="344" t="s">
        <v>69</v>
      </c>
      <c r="V527" s="344" t="s">
        <v>69</v>
      </c>
      <c r="W527" s="344" t="s">
        <v>76</v>
      </c>
      <c r="X527" s="37"/>
      <c r="Y527" s="37"/>
      <c r="Z527" s="465" t="s">
        <v>78</v>
      </c>
      <c r="AA527" s="465" t="s">
        <v>78</v>
      </c>
      <c r="AB527" s="37"/>
      <c r="AC527" s="474">
        <v>9.4273972602739722</v>
      </c>
      <c r="AD527" s="470" t="s">
        <v>72</v>
      </c>
      <c r="AE527" s="465" t="s">
        <v>73</v>
      </c>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c r="CA527" s="393"/>
      <c r="CB527" s="393"/>
      <c r="CC527" s="393"/>
      <c r="CD527" s="393"/>
      <c r="CE527" s="393"/>
      <c r="CF527" s="393"/>
      <c r="CG527" s="393"/>
      <c r="CH527" s="393"/>
      <c r="CI527" s="393"/>
      <c r="CJ527" s="390"/>
      <c r="CK527" s="390"/>
      <c r="CL527" s="390"/>
      <c r="CM527" s="390"/>
      <c r="CN527" s="390"/>
      <c r="CO527" s="390"/>
      <c r="CP527" s="390"/>
      <c r="CQ527" s="390"/>
      <c r="CR527" s="390"/>
      <c r="CS527" s="390"/>
      <c r="CT527" s="390"/>
      <c r="CU527" s="390"/>
      <c r="CV527" s="390"/>
      <c r="CW527" s="390"/>
      <c r="CX527" s="390"/>
      <c r="CY527" s="390"/>
      <c r="CZ527" s="390"/>
      <c r="DA527" s="390"/>
      <c r="DB527" s="390"/>
      <c r="DC527" s="390"/>
    </row>
    <row r="528" spans="1:107" s="303" customFormat="1" ht="56.25">
      <c r="A528" s="37"/>
      <c r="B528" s="464" t="s">
        <v>23</v>
      </c>
      <c r="C528" s="465" t="s">
        <v>541</v>
      </c>
      <c r="D528" s="466" t="s">
        <v>1220</v>
      </c>
      <c r="E528" s="467">
        <v>3383.5093556389602</v>
      </c>
      <c r="F528" s="465" t="s">
        <v>27</v>
      </c>
      <c r="G528" s="468">
        <v>0.86423746645293475</v>
      </c>
      <c r="H528" s="465" t="s">
        <v>66</v>
      </c>
      <c r="I528" s="469">
        <v>0.82010731195288333</v>
      </c>
      <c r="J528" s="465" t="s">
        <v>1097</v>
      </c>
      <c r="K528" s="465" t="s">
        <v>1012</v>
      </c>
      <c r="L528" s="465" t="s">
        <v>15</v>
      </c>
      <c r="M528" s="465" t="s">
        <v>93</v>
      </c>
      <c r="N528" s="470">
        <v>598.75566090095401</v>
      </c>
      <c r="O528" s="470">
        <v>729.02889055123103</v>
      </c>
      <c r="P528" s="470">
        <v>511.72722181651301</v>
      </c>
      <c r="Q528" s="470">
        <v>345.32947447163571</v>
      </c>
      <c r="R528" s="37"/>
      <c r="S528" s="344" t="s">
        <v>44</v>
      </c>
      <c r="T528" s="344" t="s">
        <v>63</v>
      </c>
      <c r="U528" s="344" t="s">
        <v>44</v>
      </c>
      <c r="V528" s="344" t="s">
        <v>75</v>
      </c>
      <c r="W528" s="344" t="s">
        <v>76</v>
      </c>
      <c r="X528" s="37"/>
      <c r="Y528" s="37"/>
      <c r="Z528" s="465" t="s">
        <v>78</v>
      </c>
      <c r="AA528" s="465" t="s">
        <v>78</v>
      </c>
      <c r="AB528" s="37"/>
      <c r="AC528" s="474">
        <v>9.4273972602739722</v>
      </c>
      <c r="AD528" s="470" t="s">
        <v>72</v>
      </c>
      <c r="AE528" s="465" t="s">
        <v>73</v>
      </c>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c r="CA528" s="393"/>
      <c r="CB528" s="393"/>
      <c r="CC528" s="393"/>
      <c r="CD528" s="393"/>
      <c r="CE528" s="393"/>
      <c r="CF528" s="393"/>
      <c r="CG528" s="393"/>
      <c r="CH528" s="393"/>
      <c r="CI528" s="393"/>
      <c r="CJ528" s="390"/>
      <c r="CK528" s="390"/>
      <c r="CL528" s="390"/>
      <c r="CM528" s="390"/>
      <c r="CN528" s="390"/>
      <c r="CO528" s="390"/>
      <c r="CP528" s="390"/>
      <c r="CQ528" s="390"/>
      <c r="CR528" s="390"/>
      <c r="CS528" s="390"/>
      <c r="CT528" s="390"/>
      <c r="CU528" s="390"/>
      <c r="CV528" s="390"/>
      <c r="CW528" s="390"/>
      <c r="CX528" s="390"/>
      <c r="CY528" s="390"/>
      <c r="CZ528" s="390"/>
      <c r="DA528" s="390"/>
      <c r="DB528" s="390"/>
      <c r="DC528" s="390"/>
    </row>
    <row r="529" spans="1:107" s="303" customFormat="1" ht="24">
      <c r="A529" s="37"/>
      <c r="B529" s="464" t="s">
        <v>23</v>
      </c>
      <c r="C529" s="465" t="s">
        <v>541</v>
      </c>
      <c r="D529" s="466" t="s">
        <v>1220</v>
      </c>
      <c r="E529" s="467">
        <v>3383.5093556389602</v>
      </c>
      <c r="F529" s="465" t="s">
        <v>24</v>
      </c>
      <c r="G529" s="468">
        <v>7.2507540613082427E-2</v>
      </c>
      <c r="H529" s="465" t="s">
        <v>66</v>
      </c>
      <c r="I529" s="469">
        <v>0.98702449444855689</v>
      </c>
      <c r="J529" s="465" t="s">
        <v>25</v>
      </c>
      <c r="K529" s="465" t="s">
        <v>1012</v>
      </c>
      <c r="L529" s="465" t="s">
        <v>95</v>
      </c>
      <c r="M529" s="465" t="s">
        <v>88</v>
      </c>
      <c r="N529" s="470">
        <v>45.291681603459011</v>
      </c>
      <c r="O529" s="470">
        <v>46.49215910287429</v>
      </c>
      <c r="P529" s="470">
        <v>45.291681603459011</v>
      </c>
      <c r="Q529" s="470">
        <v>7.748693183812378</v>
      </c>
      <c r="R529" s="37"/>
      <c r="S529" s="344" t="s">
        <v>44</v>
      </c>
      <c r="T529" s="344" t="s">
        <v>63</v>
      </c>
      <c r="U529" s="344" t="s">
        <v>69</v>
      </c>
      <c r="V529" s="344" t="s">
        <v>69</v>
      </c>
      <c r="W529" s="344" t="s">
        <v>76</v>
      </c>
      <c r="X529" s="37"/>
      <c r="Y529" s="37"/>
      <c r="Z529" s="465" t="s">
        <v>78</v>
      </c>
      <c r="AA529" s="465" t="s">
        <v>78</v>
      </c>
      <c r="AB529" s="37"/>
      <c r="AC529" s="474">
        <v>9.4273972602739722</v>
      </c>
      <c r="AD529" s="470" t="s">
        <v>72</v>
      </c>
      <c r="AE529" s="465" t="s">
        <v>73</v>
      </c>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c r="CA529" s="393"/>
      <c r="CB529" s="393"/>
      <c r="CC529" s="393"/>
      <c r="CD529" s="393"/>
      <c r="CE529" s="393"/>
      <c r="CF529" s="393"/>
      <c r="CG529" s="393"/>
      <c r="CH529" s="393"/>
      <c r="CI529" s="393"/>
      <c r="CJ529" s="390"/>
      <c r="CK529" s="390"/>
      <c r="CL529" s="390"/>
      <c r="CM529" s="390"/>
      <c r="CN529" s="390"/>
      <c r="CO529" s="390"/>
      <c r="CP529" s="390"/>
      <c r="CQ529" s="390"/>
      <c r="CR529" s="390"/>
      <c r="CS529" s="390"/>
      <c r="CT529" s="390"/>
      <c r="CU529" s="390"/>
      <c r="CV529" s="390"/>
      <c r="CW529" s="390"/>
      <c r="CX529" s="390"/>
      <c r="CY529" s="390"/>
      <c r="CZ529" s="390"/>
      <c r="DA529" s="390"/>
      <c r="DB529" s="390"/>
      <c r="DC529" s="390"/>
    </row>
    <row r="530" spans="1:107" s="303" customFormat="1" ht="24">
      <c r="A530" s="37"/>
      <c r="B530" s="464" t="s">
        <v>23</v>
      </c>
      <c r="C530" s="465" t="s">
        <v>541</v>
      </c>
      <c r="D530" s="466" t="s">
        <v>1220</v>
      </c>
      <c r="E530" s="467">
        <v>3383.5093556389602</v>
      </c>
      <c r="F530" s="465" t="s">
        <v>24</v>
      </c>
      <c r="G530" s="468">
        <v>7.2507540613082427E-2</v>
      </c>
      <c r="H530" s="465" t="s">
        <v>66</v>
      </c>
      <c r="I530" s="469">
        <v>0.98702449444855689</v>
      </c>
      <c r="J530" s="465" t="s">
        <v>25</v>
      </c>
      <c r="K530" s="465" t="s">
        <v>1012</v>
      </c>
      <c r="L530" s="465" t="s">
        <v>95</v>
      </c>
      <c r="M530" s="465" t="s">
        <v>90</v>
      </c>
      <c r="N530" s="470">
        <v>45.291681603459011</v>
      </c>
      <c r="O530" s="470">
        <v>54.240852286686689</v>
      </c>
      <c r="P530" s="470">
        <v>45.291681603459011</v>
      </c>
      <c r="Q530" s="470">
        <v>15.497386367624767</v>
      </c>
      <c r="R530" s="37"/>
      <c r="S530" s="344" t="s">
        <v>44</v>
      </c>
      <c r="T530" s="344" t="s">
        <v>63</v>
      </c>
      <c r="U530" s="344" t="s">
        <v>69</v>
      </c>
      <c r="V530" s="344" t="s">
        <v>69</v>
      </c>
      <c r="W530" s="344" t="s">
        <v>76</v>
      </c>
      <c r="X530" s="37"/>
      <c r="Y530" s="37"/>
      <c r="Z530" s="465" t="s">
        <v>78</v>
      </c>
      <c r="AA530" s="465" t="s">
        <v>78</v>
      </c>
      <c r="AB530" s="37"/>
      <c r="AC530" s="474">
        <v>9.4273972602739722</v>
      </c>
      <c r="AD530" s="470" t="s">
        <v>72</v>
      </c>
      <c r="AE530" s="465" t="s">
        <v>73</v>
      </c>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c r="CA530" s="393"/>
      <c r="CB530" s="393"/>
      <c r="CC530" s="393"/>
      <c r="CD530" s="393"/>
      <c r="CE530" s="393"/>
      <c r="CF530" s="393"/>
      <c r="CG530" s="393"/>
      <c r="CH530" s="393"/>
      <c r="CI530" s="393"/>
      <c r="CJ530" s="390"/>
      <c r="CK530" s="390"/>
      <c r="CL530" s="390"/>
      <c r="CM530" s="390"/>
      <c r="CN530" s="390"/>
      <c r="CO530" s="390"/>
      <c r="CP530" s="390"/>
      <c r="CQ530" s="390"/>
      <c r="CR530" s="390"/>
      <c r="CS530" s="390"/>
      <c r="CT530" s="390"/>
      <c r="CU530" s="390"/>
      <c r="CV530" s="390"/>
      <c r="CW530" s="390"/>
      <c r="CX530" s="390"/>
      <c r="CY530" s="390"/>
      <c r="CZ530" s="390"/>
      <c r="DA530" s="390"/>
      <c r="DB530" s="390"/>
      <c r="DC530" s="390"/>
    </row>
    <row r="531" spans="1:107" s="303" customFormat="1" ht="24">
      <c r="A531" s="37"/>
      <c r="B531" s="464" t="s">
        <v>23</v>
      </c>
      <c r="C531" s="465" t="s">
        <v>541</v>
      </c>
      <c r="D531" s="466" t="s">
        <v>1220</v>
      </c>
      <c r="E531" s="467">
        <v>3383.5093556389602</v>
      </c>
      <c r="F531" s="465" t="s">
        <v>24</v>
      </c>
      <c r="G531" s="468">
        <v>7.2507540613082427E-2</v>
      </c>
      <c r="H531" s="465" t="s">
        <v>66</v>
      </c>
      <c r="I531" s="469">
        <v>0.98702449444855689</v>
      </c>
      <c r="J531" s="465" t="s">
        <v>25</v>
      </c>
      <c r="K531" s="465" t="s">
        <v>1012</v>
      </c>
      <c r="L531" s="465" t="s">
        <v>95</v>
      </c>
      <c r="M531" s="465" t="s">
        <v>91</v>
      </c>
      <c r="N531" s="470">
        <v>45.291681603459011</v>
      </c>
      <c r="O531" s="470">
        <v>60.052372174545965</v>
      </c>
      <c r="P531" s="470">
        <v>45.291681603459011</v>
      </c>
      <c r="Q531" s="470">
        <v>21.308906255484047</v>
      </c>
      <c r="R531" s="37"/>
      <c r="S531" s="344" t="s">
        <v>44</v>
      </c>
      <c r="T531" s="344" t="s">
        <v>63</v>
      </c>
      <c r="U531" s="344" t="s">
        <v>870</v>
      </c>
      <c r="V531" s="344" t="s">
        <v>870</v>
      </c>
      <c r="W531" s="344" t="s">
        <v>76</v>
      </c>
      <c r="X531" s="37"/>
      <c r="Y531" s="37"/>
      <c r="Z531" s="465" t="s">
        <v>78</v>
      </c>
      <c r="AA531" s="465" t="s">
        <v>78</v>
      </c>
      <c r="AB531" s="37"/>
      <c r="AC531" s="474">
        <v>9.4273972602739722</v>
      </c>
      <c r="AD531" s="470" t="s">
        <v>72</v>
      </c>
      <c r="AE531" s="465" t="s">
        <v>73</v>
      </c>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c r="CA531" s="393"/>
      <c r="CB531" s="393"/>
      <c r="CC531" s="393"/>
      <c r="CD531" s="393"/>
      <c r="CE531" s="393"/>
      <c r="CF531" s="393"/>
      <c r="CG531" s="393"/>
      <c r="CH531" s="393"/>
      <c r="CI531" s="393"/>
      <c r="CJ531" s="390"/>
      <c r="CK531" s="390"/>
      <c r="CL531" s="390"/>
      <c r="CM531" s="390"/>
      <c r="CN531" s="390"/>
      <c r="CO531" s="390"/>
      <c r="CP531" s="390"/>
      <c r="CQ531" s="390"/>
      <c r="CR531" s="390"/>
      <c r="CS531" s="390"/>
      <c r="CT531" s="390"/>
      <c r="CU531" s="390"/>
      <c r="CV531" s="390"/>
      <c r="CW531" s="390"/>
      <c r="CX531" s="390"/>
      <c r="CY531" s="390"/>
      <c r="CZ531" s="390"/>
      <c r="DA531" s="390"/>
      <c r="DB531" s="390"/>
      <c r="DC531" s="390"/>
    </row>
    <row r="532" spans="1:107" s="303" customFormat="1" ht="24">
      <c r="A532" s="37"/>
      <c r="B532" s="464" t="s">
        <v>23</v>
      </c>
      <c r="C532" s="465" t="s">
        <v>541</v>
      </c>
      <c r="D532" s="466" t="s">
        <v>1220</v>
      </c>
      <c r="E532" s="467">
        <v>3383.5093556389602</v>
      </c>
      <c r="F532" s="465" t="s">
        <v>24</v>
      </c>
      <c r="G532" s="468">
        <v>7.2507540613082427E-2</v>
      </c>
      <c r="H532" s="465" t="s">
        <v>66</v>
      </c>
      <c r="I532" s="469">
        <v>0.98702449444855689</v>
      </c>
      <c r="J532" s="465" t="s">
        <v>25</v>
      </c>
      <c r="K532" s="465" t="s">
        <v>1012</v>
      </c>
      <c r="L532" s="465" t="s">
        <v>95</v>
      </c>
      <c r="M532" s="465" t="s">
        <v>92</v>
      </c>
      <c r="N532" s="470">
        <v>45.291681603459011</v>
      </c>
      <c r="O532" s="470">
        <v>69.738238654311431</v>
      </c>
      <c r="P532" s="470">
        <v>45.291681603459011</v>
      </c>
      <c r="Q532" s="470">
        <v>30.994772735249523</v>
      </c>
      <c r="R532" s="37"/>
      <c r="S532" s="344" t="s">
        <v>44</v>
      </c>
      <c r="T532" s="344" t="s">
        <v>63</v>
      </c>
      <c r="U532" s="344" t="s">
        <v>69</v>
      </c>
      <c r="V532" s="344" t="s">
        <v>69</v>
      </c>
      <c r="W532" s="344" t="s">
        <v>76</v>
      </c>
      <c r="X532" s="37"/>
      <c r="Y532" s="37"/>
      <c r="Z532" s="465" t="s">
        <v>78</v>
      </c>
      <c r="AA532" s="465" t="s">
        <v>78</v>
      </c>
      <c r="AB532" s="37"/>
      <c r="AC532" s="474">
        <v>9.4273972602739722</v>
      </c>
      <c r="AD532" s="470" t="s">
        <v>72</v>
      </c>
      <c r="AE532" s="465" t="s">
        <v>73</v>
      </c>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c r="CA532" s="393"/>
      <c r="CB532" s="393"/>
      <c r="CC532" s="393"/>
      <c r="CD532" s="393"/>
      <c r="CE532" s="393"/>
      <c r="CF532" s="393"/>
      <c r="CG532" s="393"/>
      <c r="CH532" s="393"/>
      <c r="CI532" s="393"/>
      <c r="CJ532" s="390"/>
      <c r="CK532" s="390"/>
      <c r="CL532" s="390"/>
      <c r="CM532" s="390"/>
      <c r="CN532" s="390"/>
      <c r="CO532" s="390"/>
      <c r="CP532" s="390"/>
      <c r="CQ532" s="390"/>
      <c r="CR532" s="390"/>
      <c r="CS532" s="390"/>
      <c r="CT532" s="390"/>
      <c r="CU532" s="390"/>
      <c r="CV532" s="390"/>
      <c r="CW532" s="390"/>
      <c r="CX532" s="390"/>
      <c r="CY532" s="390"/>
      <c r="CZ532" s="390"/>
      <c r="DA532" s="390"/>
      <c r="DB532" s="390"/>
      <c r="DC532" s="390"/>
    </row>
    <row r="533" spans="1:107" s="303" customFormat="1" ht="24">
      <c r="A533" s="37"/>
      <c r="B533" s="464" t="s">
        <v>23</v>
      </c>
      <c r="C533" s="465" t="s">
        <v>541</v>
      </c>
      <c r="D533" s="466" t="s">
        <v>1220</v>
      </c>
      <c r="E533" s="467">
        <v>3383.5093556389602</v>
      </c>
      <c r="F533" s="465" t="s">
        <v>24</v>
      </c>
      <c r="G533" s="468">
        <v>7.2507540613082427E-2</v>
      </c>
      <c r="H533" s="465" t="s">
        <v>66</v>
      </c>
      <c r="I533" s="469">
        <v>0.98702449444855689</v>
      </c>
      <c r="J533" s="465" t="s">
        <v>25</v>
      </c>
      <c r="K533" s="465" t="s">
        <v>1012</v>
      </c>
      <c r="L533" s="465" t="s">
        <v>95</v>
      </c>
      <c r="M533" s="465" t="s">
        <v>93</v>
      </c>
      <c r="N533" s="470">
        <v>45.291681603459011</v>
      </c>
      <c r="O533" s="470">
        <v>73.612585246217634</v>
      </c>
      <c r="P533" s="470">
        <v>45.291681603459011</v>
      </c>
      <c r="Q533" s="470">
        <v>34.869119327155715</v>
      </c>
      <c r="R533" s="37"/>
      <c r="S533" s="344" t="s">
        <v>44</v>
      </c>
      <c r="T533" s="344" t="s">
        <v>63</v>
      </c>
      <c r="U533" s="344" t="s">
        <v>44</v>
      </c>
      <c r="V533" s="344" t="s">
        <v>75</v>
      </c>
      <c r="W533" s="344" t="s">
        <v>76</v>
      </c>
      <c r="X533" s="37"/>
      <c r="Y533" s="37"/>
      <c r="Z533" s="465" t="s">
        <v>78</v>
      </c>
      <c r="AA533" s="465" t="s">
        <v>78</v>
      </c>
      <c r="AB533" s="37"/>
      <c r="AC533" s="474">
        <v>9.4273972602739722</v>
      </c>
      <c r="AD533" s="470" t="s">
        <v>72</v>
      </c>
      <c r="AE533" s="465" t="s">
        <v>73</v>
      </c>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c r="CA533" s="393"/>
      <c r="CB533" s="393"/>
      <c r="CC533" s="393"/>
      <c r="CD533" s="393"/>
      <c r="CE533" s="393"/>
      <c r="CF533" s="393"/>
      <c r="CG533" s="393"/>
      <c r="CH533" s="393"/>
      <c r="CI533" s="393"/>
      <c r="CJ533" s="390"/>
      <c r="CK533" s="390"/>
      <c r="CL533" s="390"/>
      <c r="CM533" s="390"/>
      <c r="CN533" s="390"/>
      <c r="CO533" s="390"/>
      <c r="CP533" s="390"/>
      <c r="CQ533" s="390"/>
      <c r="CR533" s="390"/>
      <c r="CS533" s="390"/>
      <c r="CT533" s="390"/>
      <c r="CU533" s="390"/>
      <c r="CV533" s="390"/>
      <c r="CW533" s="390"/>
      <c r="CX533" s="390"/>
      <c r="CY533" s="390"/>
      <c r="CZ533" s="390"/>
      <c r="DA533" s="390"/>
      <c r="DB533" s="390"/>
      <c r="DC533" s="390"/>
    </row>
    <row r="534" spans="1:107" s="803" customFormat="1" ht="56.25">
      <c r="A534" s="37"/>
      <c r="B534" s="801" t="s">
        <v>30</v>
      </c>
      <c r="C534" s="582" t="s">
        <v>1185</v>
      </c>
      <c r="D534" s="585" t="s">
        <v>1043</v>
      </c>
      <c r="E534" s="584">
        <v>1943.9497008859194</v>
      </c>
      <c r="F534" s="585" t="s">
        <v>27</v>
      </c>
      <c r="G534" s="586">
        <v>0.7023056986264814</v>
      </c>
      <c r="H534" s="582" t="s">
        <v>867</v>
      </c>
      <c r="I534" s="684">
        <v>0.59303679625769268</v>
      </c>
      <c r="J534" s="582" t="s">
        <v>1097</v>
      </c>
      <c r="K534" s="582" t="s">
        <v>1042</v>
      </c>
      <c r="L534" s="582" t="s">
        <v>15</v>
      </c>
      <c r="M534" s="582" t="s">
        <v>88</v>
      </c>
      <c r="N534" s="588">
        <v>392.07091977140414</v>
      </c>
      <c r="O534" s="588">
        <v>142.49693549951476</v>
      </c>
      <c r="P534" s="588">
        <v>364.06585407344676</v>
      </c>
      <c r="Q534" s="588" t="s">
        <v>871</v>
      </c>
      <c r="R534" s="37"/>
      <c r="S534" s="582" t="s">
        <v>44</v>
      </c>
      <c r="T534" s="582" t="s">
        <v>63</v>
      </c>
      <c r="U534" s="582" t="s">
        <v>69</v>
      </c>
      <c r="V534" s="582" t="s">
        <v>69</v>
      </c>
      <c r="W534" s="582" t="s">
        <v>76</v>
      </c>
      <c r="X534" s="37"/>
      <c r="Y534" s="37"/>
      <c r="Z534" s="585" t="s">
        <v>78</v>
      </c>
      <c r="AA534" s="585" t="s">
        <v>78</v>
      </c>
      <c r="AB534" s="37"/>
      <c r="AC534" s="815">
        <v>15.712499999999999</v>
      </c>
      <c r="AD534" s="582" t="s">
        <v>72</v>
      </c>
      <c r="AE534" s="585" t="s">
        <v>73</v>
      </c>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c r="CA534" s="393"/>
      <c r="CB534" s="393"/>
      <c r="CC534" s="393"/>
      <c r="CD534" s="393"/>
      <c r="CE534" s="393"/>
      <c r="CF534" s="393"/>
      <c r="CG534" s="393"/>
      <c r="CH534" s="393"/>
      <c r="CI534" s="393"/>
      <c r="CJ534" s="802"/>
      <c r="CK534" s="802"/>
      <c r="CL534" s="802"/>
      <c r="CM534" s="802"/>
      <c r="CN534" s="802"/>
      <c r="CO534" s="802"/>
      <c r="CP534" s="802"/>
      <c r="CQ534" s="802"/>
      <c r="CR534" s="802"/>
      <c r="CS534" s="802"/>
      <c r="CT534" s="802"/>
      <c r="CU534" s="802"/>
      <c r="CV534" s="802"/>
      <c r="CW534" s="802"/>
      <c r="CX534" s="802"/>
      <c r="CY534" s="802"/>
      <c r="CZ534" s="802"/>
      <c r="DA534" s="802"/>
      <c r="DB534" s="802"/>
      <c r="DC534" s="802"/>
    </row>
    <row r="535" spans="1:107" s="803" customFormat="1" ht="56.25">
      <c r="A535" s="37"/>
      <c r="B535" s="801" t="s">
        <v>30</v>
      </c>
      <c r="C535" s="582" t="s">
        <v>1185</v>
      </c>
      <c r="D535" s="585" t="s">
        <v>1043</v>
      </c>
      <c r="E535" s="584">
        <v>1943.9497008859194</v>
      </c>
      <c r="F535" s="585" t="s">
        <v>27</v>
      </c>
      <c r="G535" s="586">
        <v>0.7023056986264814</v>
      </c>
      <c r="H535" s="582" t="s">
        <v>867</v>
      </c>
      <c r="I535" s="684">
        <v>0.59303679625769268</v>
      </c>
      <c r="J535" s="582" t="s">
        <v>1097</v>
      </c>
      <c r="K535" s="582" t="s">
        <v>1042</v>
      </c>
      <c r="L535" s="582" t="s">
        <v>15</v>
      </c>
      <c r="M535" s="582" t="s">
        <v>90</v>
      </c>
      <c r="N535" s="588">
        <v>392.07091977140414</v>
      </c>
      <c r="O535" s="588">
        <v>123.06553520412638</v>
      </c>
      <c r="P535" s="588">
        <v>364.06585407344676</v>
      </c>
      <c r="Q535" s="588" t="s">
        <v>871</v>
      </c>
      <c r="R535" s="37"/>
      <c r="S535" s="582" t="s">
        <v>44</v>
      </c>
      <c r="T535" s="582" t="s">
        <v>63</v>
      </c>
      <c r="U535" s="582" t="s">
        <v>69</v>
      </c>
      <c r="V535" s="582" t="s">
        <v>69</v>
      </c>
      <c r="W535" s="582" t="s">
        <v>76</v>
      </c>
      <c r="X535" s="37"/>
      <c r="Y535" s="37"/>
      <c r="Z535" s="585" t="s">
        <v>78</v>
      </c>
      <c r="AA535" s="585" t="s">
        <v>78</v>
      </c>
      <c r="AB535" s="37"/>
      <c r="AC535" s="815">
        <v>15.712499999999999</v>
      </c>
      <c r="AD535" s="582" t="s">
        <v>72</v>
      </c>
      <c r="AE535" s="585" t="s">
        <v>73</v>
      </c>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c r="CA535" s="393"/>
      <c r="CB535" s="393"/>
      <c r="CC535" s="393"/>
      <c r="CD535" s="393"/>
      <c r="CE535" s="393"/>
      <c r="CF535" s="393"/>
      <c r="CG535" s="393"/>
      <c r="CH535" s="393"/>
      <c r="CI535" s="393"/>
      <c r="CJ535" s="802"/>
      <c r="CK535" s="802"/>
      <c r="CL535" s="802"/>
      <c r="CM535" s="802"/>
      <c r="CN535" s="802"/>
      <c r="CO535" s="802"/>
      <c r="CP535" s="802"/>
      <c r="CQ535" s="802"/>
      <c r="CR535" s="802"/>
      <c r="CS535" s="802"/>
      <c r="CT535" s="802"/>
      <c r="CU535" s="802"/>
      <c r="CV535" s="802"/>
      <c r="CW535" s="802"/>
      <c r="CX535" s="802"/>
      <c r="CY535" s="802"/>
      <c r="CZ535" s="802"/>
      <c r="DA535" s="802"/>
      <c r="DB535" s="802"/>
      <c r="DC535" s="802"/>
    </row>
    <row r="536" spans="1:107" s="803" customFormat="1" ht="56.25">
      <c r="A536" s="37"/>
      <c r="B536" s="801" t="s">
        <v>30</v>
      </c>
      <c r="C536" s="582" t="s">
        <v>1185</v>
      </c>
      <c r="D536" s="585" t="s">
        <v>1043</v>
      </c>
      <c r="E536" s="584">
        <v>1943.9497008859194</v>
      </c>
      <c r="F536" s="585" t="s">
        <v>27</v>
      </c>
      <c r="G536" s="586">
        <v>0.7023056986264814</v>
      </c>
      <c r="H536" s="582" t="s">
        <v>867</v>
      </c>
      <c r="I536" s="684">
        <v>0.59303679625769268</v>
      </c>
      <c r="J536" s="582" t="s">
        <v>1097</v>
      </c>
      <c r="K536" s="582" t="s">
        <v>1042</v>
      </c>
      <c r="L536" s="582" t="s">
        <v>15</v>
      </c>
      <c r="M536" s="582" t="s">
        <v>91</v>
      </c>
      <c r="N536" s="588">
        <v>392.07091977140414</v>
      </c>
      <c r="O536" s="588" t="s">
        <v>870</v>
      </c>
      <c r="P536" s="588">
        <v>364.06585407344676</v>
      </c>
      <c r="Q536" s="588" t="s">
        <v>870</v>
      </c>
      <c r="R536" s="37"/>
      <c r="S536" s="582" t="s">
        <v>44</v>
      </c>
      <c r="T536" s="582" t="s">
        <v>63</v>
      </c>
      <c r="U536" s="582" t="s">
        <v>870</v>
      </c>
      <c r="V536" s="582" t="s">
        <v>870</v>
      </c>
      <c r="W536" s="582" t="s">
        <v>76</v>
      </c>
      <c r="X536" s="37"/>
      <c r="Y536" s="37"/>
      <c r="Z536" s="585" t="s">
        <v>78</v>
      </c>
      <c r="AA536" s="585" t="s">
        <v>78</v>
      </c>
      <c r="AB536" s="37"/>
      <c r="AC536" s="815">
        <v>15.712499999999999</v>
      </c>
      <c r="AD536" s="582" t="s">
        <v>72</v>
      </c>
      <c r="AE536" s="585" t="s">
        <v>73</v>
      </c>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c r="CA536" s="393"/>
      <c r="CB536" s="393"/>
      <c r="CC536" s="393"/>
      <c r="CD536" s="393"/>
      <c r="CE536" s="393"/>
      <c r="CF536" s="393"/>
      <c r="CG536" s="393"/>
      <c r="CH536" s="393"/>
      <c r="CI536" s="393"/>
      <c r="CJ536" s="802"/>
      <c r="CK536" s="802"/>
      <c r="CL536" s="802"/>
      <c r="CM536" s="802"/>
      <c r="CN536" s="802"/>
      <c r="CO536" s="802"/>
      <c r="CP536" s="802"/>
      <c r="CQ536" s="802"/>
      <c r="CR536" s="802"/>
      <c r="CS536" s="802"/>
      <c r="CT536" s="802"/>
      <c r="CU536" s="802"/>
      <c r="CV536" s="802"/>
      <c r="CW536" s="802"/>
      <c r="CX536" s="802"/>
      <c r="CY536" s="802"/>
      <c r="CZ536" s="802"/>
      <c r="DA536" s="802"/>
      <c r="DB536" s="802"/>
      <c r="DC536" s="802"/>
    </row>
    <row r="537" spans="1:107" s="803" customFormat="1" ht="56.25">
      <c r="A537" s="37"/>
      <c r="B537" s="801" t="s">
        <v>30</v>
      </c>
      <c r="C537" s="582" t="s">
        <v>1185</v>
      </c>
      <c r="D537" s="585" t="s">
        <v>1043</v>
      </c>
      <c r="E537" s="584">
        <v>1943.9497008859194</v>
      </c>
      <c r="F537" s="585" t="s">
        <v>27</v>
      </c>
      <c r="G537" s="586">
        <v>0.7023056986264814</v>
      </c>
      <c r="H537" s="582" t="s">
        <v>867</v>
      </c>
      <c r="I537" s="684">
        <v>0.59303679625769268</v>
      </c>
      <c r="J537" s="582" t="s">
        <v>1097</v>
      </c>
      <c r="K537" s="582" t="s">
        <v>1042</v>
      </c>
      <c r="L537" s="582" t="s">
        <v>15</v>
      </c>
      <c r="M537" s="582" t="s">
        <v>92</v>
      </c>
      <c r="N537" s="588">
        <v>392.07091977140414</v>
      </c>
      <c r="O537" s="588">
        <v>233.17680354466052</v>
      </c>
      <c r="P537" s="588">
        <v>364.06585407344676</v>
      </c>
      <c r="Q537" s="588" t="s">
        <v>1055</v>
      </c>
      <c r="R537" s="37"/>
      <c r="S537" s="582" t="s">
        <v>44</v>
      </c>
      <c r="T537" s="582" t="s">
        <v>63</v>
      </c>
      <c r="U537" s="582" t="s">
        <v>69</v>
      </c>
      <c r="V537" s="582" t="s">
        <v>69</v>
      </c>
      <c r="W537" s="582" t="s">
        <v>76</v>
      </c>
      <c r="X537" s="37"/>
      <c r="Y537" s="37"/>
      <c r="Z537" s="585" t="s">
        <v>78</v>
      </c>
      <c r="AA537" s="585" t="s">
        <v>78</v>
      </c>
      <c r="AB537" s="37"/>
      <c r="AC537" s="815">
        <v>15.712499999999999</v>
      </c>
      <c r="AD537" s="582" t="s">
        <v>72</v>
      </c>
      <c r="AE537" s="585" t="s">
        <v>73</v>
      </c>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c r="CA537" s="393"/>
      <c r="CB537" s="393"/>
      <c r="CC537" s="393"/>
      <c r="CD537" s="393"/>
      <c r="CE537" s="393"/>
      <c r="CF537" s="393"/>
      <c r="CG537" s="393"/>
      <c r="CH537" s="393"/>
      <c r="CI537" s="393"/>
      <c r="CJ537" s="802"/>
      <c r="CK537" s="802"/>
      <c r="CL537" s="802"/>
      <c r="CM537" s="802"/>
      <c r="CN537" s="802"/>
      <c r="CO537" s="802"/>
      <c r="CP537" s="802"/>
      <c r="CQ537" s="802"/>
      <c r="CR537" s="802"/>
      <c r="CS537" s="802"/>
      <c r="CT537" s="802"/>
      <c r="CU537" s="802"/>
      <c r="CV537" s="802"/>
      <c r="CW537" s="802"/>
      <c r="CX537" s="802"/>
      <c r="CY537" s="802"/>
      <c r="CZ537" s="802"/>
      <c r="DA537" s="802"/>
      <c r="DB537" s="802"/>
      <c r="DC537" s="802"/>
    </row>
    <row r="538" spans="1:107" s="803" customFormat="1" ht="56.25">
      <c r="A538" s="37"/>
      <c r="B538" s="801" t="s">
        <v>30</v>
      </c>
      <c r="C538" s="582" t="s">
        <v>1185</v>
      </c>
      <c r="D538" s="585" t="s">
        <v>1043</v>
      </c>
      <c r="E538" s="584">
        <v>1943.9497008859194</v>
      </c>
      <c r="F538" s="585" t="s">
        <v>27</v>
      </c>
      <c r="G538" s="586">
        <v>0.7023056986264814</v>
      </c>
      <c r="H538" s="582" t="s">
        <v>867</v>
      </c>
      <c r="I538" s="684">
        <v>0.59303679625769268</v>
      </c>
      <c r="J538" s="582" t="s">
        <v>1097</v>
      </c>
      <c r="K538" s="582" t="s">
        <v>1042</v>
      </c>
      <c r="L538" s="582" t="s">
        <v>15</v>
      </c>
      <c r="M538" s="582" t="s">
        <v>93</v>
      </c>
      <c r="N538" s="588">
        <v>392.07091977140414</v>
      </c>
      <c r="O538" s="588">
        <v>265.56247070364111</v>
      </c>
      <c r="P538" s="588">
        <v>364.06585407344676</v>
      </c>
      <c r="Q538" s="588" t="s">
        <v>871</v>
      </c>
      <c r="R538" s="37"/>
      <c r="S538" s="582" t="s">
        <v>44</v>
      </c>
      <c r="T538" s="582" t="s">
        <v>63</v>
      </c>
      <c r="U538" s="582" t="s">
        <v>44</v>
      </c>
      <c r="V538" s="582" t="s">
        <v>75</v>
      </c>
      <c r="W538" s="582" t="s">
        <v>76</v>
      </c>
      <c r="X538" s="37"/>
      <c r="Y538" s="37"/>
      <c r="Z538" s="585" t="s">
        <v>78</v>
      </c>
      <c r="AA538" s="585" t="s">
        <v>78</v>
      </c>
      <c r="AB538" s="37"/>
      <c r="AC538" s="815">
        <v>15.712499999999999</v>
      </c>
      <c r="AD538" s="582" t="s">
        <v>72</v>
      </c>
      <c r="AE538" s="585" t="s">
        <v>73</v>
      </c>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c r="CA538" s="393"/>
      <c r="CB538" s="393"/>
      <c r="CC538" s="393"/>
      <c r="CD538" s="393"/>
      <c r="CE538" s="393"/>
      <c r="CF538" s="393"/>
      <c r="CG538" s="393"/>
      <c r="CH538" s="393"/>
      <c r="CI538" s="393"/>
      <c r="CJ538" s="802"/>
      <c r="CK538" s="802"/>
      <c r="CL538" s="802"/>
      <c r="CM538" s="802"/>
      <c r="CN538" s="802"/>
      <c r="CO538" s="802"/>
      <c r="CP538" s="802"/>
      <c r="CQ538" s="802"/>
      <c r="CR538" s="802"/>
      <c r="CS538" s="802"/>
      <c r="CT538" s="802"/>
      <c r="CU538" s="802"/>
      <c r="CV538" s="802"/>
      <c r="CW538" s="802"/>
      <c r="CX538" s="802"/>
      <c r="CY538" s="802"/>
      <c r="CZ538" s="802"/>
      <c r="DA538" s="802"/>
      <c r="DB538" s="802"/>
      <c r="DC538" s="802"/>
    </row>
    <row r="539" spans="1:107" s="803" customFormat="1" ht="56.25">
      <c r="A539" s="37"/>
      <c r="B539" s="801" t="s">
        <v>30</v>
      </c>
      <c r="C539" s="582" t="s">
        <v>1185</v>
      </c>
      <c r="D539" s="585" t="s">
        <v>1043</v>
      </c>
      <c r="E539" s="584">
        <v>1943.9497008859194</v>
      </c>
      <c r="F539" s="585" t="s">
        <v>27</v>
      </c>
      <c r="G539" s="586">
        <v>0.7023056986264814</v>
      </c>
      <c r="H539" s="582" t="s">
        <v>867</v>
      </c>
      <c r="I539" s="684">
        <v>0.59303679625769268</v>
      </c>
      <c r="J539" s="582" t="s">
        <v>1097</v>
      </c>
      <c r="K539" s="582" t="s">
        <v>1042</v>
      </c>
      <c r="L539" s="582" t="s">
        <v>960</v>
      </c>
      <c r="M539" s="582" t="s">
        <v>88</v>
      </c>
      <c r="N539" s="588">
        <v>160.73850915695573</v>
      </c>
      <c r="O539" s="588">
        <v>142.49693549951476</v>
      </c>
      <c r="P539" s="588">
        <v>131.06370746644077</v>
      </c>
      <c r="Q539" s="588" t="s">
        <v>871</v>
      </c>
      <c r="R539" s="37"/>
      <c r="S539" s="582" t="s">
        <v>69</v>
      </c>
      <c r="T539" s="582" t="s">
        <v>69</v>
      </c>
      <c r="U539" s="582" t="s">
        <v>69</v>
      </c>
      <c r="V539" s="582" t="s">
        <v>69</v>
      </c>
      <c r="W539" s="582" t="s">
        <v>76</v>
      </c>
      <c r="X539" s="37"/>
      <c r="Y539" s="37"/>
      <c r="Z539" s="585" t="s">
        <v>78</v>
      </c>
      <c r="AA539" s="585" t="s">
        <v>78</v>
      </c>
      <c r="AB539" s="37"/>
      <c r="AC539" s="815">
        <v>15.712499999999999</v>
      </c>
      <c r="AD539" s="582" t="s">
        <v>72</v>
      </c>
      <c r="AE539" s="585" t="s">
        <v>73</v>
      </c>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c r="CA539" s="393"/>
      <c r="CB539" s="393"/>
      <c r="CC539" s="393"/>
      <c r="CD539" s="393"/>
      <c r="CE539" s="393"/>
      <c r="CF539" s="393"/>
      <c r="CG539" s="393"/>
      <c r="CH539" s="393"/>
      <c r="CI539" s="393"/>
      <c r="CJ539" s="802"/>
      <c r="CK539" s="802"/>
      <c r="CL539" s="802"/>
      <c r="CM539" s="802"/>
      <c r="CN539" s="802"/>
      <c r="CO539" s="802"/>
      <c r="CP539" s="802"/>
      <c r="CQ539" s="802"/>
      <c r="CR539" s="802"/>
      <c r="CS539" s="802"/>
      <c r="CT539" s="802"/>
      <c r="CU539" s="802"/>
      <c r="CV539" s="802"/>
      <c r="CW539" s="802"/>
      <c r="CX539" s="802"/>
      <c r="CY539" s="802"/>
      <c r="CZ539" s="802"/>
      <c r="DA539" s="802"/>
      <c r="DB539" s="802"/>
      <c r="DC539" s="802"/>
    </row>
    <row r="540" spans="1:107" s="803" customFormat="1" ht="56.25">
      <c r="A540" s="37"/>
      <c r="B540" s="801" t="s">
        <v>30</v>
      </c>
      <c r="C540" s="582" t="s">
        <v>1185</v>
      </c>
      <c r="D540" s="585" t="s">
        <v>1043</v>
      </c>
      <c r="E540" s="584">
        <v>1943.9497008859194</v>
      </c>
      <c r="F540" s="585" t="s">
        <v>27</v>
      </c>
      <c r="G540" s="586">
        <v>0.7023056986264814</v>
      </c>
      <c r="H540" s="582" t="s">
        <v>867</v>
      </c>
      <c r="I540" s="684">
        <v>0.59303679625769268</v>
      </c>
      <c r="J540" s="582" t="s">
        <v>1097</v>
      </c>
      <c r="K540" s="582" t="s">
        <v>1042</v>
      </c>
      <c r="L540" s="582" t="s">
        <v>960</v>
      </c>
      <c r="M540" s="582" t="s">
        <v>90</v>
      </c>
      <c r="N540" s="588">
        <v>160.73850915695573</v>
      </c>
      <c r="O540" s="588">
        <v>123.06553520412638</v>
      </c>
      <c r="P540" s="588">
        <v>131.06370746644077</v>
      </c>
      <c r="Q540" s="588" t="s">
        <v>871</v>
      </c>
      <c r="R540" s="37"/>
      <c r="S540" s="582" t="s">
        <v>69</v>
      </c>
      <c r="T540" s="582" t="s">
        <v>69</v>
      </c>
      <c r="U540" s="582" t="s">
        <v>69</v>
      </c>
      <c r="V540" s="582" t="s">
        <v>69</v>
      </c>
      <c r="W540" s="582" t="s">
        <v>76</v>
      </c>
      <c r="X540" s="37"/>
      <c r="Y540" s="37"/>
      <c r="Z540" s="585" t="s">
        <v>78</v>
      </c>
      <c r="AA540" s="585" t="s">
        <v>78</v>
      </c>
      <c r="AB540" s="37"/>
      <c r="AC540" s="815">
        <v>15.712499999999999</v>
      </c>
      <c r="AD540" s="582" t="s">
        <v>72</v>
      </c>
      <c r="AE540" s="585" t="s">
        <v>73</v>
      </c>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c r="CA540" s="393"/>
      <c r="CB540" s="393"/>
      <c r="CC540" s="393"/>
      <c r="CD540" s="393"/>
      <c r="CE540" s="393"/>
      <c r="CF540" s="393"/>
      <c r="CG540" s="393"/>
      <c r="CH540" s="393"/>
      <c r="CI540" s="393"/>
      <c r="CJ540" s="802"/>
      <c r="CK540" s="802"/>
      <c r="CL540" s="802"/>
      <c r="CM540" s="802"/>
      <c r="CN540" s="802"/>
      <c r="CO540" s="802"/>
      <c r="CP540" s="802"/>
      <c r="CQ540" s="802"/>
      <c r="CR540" s="802"/>
      <c r="CS540" s="802"/>
      <c r="CT540" s="802"/>
      <c r="CU540" s="802"/>
      <c r="CV540" s="802"/>
      <c r="CW540" s="802"/>
      <c r="CX540" s="802"/>
      <c r="CY540" s="802"/>
      <c r="CZ540" s="802"/>
      <c r="DA540" s="802"/>
      <c r="DB540" s="802"/>
      <c r="DC540" s="802"/>
    </row>
    <row r="541" spans="1:107" s="803" customFormat="1" ht="56.25">
      <c r="A541" s="37"/>
      <c r="B541" s="801" t="s">
        <v>30</v>
      </c>
      <c r="C541" s="582" t="s">
        <v>1185</v>
      </c>
      <c r="D541" s="585" t="s">
        <v>1043</v>
      </c>
      <c r="E541" s="584">
        <v>1943.9497008859194</v>
      </c>
      <c r="F541" s="585" t="s">
        <v>27</v>
      </c>
      <c r="G541" s="586">
        <v>0.7023056986264814</v>
      </c>
      <c r="H541" s="582" t="s">
        <v>867</v>
      </c>
      <c r="I541" s="684">
        <v>0.59303679625769268</v>
      </c>
      <c r="J541" s="582" t="s">
        <v>1097</v>
      </c>
      <c r="K541" s="582" t="s">
        <v>1042</v>
      </c>
      <c r="L541" s="582" t="s">
        <v>960</v>
      </c>
      <c r="M541" s="582" t="s">
        <v>91</v>
      </c>
      <c r="N541" s="588">
        <v>160.73850915695573</v>
      </c>
      <c r="O541" s="588" t="s">
        <v>870</v>
      </c>
      <c r="P541" s="588">
        <v>131.06370746644077</v>
      </c>
      <c r="Q541" s="588" t="s">
        <v>870</v>
      </c>
      <c r="R541" s="37"/>
      <c r="S541" s="582" t="s">
        <v>69</v>
      </c>
      <c r="T541" s="582" t="s">
        <v>69</v>
      </c>
      <c r="U541" s="582" t="s">
        <v>870</v>
      </c>
      <c r="V541" s="582" t="s">
        <v>870</v>
      </c>
      <c r="W541" s="582" t="s">
        <v>76</v>
      </c>
      <c r="X541" s="37"/>
      <c r="Y541" s="37"/>
      <c r="Z541" s="585" t="s">
        <v>78</v>
      </c>
      <c r="AA541" s="585" t="s">
        <v>78</v>
      </c>
      <c r="AB541" s="37"/>
      <c r="AC541" s="815">
        <v>15.712499999999999</v>
      </c>
      <c r="AD541" s="582" t="s">
        <v>72</v>
      </c>
      <c r="AE541" s="585" t="s">
        <v>73</v>
      </c>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c r="CA541" s="393"/>
      <c r="CB541" s="393"/>
      <c r="CC541" s="393"/>
      <c r="CD541" s="393"/>
      <c r="CE541" s="393"/>
      <c r="CF541" s="393"/>
      <c r="CG541" s="393"/>
      <c r="CH541" s="393"/>
      <c r="CI541" s="393"/>
      <c r="CJ541" s="802"/>
      <c r="CK541" s="802"/>
      <c r="CL541" s="802"/>
      <c r="CM541" s="802"/>
      <c r="CN541" s="802"/>
      <c r="CO541" s="802"/>
      <c r="CP541" s="802"/>
      <c r="CQ541" s="802"/>
      <c r="CR541" s="802"/>
      <c r="CS541" s="802"/>
      <c r="CT541" s="802"/>
      <c r="CU541" s="802"/>
      <c r="CV541" s="802"/>
      <c r="CW541" s="802"/>
      <c r="CX541" s="802"/>
      <c r="CY541" s="802"/>
      <c r="CZ541" s="802"/>
      <c r="DA541" s="802"/>
      <c r="DB541" s="802"/>
      <c r="DC541" s="802"/>
    </row>
    <row r="542" spans="1:107" s="803" customFormat="1" ht="56.25">
      <c r="A542" s="37"/>
      <c r="B542" s="801" t="s">
        <v>30</v>
      </c>
      <c r="C542" s="582" t="s">
        <v>1185</v>
      </c>
      <c r="D542" s="585" t="s">
        <v>1043</v>
      </c>
      <c r="E542" s="584">
        <v>1943.9497008859194</v>
      </c>
      <c r="F542" s="585" t="s">
        <v>27</v>
      </c>
      <c r="G542" s="586">
        <v>0.7023056986264814</v>
      </c>
      <c r="H542" s="582" t="s">
        <v>867</v>
      </c>
      <c r="I542" s="684">
        <v>0.59303679625769268</v>
      </c>
      <c r="J542" s="582" t="s">
        <v>1097</v>
      </c>
      <c r="K542" s="582" t="s">
        <v>1042</v>
      </c>
      <c r="L542" s="582" t="s">
        <v>960</v>
      </c>
      <c r="M542" s="582" t="s">
        <v>92</v>
      </c>
      <c r="N542" s="588">
        <v>160.73850915695573</v>
      </c>
      <c r="O542" s="588">
        <v>233.17680354466052</v>
      </c>
      <c r="P542" s="588">
        <v>131.06370746644077</v>
      </c>
      <c r="Q542" s="588" t="s">
        <v>1055</v>
      </c>
      <c r="R542" s="37"/>
      <c r="S542" s="582" t="s">
        <v>69</v>
      </c>
      <c r="T542" s="582" t="s">
        <v>69</v>
      </c>
      <c r="U542" s="582" t="s">
        <v>69</v>
      </c>
      <c r="V542" s="582" t="s">
        <v>69</v>
      </c>
      <c r="W542" s="582" t="s">
        <v>76</v>
      </c>
      <c r="X542" s="37"/>
      <c r="Y542" s="37"/>
      <c r="Z542" s="585" t="s">
        <v>78</v>
      </c>
      <c r="AA542" s="585" t="s">
        <v>78</v>
      </c>
      <c r="AB542" s="37"/>
      <c r="AC542" s="815">
        <v>15.712499999999999</v>
      </c>
      <c r="AD542" s="582" t="s">
        <v>72</v>
      </c>
      <c r="AE542" s="585" t="s">
        <v>73</v>
      </c>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c r="CA542" s="393"/>
      <c r="CB542" s="393"/>
      <c r="CC542" s="393"/>
      <c r="CD542" s="393"/>
      <c r="CE542" s="393"/>
      <c r="CF542" s="393"/>
      <c r="CG542" s="393"/>
      <c r="CH542" s="393"/>
      <c r="CI542" s="393"/>
      <c r="CJ542" s="802"/>
      <c r="CK542" s="802"/>
      <c r="CL542" s="802"/>
      <c r="CM542" s="802"/>
      <c r="CN542" s="802"/>
      <c r="CO542" s="802"/>
      <c r="CP542" s="802"/>
      <c r="CQ542" s="802"/>
      <c r="CR542" s="802"/>
      <c r="CS542" s="802"/>
      <c r="CT542" s="802"/>
      <c r="CU542" s="802"/>
      <c r="CV542" s="802"/>
      <c r="CW542" s="802"/>
      <c r="CX542" s="802"/>
      <c r="CY542" s="802"/>
      <c r="CZ542" s="802"/>
      <c r="DA542" s="802"/>
      <c r="DB542" s="802"/>
      <c r="DC542" s="802"/>
    </row>
    <row r="543" spans="1:107" s="803" customFormat="1" ht="56.25">
      <c r="A543" s="37"/>
      <c r="B543" s="801" t="s">
        <v>30</v>
      </c>
      <c r="C543" s="582" t="s">
        <v>1185</v>
      </c>
      <c r="D543" s="585" t="s">
        <v>1043</v>
      </c>
      <c r="E543" s="584">
        <v>1943.9497008859194</v>
      </c>
      <c r="F543" s="585" t="s">
        <v>27</v>
      </c>
      <c r="G543" s="586">
        <v>0.7023056986264814</v>
      </c>
      <c r="H543" s="582" t="s">
        <v>867</v>
      </c>
      <c r="I543" s="684">
        <v>0.59303679625769268</v>
      </c>
      <c r="J543" s="582" t="s">
        <v>1097</v>
      </c>
      <c r="K543" s="582" t="s">
        <v>1042</v>
      </c>
      <c r="L543" s="582" t="s">
        <v>960</v>
      </c>
      <c r="M543" s="582" t="s">
        <v>93</v>
      </c>
      <c r="N543" s="588">
        <v>160.73850915695573</v>
      </c>
      <c r="O543" s="588">
        <v>265.56247070364111</v>
      </c>
      <c r="P543" s="588">
        <v>131.06370746644077</v>
      </c>
      <c r="Q543" s="588" t="s">
        <v>871</v>
      </c>
      <c r="R543" s="37"/>
      <c r="S543" s="582" t="s">
        <v>69</v>
      </c>
      <c r="T543" s="582" t="s">
        <v>69</v>
      </c>
      <c r="U543" s="582" t="s">
        <v>44</v>
      </c>
      <c r="V543" s="582" t="s">
        <v>75</v>
      </c>
      <c r="W543" s="582" t="s">
        <v>76</v>
      </c>
      <c r="X543" s="37"/>
      <c r="Y543" s="37"/>
      <c r="Z543" s="585" t="s">
        <v>78</v>
      </c>
      <c r="AA543" s="585" t="s">
        <v>78</v>
      </c>
      <c r="AB543" s="37"/>
      <c r="AC543" s="815">
        <v>15.712499999999999</v>
      </c>
      <c r="AD543" s="582" t="s">
        <v>72</v>
      </c>
      <c r="AE543" s="585" t="s">
        <v>73</v>
      </c>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c r="CA543" s="393"/>
      <c r="CB543" s="393"/>
      <c r="CC543" s="393"/>
      <c r="CD543" s="393"/>
      <c r="CE543" s="393"/>
      <c r="CF543" s="393"/>
      <c r="CG543" s="393"/>
      <c r="CH543" s="393"/>
      <c r="CI543" s="393"/>
      <c r="CJ543" s="802"/>
      <c r="CK543" s="802"/>
      <c r="CL543" s="802"/>
      <c r="CM543" s="802"/>
      <c r="CN543" s="802"/>
      <c r="CO543" s="802"/>
      <c r="CP543" s="802"/>
      <c r="CQ543" s="802"/>
      <c r="CR543" s="802"/>
      <c r="CS543" s="802"/>
      <c r="CT543" s="802"/>
      <c r="CU543" s="802"/>
      <c r="CV543" s="802"/>
      <c r="CW543" s="802"/>
      <c r="CX543" s="802"/>
      <c r="CY543" s="802"/>
      <c r="CZ543" s="802"/>
      <c r="DA543" s="802"/>
      <c r="DB543" s="802"/>
      <c r="DC543" s="802"/>
    </row>
    <row r="544" spans="1:107" s="803" customFormat="1" ht="24">
      <c r="A544" s="37"/>
      <c r="B544" s="801" t="s">
        <v>30</v>
      </c>
      <c r="C544" s="582" t="s">
        <v>1185</v>
      </c>
      <c r="D544" s="585" t="s">
        <v>1043</v>
      </c>
      <c r="E544" s="584">
        <v>1943.9497008859194</v>
      </c>
      <c r="F544" s="585" t="s">
        <v>24</v>
      </c>
      <c r="G544" s="586">
        <v>0.18551852338336328</v>
      </c>
      <c r="H544" s="582" t="s">
        <v>867</v>
      </c>
      <c r="I544" s="684">
        <v>0.81566302642684119</v>
      </c>
      <c r="J544" s="582" t="s">
        <v>25</v>
      </c>
      <c r="K544" s="582" t="s">
        <v>1042</v>
      </c>
      <c r="L544" s="582" t="s">
        <v>95</v>
      </c>
      <c r="M544" s="582" t="s">
        <v>88</v>
      </c>
      <c r="N544" s="588">
        <v>66.579448253517512</v>
      </c>
      <c r="O544" s="588">
        <v>51.772095861479663</v>
      </c>
      <c r="P544" s="588">
        <v>66.579448253517512</v>
      </c>
      <c r="Q544" s="588" t="s">
        <v>871</v>
      </c>
      <c r="R544" s="37"/>
      <c r="S544" s="585"/>
      <c r="T544" s="585"/>
      <c r="U544" s="585"/>
      <c r="V544" s="585"/>
      <c r="W544" s="585"/>
      <c r="X544" s="37"/>
      <c r="Y544" s="37"/>
      <c r="Z544" s="585" t="s">
        <v>78</v>
      </c>
      <c r="AA544" s="585" t="s">
        <v>78</v>
      </c>
      <c r="AB544" s="37"/>
      <c r="AC544" s="815">
        <v>15.712499999999999</v>
      </c>
      <c r="AD544" s="582" t="s">
        <v>72</v>
      </c>
      <c r="AE544" s="585" t="s">
        <v>73</v>
      </c>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c r="CA544" s="393"/>
      <c r="CB544" s="393"/>
      <c r="CC544" s="393"/>
      <c r="CD544" s="393"/>
      <c r="CE544" s="393"/>
      <c r="CF544" s="393"/>
      <c r="CG544" s="393"/>
      <c r="CH544" s="393"/>
      <c r="CI544" s="393"/>
      <c r="CJ544" s="802"/>
      <c r="CK544" s="802"/>
      <c r="CL544" s="802"/>
      <c r="CM544" s="802"/>
      <c r="CN544" s="802"/>
      <c r="CO544" s="802"/>
      <c r="CP544" s="802"/>
      <c r="CQ544" s="802"/>
      <c r="CR544" s="802"/>
      <c r="CS544" s="802"/>
      <c r="CT544" s="802"/>
      <c r="CU544" s="802"/>
      <c r="CV544" s="802"/>
      <c r="CW544" s="802"/>
      <c r="CX544" s="802"/>
      <c r="CY544" s="802"/>
      <c r="CZ544" s="802"/>
      <c r="DA544" s="802"/>
      <c r="DB544" s="802"/>
      <c r="DC544" s="802"/>
    </row>
    <row r="545" spans="1:107" s="803" customFormat="1" ht="24">
      <c r="A545" s="37"/>
      <c r="B545" s="801" t="s">
        <v>30</v>
      </c>
      <c r="C545" s="582" t="s">
        <v>1185</v>
      </c>
      <c r="D545" s="585" t="s">
        <v>1043</v>
      </c>
      <c r="E545" s="584">
        <v>1943.9497008859194</v>
      </c>
      <c r="F545" s="585" t="s">
        <v>24</v>
      </c>
      <c r="G545" s="586">
        <v>0.18551852338336328</v>
      </c>
      <c r="H545" s="582" t="s">
        <v>867</v>
      </c>
      <c r="I545" s="684">
        <v>0.81566302642684119</v>
      </c>
      <c r="J545" s="582" t="s">
        <v>25</v>
      </c>
      <c r="K545" s="582" t="s">
        <v>1042</v>
      </c>
      <c r="L545" s="582" t="s">
        <v>95</v>
      </c>
      <c r="M545" s="582" t="s">
        <v>90</v>
      </c>
      <c r="N545" s="588">
        <v>66.579448253517512</v>
      </c>
      <c r="O545" s="588">
        <v>44.712264607641536</v>
      </c>
      <c r="P545" s="588">
        <v>66.579448253517512</v>
      </c>
      <c r="Q545" s="588" t="s">
        <v>871</v>
      </c>
      <c r="R545" s="37"/>
      <c r="S545" s="585"/>
      <c r="T545" s="585"/>
      <c r="U545" s="585"/>
      <c r="V545" s="585"/>
      <c r="W545" s="585"/>
      <c r="X545" s="37"/>
      <c r="Y545" s="37"/>
      <c r="Z545" s="585" t="s">
        <v>78</v>
      </c>
      <c r="AA545" s="585" t="s">
        <v>78</v>
      </c>
      <c r="AB545" s="37"/>
      <c r="AC545" s="815">
        <v>15.712499999999999</v>
      </c>
      <c r="AD545" s="582" t="s">
        <v>72</v>
      </c>
      <c r="AE545" s="585" t="s">
        <v>73</v>
      </c>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c r="CA545" s="393"/>
      <c r="CB545" s="393"/>
      <c r="CC545" s="393"/>
      <c r="CD545" s="393"/>
      <c r="CE545" s="393"/>
      <c r="CF545" s="393"/>
      <c r="CG545" s="393"/>
      <c r="CH545" s="393"/>
      <c r="CI545" s="393"/>
      <c r="CJ545" s="802"/>
      <c r="CK545" s="802"/>
      <c r="CL545" s="802"/>
      <c r="CM545" s="802"/>
      <c r="CN545" s="802"/>
      <c r="CO545" s="802"/>
      <c r="CP545" s="802"/>
      <c r="CQ545" s="802"/>
      <c r="CR545" s="802"/>
      <c r="CS545" s="802"/>
      <c r="CT545" s="802"/>
      <c r="CU545" s="802"/>
      <c r="CV545" s="802"/>
      <c r="CW545" s="802"/>
      <c r="CX545" s="802"/>
      <c r="CY545" s="802"/>
      <c r="CZ545" s="802"/>
      <c r="DA545" s="802"/>
      <c r="DB545" s="802"/>
      <c r="DC545" s="802"/>
    </row>
    <row r="546" spans="1:107" s="803" customFormat="1" ht="24">
      <c r="A546" s="37"/>
      <c r="B546" s="801" t="s">
        <v>30</v>
      </c>
      <c r="C546" s="582" t="s">
        <v>1185</v>
      </c>
      <c r="D546" s="585" t="s">
        <v>1043</v>
      </c>
      <c r="E546" s="584">
        <v>1943.9497008859194</v>
      </c>
      <c r="F546" s="585" t="s">
        <v>24</v>
      </c>
      <c r="G546" s="586">
        <v>0.18551852338336328</v>
      </c>
      <c r="H546" s="582" t="s">
        <v>867</v>
      </c>
      <c r="I546" s="684">
        <v>0.81566302642684119</v>
      </c>
      <c r="J546" s="582" t="s">
        <v>25</v>
      </c>
      <c r="K546" s="582" t="s">
        <v>1042</v>
      </c>
      <c r="L546" s="582" t="s">
        <v>95</v>
      </c>
      <c r="M546" s="582" t="s">
        <v>91</v>
      </c>
      <c r="N546" s="588">
        <v>66.579448253517512</v>
      </c>
      <c r="O546" s="588" t="s">
        <v>870</v>
      </c>
      <c r="P546" s="588">
        <v>66.579448253517512</v>
      </c>
      <c r="Q546" s="588" t="s">
        <v>870</v>
      </c>
      <c r="R546" s="37"/>
      <c r="S546" s="585"/>
      <c r="T546" s="585"/>
      <c r="U546" s="585"/>
      <c r="V546" s="585"/>
      <c r="W546" s="585"/>
      <c r="X546" s="37"/>
      <c r="Y546" s="37"/>
      <c r="Z546" s="585" t="s">
        <v>78</v>
      </c>
      <c r="AA546" s="585" t="s">
        <v>78</v>
      </c>
      <c r="AB546" s="37"/>
      <c r="AC546" s="815">
        <v>15.712499999999999</v>
      </c>
      <c r="AD546" s="582" t="s">
        <v>72</v>
      </c>
      <c r="AE546" s="585" t="s">
        <v>73</v>
      </c>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c r="CA546" s="393"/>
      <c r="CB546" s="393"/>
      <c r="CC546" s="393"/>
      <c r="CD546" s="393"/>
      <c r="CE546" s="393"/>
      <c r="CF546" s="393"/>
      <c r="CG546" s="393"/>
      <c r="CH546" s="393"/>
      <c r="CI546" s="393"/>
      <c r="CJ546" s="802"/>
      <c r="CK546" s="802"/>
      <c r="CL546" s="802"/>
      <c r="CM546" s="802"/>
      <c r="CN546" s="802"/>
      <c r="CO546" s="802"/>
      <c r="CP546" s="802"/>
      <c r="CQ546" s="802"/>
      <c r="CR546" s="802"/>
      <c r="CS546" s="802"/>
      <c r="CT546" s="802"/>
      <c r="CU546" s="802"/>
      <c r="CV546" s="802"/>
      <c r="CW546" s="802"/>
      <c r="CX546" s="802"/>
      <c r="CY546" s="802"/>
      <c r="CZ546" s="802"/>
      <c r="DA546" s="802"/>
      <c r="DB546" s="802"/>
      <c r="DC546" s="802"/>
    </row>
    <row r="547" spans="1:107" s="803" customFormat="1" ht="24">
      <c r="A547" s="37"/>
      <c r="B547" s="801" t="s">
        <v>30</v>
      </c>
      <c r="C547" s="582" t="s">
        <v>1185</v>
      </c>
      <c r="D547" s="585" t="s">
        <v>1043</v>
      </c>
      <c r="E547" s="584">
        <v>1943.9497008859194</v>
      </c>
      <c r="F547" s="585" t="s">
        <v>24</v>
      </c>
      <c r="G547" s="586">
        <v>0.18551852338336328</v>
      </c>
      <c r="H547" s="582" t="s">
        <v>867</v>
      </c>
      <c r="I547" s="684">
        <v>0.81566302642684119</v>
      </c>
      <c r="J547" s="582" t="s">
        <v>25</v>
      </c>
      <c r="K547" s="582" t="s">
        <v>1042</v>
      </c>
      <c r="L547" s="582" t="s">
        <v>95</v>
      </c>
      <c r="M547" s="582" t="s">
        <v>92</v>
      </c>
      <c r="N547" s="588">
        <v>66.579448253517512</v>
      </c>
      <c r="O547" s="588">
        <v>84.717975046057646</v>
      </c>
      <c r="P547" s="588">
        <v>66.579448253517512</v>
      </c>
      <c r="Q547" s="588" t="s">
        <v>1055</v>
      </c>
      <c r="R547" s="37"/>
      <c r="S547" s="585"/>
      <c r="T547" s="585"/>
      <c r="U547" s="585"/>
      <c r="V547" s="585"/>
      <c r="W547" s="585"/>
      <c r="X547" s="37"/>
      <c r="Y547" s="37"/>
      <c r="Z547" s="585" t="s">
        <v>78</v>
      </c>
      <c r="AA547" s="585" t="s">
        <v>78</v>
      </c>
      <c r="AB547" s="37"/>
      <c r="AC547" s="815">
        <v>15.712499999999999</v>
      </c>
      <c r="AD547" s="582" t="s">
        <v>72</v>
      </c>
      <c r="AE547" s="585" t="s">
        <v>73</v>
      </c>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c r="CA547" s="393"/>
      <c r="CB547" s="393"/>
      <c r="CC547" s="393"/>
      <c r="CD547" s="393"/>
      <c r="CE547" s="393"/>
      <c r="CF547" s="393"/>
      <c r="CG547" s="393"/>
      <c r="CH547" s="393"/>
      <c r="CI547" s="393"/>
      <c r="CJ547" s="802"/>
      <c r="CK547" s="802"/>
      <c r="CL547" s="802"/>
      <c r="CM547" s="802"/>
      <c r="CN547" s="802"/>
      <c r="CO547" s="802"/>
      <c r="CP547" s="802"/>
      <c r="CQ547" s="802"/>
      <c r="CR547" s="802"/>
      <c r="CS547" s="802"/>
      <c r="CT547" s="802"/>
      <c r="CU547" s="802"/>
      <c r="CV547" s="802"/>
      <c r="CW547" s="802"/>
      <c r="CX547" s="802"/>
      <c r="CY547" s="802"/>
      <c r="CZ547" s="802"/>
      <c r="DA547" s="802"/>
      <c r="DB547" s="802"/>
      <c r="DC547" s="802"/>
    </row>
    <row r="548" spans="1:107" s="803" customFormat="1" ht="24">
      <c r="A548" s="37"/>
      <c r="B548" s="801" t="s">
        <v>30</v>
      </c>
      <c r="C548" s="582" t="s">
        <v>1185</v>
      </c>
      <c r="D548" s="585" t="s">
        <v>1043</v>
      </c>
      <c r="E548" s="584">
        <v>1943.9497008859194</v>
      </c>
      <c r="F548" s="585" t="s">
        <v>24</v>
      </c>
      <c r="G548" s="586">
        <v>0.18551852338336328</v>
      </c>
      <c r="H548" s="582" t="s">
        <v>867</v>
      </c>
      <c r="I548" s="684">
        <v>0.81566302642684119</v>
      </c>
      <c r="J548" s="582" t="s">
        <v>25</v>
      </c>
      <c r="K548" s="582" t="s">
        <v>1042</v>
      </c>
      <c r="L548" s="582" t="s">
        <v>95</v>
      </c>
      <c r="M548" s="582" t="s">
        <v>93</v>
      </c>
      <c r="N548" s="588">
        <v>66.579448253517512</v>
      </c>
      <c r="O548" s="588">
        <v>96.484360469121199</v>
      </c>
      <c r="P548" s="588">
        <v>66.579448253517512</v>
      </c>
      <c r="Q548" s="588" t="s">
        <v>871</v>
      </c>
      <c r="R548" s="37"/>
      <c r="S548" s="585"/>
      <c r="T548" s="585"/>
      <c r="U548" s="585"/>
      <c r="V548" s="585"/>
      <c r="W548" s="585"/>
      <c r="X548" s="37"/>
      <c r="Y548" s="37"/>
      <c r="Z548" s="585" t="s">
        <v>78</v>
      </c>
      <c r="AA548" s="585" t="s">
        <v>78</v>
      </c>
      <c r="AB548" s="37"/>
      <c r="AC548" s="815">
        <v>15.712499999999999</v>
      </c>
      <c r="AD548" s="582" t="s">
        <v>72</v>
      </c>
      <c r="AE548" s="585" t="s">
        <v>73</v>
      </c>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c r="CA548" s="393"/>
      <c r="CB548" s="393"/>
      <c r="CC548" s="393"/>
      <c r="CD548" s="393"/>
      <c r="CE548" s="393"/>
      <c r="CF548" s="393"/>
      <c r="CG548" s="393"/>
      <c r="CH548" s="393"/>
      <c r="CI548" s="393"/>
      <c r="CJ548" s="802"/>
      <c r="CK548" s="802"/>
      <c r="CL548" s="802"/>
      <c r="CM548" s="802"/>
      <c r="CN548" s="802"/>
      <c r="CO548" s="802"/>
      <c r="CP548" s="802"/>
      <c r="CQ548" s="802"/>
      <c r="CR548" s="802"/>
      <c r="CS548" s="802"/>
      <c r="CT548" s="802"/>
      <c r="CU548" s="802"/>
      <c r="CV548" s="802"/>
      <c r="CW548" s="802"/>
      <c r="CX548" s="802"/>
      <c r="CY548" s="802"/>
      <c r="CZ548" s="802"/>
      <c r="DA548" s="802"/>
      <c r="DB548" s="802"/>
      <c r="DC548" s="802"/>
    </row>
    <row r="549" spans="1:107" s="303" customFormat="1" ht="56.25">
      <c r="A549" s="37"/>
      <c r="B549" s="692" t="s">
        <v>30</v>
      </c>
      <c r="C549" s="567" t="s">
        <v>1185</v>
      </c>
      <c r="D549" s="568" t="s">
        <v>1172</v>
      </c>
      <c r="E549" s="571">
        <v>2459.6914582638165</v>
      </c>
      <c r="F549" s="569" t="s">
        <v>27</v>
      </c>
      <c r="G549" s="570">
        <v>5.1757584804418277E-2</v>
      </c>
      <c r="H549" s="567" t="s">
        <v>110</v>
      </c>
      <c r="I549" s="693">
        <v>0.94971461823496628</v>
      </c>
      <c r="J549" s="567" t="s">
        <v>1097</v>
      </c>
      <c r="K549" s="567" t="s">
        <v>111</v>
      </c>
      <c r="L549" s="567" t="s">
        <v>1270</v>
      </c>
      <c r="M549" s="567" t="s">
        <v>88</v>
      </c>
      <c r="N549" s="572">
        <v>36.560156911037915</v>
      </c>
      <c r="O549" s="572">
        <v>21.279451333983804</v>
      </c>
      <c r="P549" s="572">
        <v>33.948717131678073</v>
      </c>
      <c r="Q549" s="572">
        <v>14.895615933788662</v>
      </c>
      <c r="R549" s="37"/>
      <c r="S549" s="567" t="s">
        <v>44</v>
      </c>
      <c r="T549" s="567" t="s">
        <v>63</v>
      </c>
      <c r="U549" s="567" t="s">
        <v>69</v>
      </c>
      <c r="V549" s="567" t="s">
        <v>69</v>
      </c>
      <c r="W549" s="567" t="s">
        <v>76</v>
      </c>
      <c r="X549" s="37"/>
      <c r="Y549" s="37"/>
      <c r="Z549" s="569" t="s">
        <v>78</v>
      </c>
      <c r="AA549" s="569" t="s">
        <v>78</v>
      </c>
      <c r="AB549" s="37"/>
      <c r="AC549" s="697">
        <v>15.712499999999999</v>
      </c>
      <c r="AD549" s="567" t="s">
        <v>84</v>
      </c>
      <c r="AE549" s="569" t="s">
        <v>73</v>
      </c>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c r="CA549" s="393"/>
      <c r="CB549" s="393"/>
      <c r="CC549" s="393"/>
      <c r="CD549" s="393"/>
      <c r="CE549" s="393"/>
      <c r="CF549" s="393"/>
      <c r="CG549" s="393"/>
      <c r="CH549" s="393"/>
      <c r="CI549" s="393"/>
      <c r="CJ549" s="390"/>
      <c r="CK549" s="390"/>
      <c r="CL549" s="390"/>
      <c r="CM549" s="390"/>
      <c r="CN549" s="390"/>
      <c r="CO549" s="390"/>
      <c r="CP549" s="390"/>
      <c r="CQ549" s="390"/>
      <c r="CR549" s="390"/>
      <c r="CS549" s="390"/>
      <c r="CT549" s="390"/>
      <c r="CU549" s="390"/>
      <c r="CV549" s="390"/>
      <c r="CW549" s="390"/>
      <c r="CX549" s="390"/>
      <c r="CY549" s="390"/>
      <c r="CZ549" s="390"/>
      <c r="DA549" s="390"/>
      <c r="DB549" s="390"/>
      <c r="DC549" s="390"/>
    </row>
    <row r="550" spans="1:107" s="303" customFormat="1" ht="56.25">
      <c r="A550" s="37"/>
      <c r="B550" s="692" t="s">
        <v>30</v>
      </c>
      <c r="C550" s="567" t="s">
        <v>1185</v>
      </c>
      <c r="D550" s="568" t="s">
        <v>1172</v>
      </c>
      <c r="E550" s="571">
        <v>2459.6914582638165</v>
      </c>
      <c r="F550" s="569" t="s">
        <v>27</v>
      </c>
      <c r="G550" s="570">
        <v>5.1757584804418277E-2</v>
      </c>
      <c r="H550" s="567" t="s">
        <v>110</v>
      </c>
      <c r="I550" s="693">
        <v>0.94971461823496628</v>
      </c>
      <c r="J550" s="567" t="s">
        <v>1097</v>
      </c>
      <c r="K550" s="567" t="s">
        <v>111</v>
      </c>
      <c r="L550" s="567" t="s">
        <v>1270</v>
      </c>
      <c r="M550" s="567" t="s">
        <v>90</v>
      </c>
      <c r="N550" s="572">
        <v>36.560156911037915</v>
      </c>
      <c r="O550" s="572" t="s">
        <v>871</v>
      </c>
      <c r="P550" s="572">
        <v>33.948717131678073</v>
      </c>
      <c r="Q550" s="572" t="s">
        <v>871</v>
      </c>
      <c r="R550" s="37"/>
      <c r="S550" s="567" t="s">
        <v>44</v>
      </c>
      <c r="T550" s="567" t="s">
        <v>63</v>
      </c>
      <c r="U550" s="567" t="s">
        <v>69</v>
      </c>
      <c r="V550" s="567" t="s">
        <v>69</v>
      </c>
      <c r="W550" s="567" t="s">
        <v>76</v>
      </c>
      <c r="X550" s="37"/>
      <c r="Y550" s="37"/>
      <c r="Z550" s="569" t="s">
        <v>78</v>
      </c>
      <c r="AA550" s="569" t="s">
        <v>78</v>
      </c>
      <c r="AB550" s="37"/>
      <c r="AC550" s="697">
        <v>15.712499999999999</v>
      </c>
      <c r="AD550" s="567" t="s">
        <v>84</v>
      </c>
      <c r="AE550" s="569" t="s">
        <v>73</v>
      </c>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c r="CA550" s="393"/>
      <c r="CB550" s="393"/>
      <c r="CC550" s="393"/>
      <c r="CD550" s="393"/>
      <c r="CE550" s="393"/>
      <c r="CF550" s="393"/>
      <c r="CG550" s="393"/>
      <c r="CH550" s="393"/>
      <c r="CI550" s="393"/>
      <c r="CJ550" s="390"/>
      <c r="CK550" s="390"/>
      <c r="CL550" s="390"/>
      <c r="CM550" s="390"/>
      <c r="CN550" s="390"/>
      <c r="CO550" s="390"/>
      <c r="CP550" s="390"/>
      <c r="CQ550" s="390"/>
      <c r="CR550" s="390"/>
      <c r="CS550" s="390"/>
      <c r="CT550" s="390"/>
      <c r="CU550" s="390"/>
      <c r="CV550" s="390"/>
      <c r="CW550" s="390"/>
      <c r="CX550" s="390"/>
      <c r="CY550" s="390"/>
      <c r="CZ550" s="390"/>
      <c r="DA550" s="390"/>
      <c r="DB550" s="390"/>
      <c r="DC550" s="390"/>
    </row>
    <row r="551" spans="1:107" s="303" customFormat="1" ht="56.25">
      <c r="A551" s="37"/>
      <c r="B551" s="692" t="s">
        <v>30</v>
      </c>
      <c r="C551" s="567" t="s">
        <v>1185</v>
      </c>
      <c r="D551" s="568" t="s">
        <v>1172</v>
      </c>
      <c r="E551" s="571">
        <v>2459.6914582638165</v>
      </c>
      <c r="F551" s="569" t="s">
        <v>27</v>
      </c>
      <c r="G551" s="570">
        <v>5.1757584804418277E-2</v>
      </c>
      <c r="H551" s="567" t="s">
        <v>110</v>
      </c>
      <c r="I551" s="693">
        <v>0.94971461823496628</v>
      </c>
      <c r="J551" s="567" t="s">
        <v>1097</v>
      </c>
      <c r="K551" s="567" t="s">
        <v>111</v>
      </c>
      <c r="L551" s="567" t="s">
        <v>1270</v>
      </c>
      <c r="M551" s="567" t="s">
        <v>91</v>
      </c>
      <c r="N551" s="572">
        <v>36.560156911037915</v>
      </c>
      <c r="O551" s="572" t="s">
        <v>870</v>
      </c>
      <c r="P551" s="572">
        <v>33.948717131678073</v>
      </c>
      <c r="Q551" s="572" t="s">
        <v>870</v>
      </c>
      <c r="R551" s="37"/>
      <c r="S551" s="567" t="s">
        <v>44</v>
      </c>
      <c r="T551" s="567" t="s">
        <v>63</v>
      </c>
      <c r="U551" s="567" t="s">
        <v>870</v>
      </c>
      <c r="V551" s="567" t="s">
        <v>870</v>
      </c>
      <c r="W551" s="567" t="s">
        <v>76</v>
      </c>
      <c r="X551" s="37"/>
      <c r="Y551" s="37"/>
      <c r="Z551" s="569" t="s">
        <v>78</v>
      </c>
      <c r="AA551" s="569" t="s">
        <v>78</v>
      </c>
      <c r="AB551" s="37"/>
      <c r="AC551" s="697">
        <v>15.712499999999999</v>
      </c>
      <c r="AD551" s="567" t="s">
        <v>84</v>
      </c>
      <c r="AE551" s="569" t="s">
        <v>73</v>
      </c>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c r="CA551" s="393"/>
      <c r="CB551" s="393"/>
      <c r="CC551" s="393"/>
      <c r="CD551" s="393"/>
      <c r="CE551" s="393"/>
      <c r="CF551" s="393"/>
      <c r="CG551" s="393"/>
      <c r="CH551" s="393"/>
      <c r="CI551" s="393"/>
      <c r="CJ551" s="390"/>
      <c r="CK551" s="390"/>
      <c r="CL551" s="390"/>
      <c r="CM551" s="390"/>
      <c r="CN551" s="390"/>
      <c r="CO551" s="390"/>
      <c r="CP551" s="390"/>
      <c r="CQ551" s="390"/>
      <c r="CR551" s="390"/>
      <c r="CS551" s="390"/>
      <c r="CT551" s="390"/>
      <c r="CU551" s="390"/>
      <c r="CV551" s="390"/>
      <c r="CW551" s="390"/>
      <c r="CX551" s="390"/>
      <c r="CY551" s="390"/>
      <c r="CZ551" s="390"/>
      <c r="DA551" s="390"/>
      <c r="DB551" s="390"/>
      <c r="DC551" s="390"/>
    </row>
    <row r="552" spans="1:107" s="303" customFormat="1" ht="56.25">
      <c r="A552" s="37"/>
      <c r="B552" s="692" t="s">
        <v>30</v>
      </c>
      <c r="C552" s="567" t="s">
        <v>1185</v>
      </c>
      <c r="D552" s="568" t="s">
        <v>1172</v>
      </c>
      <c r="E552" s="571">
        <v>2459.6914582638165</v>
      </c>
      <c r="F552" s="569" t="s">
        <v>27</v>
      </c>
      <c r="G552" s="570">
        <v>5.1757584804418277E-2</v>
      </c>
      <c r="H552" s="567" t="s">
        <v>110</v>
      </c>
      <c r="I552" s="693">
        <v>0.94971461823496628</v>
      </c>
      <c r="J552" s="567" t="s">
        <v>1097</v>
      </c>
      <c r="K552" s="567" t="s">
        <v>111</v>
      </c>
      <c r="L552" s="567" t="s">
        <v>1270</v>
      </c>
      <c r="M552" s="567" t="s">
        <v>92</v>
      </c>
      <c r="N552" s="572">
        <v>36.560156911037915</v>
      </c>
      <c r="O552" s="572">
        <v>34.820920364700768</v>
      </c>
      <c r="P552" s="572">
        <v>33.948717131678073</v>
      </c>
      <c r="Q552" s="572">
        <v>19.925304430912107</v>
      </c>
      <c r="R552" s="37"/>
      <c r="S552" s="567" t="s">
        <v>44</v>
      </c>
      <c r="T552" s="567" t="s">
        <v>63</v>
      </c>
      <c r="U552" s="567" t="s">
        <v>69</v>
      </c>
      <c r="V552" s="567" t="s">
        <v>69</v>
      </c>
      <c r="W552" s="567" t="s">
        <v>76</v>
      </c>
      <c r="X552" s="37"/>
      <c r="Y552" s="37"/>
      <c r="Z552" s="569" t="s">
        <v>78</v>
      </c>
      <c r="AA552" s="569" t="s">
        <v>78</v>
      </c>
      <c r="AB552" s="37"/>
      <c r="AC552" s="697">
        <v>15.712499999999999</v>
      </c>
      <c r="AD552" s="567" t="s">
        <v>84</v>
      </c>
      <c r="AE552" s="569" t="s">
        <v>73</v>
      </c>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c r="CA552" s="393"/>
      <c r="CB552" s="393"/>
      <c r="CC552" s="393"/>
      <c r="CD552" s="393"/>
      <c r="CE552" s="393"/>
      <c r="CF552" s="393"/>
      <c r="CG552" s="393"/>
      <c r="CH552" s="393"/>
      <c r="CI552" s="393"/>
      <c r="CJ552" s="390"/>
      <c r="CK552" s="390"/>
      <c r="CL552" s="390"/>
      <c r="CM552" s="390"/>
      <c r="CN552" s="390"/>
      <c r="CO552" s="390"/>
      <c r="CP552" s="390"/>
      <c r="CQ552" s="390"/>
      <c r="CR552" s="390"/>
      <c r="CS552" s="390"/>
      <c r="CT552" s="390"/>
      <c r="CU552" s="390"/>
      <c r="CV552" s="390"/>
      <c r="CW552" s="390"/>
      <c r="CX552" s="390"/>
      <c r="CY552" s="390"/>
      <c r="CZ552" s="390"/>
      <c r="DA552" s="390"/>
      <c r="DB552" s="390"/>
      <c r="DC552" s="390"/>
    </row>
    <row r="553" spans="1:107" s="303" customFormat="1" ht="56.25">
      <c r="A553" s="37"/>
      <c r="B553" s="692" t="s">
        <v>30</v>
      </c>
      <c r="C553" s="567" t="s">
        <v>1185</v>
      </c>
      <c r="D553" s="568" t="s">
        <v>1172</v>
      </c>
      <c r="E553" s="571">
        <v>2459.6914582638165</v>
      </c>
      <c r="F553" s="569" t="s">
        <v>27</v>
      </c>
      <c r="G553" s="570">
        <v>5.1757584804418277E-2</v>
      </c>
      <c r="H553" s="567" t="s">
        <v>110</v>
      </c>
      <c r="I553" s="693">
        <v>0.94971461823496628</v>
      </c>
      <c r="J553" s="567" t="s">
        <v>1097</v>
      </c>
      <c r="K553" s="567" t="s">
        <v>111</v>
      </c>
      <c r="L553" s="567" t="s">
        <v>1270</v>
      </c>
      <c r="M553" s="567" t="s">
        <v>93</v>
      </c>
      <c r="N553" s="572">
        <v>36.560156911037915</v>
      </c>
      <c r="O553" s="572">
        <v>39.657159304242548</v>
      </c>
      <c r="P553" s="572">
        <v>33.948717131678073</v>
      </c>
      <c r="Q553" s="572">
        <v>24.761543370453882</v>
      </c>
      <c r="R553" s="37"/>
      <c r="S553" s="567" t="s">
        <v>44</v>
      </c>
      <c r="T553" s="567" t="s">
        <v>63</v>
      </c>
      <c r="U553" s="567" t="s">
        <v>44</v>
      </c>
      <c r="V553" s="567" t="s">
        <v>75</v>
      </c>
      <c r="W553" s="567" t="s">
        <v>76</v>
      </c>
      <c r="X553" s="37"/>
      <c r="Y553" s="37"/>
      <c r="Z553" s="569" t="s">
        <v>78</v>
      </c>
      <c r="AA553" s="569" t="s">
        <v>78</v>
      </c>
      <c r="AB553" s="37"/>
      <c r="AC553" s="697">
        <v>15.712499999999999</v>
      </c>
      <c r="AD553" s="567" t="s">
        <v>84</v>
      </c>
      <c r="AE553" s="569" t="s">
        <v>73</v>
      </c>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c r="CA553" s="393"/>
      <c r="CB553" s="393"/>
      <c r="CC553" s="393"/>
      <c r="CD553" s="393"/>
      <c r="CE553" s="393"/>
      <c r="CF553" s="393"/>
      <c r="CG553" s="393"/>
      <c r="CH553" s="393"/>
      <c r="CI553" s="393"/>
      <c r="CJ553" s="390"/>
      <c r="CK553" s="390"/>
      <c r="CL553" s="390"/>
      <c r="CM553" s="390"/>
      <c r="CN553" s="390"/>
      <c r="CO553" s="390"/>
      <c r="CP553" s="390"/>
      <c r="CQ553" s="390"/>
      <c r="CR553" s="390"/>
      <c r="CS553" s="390"/>
      <c r="CT553" s="390"/>
      <c r="CU553" s="390"/>
      <c r="CV553" s="390"/>
      <c r="CW553" s="390"/>
      <c r="CX553" s="390"/>
      <c r="CY553" s="390"/>
      <c r="CZ553" s="390"/>
      <c r="DA553" s="390"/>
      <c r="DB553" s="390"/>
      <c r="DC553" s="390"/>
    </row>
    <row r="554" spans="1:107" s="303" customFormat="1" ht="56.25">
      <c r="A554" s="37"/>
      <c r="B554" s="692" t="s">
        <v>30</v>
      </c>
      <c r="C554" s="567" t="s">
        <v>1185</v>
      </c>
      <c r="D554" s="568" t="s">
        <v>1172</v>
      </c>
      <c r="E554" s="571">
        <v>2459.6914582638165</v>
      </c>
      <c r="F554" s="569" t="s">
        <v>27</v>
      </c>
      <c r="G554" s="570">
        <v>5.1757584804418277E-2</v>
      </c>
      <c r="H554" s="567" t="s">
        <v>110</v>
      </c>
      <c r="I554" s="693">
        <v>0.94971461823496628</v>
      </c>
      <c r="J554" s="567" t="s">
        <v>1097</v>
      </c>
      <c r="K554" s="567" t="s">
        <v>111</v>
      </c>
      <c r="L554" s="567" t="s">
        <v>960</v>
      </c>
      <c r="M554" s="567" t="s">
        <v>88</v>
      </c>
      <c r="N554" s="572">
        <v>14.988678884552201</v>
      </c>
      <c r="O554" s="572">
        <v>21.279451333983804</v>
      </c>
      <c r="P554" s="572">
        <v>12.2215381674041</v>
      </c>
      <c r="Q554" s="572">
        <v>21.279451333983804</v>
      </c>
      <c r="R554" s="37"/>
      <c r="S554" s="567" t="s">
        <v>69</v>
      </c>
      <c r="T554" s="567" t="s">
        <v>69</v>
      </c>
      <c r="U554" s="567" t="s">
        <v>69</v>
      </c>
      <c r="V554" s="567" t="s">
        <v>69</v>
      </c>
      <c r="W554" s="567" t="s">
        <v>76</v>
      </c>
      <c r="X554" s="37"/>
      <c r="Y554" s="37"/>
      <c r="Z554" s="569" t="s">
        <v>78</v>
      </c>
      <c r="AA554" s="569" t="s">
        <v>78</v>
      </c>
      <c r="AB554" s="37"/>
      <c r="AC554" s="697">
        <v>15.712499999999999</v>
      </c>
      <c r="AD554" s="567" t="s">
        <v>84</v>
      </c>
      <c r="AE554" s="569" t="s">
        <v>73</v>
      </c>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c r="CA554" s="393"/>
      <c r="CB554" s="393"/>
      <c r="CC554" s="393"/>
      <c r="CD554" s="393"/>
      <c r="CE554" s="393"/>
      <c r="CF554" s="393"/>
      <c r="CG554" s="393"/>
      <c r="CH554" s="393"/>
      <c r="CI554" s="393"/>
      <c r="CJ554" s="390"/>
      <c r="CK554" s="390"/>
      <c r="CL554" s="390"/>
      <c r="CM554" s="390"/>
      <c r="CN554" s="390"/>
      <c r="CO554" s="390"/>
      <c r="CP554" s="390"/>
      <c r="CQ554" s="390"/>
      <c r="CR554" s="390"/>
      <c r="CS554" s="390"/>
      <c r="CT554" s="390"/>
      <c r="CU554" s="390"/>
      <c r="CV554" s="390"/>
      <c r="CW554" s="390"/>
      <c r="CX554" s="390"/>
      <c r="CY554" s="390"/>
      <c r="CZ554" s="390"/>
      <c r="DA554" s="390"/>
      <c r="DB554" s="390"/>
      <c r="DC554" s="390"/>
    </row>
    <row r="555" spans="1:107" s="303" customFormat="1" ht="56.25">
      <c r="A555" s="37"/>
      <c r="B555" s="692" t="s">
        <v>30</v>
      </c>
      <c r="C555" s="567" t="s">
        <v>1185</v>
      </c>
      <c r="D555" s="568" t="s">
        <v>1172</v>
      </c>
      <c r="E555" s="571">
        <v>2459.6914582638165</v>
      </c>
      <c r="F555" s="569" t="s">
        <v>27</v>
      </c>
      <c r="G555" s="570">
        <v>5.1757584804418277E-2</v>
      </c>
      <c r="H555" s="567" t="s">
        <v>110</v>
      </c>
      <c r="I555" s="693">
        <v>0.94971461823496628</v>
      </c>
      <c r="J555" s="567" t="s">
        <v>1097</v>
      </c>
      <c r="K555" s="567" t="s">
        <v>111</v>
      </c>
      <c r="L555" s="567" t="s">
        <v>960</v>
      </c>
      <c r="M555" s="567" t="s">
        <v>90</v>
      </c>
      <c r="N555" s="572">
        <v>14.988678884552201</v>
      </c>
      <c r="O555" s="572" t="s">
        <v>871</v>
      </c>
      <c r="P555" s="572">
        <v>12.2215381674041</v>
      </c>
      <c r="Q555" s="572" t="s">
        <v>871</v>
      </c>
      <c r="R555" s="37"/>
      <c r="S555" s="567" t="s">
        <v>69</v>
      </c>
      <c r="T555" s="567" t="s">
        <v>69</v>
      </c>
      <c r="U555" s="567" t="s">
        <v>69</v>
      </c>
      <c r="V555" s="567" t="s">
        <v>69</v>
      </c>
      <c r="W555" s="567" t="s">
        <v>76</v>
      </c>
      <c r="X555" s="37"/>
      <c r="Y555" s="37"/>
      <c r="Z555" s="569" t="s">
        <v>78</v>
      </c>
      <c r="AA555" s="569" t="s">
        <v>78</v>
      </c>
      <c r="AB555" s="37"/>
      <c r="AC555" s="697">
        <v>15.712499999999999</v>
      </c>
      <c r="AD555" s="567" t="s">
        <v>84</v>
      </c>
      <c r="AE555" s="569" t="s">
        <v>73</v>
      </c>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c r="CA555" s="393"/>
      <c r="CB555" s="393"/>
      <c r="CC555" s="393"/>
      <c r="CD555" s="393"/>
      <c r="CE555" s="393"/>
      <c r="CF555" s="393"/>
      <c r="CG555" s="393"/>
      <c r="CH555" s="393"/>
      <c r="CI555" s="393"/>
      <c r="CJ555" s="390"/>
      <c r="CK555" s="390"/>
      <c r="CL555" s="390"/>
      <c r="CM555" s="390"/>
      <c r="CN555" s="390"/>
      <c r="CO555" s="390"/>
      <c r="CP555" s="390"/>
      <c r="CQ555" s="390"/>
      <c r="CR555" s="390"/>
      <c r="CS555" s="390"/>
      <c r="CT555" s="390"/>
      <c r="CU555" s="390"/>
      <c r="CV555" s="390"/>
      <c r="CW555" s="390"/>
      <c r="CX555" s="390"/>
      <c r="CY555" s="390"/>
      <c r="CZ555" s="390"/>
      <c r="DA555" s="390"/>
      <c r="DB555" s="390"/>
      <c r="DC555" s="390"/>
    </row>
    <row r="556" spans="1:107" s="303" customFormat="1" ht="56.25">
      <c r="A556" s="37"/>
      <c r="B556" s="692" t="s">
        <v>30</v>
      </c>
      <c r="C556" s="567" t="s">
        <v>1185</v>
      </c>
      <c r="D556" s="568" t="s">
        <v>1172</v>
      </c>
      <c r="E556" s="571">
        <v>2459.6914582638165</v>
      </c>
      <c r="F556" s="569" t="s">
        <v>27</v>
      </c>
      <c r="G556" s="570">
        <v>5.1757584804418277E-2</v>
      </c>
      <c r="H556" s="567" t="s">
        <v>110</v>
      </c>
      <c r="I556" s="693">
        <v>0.94971461823496628</v>
      </c>
      <c r="J556" s="567" t="s">
        <v>1097</v>
      </c>
      <c r="K556" s="567" t="s">
        <v>111</v>
      </c>
      <c r="L556" s="567" t="s">
        <v>960</v>
      </c>
      <c r="M556" s="567" t="s">
        <v>91</v>
      </c>
      <c r="N556" s="572">
        <v>14.988678884552201</v>
      </c>
      <c r="O556" s="572" t="s">
        <v>870</v>
      </c>
      <c r="P556" s="572">
        <v>12.2215381674041</v>
      </c>
      <c r="Q556" s="572" t="s">
        <v>870</v>
      </c>
      <c r="R556" s="37"/>
      <c r="S556" s="567" t="s">
        <v>69</v>
      </c>
      <c r="T556" s="567" t="s">
        <v>69</v>
      </c>
      <c r="U556" s="567" t="s">
        <v>870</v>
      </c>
      <c r="V556" s="567" t="s">
        <v>870</v>
      </c>
      <c r="W556" s="567" t="s">
        <v>76</v>
      </c>
      <c r="X556" s="37"/>
      <c r="Y556" s="37"/>
      <c r="Z556" s="569" t="s">
        <v>78</v>
      </c>
      <c r="AA556" s="569" t="s">
        <v>78</v>
      </c>
      <c r="AB556" s="37"/>
      <c r="AC556" s="697">
        <v>15.712499999999999</v>
      </c>
      <c r="AD556" s="567" t="s">
        <v>84</v>
      </c>
      <c r="AE556" s="569" t="s">
        <v>73</v>
      </c>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c r="CA556" s="393"/>
      <c r="CB556" s="393"/>
      <c r="CC556" s="393"/>
      <c r="CD556" s="393"/>
      <c r="CE556" s="393"/>
      <c r="CF556" s="393"/>
      <c r="CG556" s="393"/>
      <c r="CH556" s="393"/>
      <c r="CI556" s="393"/>
      <c r="CJ556" s="390"/>
      <c r="CK556" s="390"/>
      <c r="CL556" s="390"/>
      <c r="CM556" s="390"/>
      <c r="CN556" s="390"/>
      <c r="CO556" s="390"/>
      <c r="CP556" s="390"/>
      <c r="CQ556" s="390"/>
      <c r="CR556" s="390"/>
      <c r="CS556" s="390"/>
      <c r="CT556" s="390"/>
      <c r="CU556" s="390"/>
      <c r="CV556" s="390"/>
      <c r="CW556" s="390"/>
      <c r="CX556" s="390"/>
      <c r="CY556" s="390"/>
      <c r="CZ556" s="390"/>
      <c r="DA556" s="390"/>
      <c r="DB556" s="390"/>
      <c r="DC556" s="390"/>
    </row>
    <row r="557" spans="1:107" s="303" customFormat="1" ht="56.25">
      <c r="A557" s="37"/>
      <c r="B557" s="692" t="s">
        <v>30</v>
      </c>
      <c r="C557" s="567" t="s">
        <v>1185</v>
      </c>
      <c r="D557" s="568" t="s">
        <v>1172</v>
      </c>
      <c r="E557" s="571">
        <v>2459.6914582638165</v>
      </c>
      <c r="F557" s="569" t="s">
        <v>27</v>
      </c>
      <c r="G557" s="570">
        <v>5.1757584804418277E-2</v>
      </c>
      <c r="H557" s="567" t="s">
        <v>110</v>
      </c>
      <c r="I557" s="693">
        <v>0.94971461823496628</v>
      </c>
      <c r="J557" s="567" t="s">
        <v>1097</v>
      </c>
      <c r="K557" s="567" t="s">
        <v>111</v>
      </c>
      <c r="L557" s="567" t="s">
        <v>960</v>
      </c>
      <c r="M557" s="567" t="s">
        <v>92</v>
      </c>
      <c r="N557" s="572">
        <v>14.988678884552201</v>
      </c>
      <c r="O557" s="572">
        <v>34.820920364700768</v>
      </c>
      <c r="P557" s="572">
        <v>12.2215381674041</v>
      </c>
      <c r="Q557" s="572">
        <v>19.925304430912107</v>
      </c>
      <c r="R557" s="37"/>
      <c r="S557" s="567" t="s">
        <v>69</v>
      </c>
      <c r="T557" s="567" t="s">
        <v>69</v>
      </c>
      <c r="U557" s="567" t="s">
        <v>69</v>
      </c>
      <c r="V557" s="567" t="s">
        <v>69</v>
      </c>
      <c r="W557" s="567" t="s">
        <v>76</v>
      </c>
      <c r="X557" s="37"/>
      <c r="Y557" s="37"/>
      <c r="Z557" s="569" t="s">
        <v>78</v>
      </c>
      <c r="AA557" s="569" t="s">
        <v>78</v>
      </c>
      <c r="AB557" s="37"/>
      <c r="AC557" s="697">
        <v>15.712499999999999</v>
      </c>
      <c r="AD557" s="567" t="s">
        <v>84</v>
      </c>
      <c r="AE557" s="569" t="s">
        <v>73</v>
      </c>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c r="CA557" s="393"/>
      <c r="CB557" s="393"/>
      <c r="CC557" s="393"/>
      <c r="CD557" s="393"/>
      <c r="CE557" s="393"/>
      <c r="CF557" s="393"/>
      <c r="CG557" s="393"/>
      <c r="CH557" s="393"/>
      <c r="CI557" s="393"/>
      <c r="CJ557" s="390"/>
      <c r="CK557" s="390"/>
      <c r="CL557" s="390"/>
      <c r="CM557" s="390"/>
      <c r="CN557" s="390"/>
      <c r="CO557" s="390"/>
      <c r="CP557" s="390"/>
      <c r="CQ557" s="390"/>
      <c r="CR557" s="390"/>
      <c r="CS557" s="390"/>
      <c r="CT557" s="390"/>
      <c r="CU557" s="390"/>
      <c r="CV557" s="390"/>
      <c r="CW557" s="390"/>
      <c r="CX557" s="390"/>
      <c r="CY557" s="390"/>
      <c r="CZ557" s="390"/>
      <c r="DA557" s="390"/>
      <c r="DB557" s="390"/>
      <c r="DC557" s="390"/>
    </row>
    <row r="558" spans="1:107" s="303" customFormat="1" ht="56.25">
      <c r="A558" s="37"/>
      <c r="B558" s="692" t="s">
        <v>30</v>
      </c>
      <c r="C558" s="567" t="s">
        <v>1185</v>
      </c>
      <c r="D558" s="568" t="s">
        <v>1172</v>
      </c>
      <c r="E558" s="571">
        <v>2459.6914582638165</v>
      </c>
      <c r="F558" s="569" t="s">
        <v>27</v>
      </c>
      <c r="G558" s="570">
        <v>5.1757584804418277E-2</v>
      </c>
      <c r="H558" s="567" t="s">
        <v>110</v>
      </c>
      <c r="I558" s="693">
        <v>0.94971461823496628</v>
      </c>
      <c r="J558" s="567" t="s">
        <v>1097</v>
      </c>
      <c r="K558" s="567" t="s">
        <v>111</v>
      </c>
      <c r="L558" s="567" t="s">
        <v>960</v>
      </c>
      <c r="M558" s="567" t="s">
        <v>93</v>
      </c>
      <c r="N558" s="572">
        <v>14.988678884552201</v>
      </c>
      <c r="O558" s="572">
        <v>39.657159304242548</v>
      </c>
      <c r="P558" s="572">
        <v>12.2215381674041</v>
      </c>
      <c r="Q558" s="572">
        <v>24.761543370453882</v>
      </c>
      <c r="R558" s="37"/>
      <c r="S558" s="567" t="s">
        <v>69</v>
      </c>
      <c r="T558" s="567" t="s">
        <v>69</v>
      </c>
      <c r="U558" s="567" t="s">
        <v>44</v>
      </c>
      <c r="V558" s="567" t="s">
        <v>75</v>
      </c>
      <c r="W558" s="567" t="s">
        <v>76</v>
      </c>
      <c r="X558" s="37"/>
      <c r="Y558" s="37"/>
      <c r="Z558" s="569" t="s">
        <v>78</v>
      </c>
      <c r="AA558" s="569" t="s">
        <v>78</v>
      </c>
      <c r="AB558" s="37"/>
      <c r="AC558" s="697">
        <v>15.712499999999999</v>
      </c>
      <c r="AD558" s="567" t="s">
        <v>84</v>
      </c>
      <c r="AE558" s="569" t="s">
        <v>73</v>
      </c>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c r="CA558" s="393"/>
      <c r="CB558" s="393"/>
      <c r="CC558" s="393"/>
      <c r="CD558" s="393"/>
      <c r="CE558" s="393"/>
      <c r="CF558" s="393"/>
      <c r="CG558" s="393"/>
      <c r="CH558" s="393"/>
      <c r="CI558" s="393"/>
      <c r="CJ558" s="390"/>
      <c r="CK558" s="390"/>
      <c r="CL558" s="390"/>
      <c r="CM558" s="390"/>
      <c r="CN558" s="390"/>
      <c r="CO558" s="390"/>
      <c r="CP558" s="390"/>
      <c r="CQ558" s="390"/>
      <c r="CR558" s="390"/>
      <c r="CS558" s="390"/>
      <c r="CT558" s="390"/>
      <c r="CU558" s="390"/>
      <c r="CV558" s="390"/>
      <c r="CW558" s="390"/>
      <c r="CX558" s="390"/>
      <c r="CY558" s="390"/>
      <c r="CZ558" s="390"/>
      <c r="DA558" s="390"/>
      <c r="DB558" s="390"/>
      <c r="DC558" s="390"/>
    </row>
    <row r="559" spans="1:107" s="303" customFormat="1" ht="45">
      <c r="A559" s="37"/>
      <c r="B559" s="692" t="s">
        <v>30</v>
      </c>
      <c r="C559" s="567" t="s">
        <v>1185</v>
      </c>
      <c r="D559" s="568" t="s">
        <v>1172</v>
      </c>
      <c r="E559" s="571">
        <v>2459.6914582638165</v>
      </c>
      <c r="F559" s="569" t="s">
        <v>1245</v>
      </c>
      <c r="G559" s="570">
        <v>0.67727715656069643</v>
      </c>
      <c r="H559" s="567" t="s">
        <v>110</v>
      </c>
      <c r="I559" s="693">
        <v>0.33050057310858838</v>
      </c>
      <c r="J559" s="567" t="s">
        <v>994</v>
      </c>
      <c r="K559" s="567" t="s">
        <v>111</v>
      </c>
      <c r="L559" s="567" t="s">
        <v>1270</v>
      </c>
      <c r="M559" s="567" t="s">
        <v>88</v>
      </c>
      <c r="N559" s="572">
        <v>718.44752025376283</v>
      </c>
      <c r="O559" s="572">
        <v>96.901822568826631</v>
      </c>
      <c r="P559" s="572">
        <v>671.96068742855152</v>
      </c>
      <c r="Q559" s="572">
        <v>96.901822568826631</v>
      </c>
      <c r="R559" s="37"/>
      <c r="S559" s="567" t="s">
        <v>44</v>
      </c>
      <c r="T559" s="567" t="s">
        <v>63</v>
      </c>
      <c r="U559" s="567" t="s">
        <v>69</v>
      </c>
      <c r="V559" s="567" t="s">
        <v>69</v>
      </c>
      <c r="W559" s="567" t="s">
        <v>76</v>
      </c>
      <c r="X559" s="37"/>
      <c r="Y559" s="37"/>
      <c r="Z559" s="569" t="s">
        <v>78</v>
      </c>
      <c r="AA559" s="569" t="s">
        <v>78</v>
      </c>
      <c r="AB559" s="37"/>
      <c r="AC559" s="697">
        <v>15.712499999999999</v>
      </c>
      <c r="AD559" s="567" t="s">
        <v>84</v>
      </c>
      <c r="AE559" s="569" t="s">
        <v>73</v>
      </c>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c r="CA559" s="393"/>
      <c r="CB559" s="393"/>
      <c r="CC559" s="393"/>
      <c r="CD559" s="393"/>
      <c r="CE559" s="393"/>
      <c r="CF559" s="393"/>
      <c r="CG559" s="393"/>
      <c r="CH559" s="393"/>
      <c r="CI559" s="393"/>
      <c r="CJ559" s="390"/>
      <c r="CK559" s="390"/>
      <c r="CL559" s="390"/>
      <c r="CM559" s="390"/>
      <c r="CN559" s="390"/>
      <c r="CO559" s="390"/>
      <c r="CP559" s="390"/>
      <c r="CQ559" s="390"/>
      <c r="CR559" s="390"/>
      <c r="CS559" s="390"/>
      <c r="CT559" s="390"/>
      <c r="CU559" s="390"/>
      <c r="CV559" s="390"/>
      <c r="CW559" s="390"/>
      <c r="CX559" s="390"/>
      <c r="CY559" s="390"/>
      <c r="CZ559" s="390"/>
      <c r="DA559" s="390"/>
      <c r="DB559" s="390"/>
      <c r="DC559" s="390"/>
    </row>
    <row r="560" spans="1:107" s="303" customFormat="1" ht="45">
      <c r="A560" s="37"/>
      <c r="B560" s="692" t="s">
        <v>30</v>
      </c>
      <c r="C560" s="567" t="s">
        <v>1185</v>
      </c>
      <c r="D560" s="568" t="s">
        <v>1172</v>
      </c>
      <c r="E560" s="571">
        <v>2459.6914582638165</v>
      </c>
      <c r="F560" s="569" t="s">
        <v>1245</v>
      </c>
      <c r="G560" s="570">
        <v>0.67727715656069643</v>
      </c>
      <c r="H560" s="567" t="s">
        <v>110</v>
      </c>
      <c r="I560" s="693">
        <v>0.33050057310858838</v>
      </c>
      <c r="J560" s="567" t="s">
        <v>994</v>
      </c>
      <c r="K560" s="567" t="s">
        <v>111</v>
      </c>
      <c r="L560" s="567" t="s">
        <v>1270</v>
      </c>
      <c r="M560" s="567" t="s">
        <v>90</v>
      </c>
      <c r="N560" s="572">
        <v>718.44752025376283</v>
      </c>
      <c r="O560" s="572" t="s">
        <v>871</v>
      </c>
      <c r="P560" s="572">
        <v>671.96068742855152</v>
      </c>
      <c r="Q560" s="572" t="s">
        <v>871</v>
      </c>
      <c r="R560" s="37"/>
      <c r="S560" s="567" t="s">
        <v>44</v>
      </c>
      <c r="T560" s="567" t="s">
        <v>63</v>
      </c>
      <c r="U560" s="567" t="s">
        <v>69</v>
      </c>
      <c r="V560" s="567" t="s">
        <v>69</v>
      </c>
      <c r="W560" s="567" t="s">
        <v>76</v>
      </c>
      <c r="X560" s="37"/>
      <c r="Y560" s="37"/>
      <c r="Z560" s="569" t="s">
        <v>78</v>
      </c>
      <c r="AA560" s="569" t="s">
        <v>78</v>
      </c>
      <c r="AB560" s="37"/>
      <c r="AC560" s="697">
        <v>15.712499999999999</v>
      </c>
      <c r="AD560" s="567" t="s">
        <v>84</v>
      </c>
      <c r="AE560" s="569" t="s">
        <v>73</v>
      </c>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c r="CA560" s="393"/>
      <c r="CB560" s="393"/>
      <c r="CC560" s="393"/>
      <c r="CD560" s="393"/>
      <c r="CE560" s="393"/>
      <c r="CF560" s="393"/>
      <c r="CG560" s="393"/>
      <c r="CH560" s="393"/>
      <c r="CI560" s="393"/>
      <c r="CJ560" s="390"/>
      <c r="CK560" s="390"/>
      <c r="CL560" s="390"/>
      <c r="CM560" s="390"/>
      <c r="CN560" s="390"/>
      <c r="CO560" s="390"/>
      <c r="CP560" s="390"/>
      <c r="CQ560" s="390"/>
      <c r="CR560" s="390"/>
      <c r="CS560" s="390"/>
      <c r="CT560" s="390"/>
      <c r="CU560" s="390"/>
      <c r="CV560" s="390"/>
      <c r="CW560" s="390"/>
      <c r="CX560" s="390"/>
      <c r="CY560" s="390"/>
      <c r="CZ560" s="390"/>
      <c r="DA560" s="390"/>
      <c r="DB560" s="390"/>
      <c r="DC560" s="390"/>
    </row>
    <row r="561" spans="1:107" s="303" customFormat="1" ht="45">
      <c r="A561" s="37"/>
      <c r="B561" s="692" t="s">
        <v>30</v>
      </c>
      <c r="C561" s="567" t="s">
        <v>1185</v>
      </c>
      <c r="D561" s="568" t="s">
        <v>1172</v>
      </c>
      <c r="E561" s="571">
        <v>2459.6914582638165</v>
      </c>
      <c r="F561" s="569" t="s">
        <v>1245</v>
      </c>
      <c r="G561" s="570">
        <v>0.67727715656069643</v>
      </c>
      <c r="H561" s="567" t="s">
        <v>110</v>
      </c>
      <c r="I561" s="693">
        <v>0.33050057310858838</v>
      </c>
      <c r="J561" s="567" t="s">
        <v>994</v>
      </c>
      <c r="K561" s="567" t="s">
        <v>111</v>
      </c>
      <c r="L561" s="567" t="s">
        <v>1270</v>
      </c>
      <c r="M561" s="567" t="s">
        <v>91</v>
      </c>
      <c r="N561" s="572">
        <v>718.44752025376283</v>
      </c>
      <c r="O561" s="572" t="s">
        <v>870</v>
      </c>
      <c r="P561" s="572">
        <v>671.96068742855152</v>
      </c>
      <c r="Q561" s="572" t="s">
        <v>870</v>
      </c>
      <c r="R561" s="37"/>
      <c r="S561" s="567" t="s">
        <v>44</v>
      </c>
      <c r="T561" s="567" t="s">
        <v>63</v>
      </c>
      <c r="U561" s="567" t="s">
        <v>870</v>
      </c>
      <c r="V561" s="567" t="s">
        <v>870</v>
      </c>
      <c r="W561" s="567" t="s">
        <v>76</v>
      </c>
      <c r="X561" s="37"/>
      <c r="Y561" s="37"/>
      <c r="Z561" s="569" t="s">
        <v>78</v>
      </c>
      <c r="AA561" s="569" t="s">
        <v>78</v>
      </c>
      <c r="AB561" s="37"/>
      <c r="AC561" s="697">
        <v>15.712499999999999</v>
      </c>
      <c r="AD561" s="567" t="s">
        <v>84</v>
      </c>
      <c r="AE561" s="569" t="s">
        <v>73</v>
      </c>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c r="CA561" s="393"/>
      <c r="CB561" s="393"/>
      <c r="CC561" s="393"/>
      <c r="CD561" s="393"/>
      <c r="CE561" s="393"/>
      <c r="CF561" s="393"/>
      <c r="CG561" s="393"/>
      <c r="CH561" s="393"/>
      <c r="CI561" s="393"/>
      <c r="CJ561" s="390"/>
      <c r="CK561" s="390"/>
      <c r="CL561" s="390"/>
      <c r="CM561" s="390"/>
      <c r="CN561" s="390"/>
      <c r="CO561" s="390"/>
      <c r="CP561" s="390"/>
      <c r="CQ561" s="390"/>
      <c r="CR561" s="390"/>
      <c r="CS561" s="390"/>
      <c r="CT561" s="390"/>
      <c r="CU561" s="390"/>
      <c r="CV561" s="390"/>
      <c r="CW561" s="390"/>
      <c r="CX561" s="390"/>
      <c r="CY561" s="390"/>
      <c r="CZ561" s="390"/>
      <c r="DA561" s="390"/>
      <c r="DB561" s="390"/>
      <c r="DC561" s="390"/>
    </row>
    <row r="562" spans="1:107" s="303" customFormat="1" ht="45">
      <c r="A562" s="37"/>
      <c r="B562" s="692" t="s">
        <v>30</v>
      </c>
      <c r="C562" s="567" t="s">
        <v>1185</v>
      </c>
      <c r="D562" s="568" t="s">
        <v>1172</v>
      </c>
      <c r="E562" s="571">
        <v>2459.6914582638165</v>
      </c>
      <c r="F562" s="569" t="s">
        <v>1245</v>
      </c>
      <c r="G562" s="570">
        <v>0.67727715656069643</v>
      </c>
      <c r="H562" s="567" t="s">
        <v>110</v>
      </c>
      <c r="I562" s="693">
        <v>0.33050057310858838</v>
      </c>
      <c r="J562" s="567" t="s">
        <v>994</v>
      </c>
      <c r="K562" s="567" t="s">
        <v>111</v>
      </c>
      <c r="L562" s="567" t="s">
        <v>1270</v>
      </c>
      <c r="M562" s="567" t="s">
        <v>92</v>
      </c>
      <c r="N562" s="572">
        <v>718.44752025376283</v>
      </c>
      <c r="O562" s="572">
        <v>158.56661874898904</v>
      </c>
      <c r="P562" s="572">
        <v>671.96068742855152</v>
      </c>
      <c r="Q562" s="572">
        <v>90.735342950810406</v>
      </c>
      <c r="R562" s="37"/>
      <c r="S562" s="567" t="s">
        <v>44</v>
      </c>
      <c r="T562" s="567" t="s">
        <v>63</v>
      </c>
      <c r="U562" s="567" t="s">
        <v>69</v>
      </c>
      <c r="V562" s="567" t="s">
        <v>69</v>
      </c>
      <c r="W562" s="567" t="s">
        <v>76</v>
      </c>
      <c r="X562" s="37"/>
      <c r="Y562" s="37"/>
      <c r="Z562" s="569" t="s">
        <v>78</v>
      </c>
      <c r="AA562" s="569" t="s">
        <v>78</v>
      </c>
      <c r="AB562" s="37"/>
      <c r="AC562" s="697">
        <v>15.712499999999999</v>
      </c>
      <c r="AD562" s="567" t="s">
        <v>84</v>
      </c>
      <c r="AE562" s="569" t="s">
        <v>73</v>
      </c>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c r="CA562" s="393"/>
      <c r="CB562" s="393"/>
      <c r="CC562" s="393"/>
      <c r="CD562" s="393"/>
      <c r="CE562" s="393"/>
      <c r="CF562" s="393"/>
      <c r="CG562" s="393"/>
      <c r="CH562" s="393"/>
      <c r="CI562" s="393"/>
      <c r="CJ562" s="390"/>
      <c r="CK562" s="390"/>
      <c r="CL562" s="390"/>
      <c r="CM562" s="390"/>
      <c r="CN562" s="390"/>
      <c r="CO562" s="390"/>
      <c r="CP562" s="390"/>
      <c r="CQ562" s="390"/>
      <c r="CR562" s="390"/>
      <c r="CS562" s="390"/>
      <c r="CT562" s="390"/>
      <c r="CU562" s="390"/>
      <c r="CV562" s="390"/>
      <c r="CW562" s="390"/>
      <c r="CX562" s="390"/>
      <c r="CY562" s="390"/>
      <c r="CZ562" s="390"/>
      <c r="DA562" s="390"/>
      <c r="DB562" s="390"/>
      <c r="DC562" s="390"/>
    </row>
    <row r="563" spans="1:107" s="303" customFormat="1" ht="45">
      <c r="A563" s="37"/>
      <c r="B563" s="692" t="s">
        <v>30</v>
      </c>
      <c r="C563" s="567" t="s">
        <v>1185</v>
      </c>
      <c r="D563" s="568" t="s">
        <v>1172</v>
      </c>
      <c r="E563" s="571">
        <v>2459.6914582638165</v>
      </c>
      <c r="F563" s="569" t="s">
        <v>1245</v>
      </c>
      <c r="G563" s="570">
        <v>0.67727715656069643</v>
      </c>
      <c r="H563" s="567" t="s">
        <v>110</v>
      </c>
      <c r="I563" s="693">
        <v>0.33050057310858838</v>
      </c>
      <c r="J563" s="567" t="s">
        <v>994</v>
      </c>
      <c r="K563" s="567" t="s">
        <v>111</v>
      </c>
      <c r="L563" s="567" t="s">
        <v>1270</v>
      </c>
      <c r="M563" s="567" t="s">
        <v>93</v>
      </c>
      <c r="N563" s="572">
        <v>718.44752025376283</v>
      </c>
      <c r="O563" s="572">
        <v>180.5897602419042</v>
      </c>
      <c r="P563" s="572">
        <v>671.96068742855152</v>
      </c>
      <c r="Q563" s="572">
        <v>112.75848444372555</v>
      </c>
      <c r="R563" s="37"/>
      <c r="S563" s="567" t="s">
        <v>44</v>
      </c>
      <c r="T563" s="567" t="s">
        <v>63</v>
      </c>
      <c r="U563" s="567" t="s">
        <v>44</v>
      </c>
      <c r="V563" s="567" t="s">
        <v>75</v>
      </c>
      <c r="W563" s="567" t="s">
        <v>76</v>
      </c>
      <c r="X563" s="37"/>
      <c r="Y563" s="37"/>
      <c r="Z563" s="569" t="s">
        <v>78</v>
      </c>
      <c r="AA563" s="569" t="s">
        <v>78</v>
      </c>
      <c r="AB563" s="37"/>
      <c r="AC563" s="697">
        <v>15.712499999999999</v>
      </c>
      <c r="AD563" s="567" t="s">
        <v>84</v>
      </c>
      <c r="AE563" s="569" t="s">
        <v>73</v>
      </c>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c r="CA563" s="393"/>
      <c r="CB563" s="393"/>
      <c r="CC563" s="393"/>
      <c r="CD563" s="393"/>
      <c r="CE563" s="393"/>
      <c r="CF563" s="393"/>
      <c r="CG563" s="393"/>
      <c r="CH563" s="393"/>
      <c r="CI563" s="393"/>
      <c r="CJ563" s="390"/>
      <c r="CK563" s="390"/>
      <c r="CL563" s="390"/>
      <c r="CM563" s="390"/>
      <c r="CN563" s="390"/>
      <c r="CO563" s="390"/>
      <c r="CP563" s="390"/>
      <c r="CQ563" s="390"/>
      <c r="CR563" s="390"/>
      <c r="CS563" s="390"/>
      <c r="CT563" s="390"/>
      <c r="CU563" s="390"/>
      <c r="CV563" s="390"/>
      <c r="CW563" s="390"/>
      <c r="CX563" s="390"/>
      <c r="CY563" s="390"/>
      <c r="CZ563" s="390"/>
      <c r="DA563" s="390"/>
      <c r="DB563" s="390"/>
      <c r="DC563" s="390"/>
    </row>
    <row r="564" spans="1:107" s="303" customFormat="1" ht="45">
      <c r="A564" s="37"/>
      <c r="B564" s="692" t="s">
        <v>30</v>
      </c>
      <c r="C564" s="567" t="s">
        <v>1185</v>
      </c>
      <c r="D564" s="568" t="s">
        <v>1172</v>
      </c>
      <c r="E564" s="571">
        <v>2459.6914582638165</v>
      </c>
      <c r="F564" s="569" t="s">
        <v>1245</v>
      </c>
      <c r="G564" s="570">
        <v>0.67727715656069643</v>
      </c>
      <c r="H564" s="567" t="s">
        <v>110</v>
      </c>
      <c r="I564" s="693">
        <v>0.33050057310858838</v>
      </c>
      <c r="J564" s="567" t="s">
        <v>994</v>
      </c>
      <c r="K564" s="567" t="s">
        <v>111</v>
      </c>
      <c r="L564" s="567" t="s">
        <v>101</v>
      </c>
      <c r="M564" s="567" t="s">
        <v>88</v>
      </c>
      <c r="N564" s="572">
        <v>182.48540012508693</v>
      </c>
      <c r="O564" s="572">
        <v>96.901822568826631</v>
      </c>
      <c r="P564" s="572">
        <v>182.48540012508693</v>
      </c>
      <c r="Q564" s="572">
        <v>96.901822568826631</v>
      </c>
      <c r="R564" s="37"/>
      <c r="S564" s="567" t="s">
        <v>68</v>
      </c>
      <c r="T564" s="567" t="s">
        <v>63</v>
      </c>
      <c r="U564" s="567" t="s">
        <v>69</v>
      </c>
      <c r="V564" s="567" t="s">
        <v>69</v>
      </c>
      <c r="W564" s="567" t="s">
        <v>76</v>
      </c>
      <c r="X564" s="37"/>
      <c r="Y564" s="37"/>
      <c r="Z564" s="569" t="s">
        <v>78</v>
      </c>
      <c r="AA564" s="569" t="s">
        <v>78</v>
      </c>
      <c r="AB564" s="37"/>
      <c r="AC564" s="697">
        <v>15.712499999999999</v>
      </c>
      <c r="AD564" s="567" t="s">
        <v>84</v>
      </c>
      <c r="AE564" s="569" t="s">
        <v>73</v>
      </c>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c r="CA564" s="393"/>
      <c r="CB564" s="393"/>
      <c r="CC564" s="393"/>
      <c r="CD564" s="393"/>
      <c r="CE564" s="393"/>
      <c r="CF564" s="393"/>
      <c r="CG564" s="393"/>
      <c r="CH564" s="393"/>
      <c r="CI564" s="393"/>
      <c r="CJ564" s="390"/>
      <c r="CK564" s="390"/>
      <c r="CL564" s="390"/>
      <c r="CM564" s="390"/>
      <c r="CN564" s="390"/>
      <c r="CO564" s="390"/>
      <c r="CP564" s="390"/>
      <c r="CQ564" s="390"/>
      <c r="CR564" s="390"/>
      <c r="CS564" s="390"/>
      <c r="CT564" s="390"/>
      <c r="CU564" s="390"/>
      <c r="CV564" s="390"/>
      <c r="CW564" s="390"/>
      <c r="CX564" s="390"/>
      <c r="CY564" s="390"/>
      <c r="CZ564" s="390"/>
      <c r="DA564" s="390"/>
      <c r="DB564" s="390"/>
      <c r="DC564" s="390"/>
    </row>
    <row r="565" spans="1:107" s="303" customFormat="1" ht="45">
      <c r="A565" s="37"/>
      <c r="B565" s="692" t="s">
        <v>30</v>
      </c>
      <c r="C565" s="567" t="s">
        <v>1185</v>
      </c>
      <c r="D565" s="568" t="s">
        <v>1172</v>
      </c>
      <c r="E565" s="571">
        <v>2459.6914582638165</v>
      </c>
      <c r="F565" s="569" t="s">
        <v>1245</v>
      </c>
      <c r="G565" s="570">
        <v>0.67727715656069643</v>
      </c>
      <c r="H565" s="567" t="s">
        <v>110</v>
      </c>
      <c r="I565" s="693">
        <v>0.33050057310858838</v>
      </c>
      <c r="J565" s="567" t="s">
        <v>994</v>
      </c>
      <c r="K565" s="567" t="s">
        <v>111</v>
      </c>
      <c r="L565" s="567" t="s">
        <v>101</v>
      </c>
      <c r="M565" s="567" t="s">
        <v>90</v>
      </c>
      <c r="N565" s="572">
        <v>182.48540012508693</v>
      </c>
      <c r="O565" s="572" t="s">
        <v>1049</v>
      </c>
      <c r="P565" s="572">
        <v>182.48540012508693</v>
      </c>
      <c r="Q565" s="572" t="s">
        <v>871</v>
      </c>
      <c r="R565" s="37"/>
      <c r="S565" s="567" t="s">
        <v>68</v>
      </c>
      <c r="T565" s="567" t="s">
        <v>63</v>
      </c>
      <c r="U565" s="567" t="s">
        <v>69</v>
      </c>
      <c r="V565" s="567" t="s">
        <v>69</v>
      </c>
      <c r="W565" s="567" t="s">
        <v>76</v>
      </c>
      <c r="X565" s="37"/>
      <c r="Y565" s="37"/>
      <c r="Z565" s="569" t="s">
        <v>78</v>
      </c>
      <c r="AA565" s="569" t="s">
        <v>78</v>
      </c>
      <c r="AB565" s="37"/>
      <c r="AC565" s="697">
        <v>15.712499999999999</v>
      </c>
      <c r="AD565" s="567" t="s">
        <v>84</v>
      </c>
      <c r="AE565" s="569" t="s">
        <v>73</v>
      </c>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c r="CA565" s="393"/>
      <c r="CB565" s="393"/>
      <c r="CC565" s="393"/>
      <c r="CD565" s="393"/>
      <c r="CE565" s="393"/>
      <c r="CF565" s="393"/>
      <c r="CG565" s="393"/>
      <c r="CH565" s="393"/>
      <c r="CI565" s="393"/>
      <c r="CJ565" s="390"/>
      <c r="CK565" s="390"/>
      <c r="CL565" s="390"/>
      <c r="CM565" s="390"/>
      <c r="CN565" s="390"/>
      <c r="CO565" s="390"/>
      <c r="CP565" s="390"/>
      <c r="CQ565" s="390"/>
      <c r="CR565" s="390"/>
      <c r="CS565" s="390"/>
      <c r="CT565" s="390"/>
      <c r="CU565" s="390"/>
      <c r="CV565" s="390"/>
      <c r="CW565" s="390"/>
      <c r="CX565" s="390"/>
      <c r="CY565" s="390"/>
      <c r="CZ565" s="390"/>
      <c r="DA565" s="390"/>
      <c r="DB565" s="390"/>
      <c r="DC565" s="390"/>
    </row>
    <row r="566" spans="1:107" s="303" customFormat="1" ht="45">
      <c r="A566" s="37"/>
      <c r="B566" s="692" t="s">
        <v>30</v>
      </c>
      <c r="C566" s="567" t="s">
        <v>1185</v>
      </c>
      <c r="D566" s="568" t="s">
        <v>1172</v>
      </c>
      <c r="E566" s="571">
        <v>2459.6914582638165</v>
      </c>
      <c r="F566" s="569" t="s">
        <v>1245</v>
      </c>
      <c r="G566" s="570">
        <v>0.67727715656069643</v>
      </c>
      <c r="H566" s="567" t="s">
        <v>110</v>
      </c>
      <c r="I566" s="693">
        <v>0.33050057310858838</v>
      </c>
      <c r="J566" s="567" t="s">
        <v>994</v>
      </c>
      <c r="K566" s="567" t="s">
        <v>111</v>
      </c>
      <c r="L566" s="567" t="s">
        <v>101</v>
      </c>
      <c r="M566" s="567" t="s">
        <v>91</v>
      </c>
      <c r="N566" s="572">
        <v>182.48540012508693</v>
      </c>
      <c r="O566" s="572" t="s">
        <v>870</v>
      </c>
      <c r="P566" s="572">
        <v>182.48540012508693</v>
      </c>
      <c r="Q566" s="572" t="s">
        <v>870</v>
      </c>
      <c r="R566" s="37"/>
      <c r="S566" s="567" t="s">
        <v>68</v>
      </c>
      <c r="T566" s="567" t="s">
        <v>63</v>
      </c>
      <c r="U566" s="567" t="s">
        <v>69</v>
      </c>
      <c r="V566" s="567" t="s">
        <v>69</v>
      </c>
      <c r="W566" s="567" t="s">
        <v>76</v>
      </c>
      <c r="X566" s="37"/>
      <c r="Y566" s="37"/>
      <c r="Z566" s="569" t="s">
        <v>78</v>
      </c>
      <c r="AA566" s="569" t="s">
        <v>78</v>
      </c>
      <c r="AB566" s="37"/>
      <c r="AC566" s="697">
        <v>15.712499999999999</v>
      </c>
      <c r="AD566" s="567" t="s">
        <v>84</v>
      </c>
      <c r="AE566" s="569" t="s">
        <v>73</v>
      </c>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c r="CA566" s="393"/>
      <c r="CB566" s="393"/>
      <c r="CC566" s="393"/>
      <c r="CD566" s="393"/>
      <c r="CE566" s="393"/>
      <c r="CF566" s="393"/>
      <c r="CG566" s="393"/>
      <c r="CH566" s="393"/>
      <c r="CI566" s="393"/>
      <c r="CJ566" s="390"/>
      <c r="CK566" s="390"/>
      <c r="CL566" s="390"/>
      <c r="CM566" s="390"/>
      <c r="CN566" s="390"/>
      <c r="CO566" s="390"/>
      <c r="CP566" s="390"/>
      <c r="CQ566" s="390"/>
      <c r="CR566" s="390"/>
      <c r="CS566" s="390"/>
      <c r="CT566" s="390"/>
      <c r="CU566" s="390"/>
      <c r="CV566" s="390"/>
      <c r="CW566" s="390"/>
      <c r="CX566" s="390"/>
      <c r="CY566" s="390"/>
      <c r="CZ566" s="390"/>
      <c r="DA566" s="390"/>
      <c r="DB566" s="390"/>
      <c r="DC566" s="390"/>
    </row>
    <row r="567" spans="1:107" s="303" customFormat="1" ht="45">
      <c r="A567" s="37"/>
      <c r="B567" s="692" t="s">
        <v>30</v>
      </c>
      <c r="C567" s="567" t="s">
        <v>1185</v>
      </c>
      <c r="D567" s="568" t="s">
        <v>1172</v>
      </c>
      <c r="E567" s="571">
        <v>2459.6914582638165</v>
      </c>
      <c r="F567" s="569" t="s">
        <v>1245</v>
      </c>
      <c r="G567" s="570">
        <v>0.67727715656069643</v>
      </c>
      <c r="H567" s="567" t="s">
        <v>110</v>
      </c>
      <c r="I567" s="693">
        <v>0.33050057310858838</v>
      </c>
      <c r="J567" s="567" t="s">
        <v>994</v>
      </c>
      <c r="K567" s="567" t="s">
        <v>111</v>
      </c>
      <c r="L567" s="567" t="s">
        <v>101</v>
      </c>
      <c r="M567" s="567" t="s">
        <v>92</v>
      </c>
      <c r="N567" s="572">
        <v>182.48540012508693</v>
      </c>
      <c r="O567" s="572">
        <v>158.56661874898904</v>
      </c>
      <c r="P567" s="572">
        <v>182.48540012508693</v>
      </c>
      <c r="Q567" s="572">
        <v>90.735342950810406</v>
      </c>
      <c r="R567" s="37"/>
      <c r="S567" s="567" t="s">
        <v>68</v>
      </c>
      <c r="T567" s="567" t="s">
        <v>63</v>
      </c>
      <c r="U567" s="567" t="s">
        <v>69</v>
      </c>
      <c r="V567" s="567" t="s">
        <v>69</v>
      </c>
      <c r="W567" s="567" t="s">
        <v>76</v>
      </c>
      <c r="X567" s="37"/>
      <c r="Y567" s="37"/>
      <c r="Z567" s="569" t="s">
        <v>78</v>
      </c>
      <c r="AA567" s="569" t="s">
        <v>78</v>
      </c>
      <c r="AB567" s="37"/>
      <c r="AC567" s="697">
        <v>15.712499999999999</v>
      </c>
      <c r="AD567" s="567" t="s">
        <v>84</v>
      </c>
      <c r="AE567" s="569" t="s">
        <v>73</v>
      </c>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c r="CA567" s="393"/>
      <c r="CB567" s="393"/>
      <c r="CC567" s="393"/>
      <c r="CD567" s="393"/>
      <c r="CE567" s="393"/>
      <c r="CF567" s="393"/>
      <c r="CG567" s="393"/>
      <c r="CH567" s="393"/>
      <c r="CI567" s="393"/>
      <c r="CJ567" s="390"/>
      <c r="CK567" s="390"/>
      <c r="CL567" s="390"/>
      <c r="CM567" s="390"/>
      <c r="CN567" s="390"/>
      <c r="CO567" s="390"/>
      <c r="CP567" s="390"/>
      <c r="CQ567" s="390"/>
      <c r="CR567" s="390"/>
      <c r="CS567" s="390"/>
      <c r="CT567" s="390"/>
      <c r="CU567" s="390"/>
      <c r="CV567" s="390"/>
      <c r="CW567" s="390"/>
      <c r="CX567" s="390"/>
      <c r="CY567" s="390"/>
      <c r="CZ567" s="390"/>
      <c r="DA567" s="390"/>
      <c r="DB567" s="390"/>
      <c r="DC567" s="390"/>
    </row>
    <row r="568" spans="1:107" s="303" customFormat="1" ht="45">
      <c r="A568" s="37"/>
      <c r="B568" s="692" t="s">
        <v>30</v>
      </c>
      <c r="C568" s="567" t="s">
        <v>1185</v>
      </c>
      <c r="D568" s="568" t="s">
        <v>1172</v>
      </c>
      <c r="E568" s="571">
        <v>2459.6914582638165</v>
      </c>
      <c r="F568" s="569" t="s">
        <v>1245</v>
      </c>
      <c r="G568" s="570">
        <v>0.67727715656069643</v>
      </c>
      <c r="H568" s="567" t="s">
        <v>110</v>
      </c>
      <c r="I568" s="693">
        <v>0.33050057310858838</v>
      </c>
      <c r="J568" s="567" t="s">
        <v>994</v>
      </c>
      <c r="K568" s="567" t="s">
        <v>111</v>
      </c>
      <c r="L568" s="567" t="s">
        <v>101</v>
      </c>
      <c r="M568" s="567" t="s">
        <v>93</v>
      </c>
      <c r="N568" s="572">
        <v>182.48540012508693</v>
      </c>
      <c r="O568" s="572">
        <v>180.5897602419042</v>
      </c>
      <c r="P568" s="572">
        <v>182.48540012508693</v>
      </c>
      <c r="Q568" s="572">
        <v>112.75848444372555</v>
      </c>
      <c r="R568" s="37"/>
      <c r="S568" s="567" t="s">
        <v>68</v>
      </c>
      <c r="T568" s="567" t="s">
        <v>63</v>
      </c>
      <c r="U568" s="567" t="s">
        <v>69</v>
      </c>
      <c r="V568" s="567" t="s">
        <v>69</v>
      </c>
      <c r="W568" s="567" t="s">
        <v>76</v>
      </c>
      <c r="X568" s="37"/>
      <c r="Y568" s="37"/>
      <c r="Z568" s="569" t="s">
        <v>78</v>
      </c>
      <c r="AA568" s="569" t="s">
        <v>78</v>
      </c>
      <c r="AB568" s="37"/>
      <c r="AC568" s="697">
        <v>15.712499999999999</v>
      </c>
      <c r="AD568" s="567" t="s">
        <v>84</v>
      </c>
      <c r="AE568" s="569" t="s">
        <v>73</v>
      </c>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c r="CA568" s="393"/>
      <c r="CB568" s="393"/>
      <c r="CC568" s="393"/>
      <c r="CD568" s="393"/>
      <c r="CE568" s="393"/>
      <c r="CF568" s="393"/>
      <c r="CG568" s="393"/>
      <c r="CH568" s="393"/>
      <c r="CI568" s="393"/>
      <c r="CJ568" s="390"/>
      <c r="CK568" s="390"/>
      <c r="CL568" s="390"/>
      <c r="CM568" s="390"/>
      <c r="CN568" s="390"/>
      <c r="CO568" s="390"/>
      <c r="CP568" s="390"/>
      <c r="CQ568" s="390"/>
      <c r="CR568" s="390"/>
      <c r="CS568" s="390"/>
      <c r="CT568" s="390"/>
      <c r="CU568" s="390"/>
      <c r="CV568" s="390"/>
      <c r="CW568" s="390"/>
      <c r="CX568" s="390"/>
      <c r="CY568" s="390"/>
      <c r="CZ568" s="390"/>
      <c r="DA568" s="390"/>
      <c r="DB568" s="390"/>
      <c r="DC568" s="390"/>
    </row>
    <row r="569" spans="1:107" s="303" customFormat="1" ht="45">
      <c r="A569" s="37"/>
      <c r="B569" s="692" t="s">
        <v>30</v>
      </c>
      <c r="C569" s="567" t="s">
        <v>1185</v>
      </c>
      <c r="D569" s="568" t="s">
        <v>1172</v>
      </c>
      <c r="E569" s="571">
        <v>2459.6914582638165</v>
      </c>
      <c r="F569" s="569" t="s">
        <v>1256</v>
      </c>
      <c r="G569" s="570">
        <v>0.13764237591009837</v>
      </c>
      <c r="H569" s="567" t="s">
        <v>110</v>
      </c>
      <c r="I569" s="693">
        <v>0.97114627565951095</v>
      </c>
      <c r="J569" s="569" t="s">
        <v>32</v>
      </c>
      <c r="K569" s="567" t="s">
        <v>111</v>
      </c>
      <c r="L569" s="567" t="s">
        <v>1270</v>
      </c>
      <c r="M569" s="567" t="s">
        <v>88</v>
      </c>
      <c r="N569" s="572">
        <v>198.91383831205064</v>
      </c>
      <c r="O569" s="572">
        <v>57.866885748303311</v>
      </c>
      <c r="P569" s="572">
        <v>198.91383831205064</v>
      </c>
      <c r="Q569" s="572">
        <v>57.866885748303311</v>
      </c>
      <c r="R569" s="37"/>
      <c r="S569" s="567" t="s">
        <v>44</v>
      </c>
      <c r="T569" s="567" t="s">
        <v>63</v>
      </c>
      <c r="U569" s="567" t="s">
        <v>69</v>
      </c>
      <c r="V569" s="567" t="s">
        <v>69</v>
      </c>
      <c r="W569" s="567" t="s">
        <v>76</v>
      </c>
      <c r="X569" s="37"/>
      <c r="Y569" s="37"/>
      <c r="Z569" s="569" t="s">
        <v>78</v>
      </c>
      <c r="AA569" s="569" t="s">
        <v>78</v>
      </c>
      <c r="AB569" s="37"/>
      <c r="AC569" s="697">
        <v>15.712499999999999</v>
      </c>
      <c r="AD569" s="567" t="s">
        <v>84</v>
      </c>
      <c r="AE569" s="569" t="s">
        <v>73</v>
      </c>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c r="CA569" s="393"/>
      <c r="CB569" s="393"/>
      <c r="CC569" s="393"/>
      <c r="CD569" s="393"/>
      <c r="CE569" s="393"/>
      <c r="CF569" s="393"/>
      <c r="CG569" s="393"/>
      <c r="CH569" s="393"/>
      <c r="CI569" s="393"/>
      <c r="CJ569" s="390"/>
      <c r="CK569" s="390"/>
      <c r="CL569" s="390"/>
      <c r="CM569" s="390"/>
      <c r="CN569" s="390"/>
      <c r="CO569" s="390"/>
      <c r="CP569" s="390"/>
      <c r="CQ569" s="390"/>
      <c r="CR569" s="390"/>
      <c r="CS569" s="390"/>
      <c r="CT569" s="390"/>
      <c r="CU569" s="390"/>
      <c r="CV569" s="390"/>
      <c r="CW569" s="390"/>
      <c r="CX569" s="390"/>
      <c r="CY569" s="390"/>
      <c r="CZ569" s="390"/>
      <c r="DA569" s="390"/>
      <c r="DB569" s="390"/>
      <c r="DC569" s="390"/>
    </row>
    <row r="570" spans="1:107" s="303" customFormat="1" ht="45">
      <c r="A570" s="37"/>
      <c r="B570" s="692" t="s">
        <v>30</v>
      </c>
      <c r="C570" s="567" t="s">
        <v>1185</v>
      </c>
      <c r="D570" s="568" t="s">
        <v>1172</v>
      </c>
      <c r="E570" s="571">
        <v>2459.6914582638165</v>
      </c>
      <c r="F570" s="569" t="s">
        <v>1256</v>
      </c>
      <c r="G570" s="570">
        <v>0.13764237591009837</v>
      </c>
      <c r="H570" s="567" t="s">
        <v>110</v>
      </c>
      <c r="I570" s="693">
        <v>0.97114627565951095</v>
      </c>
      <c r="J570" s="569" t="s">
        <v>32</v>
      </c>
      <c r="K570" s="567" t="s">
        <v>111</v>
      </c>
      <c r="L570" s="567" t="s">
        <v>1270</v>
      </c>
      <c r="M570" s="567" t="s">
        <v>90</v>
      </c>
      <c r="N570" s="572">
        <v>198.91383831205064</v>
      </c>
      <c r="O570" s="572" t="s">
        <v>871</v>
      </c>
      <c r="P570" s="572">
        <v>198.91383831205064</v>
      </c>
      <c r="Q570" s="572" t="s">
        <v>871</v>
      </c>
      <c r="R570" s="37"/>
      <c r="S570" s="567" t="s">
        <v>44</v>
      </c>
      <c r="T570" s="567" t="s">
        <v>63</v>
      </c>
      <c r="U570" s="567" t="s">
        <v>69</v>
      </c>
      <c r="V570" s="567" t="s">
        <v>69</v>
      </c>
      <c r="W570" s="567" t="s">
        <v>76</v>
      </c>
      <c r="X570" s="37"/>
      <c r="Y570" s="37"/>
      <c r="Z570" s="569" t="s">
        <v>78</v>
      </c>
      <c r="AA570" s="569" t="s">
        <v>78</v>
      </c>
      <c r="AB570" s="37"/>
      <c r="AC570" s="697">
        <v>15.712499999999999</v>
      </c>
      <c r="AD570" s="567" t="s">
        <v>84</v>
      </c>
      <c r="AE570" s="569" t="s">
        <v>73</v>
      </c>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c r="CA570" s="393"/>
      <c r="CB570" s="393"/>
      <c r="CC570" s="393"/>
      <c r="CD570" s="393"/>
      <c r="CE570" s="393"/>
      <c r="CF570" s="393"/>
      <c r="CG570" s="393"/>
      <c r="CH570" s="393"/>
      <c r="CI570" s="393"/>
      <c r="CJ570" s="390"/>
      <c r="CK570" s="390"/>
      <c r="CL570" s="390"/>
      <c r="CM570" s="390"/>
      <c r="CN570" s="390"/>
      <c r="CO570" s="390"/>
      <c r="CP570" s="390"/>
      <c r="CQ570" s="390"/>
      <c r="CR570" s="390"/>
      <c r="CS570" s="390"/>
      <c r="CT570" s="390"/>
      <c r="CU570" s="390"/>
      <c r="CV570" s="390"/>
      <c r="CW570" s="390"/>
      <c r="CX570" s="390"/>
      <c r="CY570" s="390"/>
      <c r="CZ570" s="390"/>
      <c r="DA570" s="390"/>
      <c r="DB570" s="390"/>
      <c r="DC570" s="390"/>
    </row>
    <row r="571" spans="1:107" s="303" customFormat="1" ht="45">
      <c r="A571" s="37"/>
      <c r="B571" s="692" t="s">
        <v>30</v>
      </c>
      <c r="C571" s="567" t="s">
        <v>1185</v>
      </c>
      <c r="D571" s="568" t="s">
        <v>1172</v>
      </c>
      <c r="E571" s="571">
        <v>2459.6914582638165</v>
      </c>
      <c r="F571" s="569" t="s">
        <v>1256</v>
      </c>
      <c r="G571" s="570">
        <v>0.13764237591009837</v>
      </c>
      <c r="H571" s="567" t="s">
        <v>110</v>
      </c>
      <c r="I571" s="693">
        <v>0.97114627565951095</v>
      </c>
      <c r="J571" s="569" t="s">
        <v>32</v>
      </c>
      <c r="K571" s="567" t="s">
        <v>111</v>
      </c>
      <c r="L571" s="567" t="s">
        <v>1270</v>
      </c>
      <c r="M571" s="567" t="s">
        <v>91</v>
      </c>
      <c r="N571" s="572">
        <v>198.91383831205064</v>
      </c>
      <c r="O571" s="572" t="s">
        <v>870</v>
      </c>
      <c r="P571" s="572">
        <v>198.91383831205064</v>
      </c>
      <c r="Q571" s="572" t="s">
        <v>870</v>
      </c>
      <c r="R571" s="37"/>
      <c r="S571" s="567" t="s">
        <v>44</v>
      </c>
      <c r="T571" s="567" t="s">
        <v>63</v>
      </c>
      <c r="U571" s="567" t="s">
        <v>870</v>
      </c>
      <c r="V571" s="567" t="s">
        <v>870</v>
      </c>
      <c r="W571" s="567" t="s">
        <v>76</v>
      </c>
      <c r="X571" s="37"/>
      <c r="Y571" s="37"/>
      <c r="Z571" s="569" t="s">
        <v>78</v>
      </c>
      <c r="AA571" s="569" t="s">
        <v>78</v>
      </c>
      <c r="AB571" s="37"/>
      <c r="AC571" s="697">
        <v>15.712499999999999</v>
      </c>
      <c r="AD571" s="567" t="s">
        <v>84</v>
      </c>
      <c r="AE571" s="569" t="s">
        <v>73</v>
      </c>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c r="CA571" s="393"/>
      <c r="CB571" s="393"/>
      <c r="CC571" s="393"/>
      <c r="CD571" s="393"/>
      <c r="CE571" s="393"/>
      <c r="CF571" s="393"/>
      <c r="CG571" s="393"/>
      <c r="CH571" s="393"/>
      <c r="CI571" s="393"/>
      <c r="CJ571" s="390"/>
      <c r="CK571" s="390"/>
      <c r="CL571" s="390"/>
      <c r="CM571" s="390"/>
      <c r="CN571" s="390"/>
      <c r="CO571" s="390"/>
      <c r="CP571" s="390"/>
      <c r="CQ571" s="390"/>
      <c r="CR571" s="390"/>
      <c r="CS571" s="390"/>
      <c r="CT571" s="390"/>
      <c r="CU571" s="390"/>
      <c r="CV571" s="390"/>
      <c r="CW571" s="390"/>
      <c r="CX571" s="390"/>
      <c r="CY571" s="390"/>
      <c r="CZ571" s="390"/>
      <c r="DA571" s="390"/>
      <c r="DB571" s="390"/>
      <c r="DC571" s="390"/>
    </row>
    <row r="572" spans="1:107" s="303" customFormat="1" ht="45">
      <c r="A572" s="37"/>
      <c r="B572" s="692" t="s">
        <v>30</v>
      </c>
      <c r="C572" s="567" t="s">
        <v>1185</v>
      </c>
      <c r="D572" s="568" t="s">
        <v>1172</v>
      </c>
      <c r="E572" s="571">
        <v>2459.6914582638165</v>
      </c>
      <c r="F572" s="569" t="s">
        <v>1256</v>
      </c>
      <c r="G572" s="570">
        <v>0.13764237591009837</v>
      </c>
      <c r="H572" s="567" t="s">
        <v>110</v>
      </c>
      <c r="I572" s="693">
        <v>0.97114627565951095</v>
      </c>
      <c r="J572" s="569" t="s">
        <v>32</v>
      </c>
      <c r="K572" s="567" t="s">
        <v>111</v>
      </c>
      <c r="L572" s="567" t="s">
        <v>1270</v>
      </c>
      <c r="M572" s="567" t="s">
        <v>92</v>
      </c>
      <c r="N572" s="572">
        <v>198.91383831205064</v>
      </c>
      <c r="O572" s="572">
        <v>94.691267588132689</v>
      </c>
      <c r="P572" s="572">
        <v>198.91383831205064</v>
      </c>
      <c r="Q572" s="572">
        <v>54.184447564320379</v>
      </c>
      <c r="R572" s="37"/>
      <c r="S572" s="567" t="s">
        <v>44</v>
      </c>
      <c r="T572" s="567" t="s">
        <v>63</v>
      </c>
      <c r="U572" s="567" t="s">
        <v>69</v>
      </c>
      <c r="V572" s="567" t="s">
        <v>69</v>
      </c>
      <c r="W572" s="567" t="s">
        <v>76</v>
      </c>
      <c r="X572" s="37"/>
      <c r="Y572" s="37"/>
      <c r="Z572" s="569" t="s">
        <v>78</v>
      </c>
      <c r="AA572" s="569" t="s">
        <v>78</v>
      </c>
      <c r="AB572" s="37"/>
      <c r="AC572" s="697">
        <v>15.712499999999999</v>
      </c>
      <c r="AD572" s="567" t="s">
        <v>84</v>
      </c>
      <c r="AE572" s="569" t="s">
        <v>73</v>
      </c>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c r="CA572" s="393"/>
      <c r="CB572" s="393"/>
      <c r="CC572" s="393"/>
      <c r="CD572" s="393"/>
      <c r="CE572" s="393"/>
      <c r="CF572" s="393"/>
      <c r="CG572" s="393"/>
      <c r="CH572" s="393"/>
      <c r="CI572" s="393"/>
      <c r="CJ572" s="390"/>
      <c r="CK572" s="390"/>
      <c r="CL572" s="390"/>
      <c r="CM572" s="390"/>
      <c r="CN572" s="390"/>
      <c r="CO572" s="390"/>
      <c r="CP572" s="390"/>
      <c r="CQ572" s="390"/>
      <c r="CR572" s="390"/>
      <c r="CS572" s="390"/>
      <c r="CT572" s="390"/>
      <c r="CU572" s="390"/>
      <c r="CV572" s="390"/>
      <c r="CW572" s="390"/>
      <c r="CX572" s="390"/>
      <c r="CY572" s="390"/>
      <c r="CZ572" s="390"/>
      <c r="DA572" s="390"/>
      <c r="DB572" s="390"/>
      <c r="DC572" s="390"/>
    </row>
    <row r="573" spans="1:107" s="303" customFormat="1" ht="45">
      <c r="A573" s="37"/>
      <c r="B573" s="692" t="s">
        <v>30</v>
      </c>
      <c r="C573" s="567" t="s">
        <v>1185</v>
      </c>
      <c r="D573" s="568" t="s">
        <v>1172</v>
      </c>
      <c r="E573" s="571">
        <v>2459.6914582638165</v>
      </c>
      <c r="F573" s="569" t="s">
        <v>1256</v>
      </c>
      <c r="G573" s="570">
        <v>0.13764237591009837</v>
      </c>
      <c r="H573" s="567" t="s">
        <v>110</v>
      </c>
      <c r="I573" s="693">
        <v>0.97114627565951095</v>
      </c>
      <c r="J573" s="569" t="s">
        <v>32</v>
      </c>
      <c r="K573" s="567" t="s">
        <v>111</v>
      </c>
      <c r="L573" s="567" t="s">
        <v>1270</v>
      </c>
      <c r="M573" s="567" t="s">
        <v>93</v>
      </c>
      <c r="N573" s="572">
        <v>198.91383831205064</v>
      </c>
      <c r="O573" s="572">
        <v>107.84283253092892</v>
      </c>
      <c r="P573" s="572">
        <v>198.91383831205064</v>
      </c>
      <c r="Q573" s="572">
        <v>67.336012507116592</v>
      </c>
      <c r="R573" s="37"/>
      <c r="S573" s="567" t="s">
        <v>44</v>
      </c>
      <c r="T573" s="567" t="s">
        <v>63</v>
      </c>
      <c r="U573" s="567" t="s">
        <v>44</v>
      </c>
      <c r="V573" s="567" t="s">
        <v>75</v>
      </c>
      <c r="W573" s="567" t="s">
        <v>76</v>
      </c>
      <c r="X573" s="37"/>
      <c r="Y573" s="37"/>
      <c r="Z573" s="569" t="s">
        <v>78</v>
      </c>
      <c r="AA573" s="569" t="s">
        <v>78</v>
      </c>
      <c r="AB573" s="37"/>
      <c r="AC573" s="697">
        <v>15.712499999999999</v>
      </c>
      <c r="AD573" s="567" t="s">
        <v>84</v>
      </c>
      <c r="AE573" s="569" t="s">
        <v>73</v>
      </c>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c r="CA573" s="393"/>
      <c r="CB573" s="393"/>
      <c r="CC573" s="393"/>
      <c r="CD573" s="393"/>
      <c r="CE573" s="393"/>
      <c r="CF573" s="393"/>
      <c r="CG573" s="393"/>
      <c r="CH573" s="393"/>
      <c r="CI573" s="393"/>
      <c r="CJ573" s="390"/>
      <c r="CK573" s="390"/>
      <c r="CL573" s="390"/>
      <c r="CM573" s="390"/>
      <c r="CN573" s="390"/>
      <c r="CO573" s="390"/>
      <c r="CP573" s="390"/>
      <c r="CQ573" s="390"/>
      <c r="CR573" s="390"/>
      <c r="CS573" s="390"/>
      <c r="CT573" s="390"/>
      <c r="CU573" s="390"/>
      <c r="CV573" s="390"/>
      <c r="CW573" s="390"/>
      <c r="CX573" s="390"/>
      <c r="CY573" s="390"/>
      <c r="CZ573" s="390"/>
      <c r="DA573" s="390"/>
      <c r="DB573" s="390"/>
      <c r="DC573" s="390"/>
    </row>
    <row r="574" spans="1:107" s="303" customFormat="1" ht="45">
      <c r="A574" s="37"/>
      <c r="B574" s="692" t="s">
        <v>30</v>
      </c>
      <c r="C574" s="567" t="s">
        <v>1185</v>
      </c>
      <c r="D574" s="568" t="s">
        <v>1172</v>
      </c>
      <c r="E574" s="571">
        <v>2459.6914582638165</v>
      </c>
      <c r="F574" s="569" t="s">
        <v>1256</v>
      </c>
      <c r="G574" s="570">
        <v>0.13764237591009837</v>
      </c>
      <c r="H574" s="567" t="s">
        <v>110</v>
      </c>
      <c r="I574" s="693">
        <v>0.97114627565951095</v>
      </c>
      <c r="J574" s="569" t="s">
        <v>32</v>
      </c>
      <c r="K574" s="567" t="s">
        <v>111</v>
      </c>
      <c r="L574" s="567" t="s">
        <v>995</v>
      </c>
      <c r="M574" s="567" t="s">
        <v>88</v>
      </c>
      <c r="N574" s="572">
        <v>86.955892023551925</v>
      </c>
      <c r="O574" s="572">
        <v>57.866885748303311</v>
      </c>
      <c r="P574" s="572">
        <v>86.955892023551925</v>
      </c>
      <c r="Q574" s="572">
        <v>57.866885748303311</v>
      </c>
      <c r="R574" s="37"/>
      <c r="S574" s="567" t="s">
        <v>1273</v>
      </c>
      <c r="T574" s="567" t="s">
        <v>69</v>
      </c>
      <c r="U574" s="567" t="s">
        <v>69</v>
      </c>
      <c r="V574" s="567" t="s">
        <v>69</v>
      </c>
      <c r="W574" s="567" t="s">
        <v>76</v>
      </c>
      <c r="X574" s="37"/>
      <c r="Y574" s="37"/>
      <c r="Z574" s="569" t="s">
        <v>78</v>
      </c>
      <c r="AA574" s="569" t="s">
        <v>78</v>
      </c>
      <c r="AB574" s="37"/>
      <c r="AC574" s="697">
        <v>15.712499999999999</v>
      </c>
      <c r="AD574" s="567" t="s">
        <v>84</v>
      </c>
      <c r="AE574" s="569" t="s">
        <v>73</v>
      </c>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c r="CA574" s="393"/>
      <c r="CB574" s="393"/>
      <c r="CC574" s="393"/>
      <c r="CD574" s="393"/>
      <c r="CE574" s="393"/>
      <c r="CF574" s="393"/>
      <c r="CG574" s="393"/>
      <c r="CH574" s="393"/>
      <c r="CI574" s="393"/>
      <c r="CJ574" s="390"/>
      <c r="CK574" s="390"/>
      <c r="CL574" s="390"/>
      <c r="CM574" s="390"/>
      <c r="CN574" s="390"/>
      <c r="CO574" s="390"/>
      <c r="CP574" s="390"/>
      <c r="CQ574" s="390"/>
      <c r="CR574" s="390"/>
      <c r="CS574" s="390"/>
      <c r="CT574" s="390"/>
      <c r="CU574" s="390"/>
      <c r="CV574" s="390"/>
      <c r="CW574" s="390"/>
      <c r="CX574" s="390"/>
      <c r="CY574" s="390"/>
      <c r="CZ574" s="390"/>
      <c r="DA574" s="390"/>
      <c r="DB574" s="390"/>
      <c r="DC574" s="390"/>
    </row>
    <row r="575" spans="1:107" s="303" customFormat="1" ht="45">
      <c r="A575" s="37"/>
      <c r="B575" s="692" t="s">
        <v>30</v>
      </c>
      <c r="C575" s="567" t="s">
        <v>1185</v>
      </c>
      <c r="D575" s="568" t="s">
        <v>1172</v>
      </c>
      <c r="E575" s="571">
        <v>2459.6914582638165</v>
      </c>
      <c r="F575" s="569" t="s">
        <v>1256</v>
      </c>
      <c r="G575" s="570">
        <v>0.13764237591009837</v>
      </c>
      <c r="H575" s="567" t="s">
        <v>110</v>
      </c>
      <c r="I575" s="693">
        <v>0.97114627565951095</v>
      </c>
      <c r="J575" s="569" t="s">
        <v>32</v>
      </c>
      <c r="K575" s="567" t="s">
        <v>111</v>
      </c>
      <c r="L575" s="567" t="s">
        <v>995</v>
      </c>
      <c r="M575" s="567" t="s">
        <v>90</v>
      </c>
      <c r="N575" s="572">
        <v>86.955892023551925</v>
      </c>
      <c r="O575" s="572" t="s">
        <v>871</v>
      </c>
      <c r="P575" s="572">
        <v>86.955892023551925</v>
      </c>
      <c r="Q575" s="572" t="s">
        <v>871</v>
      </c>
      <c r="R575" s="37"/>
      <c r="S575" s="567" t="s">
        <v>1273</v>
      </c>
      <c r="T575" s="567" t="s">
        <v>69</v>
      </c>
      <c r="U575" s="567" t="s">
        <v>69</v>
      </c>
      <c r="V575" s="567" t="s">
        <v>69</v>
      </c>
      <c r="W575" s="567" t="s">
        <v>76</v>
      </c>
      <c r="X575" s="37"/>
      <c r="Y575" s="37"/>
      <c r="Z575" s="569" t="s">
        <v>78</v>
      </c>
      <c r="AA575" s="569" t="s">
        <v>78</v>
      </c>
      <c r="AB575" s="37"/>
      <c r="AC575" s="697">
        <v>15.712499999999999</v>
      </c>
      <c r="AD575" s="567" t="s">
        <v>84</v>
      </c>
      <c r="AE575" s="569" t="s">
        <v>73</v>
      </c>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c r="CA575" s="393"/>
      <c r="CB575" s="393"/>
      <c r="CC575" s="393"/>
      <c r="CD575" s="393"/>
      <c r="CE575" s="393"/>
      <c r="CF575" s="393"/>
      <c r="CG575" s="393"/>
      <c r="CH575" s="393"/>
      <c r="CI575" s="393"/>
      <c r="CJ575" s="390"/>
      <c r="CK575" s="390"/>
      <c r="CL575" s="390"/>
      <c r="CM575" s="390"/>
      <c r="CN575" s="390"/>
      <c r="CO575" s="390"/>
      <c r="CP575" s="390"/>
      <c r="CQ575" s="390"/>
      <c r="CR575" s="390"/>
      <c r="CS575" s="390"/>
      <c r="CT575" s="390"/>
      <c r="CU575" s="390"/>
      <c r="CV575" s="390"/>
      <c r="CW575" s="390"/>
      <c r="CX575" s="390"/>
      <c r="CY575" s="390"/>
      <c r="CZ575" s="390"/>
      <c r="DA575" s="390"/>
      <c r="DB575" s="390"/>
      <c r="DC575" s="390"/>
    </row>
    <row r="576" spans="1:107" s="303" customFormat="1" ht="45">
      <c r="A576" s="37"/>
      <c r="B576" s="692" t="s">
        <v>30</v>
      </c>
      <c r="C576" s="567" t="s">
        <v>1185</v>
      </c>
      <c r="D576" s="568" t="s">
        <v>1172</v>
      </c>
      <c r="E576" s="571">
        <v>2459.6914582638165</v>
      </c>
      <c r="F576" s="569" t="s">
        <v>1256</v>
      </c>
      <c r="G576" s="570">
        <v>0.13764237591009837</v>
      </c>
      <c r="H576" s="567" t="s">
        <v>110</v>
      </c>
      <c r="I576" s="693">
        <v>0.97114627565951095</v>
      </c>
      <c r="J576" s="569" t="s">
        <v>32</v>
      </c>
      <c r="K576" s="567" t="s">
        <v>111</v>
      </c>
      <c r="L576" s="567" t="s">
        <v>995</v>
      </c>
      <c r="M576" s="567" t="s">
        <v>91</v>
      </c>
      <c r="N576" s="572">
        <v>86.955892023551925</v>
      </c>
      <c r="O576" s="572" t="s">
        <v>870</v>
      </c>
      <c r="P576" s="572">
        <v>86.955892023551925</v>
      </c>
      <c r="Q576" s="572" t="s">
        <v>870</v>
      </c>
      <c r="R576" s="37"/>
      <c r="S576" s="567" t="s">
        <v>1273</v>
      </c>
      <c r="T576" s="567" t="s">
        <v>69</v>
      </c>
      <c r="U576" s="567" t="s">
        <v>69</v>
      </c>
      <c r="V576" s="567" t="s">
        <v>69</v>
      </c>
      <c r="W576" s="567" t="s">
        <v>76</v>
      </c>
      <c r="X576" s="37"/>
      <c r="Y576" s="37"/>
      <c r="Z576" s="569" t="s">
        <v>78</v>
      </c>
      <c r="AA576" s="569" t="s">
        <v>78</v>
      </c>
      <c r="AB576" s="37"/>
      <c r="AC576" s="697">
        <v>15.712499999999999</v>
      </c>
      <c r="AD576" s="567" t="s">
        <v>84</v>
      </c>
      <c r="AE576" s="569" t="s">
        <v>73</v>
      </c>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c r="CA576" s="393"/>
      <c r="CB576" s="393"/>
      <c r="CC576" s="393"/>
      <c r="CD576" s="393"/>
      <c r="CE576" s="393"/>
      <c r="CF576" s="393"/>
      <c r="CG576" s="393"/>
      <c r="CH576" s="393"/>
      <c r="CI576" s="393"/>
      <c r="CJ576" s="390"/>
      <c r="CK576" s="390"/>
      <c r="CL576" s="390"/>
      <c r="CM576" s="390"/>
      <c r="CN576" s="390"/>
      <c r="CO576" s="390"/>
      <c r="CP576" s="390"/>
      <c r="CQ576" s="390"/>
      <c r="CR576" s="390"/>
      <c r="CS576" s="390"/>
      <c r="CT576" s="390"/>
      <c r="CU576" s="390"/>
      <c r="CV576" s="390"/>
      <c r="CW576" s="390"/>
      <c r="CX576" s="390"/>
      <c r="CY576" s="390"/>
      <c r="CZ576" s="390"/>
      <c r="DA576" s="390"/>
      <c r="DB576" s="390"/>
      <c r="DC576" s="390"/>
    </row>
    <row r="577" spans="1:107" s="303" customFormat="1" ht="45">
      <c r="A577" s="37"/>
      <c r="B577" s="692" t="s">
        <v>30</v>
      </c>
      <c r="C577" s="567" t="s">
        <v>1185</v>
      </c>
      <c r="D577" s="568" t="s">
        <v>1172</v>
      </c>
      <c r="E577" s="571">
        <v>2459.6914582638165</v>
      </c>
      <c r="F577" s="569" t="s">
        <v>1256</v>
      </c>
      <c r="G577" s="570">
        <v>0.13764237591009837</v>
      </c>
      <c r="H577" s="567" t="s">
        <v>110</v>
      </c>
      <c r="I577" s="693">
        <v>0.97114627565951095</v>
      </c>
      <c r="J577" s="569" t="s">
        <v>32</v>
      </c>
      <c r="K577" s="567" t="s">
        <v>111</v>
      </c>
      <c r="L577" s="567" t="s">
        <v>995</v>
      </c>
      <c r="M577" s="567" t="s">
        <v>92</v>
      </c>
      <c r="N577" s="572">
        <v>86.955892023551925</v>
      </c>
      <c r="O577" s="572">
        <v>94.691267588132689</v>
      </c>
      <c r="P577" s="572">
        <v>86.955892023551925</v>
      </c>
      <c r="Q577" s="572">
        <v>54.184447564320379</v>
      </c>
      <c r="R577" s="37"/>
      <c r="S577" s="567" t="s">
        <v>1273</v>
      </c>
      <c r="T577" s="567" t="s">
        <v>69</v>
      </c>
      <c r="U577" s="567" t="s">
        <v>69</v>
      </c>
      <c r="V577" s="567" t="s">
        <v>69</v>
      </c>
      <c r="W577" s="567" t="s">
        <v>76</v>
      </c>
      <c r="X577" s="37"/>
      <c r="Y577" s="37"/>
      <c r="Z577" s="569" t="s">
        <v>78</v>
      </c>
      <c r="AA577" s="569" t="s">
        <v>78</v>
      </c>
      <c r="AB577" s="37"/>
      <c r="AC577" s="697">
        <v>15.712499999999999</v>
      </c>
      <c r="AD577" s="567" t="s">
        <v>84</v>
      </c>
      <c r="AE577" s="569" t="s">
        <v>73</v>
      </c>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c r="CA577" s="393"/>
      <c r="CB577" s="393"/>
      <c r="CC577" s="393"/>
      <c r="CD577" s="393"/>
      <c r="CE577" s="393"/>
      <c r="CF577" s="393"/>
      <c r="CG577" s="393"/>
      <c r="CH577" s="393"/>
      <c r="CI577" s="393"/>
      <c r="CJ577" s="390"/>
      <c r="CK577" s="390"/>
      <c r="CL577" s="390"/>
      <c r="CM577" s="390"/>
      <c r="CN577" s="390"/>
      <c r="CO577" s="390"/>
      <c r="CP577" s="390"/>
      <c r="CQ577" s="390"/>
      <c r="CR577" s="390"/>
      <c r="CS577" s="390"/>
      <c r="CT577" s="390"/>
      <c r="CU577" s="390"/>
      <c r="CV577" s="390"/>
      <c r="CW577" s="390"/>
      <c r="CX577" s="390"/>
      <c r="CY577" s="390"/>
      <c r="CZ577" s="390"/>
      <c r="DA577" s="390"/>
      <c r="DB577" s="390"/>
      <c r="DC577" s="390"/>
    </row>
    <row r="578" spans="1:107" s="303" customFormat="1" ht="45">
      <c r="A578" s="37"/>
      <c r="B578" s="692" t="s">
        <v>30</v>
      </c>
      <c r="C578" s="567" t="s">
        <v>1185</v>
      </c>
      <c r="D578" s="568" t="s">
        <v>1172</v>
      </c>
      <c r="E578" s="571">
        <v>2459.6914582638165</v>
      </c>
      <c r="F578" s="569" t="s">
        <v>1256</v>
      </c>
      <c r="G578" s="570">
        <v>0.13764237591009837</v>
      </c>
      <c r="H578" s="567" t="s">
        <v>110</v>
      </c>
      <c r="I578" s="693">
        <v>0.97114627565951095</v>
      </c>
      <c r="J578" s="569" t="s">
        <v>32</v>
      </c>
      <c r="K578" s="567" t="s">
        <v>111</v>
      </c>
      <c r="L578" s="567" t="s">
        <v>995</v>
      </c>
      <c r="M578" s="567" t="s">
        <v>93</v>
      </c>
      <c r="N578" s="572">
        <v>86.955892023551925</v>
      </c>
      <c r="O578" s="572">
        <v>107.84283253092892</v>
      </c>
      <c r="P578" s="572">
        <v>86.955892023551925</v>
      </c>
      <c r="Q578" s="572">
        <v>67.336012507116592</v>
      </c>
      <c r="R578" s="37"/>
      <c r="S578" s="567" t="s">
        <v>1273</v>
      </c>
      <c r="T578" s="567" t="s">
        <v>69</v>
      </c>
      <c r="U578" s="567" t="s">
        <v>69</v>
      </c>
      <c r="V578" s="567" t="s">
        <v>69</v>
      </c>
      <c r="W578" s="567" t="s">
        <v>76</v>
      </c>
      <c r="X578" s="37"/>
      <c r="Y578" s="37"/>
      <c r="Z578" s="569" t="s">
        <v>78</v>
      </c>
      <c r="AA578" s="569" t="s">
        <v>78</v>
      </c>
      <c r="AB578" s="37"/>
      <c r="AC578" s="697">
        <v>15.712499999999999</v>
      </c>
      <c r="AD578" s="567" t="s">
        <v>84</v>
      </c>
      <c r="AE578" s="569" t="s">
        <v>73</v>
      </c>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c r="CA578" s="393"/>
      <c r="CB578" s="393"/>
      <c r="CC578" s="393"/>
      <c r="CD578" s="393"/>
      <c r="CE578" s="393"/>
      <c r="CF578" s="393"/>
      <c r="CG578" s="393"/>
      <c r="CH578" s="393"/>
      <c r="CI578" s="393"/>
      <c r="CJ578" s="390"/>
      <c r="CK578" s="390"/>
      <c r="CL578" s="390"/>
      <c r="CM578" s="390"/>
      <c r="CN578" s="390"/>
      <c r="CO578" s="390"/>
      <c r="CP578" s="390"/>
      <c r="CQ578" s="390"/>
      <c r="CR578" s="390"/>
      <c r="CS578" s="390"/>
      <c r="CT578" s="390"/>
      <c r="CU578" s="390"/>
      <c r="CV578" s="390"/>
      <c r="CW578" s="390"/>
      <c r="CX578" s="390"/>
      <c r="CY578" s="390"/>
      <c r="CZ578" s="390"/>
      <c r="DA578" s="390"/>
      <c r="DB578" s="390"/>
      <c r="DC578" s="390"/>
    </row>
    <row r="579" spans="1:107" s="303" customFormat="1" ht="45">
      <c r="A579" s="37"/>
      <c r="B579" s="692" t="s">
        <v>30</v>
      </c>
      <c r="C579" s="567" t="s">
        <v>1185</v>
      </c>
      <c r="D579" s="568" t="s">
        <v>1172</v>
      </c>
      <c r="E579" s="571">
        <v>2459.6914582638165</v>
      </c>
      <c r="F579" s="569" t="s">
        <v>1256</v>
      </c>
      <c r="G579" s="570">
        <v>0.13764237591009837</v>
      </c>
      <c r="H579" s="567" t="s">
        <v>110</v>
      </c>
      <c r="I579" s="693">
        <v>0.97114627565951095</v>
      </c>
      <c r="J579" s="569" t="s">
        <v>32</v>
      </c>
      <c r="K579" s="567" t="s">
        <v>111</v>
      </c>
      <c r="L579" s="567" t="s">
        <v>101</v>
      </c>
      <c r="M579" s="567" t="s">
        <v>88</v>
      </c>
      <c r="N579" s="572">
        <v>110.70016904852906</v>
      </c>
      <c r="O579" s="572">
        <v>57.866885748303311</v>
      </c>
      <c r="P579" s="572">
        <v>110.70016904852906</v>
      </c>
      <c r="Q579" s="572">
        <v>57.866885748303311</v>
      </c>
      <c r="R579" s="37"/>
      <c r="S579" s="567" t="s">
        <v>68</v>
      </c>
      <c r="T579" s="567" t="s">
        <v>63</v>
      </c>
      <c r="U579" s="567" t="s">
        <v>69</v>
      </c>
      <c r="V579" s="567" t="s">
        <v>69</v>
      </c>
      <c r="W579" s="567" t="s">
        <v>76</v>
      </c>
      <c r="X579" s="37"/>
      <c r="Y579" s="37"/>
      <c r="Z579" s="569" t="s">
        <v>78</v>
      </c>
      <c r="AA579" s="569" t="s">
        <v>78</v>
      </c>
      <c r="AB579" s="37"/>
      <c r="AC579" s="697">
        <v>15.712499999999999</v>
      </c>
      <c r="AD579" s="567" t="s">
        <v>84</v>
      </c>
      <c r="AE579" s="569" t="s">
        <v>73</v>
      </c>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c r="CA579" s="393"/>
      <c r="CB579" s="393"/>
      <c r="CC579" s="393"/>
      <c r="CD579" s="393"/>
      <c r="CE579" s="393"/>
      <c r="CF579" s="393"/>
      <c r="CG579" s="393"/>
      <c r="CH579" s="393"/>
      <c r="CI579" s="393"/>
      <c r="CJ579" s="390"/>
      <c r="CK579" s="390"/>
      <c r="CL579" s="390"/>
      <c r="CM579" s="390"/>
      <c r="CN579" s="390"/>
      <c r="CO579" s="390"/>
      <c r="CP579" s="390"/>
      <c r="CQ579" s="390"/>
      <c r="CR579" s="390"/>
      <c r="CS579" s="390"/>
      <c r="CT579" s="390"/>
      <c r="CU579" s="390"/>
      <c r="CV579" s="390"/>
      <c r="CW579" s="390"/>
      <c r="CX579" s="390"/>
      <c r="CY579" s="390"/>
      <c r="CZ579" s="390"/>
      <c r="DA579" s="390"/>
      <c r="DB579" s="390"/>
      <c r="DC579" s="390"/>
    </row>
    <row r="580" spans="1:107" s="303" customFormat="1" ht="45">
      <c r="A580" s="37"/>
      <c r="B580" s="692" t="s">
        <v>30</v>
      </c>
      <c r="C580" s="567" t="s">
        <v>1185</v>
      </c>
      <c r="D580" s="568" t="s">
        <v>1172</v>
      </c>
      <c r="E580" s="571">
        <v>2459.6914582638165</v>
      </c>
      <c r="F580" s="569" t="s">
        <v>1256</v>
      </c>
      <c r="G580" s="570">
        <v>0.13764237591009837</v>
      </c>
      <c r="H580" s="567" t="s">
        <v>110</v>
      </c>
      <c r="I580" s="693">
        <v>0.97114627565951095</v>
      </c>
      <c r="J580" s="569" t="s">
        <v>32</v>
      </c>
      <c r="K580" s="567" t="s">
        <v>111</v>
      </c>
      <c r="L580" s="567" t="s">
        <v>101</v>
      </c>
      <c r="M580" s="567" t="s">
        <v>90</v>
      </c>
      <c r="N580" s="572">
        <v>110.70016904852906</v>
      </c>
      <c r="O580" s="572" t="s">
        <v>1049</v>
      </c>
      <c r="P580" s="572">
        <v>110.70016904852906</v>
      </c>
      <c r="Q580" s="572" t="s">
        <v>871</v>
      </c>
      <c r="R580" s="37"/>
      <c r="S580" s="567" t="s">
        <v>68</v>
      </c>
      <c r="T580" s="567" t="s">
        <v>63</v>
      </c>
      <c r="U580" s="567" t="s">
        <v>69</v>
      </c>
      <c r="V580" s="567" t="s">
        <v>69</v>
      </c>
      <c r="W580" s="567" t="s">
        <v>76</v>
      </c>
      <c r="X580" s="37"/>
      <c r="Y580" s="37"/>
      <c r="Z580" s="569" t="s">
        <v>78</v>
      </c>
      <c r="AA580" s="569" t="s">
        <v>78</v>
      </c>
      <c r="AB580" s="37"/>
      <c r="AC580" s="697">
        <v>15.712499999999999</v>
      </c>
      <c r="AD580" s="567" t="s">
        <v>84</v>
      </c>
      <c r="AE580" s="569" t="s">
        <v>73</v>
      </c>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c r="CA580" s="393"/>
      <c r="CB580" s="393"/>
      <c r="CC580" s="393"/>
      <c r="CD580" s="393"/>
      <c r="CE580" s="393"/>
      <c r="CF580" s="393"/>
      <c r="CG580" s="393"/>
      <c r="CH580" s="393"/>
      <c r="CI580" s="393"/>
      <c r="CJ580" s="390"/>
      <c r="CK580" s="390"/>
      <c r="CL580" s="390"/>
      <c r="CM580" s="390"/>
      <c r="CN580" s="390"/>
      <c r="CO580" s="390"/>
      <c r="CP580" s="390"/>
      <c r="CQ580" s="390"/>
      <c r="CR580" s="390"/>
      <c r="CS580" s="390"/>
      <c r="CT580" s="390"/>
      <c r="CU580" s="390"/>
      <c r="CV580" s="390"/>
      <c r="CW580" s="390"/>
      <c r="CX580" s="390"/>
      <c r="CY580" s="390"/>
      <c r="CZ580" s="390"/>
      <c r="DA580" s="390"/>
      <c r="DB580" s="390"/>
      <c r="DC580" s="390"/>
    </row>
    <row r="581" spans="1:107" s="303" customFormat="1" ht="45">
      <c r="A581" s="37"/>
      <c r="B581" s="692" t="s">
        <v>30</v>
      </c>
      <c r="C581" s="567" t="s">
        <v>1185</v>
      </c>
      <c r="D581" s="568" t="s">
        <v>1172</v>
      </c>
      <c r="E581" s="571">
        <v>2459.6914582638165</v>
      </c>
      <c r="F581" s="569" t="s">
        <v>1256</v>
      </c>
      <c r="G581" s="570">
        <v>0.13764237591009837</v>
      </c>
      <c r="H581" s="567" t="s">
        <v>110</v>
      </c>
      <c r="I581" s="693">
        <v>0.97114627565951095</v>
      </c>
      <c r="J581" s="569" t="s">
        <v>32</v>
      </c>
      <c r="K581" s="567" t="s">
        <v>111</v>
      </c>
      <c r="L581" s="567" t="s">
        <v>101</v>
      </c>
      <c r="M581" s="567" t="s">
        <v>91</v>
      </c>
      <c r="N581" s="572">
        <v>110.70016904852906</v>
      </c>
      <c r="O581" s="572" t="s">
        <v>870</v>
      </c>
      <c r="P581" s="572">
        <v>110.70016904852906</v>
      </c>
      <c r="Q581" s="572" t="s">
        <v>870</v>
      </c>
      <c r="R581" s="37"/>
      <c r="S581" s="567" t="s">
        <v>68</v>
      </c>
      <c r="T581" s="567" t="s">
        <v>63</v>
      </c>
      <c r="U581" s="567" t="s">
        <v>69</v>
      </c>
      <c r="V581" s="567" t="s">
        <v>69</v>
      </c>
      <c r="W581" s="567" t="s">
        <v>76</v>
      </c>
      <c r="X581" s="37"/>
      <c r="Y581" s="37"/>
      <c r="Z581" s="569" t="s">
        <v>78</v>
      </c>
      <c r="AA581" s="569" t="s">
        <v>78</v>
      </c>
      <c r="AB581" s="37"/>
      <c r="AC581" s="697">
        <v>15.712499999999999</v>
      </c>
      <c r="AD581" s="567" t="s">
        <v>84</v>
      </c>
      <c r="AE581" s="569" t="s">
        <v>73</v>
      </c>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c r="CA581" s="393"/>
      <c r="CB581" s="393"/>
      <c r="CC581" s="393"/>
      <c r="CD581" s="393"/>
      <c r="CE581" s="393"/>
      <c r="CF581" s="393"/>
      <c r="CG581" s="393"/>
      <c r="CH581" s="393"/>
      <c r="CI581" s="393"/>
      <c r="CJ581" s="390"/>
      <c r="CK581" s="390"/>
      <c r="CL581" s="390"/>
      <c r="CM581" s="390"/>
      <c r="CN581" s="390"/>
      <c r="CO581" s="390"/>
      <c r="CP581" s="390"/>
      <c r="CQ581" s="390"/>
      <c r="CR581" s="390"/>
      <c r="CS581" s="390"/>
      <c r="CT581" s="390"/>
      <c r="CU581" s="390"/>
      <c r="CV581" s="390"/>
      <c r="CW581" s="390"/>
      <c r="CX581" s="390"/>
      <c r="CY581" s="390"/>
      <c r="CZ581" s="390"/>
      <c r="DA581" s="390"/>
      <c r="DB581" s="390"/>
      <c r="DC581" s="390"/>
    </row>
    <row r="582" spans="1:107" s="303" customFormat="1" ht="45">
      <c r="A582" s="37"/>
      <c r="B582" s="692" t="s">
        <v>30</v>
      </c>
      <c r="C582" s="567" t="s">
        <v>1185</v>
      </c>
      <c r="D582" s="568" t="s">
        <v>1172</v>
      </c>
      <c r="E582" s="571">
        <v>2459.6914582638165</v>
      </c>
      <c r="F582" s="569" t="s">
        <v>1256</v>
      </c>
      <c r="G582" s="570">
        <v>0.13764237591009837</v>
      </c>
      <c r="H582" s="567" t="s">
        <v>110</v>
      </c>
      <c r="I582" s="693">
        <v>0.97114627565951095</v>
      </c>
      <c r="J582" s="569" t="s">
        <v>32</v>
      </c>
      <c r="K582" s="567" t="s">
        <v>111</v>
      </c>
      <c r="L582" s="567" t="s">
        <v>101</v>
      </c>
      <c r="M582" s="567" t="s">
        <v>92</v>
      </c>
      <c r="N582" s="572">
        <v>110.70016904852906</v>
      </c>
      <c r="O582" s="572">
        <v>94.691267588132689</v>
      </c>
      <c r="P582" s="572">
        <v>110.70016904852906</v>
      </c>
      <c r="Q582" s="572">
        <v>54.184447564320379</v>
      </c>
      <c r="R582" s="37"/>
      <c r="S582" s="567" t="s">
        <v>68</v>
      </c>
      <c r="T582" s="567" t="s">
        <v>63</v>
      </c>
      <c r="U582" s="567" t="s">
        <v>69</v>
      </c>
      <c r="V582" s="567" t="s">
        <v>69</v>
      </c>
      <c r="W582" s="567" t="s">
        <v>76</v>
      </c>
      <c r="X582" s="37"/>
      <c r="Y582" s="37"/>
      <c r="Z582" s="569" t="s">
        <v>78</v>
      </c>
      <c r="AA582" s="569" t="s">
        <v>78</v>
      </c>
      <c r="AB582" s="37"/>
      <c r="AC582" s="697">
        <v>15.712499999999999</v>
      </c>
      <c r="AD582" s="567" t="s">
        <v>84</v>
      </c>
      <c r="AE582" s="569" t="s">
        <v>73</v>
      </c>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c r="CA582" s="393"/>
      <c r="CB582" s="393"/>
      <c r="CC582" s="393"/>
      <c r="CD582" s="393"/>
      <c r="CE582" s="393"/>
      <c r="CF582" s="393"/>
      <c r="CG582" s="393"/>
      <c r="CH582" s="393"/>
      <c r="CI582" s="393"/>
      <c r="CJ582" s="390"/>
      <c r="CK582" s="390"/>
      <c r="CL582" s="390"/>
      <c r="CM582" s="390"/>
      <c r="CN582" s="390"/>
      <c r="CO582" s="390"/>
      <c r="CP582" s="390"/>
      <c r="CQ582" s="390"/>
      <c r="CR582" s="390"/>
      <c r="CS582" s="390"/>
      <c r="CT582" s="390"/>
      <c r="CU582" s="390"/>
      <c r="CV582" s="390"/>
      <c r="CW582" s="390"/>
      <c r="CX582" s="390"/>
      <c r="CY582" s="390"/>
      <c r="CZ582" s="390"/>
      <c r="DA582" s="390"/>
      <c r="DB582" s="390"/>
      <c r="DC582" s="390"/>
    </row>
    <row r="583" spans="1:107" s="303" customFormat="1" ht="45">
      <c r="A583" s="37"/>
      <c r="B583" s="692" t="s">
        <v>30</v>
      </c>
      <c r="C583" s="567" t="s">
        <v>1185</v>
      </c>
      <c r="D583" s="568" t="s">
        <v>1172</v>
      </c>
      <c r="E583" s="571">
        <v>2459.6914582638165</v>
      </c>
      <c r="F583" s="569" t="s">
        <v>1256</v>
      </c>
      <c r="G583" s="570">
        <v>0.13764237591009837</v>
      </c>
      <c r="H583" s="567" t="s">
        <v>110</v>
      </c>
      <c r="I583" s="693">
        <v>0.97114627565951095</v>
      </c>
      <c r="J583" s="569" t="s">
        <v>32</v>
      </c>
      <c r="K583" s="567" t="s">
        <v>111</v>
      </c>
      <c r="L583" s="567" t="s">
        <v>101</v>
      </c>
      <c r="M583" s="567" t="s">
        <v>93</v>
      </c>
      <c r="N583" s="572">
        <v>110.70016904852906</v>
      </c>
      <c r="O583" s="572">
        <v>107.84283253092892</v>
      </c>
      <c r="P583" s="572">
        <v>110.70016904852906</v>
      </c>
      <c r="Q583" s="572">
        <v>67.336012507116592</v>
      </c>
      <c r="R583" s="37"/>
      <c r="S583" s="567" t="s">
        <v>68</v>
      </c>
      <c r="T583" s="567" t="s">
        <v>63</v>
      </c>
      <c r="U583" s="567" t="s">
        <v>69</v>
      </c>
      <c r="V583" s="567" t="s">
        <v>69</v>
      </c>
      <c r="W583" s="567" t="s">
        <v>76</v>
      </c>
      <c r="X583" s="37"/>
      <c r="Y583" s="37"/>
      <c r="Z583" s="569" t="s">
        <v>78</v>
      </c>
      <c r="AA583" s="569" t="s">
        <v>78</v>
      </c>
      <c r="AB583" s="37"/>
      <c r="AC583" s="697">
        <v>15.712499999999999</v>
      </c>
      <c r="AD583" s="567" t="s">
        <v>84</v>
      </c>
      <c r="AE583" s="569" t="s">
        <v>73</v>
      </c>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c r="CA583" s="393"/>
      <c r="CB583" s="393"/>
      <c r="CC583" s="393"/>
      <c r="CD583" s="393"/>
      <c r="CE583" s="393"/>
      <c r="CF583" s="393"/>
      <c r="CG583" s="393"/>
      <c r="CH583" s="393"/>
      <c r="CI583" s="393"/>
      <c r="CJ583" s="390"/>
      <c r="CK583" s="390"/>
      <c r="CL583" s="390"/>
      <c r="CM583" s="390"/>
      <c r="CN583" s="390"/>
      <c r="CO583" s="390"/>
      <c r="CP583" s="390"/>
      <c r="CQ583" s="390"/>
      <c r="CR583" s="390"/>
      <c r="CS583" s="390"/>
      <c r="CT583" s="390"/>
      <c r="CU583" s="390"/>
      <c r="CV583" s="390"/>
      <c r="CW583" s="390"/>
      <c r="CX583" s="390"/>
      <c r="CY583" s="390"/>
      <c r="CZ583" s="390"/>
      <c r="DA583" s="390"/>
      <c r="DB583" s="390"/>
      <c r="DC583" s="390"/>
    </row>
    <row r="584" spans="1:107" s="303" customFormat="1" ht="56.25">
      <c r="A584" s="37"/>
      <c r="B584" s="694" t="s">
        <v>30</v>
      </c>
      <c r="C584" s="320" t="s">
        <v>1185</v>
      </c>
      <c r="D584" s="564" t="s">
        <v>1231</v>
      </c>
      <c r="E584" s="323">
        <v>1030.2872247506953</v>
      </c>
      <c r="F584" s="565" t="s">
        <v>27</v>
      </c>
      <c r="G584" s="566">
        <v>7.8508223668573393E-2</v>
      </c>
      <c r="H584" s="320" t="s">
        <v>110</v>
      </c>
      <c r="I584" s="378">
        <v>0.94387211177801444</v>
      </c>
      <c r="J584" s="320" t="s">
        <v>1097</v>
      </c>
      <c r="K584" s="320" t="s">
        <v>114</v>
      </c>
      <c r="L584" s="320" t="s">
        <v>1270</v>
      </c>
      <c r="M584" s="320" t="s">
        <v>88</v>
      </c>
      <c r="N584" s="324">
        <v>16.562375499975513</v>
      </c>
      <c r="O584" s="324">
        <v>13.436906278550175</v>
      </c>
      <c r="P584" s="324">
        <v>14.155053479630235</v>
      </c>
      <c r="Q584" s="324" t="s">
        <v>871</v>
      </c>
      <c r="R584" s="37"/>
      <c r="S584" s="320" t="s">
        <v>44</v>
      </c>
      <c r="T584" s="320" t="s">
        <v>63</v>
      </c>
      <c r="U584" s="320" t="s">
        <v>69</v>
      </c>
      <c r="V584" s="320" t="s">
        <v>69</v>
      </c>
      <c r="W584" s="320" t="s">
        <v>76</v>
      </c>
      <c r="X584" s="37"/>
      <c r="Y584" s="37"/>
      <c r="Z584" s="565" t="s">
        <v>78</v>
      </c>
      <c r="AA584" s="565" t="s">
        <v>78</v>
      </c>
      <c r="AB584" s="37"/>
      <c r="AC584" s="816">
        <v>8.7800000000000011</v>
      </c>
      <c r="AD584" s="565" t="s">
        <v>84</v>
      </c>
      <c r="AE584" s="565" t="s">
        <v>73</v>
      </c>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c r="CA584" s="393"/>
      <c r="CB584" s="393"/>
      <c r="CC584" s="393"/>
      <c r="CD584" s="393"/>
      <c r="CE584" s="393"/>
      <c r="CF584" s="393"/>
      <c r="CG584" s="393"/>
      <c r="CH584" s="393"/>
      <c r="CI584" s="393"/>
      <c r="CJ584" s="390"/>
      <c r="CK584" s="390"/>
      <c r="CL584" s="390"/>
      <c r="CM584" s="390"/>
      <c r="CN584" s="390"/>
      <c r="CO584" s="390"/>
      <c r="CP584" s="390"/>
      <c r="CQ584" s="390"/>
      <c r="CR584" s="390"/>
      <c r="CS584" s="390"/>
      <c r="CT584" s="390"/>
      <c r="CU584" s="390"/>
      <c r="CV584" s="390"/>
      <c r="CW584" s="390"/>
      <c r="CX584" s="390"/>
      <c r="CY584" s="390"/>
      <c r="CZ584" s="390"/>
      <c r="DA584" s="390"/>
      <c r="DB584" s="390"/>
      <c r="DC584" s="390"/>
    </row>
    <row r="585" spans="1:107" s="303" customFormat="1" ht="56.25">
      <c r="A585" s="37"/>
      <c r="B585" s="694" t="s">
        <v>30</v>
      </c>
      <c r="C585" s="320" t="s">
        <v>1185</v>
      </c>
      <c r="D585" s="564" t="s">
        <v>1231</v>
      </c>
      <c r="E585" s="323">
        <v>1030.2872247506953</v>
      </c>
      <c r="F585" s="565" t="s">
        <v>27</v>
      </c>
      <c r="G585" s="566">
        <v>7.8508223668573393E-2</v>
      </c>
      <c r="H585" s="320" t="s">
        <v>110</v>
      </c>
      <c r="I585" s="378">
        <v>0.94387211177801444</v>
      </c>
      <c r="J585" s="320" t="s">
        <v>1097</v>
      </c>
      <c r="K585" s="320" t="s">
        <v>114</v>
      </c>
      <c r="L585" s="320" t="s">
        <v>1270</v>
      </c>
      <c r="M585" s="320" t="s">
        <v>90</v>
      </c>
      <c r="N585" s="324">
        <v>16.562375499975513</v>
      </c>
      <c r="O585" s="324" t="s">
        <v>871</v>
      </c>
      <c r="P585" s="324">
        <v>14.155053479630235</v>
      </c>
      <c r="Q585" s="324" t="s">
        <v>871</v>
      </c>
      <c r="R585" s="37"/>
      <c r="S585" s="320" t="s">
        <v>44</v>
      </c>
      <c r="T585" s="320" t="s">
        <v>63</v>
      </c>
      <c r="U585" s="320" t="s">
        <v>69</v>
      </c>
      <c r="V585" s="320" t="s">
        <v>69</v>
      </c>
      <c r="W585" s="320" t="s">
        <v>76</v>
      </c>
      <c r="X585" s="37"/>
      <c r="Y585" s="37"/>
      <c r="Z585" s="565" t="s">
        <v>78</v>
      </c>
      <c r="AA585" s="565" t="s">
        <v>78</v>
      </c>
      <c r="AB585" s="37"/>
      <c r="AC585" s="816">
        <v>8.7800000000000011</v>
      </c>
      <c r="AD585" s="565" t="s">
        <v>84</v>
      </c>
      <c r="AE585" s="565" t="s">
        <v>73</v>
      </c>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c r="CA585" s="393"/>
      <c r="CB585" s="393"/>
      <c r="CC585" s="393"/>
      <c r="CD585" s="393"/>
      <c r="CE585" s="393"/>
      <c r="CF585" s="393"/>
      <c r="CG585" s="393"/>
      <c r="CH585" s="393"/>
      <c r="CI585" s="393"/>
      <c r="CJ585" s="390"/>
      <c r="CK585" s="390"/>
      <c r="CL585" s="390"/>
      <c r="CM585" s="390"/>
      <c r="CN585" s="390"/>
      <c r="CO585" s="390"/>
      <c r="CP585" s="390"/>
      <c r="CQ585" s="390"/>
      <c r="CR585" s="390"/>
      <c r="CS585" s="390"/>
      <c r="CT585" s="390"/>
      <c r="CU585" s="390"/>
      <c r="CV585" s="390"/>
      <c r="CW585" s="390"/>
      <c r="CX585" s="390"/>
      <c r="CY585" s="390"/>
      <c r="CZ585" s="390"/>
      <c r="DA585" s="390"/>
      <c r="DB585" s="390"/>
      <c r="DC585" s="390"/>
    </row>
    <row r="586" spans="1:107" s="303" customFormat="1" ht="56.25">
      <c r="A586" s="37"/>
      <c r="B586" s="694" t="s">
        <v>30</v>
      </c>
      <c r="C586" s="320" t="s">
        <v>1185</v>
      </c>
      <c r="D586" s="564" t="s">
        <v>1231</v>
      </c>
      <c r="E586" s="323">
        <v>1030.2872247506953</v>
      </c>
      <c r="F586" s="565" t="s">
        <v>27</v>
      </c>
      <c r="G586" s="566">
        <v>7.8508223668573393E-2</v>
      </c>
      <c r="H586" s="320" t="s">
        <v>110</v>
      </c>
      <c r="I586" s="378">
        <v>0.94387211177801444</v>
      </c>
      <c r="J586" s="320" t="s">
        <v>1097</v>
      </c>
      <c r="K586" s="320" t="s">
        <v>114</v>
      </c>
      <c r="L586" s="320" t="s">
        <v>1270</v>
      </c>
      <c r="M586" s="320" t="s">
        <v>91</v>
      </c>
      <c r="N586" s="324">
        <v>16.562375499975513</v>
      </c>
      <c r="O586" s="324" t="s">
        <v>870</v>
      </c>
      <c r="P586" s="324">
        <v>14.155053479630235</v>
      </c>
      <c r="Q586" s="324" t="s">
        <v>870</v>
      </c>
      <c r="R586" s="37"/>
      <c r="S586" s="320" t="s">
        <v>44</v>
      </c>
      <c r="T586" s="320" t="s">
        <v>63</v>
      </c>
      <c r="U586" s="320" t="s">
        <v>870</v>
      </c>
      <c r="V586" s="320" t="s">
        <v>870</v>
      </c>
      <c r="W586" s="320" t="s">
        <v>76</v>
      </c>
      <c r="X586" s="37"/>
      <c r="Y586" s="37"/>
      <c r="Z586" s="565" t="s">
        <v>78</v>
      </c>
      <c r="AA586" s="565" t="s">
        <v>78</v>
      </c>
      <c r="AB586" s="37"/>
      <c r="AC586" s="816">
        <v>8.7800000000000011</v>
      </c>
      <c r="AD586" s="565" t="s">
        <v>84</v>
      </c>
      <c r="AE586" s="565" t="s">
        <v>73</v>
      </c>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c r="CA586" s="393"/>
      <c r="CB586" s="393"/>
      <c r="CC586" s="393"/>
      <c r="CD586" s="393"/>
      <c r="CE586" s="393"/>
      <c r="CF586" s="393"/>
      <c r="CG586" s="393"/>
      <c r="CH586" s="393"/>
      <c r="CI586" s="393"/>
      <c r="CJ586" s="390"/>
      <c r="CK586" s="390"/>
      <c r="CL586" s="390"/>
      <c r="CM586" s="390"/>
      <c r="CN586" s="390"/>
      <c r="CO586" s="390"/>
      <c r="CP586" s="390"/>
      <c r="CQ586" s="390"/>
      <c r="CR586" s="390"/>
      <c r="CS586" s="390"/>
      <c r="CT586" s="390"/>
      <c r="CU586" s="390"/>
      <c r="CV586" s="390"/>
      <c r="CW586" s="390"/>
      <c r="CX586" s="390"/>
      <c r="CY586" s="390"/>
      <c r="CZ586" s="390"/>
      <c r="DA586" s="390"/>
      <c r="DB586" s="390"/>
      <c r="DC586" s="390"/>
    </row>
    <row r="587" spans="1:107" s="303" customFormat="1" ht="56.25">
      <c r="A587" s="37"/>
      <c r="B587" s="694" t="s">
        <v>30</v>
      </c>
      <c r="C587" s="320" t="s">
        <v>1185</v>
      </c>
      <c r="D587" s="564" t="s">
        <v>1231</v>
      </c>
      <c r="E587" s="323">
        <v>1030.2872247506953</v>
      </c>
      <c r="F587" s="565" t="s">
        <v>27</v>
      </c>
      <c r="G587" s="566">
        <v>7.8508223668573393E-2</v>
      </c>
      <c r="H587" s="320" t="s">
        <v>110</v>
      </c>
      <c r="I587" s="378">
        <v>0.94387211177801444</v>
      </c>
      <c r="J587" s="320" t="s">
        <v>1097</v>
      </c>
      <c r="K587" s="320" t="s">
        <v>114</v>
      </c>
      <c r="L587" s="320" t="s">
        <v>1270</v>
      </c>
      <c r="M587" s="320" t="s">
        <v>92</v>
      </c>
      <c r="N587" s="324">
        <v>16.562375499975513</v>
      </c>
      <c r="O587" s="324">
        <v>21.98766481944574</v>
      </c>
      <c r="P587" s="324">
        <v>14.155053479630235</v>
      </c>
      <c r="Q587" s="324">
        <v>8.5507585408955649</v>
      </c>
      <c r="R587" s="37"/>
      <c r="S587" s="320" t="s">
        <v>44</v>
      </c>
      <c r="T587" s="320" t="s">
        <v>63</v>
      </c>
      <c r="U587" s="320" t="s">
        <v>69</v>
      </c>
      <c r="V587" s="320" t="s">
        <v>69</v>
      </c>
      <c r="W587" s="320" t="s">
        <v>76</v>
      </c>
      <c r="X587" s="37"/>
      <c r="Y587" s="37"/>
      <c r="Z587" s="565" t="s">
        <v>78</v>
      </c>
      <c r="AA587" s="565" t="s">
        <v>78</v>
      </c>
      <c r="AB587" s="37"/>
      <c r="AC587" s="816">
        <v>8.7800000000000011</v>
      </c>
      <c r="AD587" s="565" t="s">
        <v>84</v>
      </c>
      <c r="AE587" s="565" t="s">
        <v>73</v>
      </c>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c r="CA587" s="393"/>
      <c r="CB587" s="393"/>
      <c r="CC587" s="393"/>
      <c r="CD587" s="393"/>
      <c r="CE587" s="393"/>
      <c r="CF587" s="393"/>
      <c r="CG587" s="393"/>
      <c r="CH587" s="393"/>
      <c r="CI587" s="393"/>
      <c r="CJ587" s="390"/>
      <c r="CK587" s="390"/>
      <c r="CL587" s="390"/>
      <c r="CM587" s="390"/>
      <c r="CN587" s="390"/>
      <c r="CO587" s="390"/>
      <c r="CP587" s="390"/>
      <c r="CQ587" s="390"/>
      <c r="CR587" s="390"/>
      <c r="CS587" s="390"/>
      <c r="CT587" s="390"/>
      <c r="CU587" s="390"/>
      <c r="CV587" s="390"/>
      <c r="CW587" s="390"/>
      <c r="CX587" s="390"/>
      <c r="CY587" s="390"/>
      <c r="CZ587" s="390"/>
      <c r="DA587" s="390"/>
      <c r="DB587" s="390"/>
      <c r="DC587" s="390"/>
    </row>
    <row r="588" spans="1:107" s="303" customFormat="1" ht="56.25">
      <c r="A588" s="37"/>
      <c r="B588" s="694" t="s">
        <v>30</v>
      </c>
      <c r="C588" s="320" t="s">
        <v>1185</v>
      </c>
      <c r="D588" s="564" t="s">
        <v>1231</v>
      </c>
      <c r="E588" s="323">
        <v>1030.2872247506953</v>
      </c>
      <c r="F588" s="565" t="s">
        <v>27</v>
      </c>
      <c r="G588" s="566">
        <v>7.8508223668573393E-2</v>
      </c>
      <c r="H588" s="320" t="s">
        <v>110</v>
      </c>
      <c r="I588" s="378">
        <v>0.94387211177801444</v>
      </c>
      <c r="J588" s="320" t="s">
        <v>1097</v>
      </c>
      <c r="K588" s="320" t="s">
        <v>114</v>
      </c>
      <c r="L588" s="320" t="s">
        <v>1270</v>
      </c>
      <c r="M588" s="320" t="s">
        <v>93</v>
      </c>
      <c r="N588" s="324">
        <v>16.562375499975513</v>
      </c>
      <c r="O588" s="324">
        <v>23.209201753859393</v>
      </c>
      <c r="P588" s="324">
        <v>14.155053479630235</v>
      </c>
      <c r="Q588" s="324">
        <v>9.7722954753092175</v>
      </c>
      <c r="R588" s="37"/>
      <c r="S588" s="320" t="s">
        <v>44</v>
      </c>
      <c r="T588" s="320" t="s">
        <v>63</v>
      </c>
      <c r="U588" s="320" t="s">
        <v>44</v>
      </c>
      <c r="V588" s="320" t="s">
        <v>75</v>
      </c>
      <c r="W588" s="320" t="s">
        <v>76</v>
      </c>
      <c r="X588" s="37"/>
      <c r="Y588" s="37"/>
      <c r="Z588" s="565" t="s">
        <v>78</v>
      </c>
      <c r="AA588" s="565" t="s">
        <v>78</v>
      </c>
      <c r="AB588" s="37"/>
      <c r="AC588" s="816">
        <v>8.7800000000000011</v>
      </c>
      <c r="AD588" s="565" t="s">
        <v>84</v>
      </c>
      <c r="AE588" s="565" t="s">
        <v>73</v>
      </c>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c r="CA588" s="393"/>
      <c r="CB588" s="393"/>
      <c r="CC588" s="393"/>
      <c r="CD588" s="393"/>
      <c r="CE588" s="393"/>
      <c r="CF588" s="393"/>
      <c r="CG588" s="393"/>
      <c r="CH588" s="393"/>
      <c r="CI588" s="393"/>
      <c r="CJ588" s="390"/>
      <c r="CK588" s="390"/>
      <c r="CL588" s="390"/>
      <c r="CM588" s="390"/>
      <c r="CN588" s="390"/>
      <c r="CO588" s="390"/>
      <c r="CP588" s="390"/>
      <c r="CQ588" s="390"/>
      <c r="CR588" s="390"/>
      <c r="CS588" s="390"/>
      <c r="CT588" s="390"/>
      <c r="CU588" s="390"/>
      <c r="CV588" s="390"/>
      <c r="CW588" s="390"/>
      <c r="CX588" s="390"/>
      <c r="CY588" s="390"/>
      <c r="CZ588" s="390"/>
      <c r="DA588" s="390"/>
      <c r="DB588" s="390"/>
      <c r="DC588" s="390"/>
    </row>
    <row r="589" spans="1:107" s="303" customFormat="1" ht="56.25">
      <c r="A589" s="37"/>
      <c r="B589" s="694" t="s">
        <v>30</v>
      </c>
      <c r="C589" s="320" t="s">
        <v>1185</v>
      </c>
      <c r="D589" s="564" t="s">
        <v>1231</v>
      </c>
      <c r="E589" s="323">
        <v>1030.2872247506953</v>
      </c>
      <c r="F589" s="565" t="s">
        <v>27</v>
      </c>
      <c r="G589" s="566">
        <v>7.8508223668573393E-2</v>
      </c>
      <c r="H589" s="320" t="s">
        <v>110</v>
      </c>
      <c r="I589" s="378">
        <v>0.94387211177801444</v>
      </c>
      <c r="J589" s="320" t="s">
        <v>1097</v>
      </c>
      <c r="K589" s="320" t="s">
        <v>114</v>
      </c>
      <c r="L589" s="320" t="s">
        <v>960</v>
      </c>
      <c r="M589" s="320" t="s">
        <v>88</v>
      </c>
      <c r="N589" s="324">
        <v>34.8836126324736</v>
      </c>
      <c r="O589" s="324">
        <v>13.436906278550175</v>
      </c>
      <c r="P589" s="324">
        <v>32.626483721773965</v>
      </c>
      <c r="Q589" s="324" t="s">
        <v>871</v>
      </c>
      <c r="R589" s="37"/>
      <c r="S589" s="320" t="s">
        <v>69</v>
      </c>
      <c r="T589" s="320" t="s">
        <v>69</v>
      </c>
      <c r="U589" s="320" t="s">
        <v>69</v>
      </c>
      <c r="V589" s="320" t="s">
        <v>69</v>
      </c>
      <c r="W589" s="320" t="s">
        <v>76</v>
      </c>
      <c r="X589" s="37"/>
      <c r="Y589" s="37"/>
      <c r="Z589" s="565" t="s">
        <v>78</v>
      </c>
      <c r="AA589" s="565" t="s">
        <v>78</v>
      </c>
      <c r="AB589" s="37"/>
      <c r="AC589" s="816">
        <v>8.7800000000000011</v>
      </c>
      <c r="AD589" s="565" t="s">
        <v>84</v>
      </c>
      <c r="AE589" s="565" t="s">
        <v>73</v>
      </c>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c r="CA589" s="393"/>
      <c r="CB589" s="393"/>
      <c r="CC589" s="393"/>
      <c r="CD589" s="393"/>
      <c r="CE589" s="393"/>
      <c r="CF589" s="393"/>
      <c r="CG589" s="393"/>
      <c r="CH589" s="393"/>
      <c r="CI589" s="393"/>
      <c r="CJ589" s="390"/>
      <c r="CK589" s="390"/>
      <c r="CL589" s="390"/>
      <c r="CM589" s="390"/>
      <c r="CN589" s="390"/>
      <c r="CO589" s="390"/>
      <c r="CP589" s="390"/>
      <c r="CQ589" s="390"/>
      <c r="CR589" s="390"/>
      <c r="CS589" s="390"/>
      <c r="CT589" s="390"/>
      <c r="CU589" s="390"/>
      <c r="CV589" s="390"/>
      <c r="CW589" s="390"/>
      <c r="CX589" s="390"/>
      <c r="CY589" s="390"/>
      <c r="CZ589" s="390"/>
      <c r="DA589" s="390"/>
      <c r="DB589" s="390"/>
      <c r="DC589" s="390"/>
    </row>
    <row r="590" spans="1:107" s="303" customFormat="1" ht="56.25">
      <c r="A590" s="37"/>
      <c r="B590" s="694" t="s">
        <v>30</v>
      </c>
      <c r="C590" s="320" t="s">
        <v>1185</v>
      </c>
      <c r="D590" s="564" t="s">
        <v>1231</v>
      </c>
      <c r="E590" s="323">
        <v>1030.2872247506953</v>
      </c>
      <c r="F590" s="565" t="s">
        <v>27</v>
      </c>
      <c r="G590" s="566">
        <v>7.8508223668573393E-2</v>
      </c>
      <c r="H590" s="320" t="s">
        <v>110</v>
      </c>
      <c r="I590" s="378">
        <v>0.94387211177801444</v>
      </c>
      <c r="J590" s="320" t="s">
        <v>1097</v>
      </c>
      <c r="K590" s="320" t="s">
        <v>114</v>
      </c>
      <c r="L590" s="320" t="s">
        <v>960</v>
      </c>
      <c r="M590" s="320" t="s">
        <v>90</v>
      </c>
      <c r="N590" s="324">
        <v>34.8836126324736</v>
      </c>
      <c r="O590" s="324" t="s">
        <v>871</v>
      </c>
      <c r="P590" s="324">
        <v>32.626483721773965</v>
      </c>
      <c r="Q590" s="324" t="s">
        <v>871</v>
      </c>
      <c r="R590" s="37"/>
      <c r="S590" s="320" t="s">
        <v>69</v>
      </c>
      <c r="T590" s="320" t="s">
        <v>69</v>
      </c>
      <c r="U590" s="320" t="s">
        <v>69</v>
      </c>
      <c r="V590" s="320" t="s">
        <v>69</v>
      </c>
      <c r="W590" s="320" t="s">
        <v>76</v>
      </c>
      <c r="X590" s="37"/>
      <c r="Y590" s="37"/>
      <c r="Z590" s="565" t="s">
        <v>78</v>
      </c>
      <c r="AA590" s="565" t="s">
        <v>78</v>
      </c>
      <c r="AB590" s="37"/>
      <c r="AC590" s="816">
        <v>8.7800000000000011</v>
      </c>
      <c r="AD590" s="565" t="s">
        <v>84</v>
      </c>
      <c r="AE590" s="565" t="s">
        <v>73</v>
      </c>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c r="CA590" s="393"/>
      <c r="CB590" s="393"/>
      <c r="CC590" s="393"/>
      <c r="CD590" s="393"/>
      <c r="CE590" s="393"/>
      <c r="CF590" s="393"/>
      <c r="CG590" s="393"/>
      <c r="CH590" s="393"/>
      <c r="CI590" s="393"/>
      <c r="CJ590" s="390"/>
      <c r="CK590" s="390"/>
      <c r="CL590" s="390"/>
      <c r="CM590" s="390"/>
      <c r="CN590" s="390"/>
      <c r="CO590" s="390"/>
      <c r="CP590" s="390"/>
      <c r="CQ590" s="390"/>
      <c r="CR590" s="390"/>
      <c r="CS590" s="390"/>
      <c r="CT590" s="390"/>
      <c r="CU590" s="390"/>
      <c r="CV590" s="390"/>
      <c r="CW590" s="390"/>
      <c r="CX590" s="390"/>
      <c r="CY590" s="390"/>
      <c r="CZ590" s="390"/>
      <c r="DA590" s="390"/>
      <c r="DB590" s="390"/>
      <c r="DC590" s="390"/>
    </row>
    <row r="591" spans="1:107" s="303" customFormat="1" ht="56.25">
      <c r="A591" s="37"/>
      <c r="B591" s="694" t="s">
        <v>30</v>
      </c>
      <c r="C591" s="320" t="s">
        <v>1185</v>
      </c>
      <c r="D591" s="564" t="s">
        <v>1231</v>
      </c>
      <c r="E591" s="323">
        <v>1030.2872247506953</v>
      </c>
      <c r="F591" s="565" t="s">
        <v>27</v>
      </c>
      <c r="G591" s="566">
        <v>7.8508223668573393E-2</v>
      </c>
      <c r="H591" s="320" t="s">
        <v>110</v>
      </c>
      <c r="I591" s="378">
        <v>0.94387211177801444</v>
      </c>
      <c r="J591" s="320" t="s">
        <v>1097</v>
      </c>
      <c r="K591" s="320" t="s">
        <v>114</v>
      </c>
      <c r="L591" s="320" t="s">
        <v>960</v>
      </c>
      <c r="M591" s="320" t="s">
        <v>91</v>
      </c>
      <c r="N591" s="324">
        <v>34.8836126324736</v>
      </c>
      <c r="O591" s="324" t="s">
        <v>870</v>
      </c>
      <c r="P591" s="324">
        <v>32.626483721773965</v>
      </c>
      <c r="Q591" s="324" t="s">
        <v>870</v>
      </c>
      <c r="R591" s="37"/>
      <c r="S591" s="320" t="s">
        <v>69</v>
      </c>
      <c r="T591" s="320" t="s">
        <v>69</v>
      </c>
      <c r="U591" s="320" t="s">
        <v>870</v>
      </c>
      <c r="V591" s="320" t="s">
        <v>870</v>
      </c>
      <c r="W591" s="320" t="s">
        <v>76</v>
      </c>
      <c r="X591" s="37"/>
      <c r="Y591" s="37"/>
      <c r="Z591" s="565" t="s">
        <v>78</v>
      </c>
      <c r="AA591" s="565" t="s">
        <v>78</v>
      </c>
      <c r="AB591" s="37"/>
      <c r="AC591" s="816">
        <v>8.7800000000000011</v>
      </c>
      <c r="AD591" s="565" t="s">
        <v>84</v>
      </c>
      <c r="AE591" s="565" t="s">
        <v>73</v>
      </c>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c r="CA591" s="393"/>
      <c r="CB591" s="393"/>
      <c r="CC591" s="393"/>
      <c r="CD591" s="393"/>
      <c r="CE591" s="393"/>
      <c r="CF591" s="393"/>
      <c r="CG591" s="393"/>
      <c r="CH591" s="393"/>
      <c r="CI591" s="393"/>
      <c r="CJ591" s="390"/>
      <c r="CK591" s="390"/>
      <c r="CL591" s="390"/>
      <c r="CM591" s="390"/>
      <c r="CN591" s="390"/>
      <c r="CO591" s="390"/>
      <c r="CP591" s="390"/>
      <c r="CQ591" s="390"/>
      <c r="CR591" s="390"/>
      <c r="CS591" s="390"/>
      <c r="CT591" s="390"/>
      <c r="CU591" s="390"/>
      <c r="CV591" s="390"/>
      <c r="CW591" s="390"/>
      <c r="CX591" s="390"/>
      <c r="CY591" s="390"/>
      <c r="CZ591" s="390"/>
      <c r="DA591" s="390"/>
      <c r="DB591" s="390"/>
      <c r="DC591" s="390"/>
    </row>
    <row r="592" spans="1:107" s="303" customFormat="1" ht="56.25">
      <c r="A592" s="37"/>
      <c r="B592" s="694" t="s">
        <v>30</v>
      </c>
      <c r="C592" s="320" t="s">
        <v>1185</v>
      </c>
      <c r="D592" s="564" t="s">
        <v>1231</v>
      </c>
      <c r="E592" s="323">
        <v>1030.2872247506953</v>
      </c>
      <c r="F592" s="565" t="s">
        <v>27</v>
      </c>
      <c r="G592" s="566">
        <v>7.8508223668573393E-2</v>
      </c>
      <c r="H592" s="320" t="s">
        <v>110</v>
      </c>
      <c r="I592" s="378">
        <v>0.94387211177801444</v>
      </c>
      <c r="J592" s="320" t="s">
        <v>1097</v>
      </c>
      <c r="K592" s="320" t="s">
        <v>114</v>
      </c>
      <c r="L592" s="320" t="s">
        <v>960</v>
      </c>
      <c r="M592" s="320" t="s">
        <v>92</v>
      </c>
      <c r="N592" s="324">
        <v>34.8836126324736</v>
      </c>
      <c r="O592" s="324">
        <v>21.98766481944574</v>
      </c>
      <c r="P592" s="324">
        <v>32.626483721773965</v>
      </c>
      <c r="Q592" s="324">
        <v>8.5507585408955649</v>
      </c>
      <c r="R592" s="37"/>
      <c r="S592" s="320" t="s">
        <v>69</v>
      </c>
      <c r="T592" s="320" t="s">
        <v>69</v>
      </c>
      <c r="U592" s="320" t="s">
        <v>69</v>
      </c>
      <c r="V592" s="320" t="s">
        <v>69</v>
      </c>
      <c r="W592" s="320" t="s">
        <v>76</v>
      </c>
      <c r="X592" s="37"/>
      <c r="Y592" s="37"/>
      <c r="Z592" s="565" t="s">
        <v>78</v>
      </c>
      <c r="AA592" s="565" t="s">
        <v>78</v>
      </c>
      <c r="AB592" s="37"/>
      <c r="AC592" s="816">
        <v>8.7800000000000011</v>
      </c>
      <c r="AD592" s="565" t="s">
        <v>84</v>
      </c>
      <c r="AE592" s="565" t="s">
        <v>73</v>
      </c>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c r="CA592" s="393"/>
      <c r="CB592" s="393"/>
      <c r="CC592" s="393"/>
      <c r="CD592" s="393"/>
      <c r="CE592" s="393"/>
      <c r="CF592" s="393"/>
      <c r="CG592" s="393"/>
      <c r="CH592" s="393"/>
      <c r="CI592" s="393"/>
      <c r="CJ592" s="390"/>
      <c r="CK592" s="390"/>
      <c r="CL592" s="390"/>
      <c r="CM592" s="390"/>
      <c r="CN592" s="390"/>
      <c r="CO592" s="390"/>
      <c r="CP592" s="390"/>
      <c r="CQ592" s="390"/>
      <c r="CR592" s="390"/>
      <c r="CS592" s="390"/>
      <c r="CT592" s="390"/>
      <c r="CU592" s="390"/>
      <c r="CV592" s="390"/>
      <c r="CW592" s="390"/>
      <c r="CX592" s="390"/>
      <c r="CY592" s="390"/>
      <c r="CZ592" s="390"/>
      <c r="DA592" s="390"/>
      <c r="DB592" s="390"/>
      <c r="DC592" s="390"/>
    </row>
    <row r="593" spans="1:107" s="303" customFormat="1" ht="56.25">
      <c r="A593" s="37"/>
      <c r="B593" s="694" t="s">
        <v>30</v>
      </c>
      <c r="C593" s="320" t="s">
        <v>1185</v>
      </c>
      <c r="D593" s="564" t="s">
        <v>1231</v>
      </c>
      <c r="E593" s="323">
        <v>1030.2872247506953</v>
      </c>
      <c r="F593" s="565" t="s">
        <v>27</v>
      </c>
      <c r="G593" s="566">
        <v>7.8508223668573393E-2</v>
      </c>
      <c r="H593" s="320" t="s">
        <v>110</v>
      </c>
      <c r="I593" s="378">
        <v>0.94387211177801444</v>
      </c>
      <c r="J593" s="320" t="s">
        <v>1097</v>
      </c>
      <c r="K593" s="320" t="s">
        <v>114</v>
      </c>
      <c r="L593" s="320" t="s">
        <v>960</v>
      </c>
      <c r="M593" s="320" t="s">
        <v>93</v>
      </c>
      <c r="N593" s="324">
        <v>34.8836126324736</v>
      </c>
      <c r="O593" s="324">
        <v>23.209201753859393</v>
      </c>
      <c r="P593" s="324">
        <v>32.626483721773965</v>
      </c>
      <c r="Q593" s="324">
        <v>9.7722954753092175</v>
      </c>
      <c r="R593" s="37"/>
      <c r="S593" s="320" t="s">
        <v>69</v>
      </c>
      <c r="T593" s="320" t="s">
        <v>69</v>
      </c>
      <c r="U593" s="320" t="s">
        <v>44</v>
      </c>
      <c r="V593" s="320" t="s">
        <v>75</v>
      </c>
      <c r="W593" s="320" t="s">
        <v>76</v>
      </c>
      <c r="X593" s="37"/>
      <c r="Y593" s="37"/>
      <c r="Z593" s="565" t="s">
        <v>78</v>
      </c>
      <c r="AA593" s="565" t="s">
        <v>78</v>
      </c>
      <c r="AB593" s="37"/>
      <c r="AC593" s="816">
        <v>8.7800000000000011</v>
      </c>
      <c r="AD593" s="565" t="s">
        <v>84</v>
      </c>
      <c r="AE593" s="565" t="s">
        <v>73</v>
      </c>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c r="CA593" s="393"/>
      <c r="CB593" s="393"/>
      <c r="CC593" s="393"/>
      <c r="CD593" s="393"/>
      <c r="CE593" s="393"/>
      <c r="CF593" s="393"/>
      <c r="CG593" s="393"/>
      <c r="CH593" s="393"/>
      <c r="CI593" s="393"/>
      <c r="CJ593" s="390"/>
      <c r="CK593" s="390"/>
      <c r="CL593" s="390"/>
      <c r="CM593" s="390"/>
      <c r="CN593" s="390"/>
      <c r="CO593" s="390"/>
      <c r="CP593" s="390"/>
      <c r="CQ593" s="390"/>
      <c r="CR593" s="390"/>
      <c r="CS593" s="390"/>
      <c r="CT593" s="390"/>
      <c r="CU593" s="390"/>
      <c r="CV593" s="390"/>
      <c r="CW593" s="390"/>
      <c r="CX593" s="390"/>
      <c r="CY593" s="390"/>
      <c r="CZ593" s="390"/>
      <c r="DA593" s="390"/>
      <c r="DB593" s="390"/>
      <c r="DC593" s="390"/>
    </row>
    <row r="594" spans="1:107" s="303" customFormat="1" ht="33.75">
      <c r="A594" s="37"/>
      <c r="B594" s="694" t="s">
        <v>30</v>
      </c>
      <c r="C594" s="320" t="s">
        <v>1185</v>
      </c>
      <c r="D594" s="564" t="s">
        <v>1231</v>
      </c>
      <c r="E594" s="323">
        <v>1030.2872247506953</v>
      </c>
      <c r="F594" s="565" t="s">
        <v>846</v>
      </c>
      <c r="G594" s="566">
        <v>9.300176094017075E-2</v>
      </c>
      <c r="H594" s="320" t="s">
        <v>110</v>
      </c>
      <c r="I594" s="378">
        <v>0.91808838242670321</v>
      </c>
      <c r="J594" s="320" t="s">
        <v>25</v>
      </c>
      <c r="K594" s="320" t="s">
        <v>114</v>
      </c>
      <c r="L594" s="320" t="s">
        <v>1270</v>
      </c>
      <c r="M594" s="320" t="s">
        <v>88</v>
      </c>
      <c r="N594" s="324">
        <v>60.68506657811821</v>
      </c>
      <c r="O594" s="324">
        <v>15.482698123800628</v>
      </c>
      <c r="P594" s="324">
        <v>60.68506657811821</v>
      </c>
      <c r="Q594" s="324" t="s">
        <v>871</v>
      </c>
      <c r="R594" s="37"/>
      <c r="S594" s="320" t="s">
        <v>44</v>
      </c>
      <c r="T594" s="320" t="s">
        <v>63</v>
      </c>
      <c r="U594" s="320" t="s">
        <v>69</v>
      </c>
      <c r="V594" s="320" t="s">
        <v>69</v>
      </c>
      <c r="W594" s="320" t="s">
        <v>76</v>
      </c>
      <c r="X594" s="37"/>
      <c r="Y594" s="37"/>
      <c r="Z594" s="565" t="s">
        <v>78</v>
      </c>
      <c r="AA594" s="565" t="s">
        <v>78</v>
      </c>
      <c r="AB594" s="37"/>
      <c r="AC594" s="816">
        <v>8.7800000000000011</v>
      </c>
      <c r="AD594" s="565" t="s">
        <v>84</v>
      </c>
      <c r="AE594" s="565" t="s">
        <v>73</v>
      </c>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c r="CA594" s="393"/>
      <c r="CB594" s="393"/>
      <c r="CC594" s="393"/>
      <c r="CD594" s="393"/>
      <c r="CE594" s="393"/>
      <c r="CF594" s="393"/>
      <c r="CG594" s="393"/>
      <c r="CH594" s="393"/>
      <c r="CI594" s="393"/>
      <c r="CJ594" s="390"/>
      <c r="CK594" s="390"/>
      <c r="CL594" s="390"/>
      <c r="CM594" s="390"/>
      <c r="CN594" s="390"/>
      <c r="CO594" s="390"/>
      <c r="CP594" s="390"/>
      <c r="CQ594" s="390"/>
      <c r="CR594" s="390"/>
      <c r="CS594" s="390"/>
      <c r="CT594" s="390"/>
      <c r="CU594" s="390"/>
      <c r="CV594" s="390"/>
      <c r="CW594" s="390"/>
      <c r="CX594" s="390"/>
      <c r="CY594" s="390"/>
      <c r="CZ594" s="390"/>
      <c r="DA594" s="390"/>
      <c r="DB594" s="390"/>
      <c r="DC594" s="390"/>
    </row>
    <row r="595" spans="1:107" s="303" customFormat="1" ht="33.75">
      <c r="A595" s="37"/>
      <c r="B595" s="694" t="s">
        <v>30</v>
      </c>
      <c r="C595" s="320" t="s">
        <v>1185</v>
      </c>
      <c r="D595" s="564" t="s">
        <v>1231</v>
      </c>
      <c r="E595" s="323">
        <v>1030.2872247506953</v>
      </c>
      <c r="F595" s="565" t="s">
        <v>846</v>
      </c>
      <c r="G595" s="566">
        <v>9.300176094017075E-2</v>
      </c>
      <c r="H595" s="320" t="s">
        <v>110</v>
      </c>
      <c r="I595" s="378">
        <v>0.91808838242670321</v>
      </c>
      <c r="J595" s="320" t="s">
        <v>25</v>
      </c>
      <c r="K595" s="320" t="s">
        <v>114</v>
      </c>
      <c r="L595" s="320" t="s">
        <v>1270</v>
      </c>
      <c r="M595" s="320" t="s">
        <v>90</v>
      </c>
      <c r="N595" s="324">
        <v>60.68506657811821</v>
      </c>
      <c r="O595" s="324" t="s">
        <v>871</v>
      </c>
      <c r="P595" s="324">
        <v>60.68506657811821</v>
      </c>
      <c r="Q595" s="324" t="s">
        <v>871</v>
      </c>
      <c r="R595" s="37"/>
      <c r="S595" s="320" t="s">
        <v>44</v>
      </c>
      <c r="T595" s="320" t="s">
        <v>63</v>
      </c>
      <c r="U595" s="320" t="s">
        <v>69</v>
      </c>
      <c r="V595" s="320" t="s">
        <v>69</v>
      </c>
      <c r="W595" s="320" t="s">
        <v>76</v>
      </c>
      <c r="X595" s="37"/>
      <c r="Y595" s="37"/>
      <c r="Z595" s="565" t="s">
        <v>78</v>
      </c>
      <c r="AA595" s="565" t="s">
        <v>78</v>
      </c>
      <c r="AB595" s="37"/>
      <c r="AC595" s="816">
        <v>8.7800000000000011</v>
      </c>
      <c r="AD595" s="565" t="s">
        <v>84</v>
      </c>
      <c r="AE595" s="565" t="s">
        <v>73</v>
      </c>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c r="CA595" s="393"/>
      <c r="CB595" s="393"/>
      <c r="CC595" s="393"/>
      <c r="CD595" s="393"/>
      <c r="CE595" s="393"/>
      <c r="CF595" s="393"/>
      <c r="CG595" s="393"/>
      <c r="CH595" s="393"/>
      <c r="CI595" s="393"/>
      <c r="CJ595" s="390"/>
      <c r="CK595" s="390"/>
      <c r="CL595" s="390"/>
      <c r="CM595" s="390"/>
      <c r="CN595" s="390"/>
      <c r="CO595" s="390"/>
      <c r="CP595" s="390"/>
      <c r="CQ595" s="390"/>
      <c r="CR595" s="390"/>
      <c r="CS595" s="390"/>
      <c r="CT595" s="390"/>
      <c r="CU595" s="390"/>
      <c r="CV595" s="390"/>
      <c r="CW595" s="390"/>
      <c r="CX595" s="390"/>
      <c r="CY595" s="390"/>
      <c r="CZ595" s="390"/>
      <c r="DA595" s="390"/>
      <c r="DB595" s="390"/>
      <c r="DC595" s="390"/>
    </row>
    <row r="596" spans="1:107" s="303" customFormat="1" ht="33.75">
      <c r="A596" s="37"/>
      <c r="B596" s="694" t="s">
        <v>30</v>
      </c>
      <c r="C596" s="320" t="s">
        <v>1185</v>
      </c>
      <c r="D596" s="564" t="s">
        <v>1231</v>
      </c>
      <c r="E596" s="323">
        <v>1030.2872247506953</v>
      </c>
      <c r="F596" s="565" t="s">
        <v>846</v>
      </c>
      <c r="G596" s="566">
        <v>9.300176094017075E-2</v>
      </c>
      <c r="H596" s="320" t="s">
        <v>110</v>
      </c>
      <c r="I596" s="378">
        <v>0.91808838242670321</v>
      </c>
      <c r="J596" s="320" t="s">
        <v>25</v>
      </c>
      <c r="K596" s="320" t="s">
        <v>114</v>
      </c>
      <c r="L596" s="320" t="s">
        <v>1270</v>
      </c>
      <c r="M596" s="320" t="s">
        <v>91</v>
      </c>
      <c r="N596" s="324">
        <v>60.68506657811821</v>
      </c>
      <c r="O596" s="324" t="s">
        <v>870</v>
      </c>
      <c r="P596" s="324">
        <v>60.68506657811821</v>
      </c>
      <c r="Q596" s="324" t="s">
        <v>870</v>
      </c>
      <c r="R596" s="37"/>
      <c r="S596" s="320" t="s">
        <v>44</v>
      </c>
      <c r="T596" s="320" t="s">
        <v>63</v>
      </c>
      <c r="U596" s="320" t="s">
        <v>870</v>
      </c>
      <c r="V596" s="320" t="s">
        <v>870</v>
      </c>
      <c r="W596" s="320" t="s">
        <v>76</v>
      </c>
      <c r="X596" s="37"/>
      <c r="Y596" s="37"/>
      <c r="Z596" s="565" t="s">
        <v>78</v>
      </c>
      <c r="AA596" s="565" t="s">
        <v>78</v>
      </c>
      <c r="AB596" s="37"/>
      <c r="AC596" s="816">
        <v>8.7800000000000011</v>
      </c>
      <c r="AD596" s="565" t="s">
        <v>84</v>
      </c>
      <c r="AE596" s="565" t="s">
        <v>73</v>
      </c>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c r="CA596" s="393"/>
      <c r="CB596" s="393"/>
      <c r="CC596" s="393"/>
      <c r="CD596" s="393"/>
      <c r="CE596" s="393"/>
      <c r="CF596" s="393"/>
      <c r="CG596" s="393"/>
      <c r="CH596" s="393"/>
      <c r="CI596" s="393"/>
      <c r="CJ596" s="390"/>
      <c r="CK596" s="390"/>
      <c r="CL596" s="390"/>
      <c r="CM596" s="390"/>
      <c r="CN596" s="390"/>
      <c r="CO596" s="390"/>
      <c r="CP596" s="390"/>
      <c r="CQ596" s="390"/>
      <c r="CR596" s="390"/>
      <c r="CS596" s="390"/>
      <c r="CT596" s="390"/>
      <c r="CU596" s="390"/>
      <c r="CV596" s="390"/>
      <c r="CW596" s="390"/>
      <c r="CX596" s="390"/>
      <c r="CY596" s="390"/>
      <c r="CZ596" s="390"/>
      <c r="DA596" s="390"/>
      <c r="DB596" s="390"/>
      <c r="DC596" s="390"/>
    </row>
    <row r="597" spans="1:107" s="303" customFormat="1" ht="33.75">
      <c r="A597" s="37"/>
      <c r="B597" s="694" t="s">
        <v>30</v>
      </c>
      <c r="C597" s="320" t="s">
        <v>1185</v>
      </c>
      <c r="D597" s="564" t="s">
        <v>1231</v>
      </c>
      <c r="E597" s="323">
        <v>1030.2872247506953</v>
      </c>
      <c r="F597" s="565" t="s">
        <v>846</v>
      </c>
      <c r="G597" s="566">
        <v>9.300176094017075E-2</v>
      </c>
      <c r="H597" s="320" t="s">
        <v>110</v>
      </c>
      <c r="I597" s="378">
        <v>0.91808838242670321</v>
      </c>
      <c r="J597" s="320" t="s">
        <v>25</v>
      </c>
      <c r="K597" s="320" t="s">
        <v>114</v>
      </c>
      <c r="L597" s="320" t="s">
        <v>1270</v>
      </c>
      <c r="M597" s="320" t="s">
        <v>92</v>
      </c>
      <c r="N597" s="324">
        <v>60.68506657811821</v>
      </c>
      <c r="O597" s="324">
        <v>25.335324202582843</v>
      </c>
      <c r="P597" s="324">
        <v>60.68506657811821</v>
      </c>
      <c r="Q597" s="324">
        <v>9.8526260787822171</v>
      </c>
      <c r="R597" s="37"/>
      <c r="S597" s="320" t="s">
        <v>44</v>
      </c>
      <c r="T597" s="320" t="s">
        <v>63</v>
      </c>
      <c r="U597" s="320" t="s">
        <v>69</v>
      </c>
      <c r="V597" s="320" t="s">
        <v>69</v>
      </c>
      <c r="W597" s="320" t="s">
        <v>76</v>
      </c>
      <c r="X597" s="37"/>
      <c r="Y597" s="37"/>
      <c r="Z597" s="565" t="s">
        <v>78</v>
      </c>
      <c r="AA597" s="565" t="s">
        <v>78</v>
      </c>
      <c r="AB597" s="37"/>
      <c r="AC597" s="816">
        <v>8.7800000000000011</v>
      </c>
      <c r="AD597" s="565" t="s">
        <v>84</v>
      </c>
      <c r="AE597" s="565" t="s">
        <v>73</v>
      </c>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c r="CA597" s="393"/>
      <c r="CB597" s="393"/>
      <c r="CC597" s="393"/>
      <c r="CD597" s="393"/>
      <c r="CE597" s="393"/>
      <c r="CF597" s="393"/>
      <c r="CG597" s="393"/>
      <c r="CH597" s="393"/>
      <c r="CI597" s="393"/>
      <c r="CJ597" s="390"/>
      <c r="CK597" s="390"/>
      <c r="CL597" s="390"/>
      <c r="CM597" s="390"/>
      <c r="CN597" s="390"/>
      <c r="CO597" s="390"/>
      <c r="CP597" s="390"/>
      <c r="CQ597" s="390"/>
      <c r="CR597" s="390"/>
      <c r="CS597" s="390"/>
      <c r="CT597" s="390"/>
      <c r="CU597" s="390"/>
      <c r="CV597" s="390"/>
      <c r="CW597" s="390"/>
      <c r="CX597" s="390"/>
      <c r="CY597" s="390"/>
      <c r="CZ597" s="390"/>
      <c r="DA597" s="390"/>
      <c r="DB597" s="390"/>
      <c r="DC597" s="390"/>
    </row>
    <row r="598" spans="1:107" s="303" customFormat="1" ht="33.75">
      <c r="A598" s="37"/>
      <c r="B598" s="694" t="s">
        <v>30</v>
      </c>
      <c r="C598" s="320" t="s">
        <v>1185</v>
      </c>
      <c r="D598" s="564" t="s">
        <v>1231</v>
      </c>
      <c r="E598" s="323">
        <v>1030.2872247506953</v>
      </c>
      <c r="F598" s="565" t="s">
        <v>846</v>
      </c>
      <c r="G598" s="566">
        <v>9.300176094017075E-2</v>
      </c>
      <c r="H598" s="320" t="s">
        <v>110</v>
      </c>
      <c r="I598" s="378">
        <v>0.91808838242670321</v>
      </c>
      <c r="J598" s="320" t="s">
        <v>25</v>
      </c>
      <c r="K598" s="320" t="s">
        <v>114</v>
      </c>
      <c r="L598" s="320" t="s">
        <v>1270</v>
      </c>
      <c r="M598" s="320" t="s">
        <v>93</v>
      </c>
      <c r="N598" s="324">
        <v>60.68506657811821</v>
      </c>
      <c r="O598" s="324">
        <v>26.742842213837445</v>
      </c>
      <c r="P598" s="324">
        <v>60.68506657811821</v>
      </c>
      <c r="Q598" s="324">
        <v>11.260144090036819</v>
      </c>
      <c r="R598" s="37"/>
      <c r="S598" s="320" t="s">
        <v>44</v>
      </c>
      <c r="T598" s="320" t="s">
        <v>63</v>
      </c>
      <c r="U598" s="320" t="s">
        <v>44</v>
      </c>
      <c r="V598" s="320" t="s">
        <v>75</v>
      </c>
      <c r="W598" s="320" t="s">
        <v>76</v>
      </c>
      <c r="X598" s="37"/>
      <c r="Y598" s="37"/>
      <c r="Z598" s="565" t="s">
        <v>78</v>
      </c>
      <c r="AA598" s="565" t="s">
        <v>78</v>
      </c>
      <c r="AB598" s="37"/>
      <c r="AC598" s="816">
        <v>8.7800000000000011</v>
      </c>
      <c r="AD598" s="565" t="s">
        <v>84</v>
      </c>
      <c r="AE598" s="565" t="s">
        <v>73</v>
      </c>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c r="CA598" s="393"/>
      <c r="CB598" s="393"/>
      <c r="CC598" s="393"/>
      <c r="CD598" s="393"/>
      <c r="CE598" s="393"/>
      <c r="CF598" s="393"/>
      <c r="CG598" s="393"/>
      <c r="CH598" s="393"/>
      <c r="CI598" s="393"/>
      <c r="CJ598" s="390"/>
      <c r="CK598" s="390"/>
      <c r="CL598" s="390"/>
      <c r="CM598" s="390"/>
      <c r="CN598" s="390"/>
      <c r="CO598" s="390"/>
      <c r="CP598" s="390"/>
      <c r="CQ598" s="390"/>
      <c r="CR598" s="390"/>
      <c r="CS598" s="390"/>
      <c r="CT598" s="390"/>
      <c r="CU598" s="390"/>
      <c r="CV598" s="390"/>
      <c r="CW598" s="390"/>
      <c r="CX598" s="390"/>
      <c r="CY598" s="390"/>
      <c r="CZ598" s="390"/>
      <c r="DA598" s="390"/>
      <c r="DB598" s="390"/>
      <c r="DC598" s="390"/>
    </row>
    <row r="599" spans="1:107" s="303" customFormat="1" ht="33.75">
      <c r="A599" s="37"/>
      <c r="B599" s="694" t="s">
        <v>30</v>
      </c>
      <c r="C599" s="320" t="s">
        <v>1185</v>
      </c>
      <c r="D599" s="564" t="s">
        <v>1231</v>
      </c>
      <c r="E599" s="323">
        <v>1030.2872247506953</v>
      </c>
      <c r="F599" s="565" t="s">
        <v>846</v>
      </c>
      <c r="G599" s="566">
        <v>9.300176094017075E-2</v>
      </c>
      <c r="H599" s="320" t="s">
        <v>110</v>
      </c>
      <c r="I599" s="378">
        <v>0.91808838242670321</v>
      </c>
      <c r="J599" s="320" t="s">
        <v>25</v>
      </c>
      <c r="K599" s="320" t="s">
        <v>114</v>
      </c>
      <c r="L599" s="320" t="s">
        <v>24</v>
      </c>
      <c r="M599" s="320" t="s">
        <v>88</v>
      </c>
      <c r="N599" s="324">
        <v>55.894140269319408</v>
      </c>
      <c r="O599" s="324">
        <v>15.482698123800628</v>
      </c>
      <c r="P599" s="324">
        <v>55.894140269319408</v>
      </c>
      <c r="Q599" s="324" t="s">
        <v>871</v>
      </c>
      <c r="R599" s="37"/>
      <c r="S599" s="565" t="s">
        <v>68</v>
      </c>
      <c r="T599" s="565" t="s">
        <v>63</v>
      </c>
      <c r="U599" s="320" t="s">
        <v>69</v>
      </c>
      <c r="V599" s="320" t="s">
        <v>69</v>
      </c>
      <c r="W599" s="565" t="s">
        <v>70</v>
      </c>
      <c r="X599" s="37"/>
      <c r="Y599" s="37"/>
      <c r="Z599" s="565" t="s">
        <v>78</v>
      </c>
      <c r="AA599" s="565" t="s">
        <v>78</v>
      </c>
      <c r="AB599" s="37"/>
      <c r="AC599" s="816">
        <v>8.7800000000000011</v>
      </c>
      <c r="AD599" s="565" t="s">
        <v>84</v>
      </c>
      <c r="AE599" s="565" t="s">
        <v>73</v>
      </c>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c r="CA599" s="393"/>
      <c r="CB599" s="393"/>
      <c r="CC599" s="393"/>
      <c r="CD599" s="393"/>
      <c r="CE599" s="393"/>
      <c r="CF599" s="393"/>
      <c r="CG599" s="393"/>
      <c r="CH599" s="393"/>
      <c r="CI599" s="393"/>
      <c r="CJ599" s="390"/>
      <c r="CK599" s="390"/>
      <c r="CL599" s="390"/>
      <c r="CM599" s="390"/>
      <c r="CN599" s="390"/>
      <c r="CO599" s="390"/>
      <c r="CP599" s="390"/>
      <c r="CQ599" s="390"/>
      <c r="CR599" s="390"/>
      <c r="CS599" s="390"/>
      <c r="CT599" s="390"/>
      <c r="CU599" s="390"/>
      <c r="CV599" s="390"/>
      <c r="CW599" s="390"/>
      <c r="CX599" s="390"/>
      <c r="CY599" s="390"/>
      <c r="CZ599" s="390"/>
      <c r="DA599" s="390"/>
      <c r="DB599" s="390"/>
      <c r="DC599" s="390"/>
    </row>
    <row r="600" spans="1:107" s="303" customFormat="1" ht="33.75">
      <c r="A600" s="37"/>
      <c r="B600" s="694" t="s">
        <v>30</v>
      </c>
      <c r="C600" s="320" t="s">
        <v>1185</v>
      </c>
      <c r="D600" s="564" t="s">
        <v>1231</v>
      </c>
      <c r="E600" s="323">
        <v>1030.2872247506953</v>
      </c>
      <c r="F600" s="565" t="s">
        <v>846</v>
      </c>
      <c r="G600" s="566">
        <v>9.300176094017075E-2</v>
      </c>
      <c r="H600" s="320" t="s">
        <v>110</v>
      </c>
      <c r="I600" s="378">
        <v>0.91808838242670321</v>
      </c>
      <c r="J600" s="320" t="s">
        <v>25</v>
      </c>
      <c r="K600" s="320" t="s">
        <v>114</v>
      </c>
      <c r="L600" s="320" t="s">
        <v>24</v>
      </c>
      <c r="M600" s="320" t="s">
        <v>90</v>
      </c>
      <c r="N600" s="324">
        <v>55.894140269319408</v>
      </c>
      <c r="O600" s="324" t="s">
        <v>871</v>
      </c>
      <c r="P600" s="324">
        <v>55.894140269319408</v>
      </c>
      <c r="Q600" s="324" t="s">
        <v>871</v>
      </c>
      <c r="R600" s="37"/>
      <c r="S600" s="565" t="s">
        <v>68</v>
      </c>
      <c r="T600" s="565" t="s">
        <v>63</v>
      </c>
      <c r="U600" s="320" t="s">
        <v>69</v>
      </c>
      <c r="V600" s="320" t="s">
        <v>69</v>
      </c>
      <c r="W600" s="565" t="s">
        <v>70</v>
      </c>
      <c r="X600" s="37"/>
      <c r="Y600" s="37"/>
      <c r="Z600" s="565" t="s">
        <v>78</v>
      </c>
      <c r="AA600" s="565" t="s">
        <v>78</v>
      </c>
      <c r="AB600" s="37"/>
      <c r="AC600" s="816">
        <v>8.7800000000000011</v>
      </c>
      <c r="AD600" s="565" t="s">
        <v>84</v>
      </c>
      <c r="AE600" s="565" t="s">
        <v>73</v>
      </c>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c r="CA600" s="393"/>
      <c r="CB600" s="393"/>
      <c r="CC600" s="393"/>
      <c r="CD600" s="393"/>
      <c r="CE600" s="393"/>
      <c r="CF600" s="393"/>
      <c r="CG600" s="393"/>
      <c r="CH600" s="393"/>
      <c r="CI600" s="393"/>
      <c r="CJ600" s="390"/>
      <c r="CK600" s="390"/>
      <c r="CL600" s="390"/>
      <c r="CM600" s="390"/>
      <c r="CN600" s="390"/>
      <c r="CO600" s="390"/>
      <c r="CP600" s="390"/>
      <c r="CQ600" s="390"/>
      <c r="CR600" s="390"/>
      <c r="CS600" s="390"/>
      <c r="CT600" s="390"/>
      <c r="CU600" s="390"/>
      <c r="CV600" s="390"/>
      <c r="CW600" s="390"/>
      <c r="CX600" s="390"/>
      <c r="CY600" s="390"/>
      <c r="CZ600" s="390"/>
      <c r="DA600" s="390"/>
      <c r="DB600" s="390"/>
      <c r="DC600" s="390"/>
    </row>
    <row r="601" spans="1:107" s="303" customFormat="1" ht="33.75">
      <c r="A601" s="37"/>
      <c r="B601" s="694" t="s">
        <v>30</v>
      </c>
      <c r="C601" s="320" t="s">
        <v>1185</v>
      </c>
      <c r="D601" s="564" t="s">
        <v>1231</v>
      </c>
      <c r="E601" s="323">
        <v>1030.2872247506953</v>
      </c>
      <c r="F601" s="565" t="s">
        <v>846</v>
      </c>
      <c r="G601" s="566">
        <v>9.300176094017075E-2</v>
      </c>
      <c r="H601" s="320" t="s">
        <v>110</v>
      </c>
      <c r="I601" s="378">
        <v>0.91808838242670321</v>
      </c>
      <c r="J601" s="320" t="s">
        <v>25</v>
      </c>
      <c r="K601" s="320" t="s">
        <v>114</v>
      </c>
      <c r="L601" s="320" t="s">
        <v>24</v>
      </c>
      <c r="M601" s="320" t="s">
        <v>91</v>
      </c>
      <c r="N601" s="324">
        <v>55.894140269319408</v>
      </c>
      <c r="O601" s="324" t="s">
        <v>870</v>
      </c>
      <c r="P601" s="324">
        <v>55.894140269319408</v>
      </c>
      <c r="Q601" s="324" t="s">
        <v>870</v>
      </c>
      <c r="R601" s="37"/>
      <c r="S601" s="565" t="s">
        <v>68</v>
      </c>
      <c r="T601" s="565" t="s">
        <v>63</v>
      </c>
      <c r="U601" s="320" t="s">
        <v>69</v>
      </c>
      <c r="V601" s="320" t="s">
        <v>69</v>
      </c>
      <c r="W601" s="565" t="s">
        <v>70</v>
      </c>
      <c r="X601" s="37"/>
      <c r="Y601" s="37"/>
      <c r="Z601" s="565" t="s">
        <v>78</v>
      </c>
      <c r="AA601" s="565" t="s">
        <v>78</v>
      </c>
      <c r="AB601" s="37"/>
      <c r="AC601" s="816">
        <v>8.7800000000000011</v>
      </c>
      <c r="AD601" s="565" t="s">
        <v>84</v>
      </c>
      <c r="AE601" s="565" t="s">
        <v>73</v>
      </c>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c r="CA601" s="393"/>
      <c r="CB601" s="393"/>
      <c r="CC601" s="393"/>
      <c r="CD601" s="393"/>
      <c r="CE601" s="393"/>
      <c r="CF601" s="393"/>
      <c r="CG601" s="393"/>
      <c r="CH601" s="393"/>
      <c r="CI601" s="393"/>
      <c r="CJ601" s="390"/>
      <c r="CK601" s="390"/>
      <c r="CL601" s="390"/>
      <c r="CM601" s="390"/>
      <c r="CN601" s="390"/>
      <c r="CO601" s="390"/>
      <c r="CP601" s="390"/>
      <c r="CQ601" s="390"/>
      <c r="CR601" s="390"/>
      <c r="CS601" s="390"/>
      <c r="CT601" s="390"/>
      <c r="CU601" s="390"/>
      <c r="CV601" s="390"/>
      <c r="CW601" s="390"/>
      <c r="CX601" s="390"/>
      <c r="CY601" s="390"/>
      <c r="CZ601" s="390"/>
      <c r="DA601" s="390"/>
      <c r="DB601" s="390"/>
      <c r="DC601" s="390"/>
    </row>
    <row r="602" spans="1:107" s="303" customFormat="1" ht="33.75">
      <c r="A602" s="37"/>
      <c r="B602" s="694" t="s">
        <v>30</v>
      </c>
      <c r="C602" s="320" t="s">
        <v>1185</v>
      </c>
      <c r="D602" s="564" t="s">
        <v>1231</v>
      </c>
      <c r="E602" s="323">
        <v>1030.2872247506953</v>
      </c>
      <c r="F602" s="565" t="s">
        <v>846</v>
      </c>
      <c r="G602" s="566">
        <v>9.300176094017075E-2</v>
      </c>
      <c r="H602" s="320" t="s">
        <v>110</v>
      </c>
      <c r="I602" s="378">
        <v>0.91808838242670321</v>
      </c>
      <c r="J602" s="320" t="s">
        <v>25</v>
      </c>
      <c r="K602" s="320" t="s">
        <v>114</v>
      </c>
      <c r="L602" s="320" t="s">
        <v>24</v>
      </c>
      <c r="M602" s="320" t="s">
        <v>92</v>
      </c>
      <c r="N602" s="324">
        <v>55.894140269319408</v>
      </c>
      <c r="O602" s="324">
        <v>25.335324202582843</v>
      </c>
      <c r="P602" s="324">
        <v>55.894140269319408</v>
      </c>
      <c r="Q602" s="324">
        <v>9.8526260787822171</v>
      </c>
      <c r="R602" s="37"/>
      <c r="S602" s="565" t="s">
        <v>68</v>
      </c>
      <c r="T602" s="565" t="s">
        <v>63</v>
      </c>
      <c r="U602" s="320" t="s">
        <v>69</v>
      </c>
      <c r="V602" s="320" t="s">
        <v>69</v>
      </c>
      <c r="W602" s="565" t="s">
        <v>70</v>
      </c>
      <c r="X602" s="37"/>
      <c r="Y602" s="37"/>
      <c r="Z602" s="565" t="s">
        <v>78</v>
      </c>
      <c r="AA602" s="565" t="s">
        <v>78</v>
      </c>
      <c r="AB602" s="37"/>
      <c r="AC602" s="816">
        <v>8.7800000000000011</v>
      </c>
      <c r="AD602" s="565" t="s">
        <v>84</v>
      </c>
      <c r="AE602" s="565" t="s">
        <v>73</v>
      </c>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c r="CA602" s="393"/>
      <c r="CB602" s="393"/>
      <c r="CC602" s="393"/>
      <c r="CD602" s="393"/>
      <c r="CE602" s="393"/>
      <c r="CF602" s="393"/>
      <c r="CG602" s="393"/>
      <c r="CH602" s="393"/>
      <c r="CI602" s="393"/>
      <c r="CJ602" s="390"/>
      <c r="CK602" s="390"/>
      <c r="CL602" s="390"/>
      <c r="CM602" s="390"/>
      <c r="CN602" s="390"/>
      <c r="CO602" s="390"/>
      <c r="CP602" s="390"/>
      <c r="CQ602" s="390"/>
      <c r="CR602" s="390"/>
      <c r="CS602" s="390"/>
      <c r="CT602" s="390"/>
      <c r="CU602" s="390"/>
      <c r="CV602" s="390"/>
      <c r="CW602" s="390"/>
      <c r="CX602" s="390"/>
      <c r="CY602" s="390"/>
      <c r="CZ602" s="390"/>
      <c r="DA602" s="390"/>
      <c r="DB602" s="390"/>
      <c r="DC602" s="390"/>
    </row>
    <row r="603" spans="1:107" s="303" customFormat="1" ht="33.75">
      <c r="A603" s="37"/>
      <c r="B603" s="694" t="s">
        <v>30</v>
      </c>
      <c r="C603" s="320" t="s">
        <v>1185</v>
      </c>
      <c r="D603" s="564" t="s">
        <v>1231</v>
      </c>
      <c r="E603" s="323">
        <v>1030.2872247506953</v>
      </c>
      <c r="F603" s="565" t="s">
        <v>846</v>
      </c>
      <c r="G603" s="566">
        <v>9.300176094017075E-2</v>
      </c>
      <c r="H603" s="320" t="s">
        <v>110</v>
      </c>
      <c r="I603" s="378">
        <v>0.91808838242670321</v>
      </c>
      <c r="J603" s="320" t="s">
        <v>25</v>
      </c>
      <c r="K603" s="320" t="s">
        <v>114</v>
      </c>
      <c r="L603" s="320" t="s">
        <v>24</v>
      </c>
      <c r="M603" s="320" t="s">
        <v>93</v>
      </c>
      <c r="N603" s="324">
        <v>55.894140269319408</v>
      </c>
      <c r="O603" s="324">
        <v>26.742842213837445</v>
      </c>
      <c r="P603" s="324">
        <v>55.894140269319408</v>
      </c>
      <c r="Q603" s="324">
        <v>11.260144090036819</v>
      </c>
      <c r="R603" s="37"/>
      <c r="S603" s="565" t="s">
        <v>68</v>
      </c>
      <c r="T603" s="565" t="s">
        <v>63</v>
      </c>
      <c r="U603" s="320" t="s">
        <v>44</v>
      </c>
      <c r="V603" s="320" t="s">
        <v>75</v>
      </c>
      <c r="W603" s="565" t="s">
        <v>70</v>
      </c>
      <c r="X603" s="37"/>
      <c r="Y603" s="37"/>
      <c r="Z603" s="565" t="s">
        <v>78</v>
      </c>
      <c r="AA603" s="565" t="s">
        <v>78</v>
      </c>
      <c r="AB603" s="37"/>
      <c r="AC603" s="816">
        <v>8.7800000000000011</v>
      </c>
      <c r="AD603" s="565" t="s">
        <v>84</v>
      </c>
      <c r="AE603" s="565" t="s">
        <v>73</v>
      </c>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c r="CA603" s="393"/>
      <c r="CB603" s="393"/>
      <c r="CC603" s="393"/>
      <c r="CD603" s="393"/>
      <c r="CE603" s="393"/>
      <c r="CF603" s="393"/>
      <c r="CG603" s="393"/>
      <c r="CH603" s="393"/>
      <c r="CI603" s="393"/>
      <c r="CJ603" s="390"/>
      <c r="CK603" s="390"/>
      <c r="CL603" s="390"/>
      <c r="CM603" s="390"/>
      <c r="CN603" s="390"/>
      <c r="CO603" s="390"/>
      <c r="CP603" s="390"/>
      <c r="CQ603" s="390"/>
      <c r="CR603" s="390"/>
      <c r="CS603" s="390"/>
      <c r="CT603" s="390"/>
      <c r="CU603" s="390"/>
      <c r="CV603" s="390"/>
      <c r="CW603" s="390"/>
      <c r="CX603" s="390"/>
      <c r="CY603" s="390"/>
      <c r="CZ603" s="390"/>
      <c r="DA603" s="390"/>
      <c r="DB603" s="390"/>
      <c r="DC603" s="390"/>
    </row>
    <row r="604" spans="1:107" s="303" customFormat="1" ht="33.75">
      <c r="A604" s="37"/>
      <c r="B604" s="694" t="s">
        <v>30</v>
      </c>
      <c r="C604" s="320" t="s">
        <v>1185</v>
      </c>
      <c r="D604" s="564" t="s">
        <v>1231</v>
      </c>
      <c r="E604" s="323">
        <v>1030.2872247506953</v>
      </c>
      <c r="F604" s="565" t="s">
        <v>1245</v>
      </c>
      <c r="G604" s="566">
        <v>0.36969734435650309</v>
      </c>
      <c r="H604" s="320" t="s">
        <v>110</v>
      </c>
      <c r="I604" s="378">
        <v>0.74541194796715438</v>
      </c>
      <c r="J604" s="320" t="s">
        <v>994</v>
      </c>
      <c r="K604" s="320" t="s">
        <v>114</v>
      </c>
      <c r="L604" s="320" t="s">
        <v>1270</v>
      </c>
      <c r="M604" s="320" t="s">
        <v>88</v>
      </c>
      <c r="N604" s="324">
        <v>164.26787346799742</v>
      </c>
      <c r="O604" s="324">
        <v>49.970496334220648</v>
      </c>
      <c r="P604" s="324">
        <v>153.63899250288176</v>
      </c>
      <c r="Q604" s="324" t="s">
        <v>871</v>
      </c>
      <c r="R604" s="37"/>
      <c r="S604" s="320" t="s">
        <v>44</v>
      </c>
      <c r="T604" s="320" t="s">
        <v>63</v>
      </c>
      <c r="U604" s="320" t="s">
        <v>69</v>
      </c>
      <c r="V604" s="320" t="s">
        <v>69</v>
      </c>
      <c r="W604" s="320" t="s">
        <v>76</v>
      </c>
      <c r="X604" s="37"/>
      <c r="Y604" s="37"/>
      <c r="Z604" s="565" t="s">
        <v>78</v>
      </c>
      <c r="AA604" s="565" t="s">
        <v>78</v>
      </c>
      <c r="AB604" s="37"/>
      <c r="AC604" s="816">
        <v>8.7800000000000011</v>
      </c>
      <c r="AD604" s="565" t="s">
        <v>84</v>
      </c>
      <c r="AE604" s="565" t="s">
        <v>73</v>
      </c>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c r="CA604" s="393"/>
      <c r="CB604" s="393"/>
      <c r="CC604" s="393"/>
      <c r="CD604" s="393"/>
      <c r="CE604" s="393"/>
      <c r="CF604" s="393"/>
      <c r="CG604" s="393"/>
      <c r="CH604" s="393"/>
      <c r="CI604" s="393"/>
      <c r="CJ604" s="390"/>
      <c r="CK604" s="390"/>
      <c r="CL604" s="390"/>
      <c r="CM604" s="390"/>
      <c r="CN604" s="390"/>
      <c r="CO604" s="390"/>
      <c r="CP604" s="390"/>
      <c r="CQ604" s="390"/>
      <c r="CR604" s="390"/>
      <c r="CS604" s="390"/>
      <c r="CT604" s="390"/>
      <c r="CU604" s="390"/>
      <c r="CV604" s="390"/>
      <c r="CW604" s="390"/>
      <c r="CX604" s="390"/>
      <c r="CY604" s="390"/>
      <c r="CZ604" s="390"/>
      <c r="DA604" s="390"/>
      <c r="DB604" s="390"/>
      <c r="DC604" s="390"/>
    </row>
    <row r="605" spans="1:107" s="303" customFormat="1" ht="33.75">
      <c r="A605" s="37"/>
      <c r="B605" s="694" t="s">
        <v>30</v>
      </c>
      <c r="C605" s="320" t="s">
        <v>1185</v>
      </c>
      <c r="D605" s="564" t="s">
        <v>1231</v>
      </c>
      <c r="E605" s="323">
        <v>1030.2872247506953</v>
      </c>
      <c r="F605" s="565" t="s">
        <v>1245</v>
      </c>
      <c r="G605" s="566">
        <v>0.36969734435650309</v>
      </c>
      <c r="H605" s="320" t="s">
        <v>110</v>
      </c>
      <c r="I605" s="378">
        <v>0.74541194796715438</v>
      </c>
      <c r="J605" s="320" t="s">
        <v>994</v>
      </c>
      <c r="K605" s="320" t="s">
        <v>114</v>
      </c>
      <c r="L605" s="320" t="s">
        <v>1270</v>
      </c>
      <c r="M605" s="320" t="s">
        <v>90</v>
      </c>
      <c r="N605" s="324">
        <v>164.26787346799742</v>
      </c>
      <c r="O605" s="324" t="s">
        <v>871</v>
      </c>
      <c r="P605" s="324">
        <v>153.63899250288176</v>
      </c>
      <c r="Q605" s="324" t="s">
        <v>871</v>
      </c>
      <c r="R605" s="37"/>
      <c r="S605" s="320" t="s">
        <v>44</v>
      </c>
      <c r="T605" s="320" t="s">
        <v>63</v>
      </c>
      <c r="U605" s="320" t="s">
        <v>69</v>
      </c>
      <c r="V605" s="320" t="s">
        <v>69</v>
      </c>
      <c r="W605" s="320" t="s">
        <v>76</v>
      </c>
      <c r="X605" s="37"/>
      <c r="Y605" s="37"/>
      <c r="Z605" s="565" t="s">
        <v>78</v>
      </c>
      <c r="AA605" s="565" t="s">
        <v>78</v>
      </c>
      <c r="AB605" s="37"/>
      <c r="AC605" s="816">
        <v>8.7800000000000011</v>
      </c>
      <c r="AD605" s="565" t="s">
        <v>84</v>
      </c>
      <c r="AE605" s="565" t="s">
        <v>73</v>
      </c>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c r="CA605" s="393"/>
      <c r="CB605" s="393"/>
      <c r="CC605" s="393"/>
      <c r="CD605" s="393"/>
      <c r="CE605" s="393"/>
      <c r="CF605" s="393"/>
      <c r="CG605" s="393"/>
      <c r="CH605" s="393"/>
      <c r="CI605" s="393"/>
      <c r="CJ605" s="390"/>
      <c r="CK605" s="390"/>
      <c r="CL605" s="390"/>
      <c r="CM605" s="390"/>
      <c r="CN605" s="390"/>
      <c r="CO605" s="390"/>
      <c r="CP605" s="390"/>
      <c r="CQ605" s="390"/>
      <c r="CR605" s="390"/>
      <c r="CS605" s="390"/>
      <c r="CT605" s="390"/>
      <c r="CU605" s="390"/>
      <c r="CV605" s="390"/>
      <c r="CW605" s="390"/>
      <c r="CX605" s="390"/>
      <c r="CY605" s="390"/>
      <c r="CZ605" s="390"/>
      <c r="DA605" s="390"/>
      <c r="DB605" s="390"/>
      <c r="DC605" s="390"/>
    </row>
    <row r="606" spans="1:107" s="303" customFormat="1" ht="33.75">
      <c r="A606" s="37"/>
      <c r="B606" s="694" t="s">
        <v>30</v>
      </c>
      <c r="C606" s="320" t="s">
        <v>1185</v>
      </c>
      <c r="D606" s="564" t="s">
        <v>1231</v>
      </c>
      <c r="E606" s="323">
        <v>1030.2872247506953</v>
      </c>
      <c r="F606" s="565" t="s">
        <v>1245</v>
      </c>
      <c r="G606" s="566">
        <v>0.36969734435650309</v>
      </c>
      <c r="H606" s="320" t="s">
        <v>110</v>
      </c>
      <c r="I606" s="378">
        <v>0.74541194796715438</v>
      </c>
      <c r="J606" s="320" t="s">
        <v>994</v>
      </c>
      <c r="K606" s="320" t="s">
        <v>114</v>
      </c>
      <c r="L606" s="320" t="s">
        <v>1270</v>
      </c>
      <c r="M606" s="320" t="s">
        <v>91</v>
      </c>
      <c r="N606" s="324">
        <v>164.26787346799742</v>
      </c>
      <c r="O606" s="324" t="s">
        <v>870</v>
      </c>
      <c r="P606" s="324">
        <v>153.63899250288176</v>
      </c>
      <c r="Q606" s="324" t="s">
        <v>870</v>
      </c>
      <c r="R606" s="37"/>
      <c r="S606" s="320" t="s">
        <v>44</v>
      </c>
      <c r="T606" s="320" t="s">
        <v>63</v>
      </c>
      <c r="U606" s="320" t="s">
        <v>870</v>
      </c>
      <c r="V606" s="320" t="s">
        <v>870</v>
      </c>
      <c r="W606" s="320" t="s">
        <v>76</v>
      </c>
      <c r="X606" s="37"/>
      <c r="Y606" s="37"/>
      <c r="Z606" s="565" t="s">
        <v>78</v>
      </c>
      <c r="AA606" s="565" t="s">
        <v>78</v>
      </c>
      <c r="AB606" s="37"/>
      <c r="AC606" s="816">
        <v>8.7800000000000011</v>
      </c>
      <c r="AD606" s="565" t="s">
        <v>84</v>
      </c>
      <c r="AE606" s="565" t="s">
        <v>73</v>
      </c>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c r="CA606" s="393"/>
      <c r="CB606" s="393"/>
      <c r="CC606" s="393"/>
      <c r="CD606" s="393"/>
      <c r="CE606" s="393"/>
      <c r="CF606" s="393"/>
      <c r="CG606" s="393"/>
      <c r="CH606" s="393"/>
      <c r="CI606" s="393"/>
      <c r="CJ606" s="390"/>
      <c r="CK606" s="390"/>
      <c r="CL606" s="390"/>
      <c r="CM606" s="390"/>
      <c r="CN606" s="390"/>
      <c r="CO606" s="390"/>
      <c r="CP606" s="390"/>
      <c r="CQ606" s="390"/>
      <c r="CR606" s="390"/>
      <c r="CS606" s="390"/>
      <c r="CT606" s="390"/>
      <c r="CU606" s="390"/>
      <c r="CV606" s="390"/>
      <c r="CW606" s="390"/>
      <c r="CX606" s="390"/>
      <c r="CY606" s="390"/>
      <c r="CZ606" s="390"/>
      <c r="DA606" s="390"/>
      <c r="DB606" s="390"/>
      <c r="DC606" s="390"/>
    </row>
    <row r="607" spans="1:107" s="303" customFormat="1" ht="33.75">
      <c r="A607" s="37"/>
      <c r="B607" s="694" t="s">
        <v>30</v>
      </c>
      <c r="C607" s="320" t="s">
        <v>1185</v>
      </c>
      <c r="D607" s="564" t="s">
        <v>1231</v>
      </c>
      <c r="E607" s="323">
        <v>1030.2872247506953</v>
      </c>
      <c r="F607" s="565" t="s">
        <v>1245</v>
      </c>
      <c r="G607" s="566">
        <v>0.36969734435650309</v>
      </c>
      <c r="H607" s="320" t="s">
        <v>110</v>
      </c>
      <c r="I607" s="378">
        <v>0.74541194796715438</v>
      </c>
      <c r="J607" s="320" t="s">
        <v>994</v>
      </c>
      <c r="K607" s="320" t="s">
        <v>114</v>
      </c>
      <c r="L607" s="320" t="s">
        <v>1270</v>
      </c>
      <c r="M607" s="320" t="s">
        <v>92</v>
      </c>
      <c r="N607" s="324">
        <v>164.26787346799742</v>
      </c>
      <c r="O607" s="324">
        <v>81.769903092361062</v>
      </c>
      <c r="P607" s="324">
        <v>153.63899250288176</v>
      </c>
      <c r="Q607" s="324">
        <v>31.79940675814041</v>
      </c>
      <c r="R607" s="37"/>
      <c r="S607" s="320" t="s">
        <v>44</v>
      </c>
      <c r="T607" s="320" t="s">
        <v>63</v>
      </c>
      <c r="U607" s="320" t="s">
        <v>69</v>
      </c>
      <c r="V607" s="320" t="s">
        <v>69</v>
      </c>
      <c r="W607" s="320" t="s">
        <v>76</v>
      </c>
      <c r="X607" s="37"/>
      <c r="Y607" s="37"/>
      <c r="Z607" s="565" t="s">
        <v>78</v>
      </c>
      <c r="AA607" s="565" t="s">
        <v>78</v>
      </c>
      <c r="AB607" s="37"/>
      <c r="AC607" s="816">
        <v>8.7800000000000011</v>
      </c>
      <c r="AD607" s="565" t="s">
        <v>84</v>
      </c>
      <c r="AE607" s="565" t="s">
        <v>73</v>
      </c>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c r="CA607" s="393"/>
      <c r="CB607" s="393"/>
      <c r="CC607" s="393"/>
      <c r="CD607" s="393"/>
      <c r="CE607" s="393"/>
      <c r="CF607" s="393"/>
      <c r="CG607" s="393"/>
      <c r="CH607" s="393"/>
      <c r="CI607" s="393"/>
      <c r="CJ607" s="390"/>
      <c r="CK607" s="390"/>
      <c r="CL607" s="390"/>
      <c r="CM607" s="390"/>
      <c r="CN607" s="390"/>
      <c r="CO607" s="390"/>
      <c r="CP607" s="390"/>
      <c r="CQ607" s="390"/>
      <c r="CR607" s="390"/>
      <c r="CS607" s="390"/>
      <c r="CT607" s="390"/>
      <c r="CU607" s="390"/>
      <c r="CV607" s="390"/>
      <c r="CW607" s="390"/>
      <c r="CX607" s="390"/>
      <c r="CY607" s="390"/>
      <c r="CZ607" s="390"/>
      <c r="DA607" s="390"/>
      <c r="DB607" s="390"/>
      <c r="DC607" s="390"/>
    </row>
    <row r="608" spans="1:107" s="303" customFormat="1" ht="33.75">
      <c r="A608" s="37"/>
      <c r="B608" s="694" t="s">
        <v>30</v>
      </c>
      <c r="C608" s="320" t="s">
        <v>1185</v>
      </c>
      <c r="D608" s="564" t="s">
        <v>1231</v>
      </c>
      <c r="E608" s="323">
        <v>1030.2872247506953</v>
      </c>
      <c r="F608" s="565" t="s">
        <v>1245</v>
      </c>
      <c r="G608" s="566">
        <v>0.36969734435650309</v>
      </c>
      <c r="H608" s="320" t="s">
        <v>110</v>
      </c>
      <c r="I608" s="378">
        <v>0.74541194796715438</v>
      </c>
      <c r="J608" s="320" t="s">
        <v>994</v>
      </c>
      <c r="K608" s="320" t="s">
        <v>114</v>
      </c>
      <c r="L608" s="320" t="s">
        <v>1270</v>
      </c>
      <c r="M608" s="320" t="s">
        <v>93</v>
      </c>
      <c r="N608" s="324">
        <v>164.26787346799742</v>
      </c>
      <c r="O608" s="324">
        <v>86.312675486381124</v>
      </c>
      <c r="P608" s="324">
        <v>153.63899250288176</v>
      </c>
      <c r="Q608" s="324">
        <v>36.342179152160469</v>
      </c>
      <c r="R608" s="37"/>
      <c r="S608" s="320" t="s">
        <v>44</v>
      </c>
      <c r="T608" s="320" t="s">
        <v>63</v>
      </c>
      <c r="U608" s="320" t="s">
        <v>44</v>
      </c>
      <c r="V608" s="320" t="s">
        <v>75</v>
      </c>
      <c r="W608" s="320" t="s">
        <v>76</v>
      </c>
      <c r="X608" s="37"/>
      <c r="Y608" s="37"/>
      <c r="Z608" s="565" t="s">
        <v>78</v>
      </c>
      <c r="AA608" s="565" t="s">
        <v>78</v>
      </c>
      <c r="AB608" s="37"/>
      <c r="AC608" s="816">
        <v>8.7800000000000011</v>
      </c>
      <c r="AD608" s="565" t="s">
        <v>84</v>
      </c>
      <c r="AE608" s="565" t="s">
        <v>73</v>
      </c>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c r="CA608" s="393"/>
      <c r="CB608" s="393"/>
      <c r="CC608" s="393"/>
      <c r="CD608" s="393"/>
      <c r="CE608" s="393"/>
      <c r="CF608" s="393"/>
      <c r="CG608" s="393"/>
      <c r="CH608" s="393"/>
      <c r="CI608" s="393"/>
      <c r="CJ608" s="390"/>
      <c r="CK608" s="390"/>
      <c r="CL608" s="390"/>
      <c r="CM608" s="390"/>
      <c r="CN608" s="390"/>
      <c r="CO608" s="390"/>
      <c r="CP608" s="390"/>
      <c r="CQ608" s="390"/>
      <c r="CR608" s="390"/>
      <c r="CS608" s="390"/>
      <c r="CT608" s="390"/>
      <c r="CU608" s="390"/>
      <c r="CV608" s="390"/>
      <c r="CW608" s="390"/>
      <c r="CX608" s="390"/>
      <c r="CY608" s="390"/>
      <c r="CZ608" s="390"/>
      <c r="DA608" s="390"/>
      <c r="DB608" s="390"/>
      <c r="DC608" s="390"/>
    </row>
    <row r="609" spans="1:107" s="303" customFormat="1" ht="33.75">
      <c r="A609" s="37"/>
      <c r="B609" s="694" t="s">
        <v>30</v>
      </c>
      <c r="C609" s="320" t="s">
        <v>1185</v>
      </c>
      <c r="D609" s="564" t="s">
        <v>1231</v>
      </c>
      <c r="E609" s="323">
        <v>1030.2872247506953</v>
      </c>
      <c r="F609" s="565" t="s">
        <v>1245</v>
      </c>
      <c r="G609" s="566">
        <v>0.36969734435650309</v>
      </c>
      <c r="H609" s="320" t="s">
        <v>110</v>
      </c>
      <c r="I609" s="378">
        <v>0.74541194796715438</v>
      </c>
      <c r="J609" s="320" t="s">
        <v>994</v>
      </c>
      <c r="K609" s="320" t="s">
        <v>114</v>
      </c>
      <c r="L609" s="320" t="s">
        <v>101</v>
      </c>
      <c r="M609" s="320" t="s">
        <v>88</v>
      </c>
      <c r="N609" s="324">
        <v>164.26787346799742</v>
      </c>
      <c r="O609" s="324">
        <v>49.970496334220648</v>
      </c>
      <c r="P609" s="324">
        <v>153.63899250288176</v>
      </c>
      <c r="Q609" s="324" t="s">
        <v>871</v>
      </c>
      <c r="R609" s="37"/>
      <c r="S609" s="320" t="s">
        <v>68</v>
      </c>
      <c r="T609" s="320" t="s">
        <v>63</v>
      </c>
      <c r="U609" s="320" t="s">
        <v>69</v>
      </c>
      <c r="V609" s="320" t="s">
        <v>69</v>
      </c>
      <c r="W609" s="320" t="s">
        <v>76</v>
      </c>
      <c r="X609" s="37"/>
      <c r="Y609" s="37"/>
      <c r="Z609" s="565" t="s">
        <v>78</v>
      </c>
      <c r="AA609" s="565" t="s">
        <v>78</v>
      </c>
      <c r="AB609" s="37"/>
      <c r="AC609" s="816">
        <v>8.7800000000000011</v>
      </c>
      <c r="AD609" s="565" t="s">
        <v>84</v>
      </c>
      <c r="AE609" s="565" t="s">
        <v>73</v>
      </c>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c r="CA609" s="393"/>
      <c r="CB609" s="393"/>
      <c r="CC609" s="393"/>
      <c r="CD609" s="393"/>
      <c r="CE609" s="393"/>
      <c r="CF609" s="393"/>
      <c r="CG609" s="393"/>
      <c r="CH609" s="393"/>
      <c r="CI609" s="393"/>
      <c r="CJ609" s="390"/>
      <c r="CK609" s="390"/>
      <c r="CL609" s="390"/>
      <c r="CM609" s="390"/>
      <c r="CN609" s="390"/>
      <c r="CO609" s="390"/>
      <c r="CP609" s="390"/>
      <c r="CQ609" s="390"/>
      <c r="CR609" s="390"/>
      <c r="CS609" s="390"/>
      <c r="CT609" s="390"/>
      <c r="CU609" s="390"/>
      <c r="CV609" s="390"/>
      <c r="CW609" s="390"/>
      <c r="CX609" s="390"/>
      <c r="CY609" s="390"/>
      <c r="CZ609" s="390"/>
      <c r="DA609" s="390"/>
      <c r="DB609" s="390"/>
      <c r="DC609" s="390"/>
    </row>
    <row r="610" spans="1:107" s="303" customFormat="1" ht="33.75">
      <c r="A610" s="37"/>
      <c r="B610" s="694" t="s">
        <v>30</v>
      </c>
      <c r="C610" s="320" t="s">
        <v>1185</v>
      </c>
      <c r="D610" s="564" t="s">
        <v>1231</v>
      </c>
      <c r="E610" s="323">
        <v>1030.2872247506953</v>
      </c>
      <c r="F610" s="565" t="s">
        <v>1245</v>
      </c>
      <c r="G610" s="566">
        <v>0.36969734435650309</v>
      </c>
      <c r="H610" s="320" t="s">
        <v>110</v>
      </c>
      <c r="I610" s="378">
        <v>0.74541194796715438</v>
      </c>
      <c r="J610" s="320" t="s">
        <v>994</v>
      </c>
      <c r="K610" s="320" t="s">
        <v>114</v>
      </c>
      <c r="L610" s="320" t="s">
        <v>101</v>
      </c>
      <c r="M610" s="320" t="s">
        <v>90</v>
      </c>
      <c r="N610" s="324">
        <v>164.26787346799742</v>
      </c>
      <c r="O610" s="324" t="s">
        <v>871</v>
      </c>
      <c r="P610" s="324">
        <v>153.63899250288176</v>
      </c>
      <c r="Q610" s="324" t="s">
        <v>871</v>
      </c>
      <c r="R610" s="37"/>
      <c r="S610" s="320" t="s">
        <v>68</v>
      </c>
      <c r="T610" s="320" t="s">
        <v>63</v>
      </c>
      <c r="U610" s="320" t="s">
        <v>69</v>
      </c>
      <c r="V610" s="320" t="s">
        <v>69</v>
      </c>
      <c r="W610" s="320" t="s">
        <v>76</v>
      </c>
      <c r="X610" s="37"/>
      <c r="Y610" s="37"/>
      <c r="Z610" s="565" t="s">
        <v>78</v>
      </c>
      <c r="AA610" s="565" t="s">
        <v>78</v>
      </c>
      <c r="AB610" s="37"/>
      <c r="AC610" s="816">
        <v>8.7800000000000011</v>
      </c>
      <c r="AD610" s="565" t="s">
        <v>84</v>
      </c>
      <c r="AE610" s="565" t="s">
        <v>73</v>
      </c>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c r="CA610" s="393"/>
      <c r="CB610" s="393"/>
      <c r="CC610" s="393"/>
      <c r="CD610" s="393"/>
      <c r="CE610" s="393"/>
      <c r="CF610" s="393"/>
      <c r="CG610" s="393"/>
      <c r="CH610" s="393"/>
      <c r="CI610" s="393"/>
      <c r="CJ610" s="390"/>
      <c r="CK610" s="390"/>
      <c r="CL610" s="390"/>
      <c r="CM610" s="390"/>
      <c r="CN610" s="390"/>
      <c r="CO610" s="390"/>
      <c r="CP610" s="390"/>
      <c r="CQ610" s="390"/>
      <c r="CR610" s="390"/>
      <c r="CS610" s="390"/>
      <c r="CT610" s="390"/>
      <c r="CU610" s="390"/>
      <c r="CV610" s="390"/>
      <c r="CW610" s="390"/>
      <c r="CX610" s="390"/>
      <c r="CY610" s="390"/>
      <c r="CZ610" s="390"/>
      <c r="DA610" s="390"/>
      <c r="DB610" s="390"/>
      <c r="DC610" s="390"/>
    </row>
    <row r="611" spans="1:107" s="303" customFormat="1" ht="33.75">
      <c r="A611" s="37"/>
      <c r="B611" s="694" t="s">
        <v>30</v>
      </c>
      <c r="C611" s="320" t="s">
        <v>1185</v>
      </c>
      <c r="D611" s="564" t="s">
        <v>1231</v>
      </c>
      <c r="E611" s="323">
        <v>1030.2872247506953</v>
      </c>
      <c r="F611" s="565" t="s">
        <v>1245</v>
      </c>
      <c r="G611" s="566">
        <v>0.36969734435650309</v>
      </c>
      <c r="H611" s="320" t="s">
        <v>110</v>
      </c>
      <c r="I611" s="378">
        <v>0.74541194796715438</v>
      </c>
      <c r="J611" s="320" t="s">
        <v>994</v>
      </c>
      <c r="K611" s="320" t="s">
        <v>114</v>
      </c>
      <c r="L611" s="320" t="s">
        <v>101</v>
      </c>
      <c r="M611" s="320" t="s">
        <v>91</v>
      </c>
      <c r="N611" s="324">
        <v>164.26787346799742</v>
      </c>
      <c r="O611" s="324" t="s">
        <v>870</v>
      </c>
      <c r="P611" s="324">
        <v>153.63899250288176</v>
      </c>
      <c r="Q611" s="324" t="s">
        <v>870</v>
      </c>
      <c r="R611" s="37"/>
      <c r="S611" s="320" t="s">
        <v>68</v>
      </c>
      <c r="T611" s="320" t="s">
        <v>63</v>
      </c>
      <c r="U611" s="320" t="s">
        <v>69</v>
      </c>
      <c r="V611" s="320" t="s">
        <v>69</v>
      </c>
      <c r="W611" s="320" t="s">
        <v>76</v>
      </c>
      <c r="X611" s="37"/>
      <c r="Y611" s="37"/>
      <c r="Z611" s="565" t="s">
        <v>78</v>
      </c>
      <c r="AA611" s="565" t="s">
        <v>78</v>
      </c>
      <c r="AB611" s="37"/>
      <c r="AC611" s="816">
        <v>8.7800000000000011</v>
      </c>
      <c r="AD611" s="565" t="s">
        <v>84</v>
      </c>
      <c r="AE611" s="565" t="s">
        <v>73</v>
      </c>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c r="CA611" s="393"/>
      <c r="CB611" s="393"/>
      <c r="CC611" s="393"/>
      <c r="CD611" s="393"/>
      <c r="CE611" s="393"/>
      <c r="CF611" s="393"/>
      <c r="CG611" s="393"/>
      <c r="CH611" s="393"/>
      <c r="CI611" s="393"/>
      <c r="CJ611" s="390"/>
      <c r="CK611" s="390"/>
      <c r="CL611" s="390"/>
      <c r="CM611" s="390"/>
      <c r="CN611" s="390"/>
      <c r="CO611" s="390"/>
      <c r="CP611" s="390"/>
      <c r="CQ611" s="390"/>
      <c r="CR611" s="390"/>
      <c r="CS611" s="390"/>
      <c r="CT611" s="390"/>
      <c r="CU611" s="390"/>
      <c r="CV611" s="390"/>
      <c r="CW611" s="390"/>
      <c r="CX611" s="390"/>
      <c r="CY611" s="390"/>
      <c r="CZ611" s="390"/>
      <c r="DA611" s="390"/>
      <c r="DB611" s="390"/>
      <c r="DC611" s="390"/>
    </row>
    <row r="612" spans="1:107" s="303" customFormat="1" ht="33.75">
      <c r="A612" s="37"/>
      <c r="B612" s="694" t="s">
        <v>30</v>
      </c>
      <c r="C612" s="320" t="s">
        <v>1185</v>
      </c>
      <c r="D612" s="564" t="s">
        <v>1231</v>
      </c>
      <c r="E612" s="323">
        <v>1030.2872247506953</v>
      </c>
      <c r="F612" s="565" t="s">
        <v>1245</v>
      </c>
      <c r="G612" s="566">
        <v>0.36969734435650309</v>
      </c>
      <c r="H612" s="320" t="s">
        <v>110</v>
      </c>
      <c r="I612" s="378">
        <v>0.74541194796715438</v>
      </c>
      <c r="J612" s="320" t="s">
        <v>994</v>
      </c>
      <c r="K612" s="320" t="s">
        <v>114</v>
      </c>
      <c r="L612" s="320" t="s">
        <v>101</v>
      </c>
      <c r="M612" s="320" t="s">
        <v>92</v>
      </c>
      <c r="N612" s="324">
        <v>164.26787346799742</v>
      </c>
      <c r="O612" s="324">
        <v>81.769903092361062</v>
      </c>
      <c r="P612" s="324">
        <v>153.63899250288176</v>
      </c>
      <c r="Q612" s="324">
        <v>31.79940675814041</v>
      </c>
      <c r="R612" s="37"/>
      <c r="S612" s="320" t="s">
        <v>68</v>
      </c>
      <c r="T612" s="320" t="s">
        <v>63</v>
      </c>
      <c r="U612" s="320" t="s">
        <v>69</v>
      </c>
      <c r="V612" s="320" t="s">
        <v>69</v>
      </c>
      <c r="W612" s="320" t="s">
        <v>76</v>
      </c>
      <c r="X612" s="37"/>
      <c r="Y612" s="37"/>
      <c r="Z612" s="565" t="s">
        <v>78</v>
      </c>
      <c r="AA612" s="565" t="s">
        <v>78</v>
      </c>
      <c r="AB612" s="37"/>
      <c r="AC612" s="816">
        <v>8.7800000000000011</v>
      </c>
      <c r="AD612" s="565" t="s">
        <v>84</v>
      </c>
      <c r="AE612" s="565" t="s">
        <v>73</v>
      </c>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c r="CA612" s="393"/>
      <c r="CB612" s="393"/>
      <c r="CC612" s="393"/>
      <c r="CD612" s="393"/>
      <c r="CE612" s="393"/>
      <c r="CF612" s="393"/>
      <c r="CG612" s="393"/>
      <c r="CH612" s="393"/>
      <c r="CI612" s="393"/>
      <c r="CJ612" s="390"/>
      <c r="CK612" s="390"/>
      <c r="CL612" s="390"/>
      <c r="CM612" s="390"/>
      <c r="CN612" s="390"/>
      <c r="CO612" s="390"/>
      <c r="CP612" s="390"/>
      <c r="CQ612" s="390"/>
      <c r="CR612" s="390"/>
      <c r="CS612" s="390"/>
      <c r="CT612" s="390"/>
      <c r="CU612" s="390"/>
      <c r="CV612" s="390"/>
      <c r="CW612" s="390"/>
      <c r="CX612" s="390"/>
      <c r="CY612" s="390"/>
      <c r="CZ612" s="390"/>
      <c r="DA612" s="390"/>
      <c r="DB612" s="390"/>
      <c r="DC612" s="390"/>
    </row>
    <row r="613" spans="1:107" s="303" customFormat="1" ht="33.75">
      <c r="A613" s="37"/>
      <c r="B613" s="694" t="s">
        <v>30</v>
      </c>
      <c r="C613" s="320" t="s">
        <v>1185</v>
      </c>
      <c r="D613" s="564" t="s">
        <v>1231</v>
      </c>
      <c r="E613" s="323">
        <v>1030.2872247506953</v>
      </c>
      <c r="F613" s="565" t="s">
        <v>1245</v>
      </c>
      <c r="G613" s="566">
        <v>0.36969734435650309</v>
      </c>
      <c r="H613" s="320" t="s">
        <v>110</v>
      </c>
      <c r="I613" s="378">
        <v>0.74541194796715438</v>
      </c>
      <c r="J613" s="320" t="s">
        <v>994</v>
      </c>
      <c r="K613" s="320" t="s">
        <v>114</v>
      </c>
      <c r="L613" s="320" t="s">
        <v>101</v>
      </c>
      <c r="M613" s="320" t="s">
        <v>93</v>
      </c>
      <c r="N613" s="324">
        <v>164.26787346799742</v>
      </c>
      <c r="O613" s="324">
        <v>86.312675486381124</v>
      </c>
      <c r="P613" s="324">
        <v>153.63899250288176</v>
      </c>
      <c r="Q613" s="324">
        <v>36.342179152160469</v>
      </c>
      <c r="R613" s="37"/>
      <c r="S613" s="320" t="s">
        <v>68</v>
      </c>
      <c r="T613" s="320" t="s">
        <v>63</v>
      </c>
      <c r="U613" s="320" t="s">
        <v>44</v>
      </c>
      <c r="V613" s="320" t="s">
        <v>75</v>
      </c>
      <c r="W613" s="320" t="s">
        <v>76</v>
      </c>
      <c r="X613" s="37"/>
      <c r="Y613" s="37"/>
      <c r="Z613" s="565" t="s">
        <v>78</v>
      </c>
      <c r="AA613" s="565" t="s">
        <v>78</v>
      </c>
      <c r="AB613" s="37"/>
      <c r="AC613" s="816">
        <v>8.7800000000000011</v>
      </c>
      <c r="AD613" s="565" t="s">
        <v>84</v>
      </c>
      <c r="AE613" s="565" t="s">
        <v>73</v>
      </c>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c r="CA613" s="393"/>
      <c r="CB613" s="393"/>
      <c r="CC613" s="393"/>
      <c r="CD613" s="393"/>
      <c r="CE613" s="393"/>
      <c r="CF613" s="393"/>
      <c r="CG613" s="393"/>
      <c r="CH613" s="393"/>
      <c r="CI613" s="393"/>
      <c r="CJ613" s="390"/>
      <c r="CK613" s="390"/>
      <c r="CL613" s="390"/>
      <c r="CM613" s="390"/>
      <c r="CN613" s="390"/>
      <c r="CO613" s="390"/>
      <c r="CP613" s="390"/>
      <c r="CQ613" s="390"/>
      <c r="CR613" s="390"/>
      <c r="CS613" s="390"/>
      <c r="CT613" s="390"/>
      <c r="CU613" s="390"/>
      <c r="CV613" s="390"/>
      <c r="CW613" s="390"/>
      <c r="CX613" s="390"/>
      <c r="CY613" s="390"/>
      <c r="CZ613" s="390"/>
      <c r="DA613" s="390"/>
      <c r="DB613" s="390"/>
      <c r="DC613" s="390"/>
    </row>
    <row r="614" spans="1:107" s="303" customFormat="1" ht="33.75">
      <c r="A614" s="37"/>
      <c r="B614" s="694" t="s">
        <v>30</v>
      </c>
      <c r="C614" s="320" t="s">
        <v>1185</v>
      </c>
      <c r="D614" s="564" t="s">
        <v>1231</v>
      </c>
      <c r="E614" s="323">
        <v>1030.2872247506953</v>
      </c>
      <c r="F614" s="565" t="s">
        <v>1256</v>
      </c>
      <c r="G614" s="566">
        <v>8.4309483145483866E-2</v>
      </c>
      <c r="H614" s="320" t="s">
        <v>110</v>
      </c>
      <c r="I614" s="378">
        <v>0.92133700443216204</v>
      </c>
      <c r="J614" s="565" t="s">
        <v>32</v>
      </c>
      <c r="K614" s="320" t="s">
        <v>114</v>
      </c>
      <c r="L614" s="320" t="s">
        <v>1270</v>
      </c>
      <c r="M614" s="320" t="s">
        <v>88</v>
      </c>
      <c r="N614" s="324">
        <v>51.034862129267538</v>
      </c>
      <c r="O614" s="324">
        <v>14.085294243878204</v>
      </c>
      <c r="P614" s="324">
        <v>51.034862129267538</v>
      </c>
      <c r="Q614" s="324" t="s">
        <v>871</v>
      </c>
      <c r="R614" s="37"/>
      <c r="S614" s="320" t="s">
        <v>44</v>
      </c>
      <c r="T614" s="320" t="s">
        <v>63</v>
      </c>
      <c r="U614" s="320" t="s">
        <v>69</v>
      </c>
      <c r="V614" s="320" t="s">
        <v>69</v>
      </c>
      <c r="W614" s="320" t="s">
        <v>76</v>
      </c>
      <c r="X614" s="37"/>
      <c r="Y614" s="37"/>
      <c r="Z614" s="565" t="s">
        <v>78</v>
      </c>
      <c r="AA614" s="565" t="s">
        <v>78</v>
      </c>
      <c r="AB614" s="37"/>
      <c r="AC614" s="816">
        <v>8.7800000000000011</v>
      </c>
      <c r="AD614" s="565" t="s">
        <v>84</v>
      </c>
      <c r="AE614" s="565" t="s">
        <v>73</v>
      </c>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c r="CA614" s="393"/>
      <c r="CB614" s="393"/>
      <c r="CC614" s="393"/>
      <c r="CD614" s="393"/>
      <c r="CE614" s="393"/>
      <c r="CF614" s="393"/>
      <c r="CG614" s="393"/>
      <c r="CH614" s="393"/>
      <c r="CI614" s="393"/>
      <c r="CJ614" s="390"/>
      <c r="CK614" s="390"/>
      <c r="CL614" s="390"/>
      <c r="CM614" s="390"/>
      <c r="CN614" s="390"/>
      <c r="CO614" s="390"/>
      <c r="CP614" s="390"/>
      <c r="CQ614" s="390"/>
      <c r="CR614" s="390"/>
      <c r="CS614" s="390"/>
      <c r="CT614" s="390"/>
      <c r="CU614" s="390"/>
      <c r="CV614" s="390"/>
      <c r="CW614" s="390"/>
      <c r="CX614" s="390"/>
      <c r="CY614" s="390"/>
      <c r="CZ614" s="390"/>
      <c r="DA614" s="390"/>
      <c r="DB614" s="390"/>
      <c r="DC614" s="390"/>
    </row>
    <row r="615" spans="1:107" s="303" customFormat="1" ht="33.75">
      <c r="A615" s="37"/>
      <c r="B615" s="694" t="s">
        <v>30</v>
      </c>
      <c r="C615" s="320" t="s">
        <v>1185</v>
      </c>
      <c r="D615" s="564" t="s">
        <v>1231</v>
      </c>
      <c r="E615" s="323">
        <v>1030.2872247506953</v>
      </c>
      <c r="F615" s="565" t="s">
        <v>1256</v>
      </c>
      <c r="G615" s="566">
        <v>8.4309483145483866E-2</v>
      </c>
      <c r="H615" s="320" t="s">
        <v>110</v>
      </c>
      <c r="I615" s="378">
        <v>0.92133700443216204</v>
      </c>
      <c r="J615" s="565" t="s">
        <v>32</v>
      </c>
      <c r="K615" s="320" t="s">
        <v>114</v>
      </c>
      <c r="L615" s="320" t="s">
        <v>1270</v>
      </c>
      <c r="M615" s="320" t="s">
        <v>90</v>
      </c>
      <c r="N615" s="324">
        <v>51.034862129267538</v>
      </c>
      <c r="O615" s="324" t="s">
        <v>871</v>
      </c>
      <c r="P615" s="324">
        <v>51.034862129267538</v>
      </c>
      <c r="Q615" s="324" t="s">
        <v>871</v>
      </c>
      <c r="R615" s="37"/>
      <c r="S615" s="320" t="s">
        <v>44</v>
      </c>
      <c r="T615" s="320" t="s">
        <v>63</v>
      </c>
      <c r="U615" s="320" t="s">
        <v>69</v>
      </c>
      <c r="V615" s="320" t="s">
        <v>69</v>
      </c>
      <c r="W615" s="320" t="s">
        <v>76</v>
      </c>
      <c r="X615" s="37"/>
      <c r="Y615" s="37"/>
      <c r="Z615" s="565" t="s">
        <v>78</v>
      </c>
      <c r="AA615" s="565" t="s">
        <v>78</v>
      </c>
      <c r="AB615" s="37"/>
      <c r="AC615" s="816">
        <v>8.7800000000000011</v>
      </c>
      <c r="AD615" s="565" t="s">
        <v>84</v>
      </c>
      <c r="AE615" s="565" t="s">
        <v>73</v>
      </c>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c r="CA615" s="393"/>
      <c r="CB615" s="393"/>
      <c r="CC615" s="393"/>
      <c r="CD615" s="393"/>
      <c r="CE615" s="393"/>
      <c r="CF615" s="393"/>
      <c r="CG615" s="393"/>
      <c r="CH615" s="393"/>
      <c r="CI615" s="393"/>
      <c r="CJ615" s="390"/>
      <c r="CK615" s="390"/>
      <c r="CL615" s="390"/>
      <c r="CM615" s="390"/>
      <c r="CN615" s="390"/>
      <c r="CO615" s="390"/>
      <c r="CP615" s="390"/>
      <c r="CQ615" s="390"/>
      <c r="CR615" s="390"/>
      <c r="CS615" s="390"/>
      <c r="CT615" s="390"/>
      <c r="CU615" s="390"/>
      <c r="CV615" s="390"/>
      <c r="CW615" s="390"/>
      <c r="CX615" s="390"/>
      <c r="CY615" s="390"/>
      <c r="CZ615" s="390"/>
      <c r="DA615" s="390"/>
      <c r="DB615" s="390"/>
      <c r="DC615" s="390"/>
    </row>
    <row r="616" spans="1:107" s="303" customFormat="1" ht="33.75">
      <c r="A616" s="37"/>
      <c r="B616" s="694" t="s">
        <v>30</v>
      </c>
      <c r="C616" s="320" t="s">
        <v>1185</v>
      </c>
      <c r="D616" s="564" t="s">
        <v>1231</v>
      </c>
      <c r="E616" s="323">
        <v>1030.2872247506953</v>
      </c>
      <c r="F616" s="565" t="s">
        <v>1256</v>
      </c>
      <c r="G616" s="566">
        <v>8.4309483145483866E-2</v>
      </c>
      <c r="H616" s="320" t="s">
        <v>110</v>
      </c>
      <c r="I616" s="378">
        <v>0.92133700443216204</v>
      </c>
      <c r="J616" s="565" t="s">
        <v>32</v>
      </c>
      <c r="K616" s="320" t="s">
        <v>114</v>
      </c>
      <c r="L616" s="320" t="s">
        <v>1270</v>
      </c>
      <c r="M616" s="320" t="s">
        <v>91</v>
      </c>
      <c r="N616" s="324">
        <v>51.034862129267538</v>
      </c>
      <c r="O616" s="324" t="s">
        <v>870</v>
      </c>
      <c r="P616" s="324">
        <v>51.034862129267538</v>
      </c>
      <c r="Q616" s="324" t="s">
        <v>870</v>
      </c>
      <c r="R616" s="37"/>
      <c r="S616" s="320" t="s">
        <v>44</v>
      </c>
      <c r="T616" s="320" t="s">
        <v>63</v>
      </c>
      <c r="U616" s="320" t="s">
        <v>69</v>
      </c>
      <c r="V616" s="320" t="s">
        <v>69</v>
      </c>
      <c r="W616" s="320" t="s">
        <v>76</v>
      </c>
      <c r="X616" s="37"/>
      <c r="Y616" s="37"/>
      <c r="Z616" s="565" t="s">
        <v>78</v>
      </c>
      <c r="AA616" s="565" t="s">
        <v>78</v>
      </c>
      <c r="AB616" s="37"/>
      <c r="AC616" s="816">
        <v>8.7800000000000011</v>
      </c>
      <c r="AD616" s="565" t="s">
        <v>84</v>
      </c>
      <c r="AE616" s="565" t="s">
        <v>73</v>
      </c>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c r="CA616" s="393"/>
      <c r="CB616" s="393"/>
      <c r="CC616" s="393"/>
      <c r="CD616" s="393"/>
      <c r="CE616" s="393"/>
      <c r="CF616" s="393"/>
      <c r="CG616" s="393"/>
      <c r="CH616" s="393"/>
      <c r="CI616" s="393"/>
      <c r="CJ616" s="390"/>
      <c r="CK616" s="390"/>
      <c r="CL616" s="390"/>
      <c r="CM616" s="390"/>
      <c r="CN616" s="390"/>
      <c r="CO616" s="390"/>
      <c r="CP616" s="390"/>
      <c r="CQ616" s="390"/>
      <c r="CR616" s="390"/>
      <c r="CS616" s="390"/>
      <c r="CT616" s="390"/>
      <c r="CU616" s="390"/>
      <c r="CV616" s="390"/>
      <c r="CW616" s="390"/>
      <c r="CX616" s="390"/>
      <c r="CY616" s="390"/>
      <c r="CZ616" s="390"/>
      <c r="DA616" s="390"/>
      <c r="DB616" s="390"/>
      <c r="DC616" s="390"/>
    </row>
    <row r="617" spans="1:107" s="303" customFormat="1" ht="33.75">
      <c r="A617" s="37"/>
      <c r="B617" s="694" t="s">
        <v>30</v>
      </c>
      <c r="C617" s="320" t="s">
        <v>1185</v>
      </c>
      <c r="D617" s="564" t="s">
        <v>1231</v>
      </c>
      <c r="E617" s="323">
        <v>1030.2872247506953</v>
      </c>
      <c r="F617" s="565" t="s">
        <v>1256</v>
      </c>
      <c r="G617" s="566">
        <v>8.4309483145483866E-2</v>
      </c>
      <c r="H617" s="320" t="s">
        <v>110</v>
      </c>
      <c r="I617" s="378">
        <v>0.92133700443216204</v>
      </c>
      <c r="J617" s="565" t="s">
        <v>32</v>
      </c>
      <c r="K617" s="320" t="s">
        <v>114</v>
      </c>
      <c r="L617" s="320" t="s">
        <v>1270</v>
      </c>
      <c r="M617" s="320" t="s">
        <v>92</v>
      </c>
      <c r="N617" s="324">
        <v>51.034862129267538</v>
      </c>
      <c r="O617" s="324">
        <v>23.048663308164336</v>
      </c>
      <c r="P617" s="324">
        <v>51.034862129267538</v>
      </c>
      <c r="Q617" s="324">
        <v>8.9633690642861303</v>
      </c>
      <c r="R617" s="37"/>
      <c r="S617" s="320" t="s">
        <v>44</v>
      </c>
      <c r="T617" s="320" t="s">
        <v>63</v>
      </c>
      <c r="U617" s="320" t="s">
        <v>69</v>
      </c>
      <c r="V617" s="320" t="s">
        <v>69</v>
      </c>
      <c r="W617" s="320" t="s">
        <v>76</v>
      </c>
      <c r="X617" s="37"/>
      <c r="Y617" s="37"/>
      <c r="Z617" s="565" t="s">
        <v>78</v>
      </c>
      <c r="AA617" s="565" t="s">
        <v>78</v>
      </c>
      <c r="AB617" s="37"/>
      <c r="AC617" s="816">
        <v>8.7800000000000011</v>
      </c>
      <c r="AD617" s="565" t="s">
        <v>84</v>
      </c>
      <c r="AE617" s="565" t="s">
        <v>73</v>
      </c>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c r="CA617" s="393"/>
      <c r="CB617" s="393"/>
      <c r="CC617" s="393"/>
      <c r="CD617" s="393"/>
      <c r="CE617" s="393"/>
      <c r="CF617" s="393"/>
      <c r="CG617" s="393"/>
      <c r="CH617" s="393"/>
      <c r="CI617" s="393"/>
      <c r="CJ617" s="390"/>
      <c r="CK617" s="390"/>
      <c r="CL617" s="390"/>
      <c r="CM617" s="390"/>
      <c r="CN617" s="390"/>
      <c r="CO617" s="390"/>
      <c r="CP617" s="390"/>
      <c r="CQ617" s="390"/>
      <c r="CR617" s="390"/>
      <c r="CS617" s="390"/>
      <c r="CT617" s="390"/>
      <c r="CU617" s="390"/>
      <c r="CV617" s="390"/>
      <c r="CW617" s="390"/>
      <c r="CX617" s="390"/>
      <c r="CY617" s="390"/>
      <c r="CZ617" s="390"/>
      <c r="DA617" s="390"/>
      <c r="DB617" s="390"/>
      <c r="DC617" s="390"/>
    </row>
    <row r="618" spans="1:107" s="303" customFormat="1" ht="33.75">
      <c r="A618" s="37"/>
      <c r="B618" s="694" t="s">
        <v>30</v>
      </c>
      <c r="C618" s="320" t="s">
        <v>1185</v>
      </c>
      <c r="D618" s="564" t="s">
        <v>1231</v>
      </c>
      <c r="E618" s="323">
        <v>1030.2872247506953</v>
      </c>
      <c r="F618" s="565" t="s">
        <v>1256</v>
      </c>
      <c r="G618" s="566">
        <v>8.4309483145483866E-2</v>
      </c>
      <c r="H618" s="320" t="s">
        <v>110</v>
      </c>
      <c r="I618" s="378">
        <v>0.92133700443216204</v>
      </c>
      <c r="J618" s="565" t="s">
        <v>32</v>
      </c>
      <c r="K618" s="320" t="s">
        <v>114</v>
      </c>
      <c r="L618" s="320" t="s">
        <v>1270</v>
      </c>
      <c r="M618" s="320" t="s">
        <v>93</v>
      </c>
      <c r="N618" s="324">
        <v>51.034862129267538</v>
      </c>
      <c r="O618" s="324">
        <v>24.329144603062353</v>
      </c>
      <c r="P618" s="324">
        <v>51.034862129267538</v>
      </c>
      <c r="Q618" s="324">
        <v>10.243850359184151</v>
      </c>
      <c r="R618" s="37"/>
      <c r="S618" s="320" t="s">
        <v>44</v>
      </c>
      <c r="T618" s="320" t="s">
        <v>63</v>
      </c>
      <c r="U618" s="320" t="s">
        <v>44</v>
      </c>
      <c r="V618" s="320" t="s">
        <v>75</v>
      </c>
      <c r="W618" s="320" t="s">
        <v>76</v>
      </c>
      <c r="X618" s="37"/>
      <c r="Y618" s="37"/>
      <c r="Z618" s="565" t="s">
        <v>78</v>
      </c>
      <c r="AA618" s="565" t="s">
        <v>78</v>
      </c>
      <c r="AB618" s="37"/>
      <c r="AC618" s="816">
        <v>8.7800000000000011</v>
      </c>
      <c r="AD618" s="565" t="s">
        <v>84</v>
      </c>
      <c r="AE618" s="565" t="s">
        <v>73</v>
      </c>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c r="CA618" s="393"/>
      <c r="CB618" s="393"/>
      <c r="CC618" s="393"/>
      <c r="CD618" s="393"/>
      <c r="CE618" s="393"/>
      <c r="CF618" s="393"/>
      <c r="CG618" s="393"/>
      <c r="CH618" s="393"/>
      <c r="CI618" s="393"/>
      <c r="CJ618" s="390"/>
      <c r="CK618" s="390"/>
      <c r="CL618" s="390"/>
      <c r="CM618" s="390"/>
      <c r="CN618" s="390"/>
      <c r="CO618" s="390"/>
      <c r="CP618" s="390"/>
      <c r="CQ618" s="390"/>
      <c r="CR618" s="390"/>
      <c r="CS618" s="390"/>
      <c r="CT618" s="390"/>
      <c r="CU618" s="390"/>
      <c r="CV618" s="390"/>
      <c r="CW618" s="390"/>
      <c r="CX618" s="390"/>
      <c r="CY618" s="390"/>
      <c r="CZ618" s="390"/>
      <c r="DA618" s="390"/>
      <c r="DB618" s="390"/>
      <c r="DC618" s="390"/>
    </row>
    <row r="619" spans="1:107" s="303" customFormat="1" ht="33.75">
      <c r="A619" s="37"/>
      <c r="B619" s="694" t="s">
        <v>30</v>
      </c>
      <c r="C619" s="320" t="s">
        <v>1185</v>
      </c>
      <c r="D619" s="564" t="s">
        <v>1231</v>
      </c>
      <c r="E619" s="323">
        <v>1030.2872247506953</v>
      </c>
      <c r="F619" s="565" t="s">
        <v>1256</v>
      </c>
      <c r="G619" s="566">
        <v>8.4309483145483866E-2</v>
      </c>
      <c r="H619" s="320" t="s">
        <v>110</v>
      </c>
      <c r="I619" s="378">
        <v>0.92133700443216204</v>
      </c>
      <c r="J619" s="565" t="s">
        <v>32</v>
      </c>
      <c r="K619" s="320" t="s">
        <v>114</v>
      </c>
      <c r="L619" s="320" t="s">
        <v>995</v>
      </c>
      <c r="M619" s="320" t="s">
        <v>88</v>
      </c>
      <c r="N619" s="324">
        <v>22.310071528495545</v>
      </c>
      <c r="O619" s="324">
        <v>14.085294243878204</v>
      </c>
      <c r="P619" s="324">
        <v>22.310071528495545</v>
      </c>
      <c r="Q619" s="324" t="s">
        <v>871</v>
      </c>
      <c r="R619" s="37"/>
      <c r="S619" s="320" t="s">
        <v>1273</v>
      </c>
      <c r="T619" s="320" t="s">
        <v>69</v>
      </c>
      <c r="U619" s="320" t="s">
        <v>69</v>
      </c>
      <c r="V619" s="320" t="s">
        <v>69</v>
      </c>
      <c r="W619" s="320" t="s">
        <v>76</v>
      </c>
      <c r="X619" s="37"/>
      <c r="Y619" s="37"/>
      <c r="Z619" s="565" t="s">
        <v>78</v>
      </c>
      <c r="AA619" s="565" t="s">
        <v>78</v>
      </c>
      <c r="AB619" s="37"/>
      <c r="AC619" s="816">
        <v>8.7800000000000011</v>
      </c>
      <c r="AD619" s="565" t="s">
        <v>84</v>
      </c>
      <c r="AE619" s="565" t="s">
        <v>73</v>
      </c>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c r="CA619" s="393"/>
      <c r="CB619" s="393"/>
      <c r="CC619" s="393"/>
      <c r="CD619" s="393"/>
      <c r="CE619" s="393"/>
      <c r="CF619" s="393"/>
      <c r="CG619" s="393"/>
      <c r="CH619" s="393"/>
      <c r="CI619" s="393"/>
      <c r="CJ619" s="390"/>
      <c r="CK619" s="390"/>
      <c r="CL619" s="390"/>
      <c r="CM619" s="390"/>
      <c r="CN619" s="390"/>
      <c r="CO619" s="390"/>
      <c r="CP619" s="390"/>
      <c r="CQ619" s="390"/>
      <c r="CR619" s="390"/>
      <c r="CS619" s="390"/>
      <c r="CT619" s="390"/>
      <c r="CU619" s="390"/>
      <c r="CV619" s="390"/>
      <c r="CW619" s="390"/>
      <c r="CX619" s="390"/>
      <c r="CY619" s="390"/>
      <c r="CZ619" s="390"/>
      <c r="DA619" s="390"/>
      <c r="DB619" s="390"/>
      <c r="DC619" s="390"/>
    </row>
    <row r="620" spans="1:107" s="303" customFormat="1" ht="33.75">
      <c r="A620" s="37"/>
      <c r="B620" s="694" t="s">
        <v>30</v>
      </c>
      <c r="C620" s="320" t="s">
        <v>1185</v>
      </c>
      <c r="D620" s="564" t="s">
        <v>1231</v>
      </c>
      <c r="E620" s="323">
        <v>1030.2872247506953</v>
      </c>
      <c r="F620" s="565" t="s">
        <v>1256</v>
      </c>
      <c r="G620" s="566">
        <v>8.4309483145483866E-2</v>
      </c>
      <c r="H620" s="320" t="s">
        <v>110</v>
      </c>
      <c r="I620" s="378">
        <v>0.92133700443216204</v>
      </c>
      <c r="J620" s="565" t="s">
        <v>32</v>
      </c>
      <c r="K620" s="320" t="s">
        <v>114</v>
      </c>
      <c r="L620" s="320" t="s">
        <v>995</v>
      </c>
      <c r="M620" s="320" t="s">
        <v>90</v>
      </c>
      <c r="N620" s="324">
        <v>22.310071528495545</v>
      </c>
      <c r="O620" s="324" t="s">
        <v>871</v>
      </c>
      <c r="P620" s="324">
        <v>22.310071528495545</v>
      </c>
      <c r="Q620" s="324" t="s">
        <v>871</v>
      </c>
      <c r="R620" s="37"/>
      <c r="S620" s="320" t="s">
        <v>1273</v>
      </c>
      <c r="T620" s="320" t="s">
        <v>69</v>
      </c>
      <c r="U620" s="320" t="s">
        <v>69</v>
      </c>
      <c r="V620" s="320" t="s">
        <v>69</v>
      </c>
      <c r="W620" s="320" t="s">
        <v>76</v>
      </c>
      <c r="X620" s="37"/>
      <c r="Y620" s="37"/>
      <c r="Z620" s="565" t="s">
        <v>78</v>
      </c>
      <c r="AA620" s="565" t="s">
        <v>78</v>
      </c>
      <c r="AB620" s="37"/>
      <c r="AC620" s="816">
        <v>8.7800000000000011</v>
      </c>
      <c r="AD620" s="565" t="s">
        <v>84</v>
      </c>
      <c r="AE620" s="565" t="s">
        <v>73</v>
      </c>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c r="CA620" s="393"/>
      <c r="CB620" s="393"/>
      <c r="CC620" s="393"/>
      <c r="CD620" s="393"/>
      <c r="CE620" s="393"/>
      <c r="CF620" s="393"/>
      <c r="CG620" s="393"/>
      <c r="CH620" s="393"/>
      <c r="CI620" s="393"/>
      <c r="CJ620" s="390"/>
      <c r="CK620" s="390"/>
      <c r="CL620" s="390"/>
      <c r="CM620" s="390"/>
      <c r="CN620" s="390"/>
      <c r="CO620" s="390"/>
      <c r="CP620" s="390"/>
      <c r="CQ620" s="390"/>
      <c r="CR620" s="390"/>
      <c r="CS620" s="390"/>
      <c r="CT620" s="390"/>
      <c r="CU620" s="390"/>
      <c r="CV620" s="390"/>
      <c r="CW620" s="390"/>
      <c r="CX620" s="390"/>
      <c r="CY620" s="390"/>
      <c r="CZ620" s="390"/>
      <c r="DA620" s="390"/>
      <c r="DB620" s="390"/>
      <c r="DC620" s="390"/>
    </row>
    <row r="621" spans="1:107" s="303" customFormat="1" ht="33.75">
      <c r="A621" s="37"/>
      <c r="B621" s="694" t="s">
        <v>30</v>
      </c>
      <c r="C621" s="320" t="s">
        <v>1185</v>
      </c>
      <c r="D621" s="564" t="s">
        <v>1231</v>
      </c>
      <c r="E621" s="323">
        <v>1030.2872247506953</v>
      </c>
      <c r="F621" s="565" t="s">
        <v>1256</v>
      </c>
      <c r="G621" s="566">
        <v>8.4309483145483866E-2</v>
      </c>
      <c r="H621" s="320" t="s">
        <v>110</v>
      </c>
      <c r="I621" s="378">
        <v>0.92133700443216204</v>
      </c>
      <c r="J621" s="565" t="s">
        <v>32</v>
      </c>
      <c r="K621" s="320" t="s">
        <v>114</v>
      </c>
      <c r="L621" s="320" t="s">
        <v>995</v>
      </c>
      <c r="M621" s="320" t="s">
        <v>91</v>
      </c>
      <c r="N621" s="324">
        <v>22.310071528495545</v>
      </c>
      <c r="O621" s="324" t="s">
        <v>870</v>
      </c>
      <c r="P621" s="324">
        <v>22.310071528495545</v>
      </c>
      <c r="Q621" s="324" t="s">
        <v>870</v>
      </c>
      <c r="R621" s="37"/>
      <c r="S621" s="320" t="s">
        <v>1273</v>
      </c>
      <c r="T621" s="320" t="s">
        <v>69</v>
      </c>
      <c r="U621" s="320" t="s">
        <v>69</v>
      </c>
      <c r="V621" s="320" t="s">
        <v>69</v>
      </c>
      <c r="W621" s="320" t="s">
        <v>76</v>
      </c>
      <c r="X621" s="37"/>
      <c r="Y621" s="37"/>
      <c r="Z621" s="565" t="s">
        <v>78</v>
      </c>
      <c r="AA621" s="565" t="s">
        <v>78</v>
      </c>
      <c r="AB621" s="37"/>
      <c r="AC621" s="816">
        <v>8.7800000000000011</v>
      </c>
      <c r="AD621" s="565" t="s">
        <v>84</v>
      </c>
      <c r="AE621" s="565" t="s">
        <v>73</v>
      </c>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c r="CA621" s="393"/>
      <c r="CB621" s="393"/>
      <c r="CC621" s="393"/>
      <c r="CD621" s="393"/>
      <c r="CE621" s="393"/>
      <c r="CF621" s="393"/>
      <c r="CG621" s="393"/>
      <c r="CH621" s="393"/>
      <c r="CI621" s="393"/>
      <c r="CJ621" s="390"/>
      <c r="CK621" s="390"/>
      <c r="CL621" s="390"/>
      <c r="CM621" s="390"/>
      <c r="CN621" s="390"/>
      <c r="CO621" s="390"/>
      <c r="CP621" s="390"/>
      <c r="CQ621" s="390"/>
      <c r="CR621" s="390"/>
      <c r="CS621" s="390"/>
      <c r="CT621" s="390"/>
      <c r="CU621" s="390"/>
      <c r="CV621" s="390"/>
      <c r="CW621" s="390"/>
      <c r="CX621" s="390"/>
      <c r="CY621" s="390"/>
      <c r="CZ621" s="390"/>
      <c r="DA621" s="390"/>
      <c r="DB621" s="390"/>
      <c r="DC621" s="390"/>
    </row>
    <row r="622" spans="1:107" s="303" customFormat="1" ht="33.75">
      <c r="A622" s="37"/>
      <c r="B622" s="694" t="s">
        <v>30</v>
      </c>
      <c r="C622" s="320" t="s">
        <v>1185</v>
      </c>
      <c r="D622" s="564" t="s">
        <v>1231</v>
      </c>
      <c r="E622" s="323">
        <v>1030.2872247506953</v>
      </c>
      <c r="F622" s="565" t="s">
        <v>1256</v>
      </c>
      <c r="G622" s="566">
        <v>8.4309483145483866E-2</v>
      </c>
      <c r="H622" s="320" t="s">
        <v>110</v>
      </c>
      <c r="I622" s="378">
        <v>0.92133700443216204</v>
      </c>
      <c r="J622" s="565" t="s">
        <v>32</v>
      </c>
      <c r="K622" s="320" t="s">
        <v>114</v>
      </c>
      <c r="L622" s="320" t="s">
        <v>995</v>
      </c>
      <c r="M622" s="320" t="s">
        <v>92</v>
      </c>
      <c r="N622" s="324">
        <v>22.310071528495545</v>
      </c>
      <c r="O622" s="324">
        <v>23.048663308164336</v>
      </c>
      <c r="P622" s="324">
        <v>22.310071528495545</v>
      </c>
      <c r="Q622" s="324">
        <v>8.9633690642861303</v>
      </c>
      <c r="R622" s="37"/>
      <c r="S622" s="320" t="s">
        <v>1273</v>
      </c>
      <c r="T622" s="320" t="s">
        <v>69</v>
      </c>
      <c r="U622" s="320" t="s">
        <v>69</v>
      </c>
      <c r="V622" s="320" t="s">
        <v>69</v>
      </c>
      <c r="W622" s="320" t="s">
        <v>76</v>
      </c>
      <c r="X622" s="37"/>
      <c r="Y622" s="37"/>
      <c r="Z622" s="565" t="s">
        <v>78</v>
      </c>
      <c r="AA622" s="565" t="s">
        <v>78</v>
      </c>
      <c r="AB622" s="37"/>
      <c r="AC622" s="816">
        <v>8.7800000000000011</v>
      </c>
      <c r="AD622" s="565" t="s">
        <v>84</v>
      </c>
      <c r="AE622" s="565" t="s">
        <v>73</v>
      </c>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c r="CA622" s="393"/>
      <c r="CB622" s="393"/>
      <c r="CC622" s="393"/>
      <c r="CD622" s="393"/>
      <c r="CE622" s="393"/>
      <c r="CF622" s="393"/>
      <c r="CG622" s="393"/>
      <c r="CH622" s="393"/>
      <c r="CI622" s="393"/>
      <c r="CJ622" s="390"/>
      <c r="CK622" s="390"/>
      <c r="CL622" s="390"/>
      <c r="CM622" s="390"/>
      <c r="CN622" s="390"/>
      <c r="CO622" s="390"/>
      <c r="CP622" s="390"/>
      <c r="CQ622" s="390"/>
      <c r="CR622" s="390"/>
      <c r="CS622" s="390"/>
      <c r="CT622" s="390"/>
      <c r="CU622" s="390"/>
      <c r="CV622" s="390"/>
      <c r="CW622" s="390"/>
      <c r="CX622" s="390"/>
      <c r="CY622" s="390"/>
      <c r="CZ622" s="390"/>
      <c r="DA622" s="390"/>
      <c r="DB622" s="390"/>
      <c r="DC622" s="390"/>
    </row>
    <row r="623" spans="1:107" s="303" customFormat="1" ht="33.75">
      <c r="A623" s="37"/>
      <c r="B623" s="694" t="s">
        <v>30</v>
      </c>
      <c r="C623" s="320" t="s">
        <v>1185</v>
      </c>
      <c r="D623" s="564" t="s">
        <v>1231</v>
      </c>
      <c r="E623" s="323">
        <v>1030.2872247506953</v>
      </c>
      <c r="F623" s="565" t="s">
        <v>1256</v>
      </c>
      <c r="G623" s="566">
        <v>8.4309483145483866E-2</v>
      </c>
      <c r="H623" s="320" t="s">
        <v>110</v>
      </c>
      <c r="I623" s="378">
        <v>0.92133700443216204</v>
      </c>
      <c r="J623" s="565" t="s">
        <v>32</v>
      </c>
      <c r="K623" s="320" t="s">
        <v>114</v>
      </c>
      <c r="L623" s="320" t="s">
        <v>995</v>
      </c>
      <c r="M623" s="320" t="s">
        <v>93</v>
      </c>
      <c r="N623" s="324">
        <v>22.310071528495545</v>
      </c>
      <c r="O623" s="324">
        <v>24.329144603062353</v>
      </c>
      <c r="P623" s="324">
        <v>22.310071528495545</v>
      </c>
      <c r="Q623" s="324">
        <v>10.243850359184151</v>
      </c>
      <c r="R623" s="37"/>
      <c r="S623" s="320" t="s">
        <v>1273</v>
      </c>
      <c r="T623" s="320" t="s">
        <v>69</v>
      </c>
      <c r="U623" s="320" t="s">
        <v>69</v>
      </c>
      <c r="V623" s="320" t="s">
        <v>69</v>
      </c>
      <c r="W623" s="320" t="s">
        <v>76</v>
      </c>
      <c r="X623" s="37"/>
      <c r="Y623" s="37"/>
      <c r="Z623" s="565" t="s">
        <v>78</v>
      </c>
      <c r="AA623" s="565" t="s">
        <v>78</v>
      </c>
      <c r="AB623" s="37"/>
      <c r="AC623" s="816">
        <v>8.7800000000000011</v>
      </c>
      <c r="AD623" s="565" t="s">
        <v>84</v>
      </c>
      <c r="AE623" s="565" t="s">
        <v>73</v>
      </c>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c r="CA623" s="393"/>
      <c r="CB623" s="393"/>
      <c r="CC623" s="393"/>
      <c r="CD623" s="393"/>
      <c r="CE623" s="393"/>
      <c r="CF623" s="393"/>
      <c r="CG623" s="393"/>
      <c r="CH623" s="393"/>
      <c r="CI623" s="393"/>
      <c r="CJ623" s="390"/>
      <c r="CK623" s="390"/>
      <c r="CL623" s="390"/>
      <c r="CM623" s="390"/>
      <c r="CN623" s="390"/>
      <c r="CO623" s="390"/>
      <c r="CP623" s="390"/>
      <c r="CQ623" s="390"/>
      <c r="CR623" s="390"/>
      <c r="CS623" s="390"/>
      <c r="CT623" s="390"/>
      <c r="CU623" s="390"/>
      <c r="CV623" s="390"/>
      <c r="CW623" s="390"/>
      <c r="CX623" s="390"/>
      <c r="CY623" s="390"/>
      <c r="CZ623" s="390"/>
      <c r="DA623" s="390"/>
      <c r="DB623" s="390"/>
      <c r="DC623" s="390"/>
    </row>
    <row r="624" spans="1:107" s="303" customFormat="1" ht="33.75">
      <c r="A624" s="37"/>
      <c r="B624" s="694" t="s">
        <v>30</v>
      </c>
      <c r="C624" s="320" t="s">
        <v>1185</v>
      </c>
      <c r="D624" s="564" t="s">
        <v>1231</v>
      </c>
      <c r="E624" s="323">
        <v>1030.2872247506953</v>
      </c>
      <c r="F624" s="565" t="s">
        <v>1256</v>
      </c>
      <c r="G624" s="566">
        <v>8.4309483145483866E-2</v>
      </c>
      <c r="H624" s="320" t="s">
        <v>110</v>
      </c>
      <c r="I624" s="378">
        <v>0.92133700443216204</v>
      </c>
      <c r="J624" s="565" t="s">
        <v>32</v>
      </c>
      <c r="K624" s="320" t="s">
        <v>114</v>
      </c>
      <c r="L624" s="320" t="s">
        <v>101</v>
      </c>
      <c r="M624" s="320" t="s">
        <v>88</v>
      </c>
      <c r="N624" s="324">
        <v>28.402085611637542</v>
      </c>
      <c r="O624" s="324">
        <v>14.085294243878204</v>
      </c>
      <c r="P624" s="324">
        <v>28.402085611637542</v>
      </c>
      <c r="Q624" s="324" t="s">
        <v>871</v>
      </c>
      <c r="R624" s="37"/>
      <c r="S624" s="320" t="s">
        <v>68</v>
      </c>
      <c r="T624" s="320" t="s">
        <v>63</v>
      </c>
      <c r="U624" s="320" t="s">
        <v>69</v>
      </c>
      <c r="V624" s="320" t="s">
        <v>69</v>
      </c>
      <c r="W624" s="320" t="s">
        <v>76</v>
      </c>
      <c r="X624" s="37"/>
      <c r="Y624" s="37"/>
      <c r="Z624" s="565" t="s">
        <v>78</v>
      </c>
      <c r="AA624" s="565" t="s">
        <v>78</v>
      </c>
      <c r="AB624" s="37"/>
      <c r="AC624" s="816">
        <v>8.7800000000000011</v>
      </c>
      <c r="AD624" s="565" t="s">
        <v>84</v>
      </c>
      <c r="AE624" s="565" t="s">
        <v>73</v>
      </c>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c r="CA624" s="393"/>
      <c r="CB624" s="393"/>
      <c r="CC624" s="393"/>
      <c r="CD624" s="393"/>
      <c r="CE624" s="393"/>
      <c r="CF624" s="393"/>
      <c r="CG624" s="393"/>
      <c r="CH624" s="393"/>
      <c r="CI624" s="393"/>
      <c r="CJ624" s="390"/>
      <c r="CK624" s="390"/>
      <c r="CL624" s="390"/>
      <c r="CM624" s="390"/>
      <c r="CN624" s="390"/>
      <c r="CO624" s="390"/>
      <c r="CP624" s="390"/>
      <c r="CQ624" s="390"/>
      <c r="CR624" s="390"/>
      <c r="CS624" s="390"/>
      <c r="CT624" s="390"/>
      <c r="CU624" s="390"/>
      <c r="CV624" s="390"/>
      <c r="CW624" s="390"/>
      <c r="CX624" s="390"/>
      <c r="CY624" s="390"/>
      <c r="CZ624" s="390"/>
      <c r="DA624" s="390"/>
      <c r="DB624" s="390"/>
      <c r="DC624" s="390"/>
    </row>
    <row r="625" spans="1:107" s="303" customFormat="1" ht="33.75">
      <c r="A625" s="37"/>
      <c r="B625" s="694" t="s">
        <v>30</v>
      </c>
      <c r="C625" s="320" t="s">
        <v>1185</v>
      </c>
      <c r="D625" s="564" t="s">
        <v>1231</v>
      </c>
      <c r="E625" s="323">
        <v>1030.2872247506953</v>
      </c>
      <c r="F625" s="565" t="s">
        <v>1256</v>
      </c>
      <c r="G625" s="566">
        <v>8.4309483145483866E-2</v>
      </c>
      <c r="H625" s="320" t="s">
        <v>110</v>
      </c>
      <c r="I625" s="378">
        <v>0.92133700443216204</v>
      </c>
      <c r="J625" s="565" t="s">
        <v>32</v>
      </c>
      <c r="K625" s="320" t="s">
        <v>114</v>
      </c>
      <c r="L625" s="320" t="s">
        <v>101</v>
      </c>
      <c r="M625" s="320" t="s">
        <v>90</v>
      </c>
      <c r="N625" s="324">
        <v>28.402085611637542</v>
      </c>
      <c r="O625" s="324" t="s">
        <v>871</v>
      </c>
      <c r="P625" s="324">
        <v>28.402085611637542</v>
      </c>
      <c r="Q625" s="324" t="s">
        <v>871</v>
      </c>
      <c r="R625" s="37"/>
      <c r="S625" s="320" t="s">
        <v>68</v>
      </c>
      <c r="T625" s="320" t="s">
        <v>63</v>
      </c>
      <c r="U625" s="320" t="s">
        <v>69</v>
      </c>
      <c r="V625" s="320" t="s">
        <v>69</v>
      </c>
      <c r="W625" s="320" t="s">
        <v>76</v>
      </c>
      <c r="X625" s="37"/>
      <c r="Y625" s="37"/>
      <c r="Z625" s="565" t="s">
        <v>78</v>
      </c>
      <c r="AA625" s="565" t="s">
        <v>78</v>
      </c>
      <c r="AB625" s="37"/>
      <c r="AC625" s="816">
        <v>8.7800000000000011</v>
      </c>
      <c r="AD625" s="565" t="s">
        <v>84</v>
      </c>
      <c r="AE625" s="565" t="s">
        <v>73</v>
      </c>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c r="CA625" s="393"/>
      <c r="CB625" s="393"/>
      <c r="CC625" s="393"/>
      <c r="CD625" s="393"/>
      <c r="CE625" s="393"/>
      <c r="CF625" s="393"/>
      <c r="CG625" s="393"/>
      <c r="CH625" s="393"/>
      <c r="CI625" s="393"/>
      <c r="CJ625" s="390"/>
      <c r="CK625" s="390"/>
      <c r="CL625" s="390"/>
      <c r="CM625" s="390"/>
      <c r="CN625" s="390"/>
      <c r="CO625" s="390"/>
      <c r="CP625" s="390"/>
      <c r="CQ625" s="390"/>
      <c r="CR625" s="390"/>
      <c r="CS625" s="390"/>
      <c r="CT625" s="390"/>
      <c r="CU625" s="390"/>
      <c r="CV625" s="390"/>
      <c r="CW625" s="390"/>
      <c r="CX625" s="390"/>
      <c r="CY625" s="390"/>
      <c r="CZ625" s="390"/>
      <c r="DA625" s="390"/>
      <c r="DB625" s="390"/>
      <c r="DC625" s="390"/>
    </row>
    <row r="626" spans="1:107" s="303" customFormat="1" ht="33.75">
      <c r="A626" s="37"/>
      <c r="B626" s="694" t="s">
        <v>30</v>
      </c>
      <c r="C626" s="320" t="s">
        <v>1185</v>
      </c>
      <c r="D626" s="564" t="s">
        <v>1231</v>
      </c>
      <c r="E626" s="323">
        <v>1030.2872247506953</v>
      </c>
      <c r="F626" s="565" t="s">
        <v>1256</v>
      </c>
      <c r="G626" s="566">
        <v>8.4309483145483866E-2</v>
      </c>
      <c r="H626" s="320" t="s">
        <v>110</v>
      </c>
      <c r="I626" s="378">
        <v>0.92133700443216204</v>
      </c>
      <c r="J626" s="565" t="s">
        <v>32</v>
      </c>
      <c r="K626" s="320" t="s">
        <v>114</v>
      </c>
      <c r="L626" s="320" t="s">
        <v>101</v>
      </c>
      <c r="M626" s="320" t="s">
        <v>91</v>
      </c>
      <c r="N626" s="324">
        <v>28.402085611637542</v>
      </c>
      <c r="O626" s="324" t="s">
        <v>870</v>
      </c>
      <c r="P626" s="324">
        <v>28.402085611637542</v>
      </c>
      <c r="Q626" s="324" t="s">
        <v>870</v>
      </c>
      <c r="R626" s="37"/>
      <c r="S626" s="320" t="s">
        <v>68</v>
      </c>
      <c r="T626" s="320" t="s">
        <v>63</v>
      </c>
      <c r="U626" s="320" t="s">
        <v>69</v>
      </c>
      <c r="V626" s="320" t="s">
        <v>69</v>
      </c>
      <c r="W626" s="320" t="s">
        <v>76</v>
      </c>
      <c r="X626" s="37"/>
      <c r="Y626" s="37"/>
      <c r="Z626" s="565" t="s">
        <v>78</v>
      </c>
      <c r="AA626" s="565" t="s">
        <v>78</v>
      </c>
      <c r="AB626" s="37"/>
      <c r="AC626" s="816">
        <v>8.7800000000000011</v>
      </c>
      <c r="AD626" s="565" t="s">
        <v>84</v>
      </c>
      <c r="AE626" s="565" t="s">
        <v>73</v>
      </c>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c r="CA626" s="393"/>
      <c r="CB626" s="393"/>
      <c r="CC626" s="393"/>
      <c r="CD626" s="393"/>
      <c r="CE626" s="393"/>
      <c r="CF626" s="393"/>
      <c r="CG626" s="393"/>
      <c r="CH626" s="393"/>
      <c r="CI626" s="393"/>
      <c r="CJ626" s="390"/>
      <c r="CK626" s="390"/>
      <c r="CL626" s="390"/>
      <c r="CM626" s="390"/>
      <c r="CN626" s="390"/>
      <c r="CO626" s="390"/>
      <c r="CP626" s="390"/>
      <c r="CQ626" s="390"/>
      <c r="CR626" s="390"/>
      <c r="CS626" s="390"/>
      <c r="CT626" s="390"/>
      <c r="CU626" s="390"/>
      <c r="CV626" s="390"/>
      <c r="CW626" s="390"/>
      <c r="CX626" s="390"/>
      <c r="CY626" s="390"/>
      <c r="CZ626" s="390"/>
      <c r="DA626" s="390"/>
      <c r="DB626" s="390"/>
      <c r="DC626" s="390"/>
    </row>
    <row r="627" spans="1:107" s="303" customFormat="1" ht="33.75">
      <c r="A627" s="37"/>
      <c r="B627" s="694" t="s">
        <v>30</v>
      </c>
      <c r="C627" s="320" t="s">
        <v>1185</v>
      </c>
      <c r="D627" s="564" t="s">
        <v>1231</v>
      </c>
      <c r="E627" s="323">
        <v>1030.2872247506953</v>
      </c>
      <c r="F627" s="565" t="s">
        <v>1256</v>
      </c>
      <c r="G627" s="566">
        <v>8.4309483145483866E-2</v>
      </c>
      <c r="H627" s="320" t="s">
        <v>110</v>
      </c>
      <c r="I627" s="378">
        <v>0.92133700443216204</v>
      </c>
      <c r="J627" s="565" t="s">
        <v>32</v>
      </c>
      <c r="K627" s="320" t="s">
        <v>114</v>
      </c>
      <c r="L627" s="320" t="s">
        <v>101</v>
      </c>
      <c r="M627" s="320" t="s">
        <v>92</v>
      </c>
      <c r="N627" s="324">
        <v>28.402085611637542</v>
      </c>
      <c r="O627" s="324">
        <v>23.048663308164336</v>
      </c>
      <c r="P627" s="324">
        <v>28.402085611637542</v>
      </c>
      <c r="Q627" s="324">
        <v>8.9633690642861303</v>
      </c>
      <c r="R627" s="37"/>
      <c r="S627" s="320" t="s">
        <v>68</v>
      </c>
      <c r="T627" s="320" t="s">
        <v>63</v>
      </c>
      <c r="U627" s="320" t="s">
        <v>69</v>
      </c>
      <c r="V627" s="320" t="s">
        <v>69</v>
      </c>
      <c r="W627" s="320" t="s">
        <v>76</v>
      </c>
      <c r="X627" s="37"/>
      <c r="Y627" s="37"/>
      <c r="Z627" s="565" t="s">
        <v>78</v>
      </c>
      <c r="AA627" s="565" t="s">
        <v>78</v>
      </c>
      <c r="AB627" s="37"/>
      <c r="AC627" s="816">
        <v>8.7800000000000011</v>
      </c>
      <c r="AD627" s="565" t="s">
        <v>84</v>
      </c>
      <c r="AE627" s="565" t="s">
        <v>73</v>
      </c>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c r="CA627" s="393"/>
      <c r="CB627" s="393"/>
      <c r="CC627" s="393"/>
      <c r="CD627" s="393"/>
      <c r="CE627" s="393"/>
      <c r="CF627" s="393"/>
      <c r="CG627" s="393"/>
      <c r="CH627" s="393"/>
      <c r="CI627" s="393"/>
      <c r="CJ627" s="390"/>
      <c r="CK627" s="390"/>
      <c r="CL627" s="390"/>
      <c r="CM627" s="390"/>
      <c r="CN627" s="390"/>
      <c r="CO627" s="390"/>
      <c r="CP627" s="390"/>
      <c r="CQ627" s="390"/>
      <c r="CR627" s="390"/>
      <c r="CS627" s="390"/>
      <c r="CT627" s="390"/>
      <c r="CU627" s="390"/>
      <c r="CV627" s="390"/>
      <c r="CW627" s="390"/>
      <c r="CX627" s="390"/>
      <c r="CY627" s="390"/>
      <c r="CZ627" s="390"/>
      <c r="DA627" s="390"/>
      <c r="DB627" s="390"/>
      <c r="DC627" s="390"/>
    </row>
    <row r="628" spans="1:107" s="303" customFormat="1" ht="33.75">
      <c r="A628" s="37"/>
      <c r="B628" s="694" t="s">
        <v>30</v>
      </c>
      <c r="C628" s="320" t="s">
        <v>1185</v>
      </c>
      <c r="D628" s="564" t="s">
        <v>1231</v>
      </c>
      <c r="E628" s="323">
        <v>1030.2872247506953</v>
      </c>
      <c r="F628" s="565" t="s">
        <v>1256</v>
      </c>
      <c r="G628" s="566">
        <v>8.4309483145483866E-2</v>
      </c>
      <c r="H628" s="320" t="s">
        <v>110</v>
      </c>
      <c r="I628" s="378">
        <v>0.92133700443216204</v>
      </c>
      <c r="J628" s="565" t="s">
        <v>32</v>
      </c>
      <c r="K628" s="320" t="s">
        <v>114</v>
      </c>
      <c r="L628" s="320" t="s">
        <v>101</v>
      </c>
      <c r="M628" s="320" t="s">
        <v>93</v>
      </c>
      <c r="N628" s="324">
        <v>28.402085611637542</v>
      </c>
      <c r="O628" s="324">
        <v>24.329144603062353</v>
      </c>
      <c r="P628" s="324">
        <v>28.402085611637542</v>
      </c>
      <c r="Q628" s="324">
        <v>10.243850359184151</v>
      </c>
      <c r="R628" s="37"/>
      <c r="S628" s="320" t="s">
        <v>68</v>
      </c>
      <c r="T628" s="320" t="s">
        <v>63</v>
      </c>
      <c r="U628" s="320" t="s">
        <v>44</v>
      </c>
      <c r="V628" s="320" t="s">
        <v>75</v>
      </c>
      <c r="W628" s="320" t="s">
        <v>76</v>
      </c>
      <c r="X628" s="37"/>
      <c r="Y628" s="37"/>
      <c r="Z628" s="565" t="s">
        <v>78</v>
      </c>
      <c r="AA628" s="565" t="s">
        <v>78</v>
      </c>
      <c r="AB628" s="37"/>
      <c r="AC628" s="816">
        <v>8.7800000000000011</v>
      </c>
      <c r="AD628" s="565" t="s">
        <v>84</v>
      </c>
      <c r="AE628" s="565" t="s">
        <v>73</v>
      </c>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c r="CA628" s="393"/>
      <c r="CB628" s="393"/>
      <c r="CC628" s="393"/>
      <c r="CD628" s="393"/>
      <c r="CE628" s="393"/>
      <c r="CF628" s="393"/>
      <c r="CG628" s="393"/>
      <c r="CH628" s="393"/>
      <c r="CI628" s="393"/>
      <c r="CJ628" s="390"/>
      <c r="CK628" s="390"/>
      <c r="CL628" s="390"/>
      <c r="CM628" s="390"/>
      <c r="CN628" s="390"/>
      <c r="CO628" s="390"/>
      <c r="CP628" s="390"/>
      <c r="CQ628" s="390"/>
      <c r="CR628" s="390"/>
      <c r="CS628" s="390"/>
      <c r="CT628" s="390"/>
      <c r="CU628" s="390"/>
      <c r="CV628" s="390"/>
      <c r="CW628" s="390"/>
      <c r="CX628" s="390"/>
      <c r="CY628" s="390"/>
      <c r="CZ628" s="390"/>
      <c r="DA628" s="390"/>
      <c r="DB628" s="390"/>
      <c r="DC628" s="390"/>
    </row>
    <row r="629" spans="1:107" s="303" customFormat="1" ht="33.75">
      <c r="A629" s="37"/>
      <c r="B629" s="694" t="s">
        <v>30</v>
      </c>
      <c r="C629" s="320" t="s">
        <v>1185</v>
      </c>
      <c r="D629" s="564" t="s">
        <v>1231</v>
      </c>
      <c r="E629" s="323">
        <v>1030.2872247506953</v>
      </c>
      <c r="F629" s="565" t="s">
        <v>26</v>
      </c>
      <c r="G629" s="566">
        <v>7.8815955307006094E-2</v>
      </c>
      <c r="H629" s="320" t="s">
        <v>110</v>
      </c>
      <c r="I629" s="378">
        <v>0.93767754464295872</v>
      </c>
      <c r="J629" s="320" t="s">
        <v>25</v>
      </c>
      <c r="K629" s="320" t="s">
        <v>114</v>
      </c>
      <c r="L629" s="320" t="s">
        <v>95</v>
      </c>
      <c r="M629" s="320" t="s">
        <v>88</v>
      </c>
      <c r="N629" s="324">
        <v>54.135381239553432</v>
      </c>
      <c r="O629" s="324">
        <v>13.401044278779947</v>
      </c>
      <c r="P629" s="324">
        <v>51.428612177575751</v>
      </c>
      <c r="Q629" s="324" t="s">
        <v>871</v>
      </c>
      <c r="R629" s="37"/>
      <c r="S629" s="320" t="s">
        <v>44</v>
      </c>
      <c r="T629" s="320" t="s">
        <v>63</v>
      </c>
      <c r="U629" s="320" t="s">
        <v>69</v>
      </c>
      <c r="V629" s="320" t="s">
        <v>69</v>
      </c>
      <c r="W629" s="320" t="s">
        <v>76</v>
      </c>
      <c r="X629" s="37"/>
      <c r="Y629" s="37"/>
      <c r="Z629" s="565" t="s">
        <v>78</v>
      </c>
      <c r="AA629" s="565" t="s">
        <v>78</v>
      </c>
      <c r="AB629" s="37"/>
      <c r="AC629" s="816">
        <v>8.7800000000000011</v>
      </c>
      <c r="AD629" s="565" t="s">
        <v>84</v>
      </c>
      <c r="AE629" s="565" t="s">
        <v>73</v>
      </c>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c r="CA629" s="393"/>
      <c r="CB629" s="393"/>
      <c r="CC629" s="393"/>
      <c r="CD629" s="393"/>
      <c r="CE629" s="393"/>
      <c r="CF629" s="393"/>
      <c r="CG629" s="393"/>
      <c r="CH629" s="393"/>
      <c r="CI629" s="393"/>
      <c r="CJ629" s="390"/>
      <c r="CK629" s="390"/>
      <c r="CL629" s="390"/>
      <c r="CM629" s="390"/>
      <c r="CN629" s="390"/>
      <c r="CO629" s="390"/>
      <c r="CP629" s="390"/>
      <c r="CQ629" s="390"/>
      <c r="CR629" s="390"/>
      <c r="CS629" s="390"/>
      <c r="CT629" s="390"/>
      <c r="CU629" s="390"/>
      <c r="CV629" s="390"/>
      <c r="CW629" s="390"/>
      <c r="CX629" s="390"/>
      <c r="CY629" s="390"/>
      <c r="CZ629" s="390"/>
      <c r="DA629" s="390"/>
      <c r="DB629" s="390"/>
      <c r="DC629" s="390"/>
    </row>
    <row r="630" spans="1:107" s="303" customFormat="1" ht="33.75">
      <c r="A630" s="37"/>
      <c r="B630" s="694" t="s">
        <v>30</v>
      </c>
      <c r="C630" s="320" t="s">
        <v>1185</v>
      </c>
      <c r="D630" s="564" t="s">
        <v>1231</v>
      </c>
      <c r="E630" s="323">
        <v>1030.2872247506953</v>
      </c>
      <c r="F630" s="565" t="s">
        <v>26</v>
      </c>
      <c r="G630" s="566">
        <v>7.8815955307006094E-2</v>
      </c>
      <c r="H630" s="320" t="s">
        <v>110</v>
      </c>
      <c r="I630" s="378">
        <v>0.93767754464295872</v>
      </c>
      <c r="J630" s="320" t="s">
        <v>25</v>
      </c>
      <c r="K630" s="320" t="s">
        <v>114</v>
      </c>
      <c r="L630" s="320" t="s">
        <v>95</v>
      </c>
      <c r="M630" s="320" t="s">
        <v>90</v>
      </c>
      <c r="N630" s="324">
        <v>54.135381239553432</v>
      </c>
      <c r="O630" s="324" t="s">
        <v>871</v>
      </c>
      <c r="P630" s="324">
        <v>51.428612177575751</v>
      </c>
      <c r="Q630" s="324" t="s">
        <v>871</v>
      </c>
      <c r="R630" s="37"/>
      <c r="S630" s="320" t="s">
        <v>44</v>
      </c>
      <c r="T630" s="320" t="s">
        <v>63</v>
      </c>
      <c r="U630" s="320" t="s">
        <v>69</v>
      </c>
      <c r="V630" s="320" t="s">
        <v>69</v>
      </c>
      <c r="W630" s="320" t="s">
        <v>76</v>
      </c>
      <c r="X630" s="37"/>
      <c r="Y630" s="37"/>
      <c r="Z630" s="565" t="s">
        <v>78</v>
      </c>
      <c r="AA630" s="565" t="s">
        <v>78</v>
      </c>
      <c r="AB630" s="37"/>
      <c r="AC630" s="816">
        <v>8.7800000000000011</v>
      </c>
      <c r="AD630" s="565" t="s">
        <v>84</v>
      </c>
      <c r="AE630" s="565" t="s">
        <v>73</v>
      </c>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c r="CA630" s="393"/>
      <c r="CB630" s="393"/>
      <c r="CC630" s="393"/>
      <c r="CD630" s="393"/>
      <c r="CE630" s="393"/>
      <c r="CF630" s="393"/>
      <c r="CG630" s="393"/>
      <c r="CH630" s="393"/>
      <c r="CI630" s="393"/>
      <c r="CJ630" s="390"/>
      <c r="CK630" s="390"/>
      <c r="CL630" s="390"/>
      <c r="CM630" s="390"/>
      <c r="CN630" s="390"/>
      <c r="CO630" s="390"/>
      <c r="CP630" s="390"/>
      <c r="CQ630" s="390"/>
      <c r="CR630" s="390"/>
      <c r="CS630" s="390"/>
      <c r="CT630" s="390"/>
      <c r="CU630" s="390"/>
      <c r="CV630" s="390"/>
      <c r="CW630" s="390"/>
      <c r="CX630" s="390"/>
      <c r="CY630" s="390"/>
      <c r="CZ630" s="390"/>
      <c r="DA630" s="390"/>
      <c r="DB630" s="390"/>
      <c r="DC630" s="390"/>
    </row>
    <row r="631" spans="1:107" s="303" customFormat="1" ht="33.75">
      <c r="A631" s="37"/>
      <c r="B631" s="694" t="s">
        <v>30</v>
      </c>
      <c r="C631" s="320" t="s">
        <v>1185</v>
      </c>
      <c r="D631" s="564" t="s">
        <v>1231</v>
      </c>
      <c r="E631" s="323">
        <v>1030.2872247506953</v>
      </c>
      <c r="F631" s="565" t="s">
        <v>26</v>
      </c>
      <c r="G631" s="566">
        <v>7.8815955307006094E-2</v>
      </c>
      <c r="H631" s="320" t="s">
        <v>110</v>
      </c>
      <c r="I631" s="378">
        <v>0.93767754464295872</v>
      </c>
      <c r="J631" s="320" t="s">
        <v>25</v>
      </c>
      <c r="K631" s="320" t="s">
        <v>114</v>
      </c>
      <c r="L631" s="320" t="s">
        <v>95</v>
      </c>
      <c r="M631" s="320" t="s">
        <v>91</v>
      </c>
      <c r="N631" s="324">
        <v>54.135381239553432</v>
      </c>
      <c r="O631" s="324" t="s">
        <v>870</v>
      </c>
      <c r="P631" s="324">
        <v>51.428612177575751</v>
      </c>
      <c r="Q631" s="324" t="s">
        <v>870</v>
      </c>
      <c r="R631" s="37"/>
      <c r="S631" s="320" t="s">
        <v>44</v>
      </c>
      <c r="T631" s="320" t="s">
        <v>63</v>
      </c>
      <c r="U631" s="320" t="s">
        <v>870</v>
      </c>
      <c r="V631" s="320" t="s">
        <v>870</v>
      </c>
      <c r="W631" s="320" t="s">
        <v>76</v>
      </c>
      <c r="X631" s="37"/>
      <c r="Y631" s="37"/>
      <c r="Z631" s="565" t="s">
        <v>78</v>
      </c>
      <c r="AA631" s="565" t="s">
        <v>78</v>
      </c>
      <c r="AB631" s="37"/>
      <c r="AC631" s="816">
        <v>8.7800000000000011</v>
      </c>
      <c r="AD631" s="565" t="s">
        <v>84</v>
      </c>
      <c r="AE631" s="565" t="s">
        <v>73</v>
      </c>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c r="CA631" s="393"/>
      <c r="CB631" s="393"/>
      <c r="CC631" s="393"/>
      <c r="CD631" s="393"/>
      <c r="CE631" s="393"/>
      <c r="CF631" s="393"/>
      <c r="CG631" s="393"/>
      <c r="CH631" s="393"/>
      <c r="CI631" s="393"/>
      <c r="CJ631" s="390"/>
      <c r="CK631" s="390"/>
      <c r="CL631" s="390"/>
      <c r="CM631" s="390"/>
      <c r="CN631" s="390"/>
      <c r="CO631" s="390"/>
      <c r="CP631" s="390"/>
      <c r="CQ631" s="390"/>
      <c r="CR631" s="390"/>
      <c r="CS631" s="390"/>
      <c r="CT631" s="390"/>
      <c r="CU631" s="390"/>
      <c r="CV631" s="390"/>
      <c r="CW631" s="390"/>
      <c r="CX631" s="390"/>
      <c r="CY631" s="390"/>
      <c r="CZ631" s="390"/>
      <c r="DA631" s="390"/>
      <c r="DB631" s="390"/>
      <c r="DC631" s="390"/>
    </row>
    <row r="632" spans="1:107" s="303" customFormat="1" ht="33.75">
      <c r="A632" s="37"/>
      <c r="B632" s="694" t="s">
        <v>30</v>
      </c>
      <c r="C632" s="320" t="s">
        <v>1185</v>
      </c>
      <c r="D632" s="564" t="s">
        <v>1231</v>
      </c>
      <c r="E632" s="323">
        <v>1030.2872247506953</v>
      </c>
      <c r="F632" s="565" t="s">
        <v>26</v>
      </c>
      <c r="G632" s="566">
        <v>7.8815955307006094E-2</v>
      </c>
      <c r="H632" s="320" t="s">
        <v>110</v>
      </c>
      <c r="I632" s="378">
        <v>0.93767754464295872</v>
      </c>
      <c r="J632" s="320" t="s">
        <v>25</v>
      </c>
      <c r="K632" s="320" t="s">
        <v>114</v>
      </c>
      <c r="L632" s="320" t="s">
        <v>95</v>
      </c>
      <c r="M632" s="320" t="s">
        <v>92</v>
      </c>
      <c r="N632" s="324">
        <v>54.135381239553432</v>
      </c>
      <c r="O632" s="324">
        <v>21.928981547094459</v>
      </c>
      <c r="P632" s="324">
        <v>51.428612177575751</v>
      </c>
      <c r="Q632" s="324">
        <v>8.5279372683145098</v>
      </c>
      <c r="R632" s="37"/>
      <c r="S632" s="320" t="s">
        <v>44</v>
      </c>
      <c r="T632" s="320" t="s">
        <v>63</v>
      </c>
      <c r="U632" s="320" t="s">
        <v>69</v>
      </c>
      <c r="V632" s="320" t="s">
        <v>69</v>
      </c>
      <c r="W632" s="320" t="s">
        <v>76</v>
      </c>
      <c r="X632" s="37"/>
      <c r="Y632" s="37"/>
      <c r="Z632" s="565" t="s">
        <v>78</v>
      </c>
      <c r="AA632" s="565" t="s">
        <v>78</v>
      </c>
      <c r="AB632" s="37"/>
      <c r="AC632" s="816">
        <v>8.7800000000000011</v>
      </c>
      <c r="AD632" s="565" t="s">
        <v>84</v>
      </c>
      <c r="AE632" s="565" t="s">
        <v>73</v>
      </c>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c r="CA632" s="393"/>
      <c r="CB632" s="393"/>
      <c r="CC632" s="393"/>
      <c r="CD632" s="393"/>
      <c r="CE632" s="393"/>
      <c r="CF632" s="393"/>
      <c r="CG632" s="393"/>
      <c r="CH632" s="393"/>
      <c r="CI632" s="393"/>
      <c r="CJ632" s="390"/>
      <c r="CK632" s="390"/>
      <c r="CL632" s="390"/>
      <c r="CM632" s="390"/>
      <c r="CN632" s="390"/>
      <c r="CO632" s="390"/>
      <c r="CP632" s="390"/>
      <c r="CQ632" s="390"/>
      <c r="CR632" s="390"/>
      <c r="CS632" s="390"/>
      <c r="CT632" s="390"/>
      <c r="CU632" s="390"/>
      <c r="CV632" s="390"/>
      <c r="CW632" s="390"/>
      <c r="CX632" s="390"/>
      <c r="CY632" s="390"/>
      <c r="CZ632" s="390"/>
      <c r="DA632" s="390"/>
      <c r="DB632" s="390"/>
      <c r="DC632" s="390"/>
    </row>
    <row r="633" spans="1:107" s="303" customFormat="1" ht="33.75">
      <c r="A633" s="37"/>
      <c r="B633" s="694" t="s">
        <v>30</v>
      </c>
      <c r="C633" s="320" t="s">
        <v>1185</v>
      </c>
      <c r="D633" s="564" t="s">
        <v>1231</v>
      </c>
      <c r="E633" s="323">
        <v>1030.2872247506953</v>
      </c>
      <c r="F633" s="565" t="s">
        <v>26</v>
      </c>
      <c r="G633" s="566">
        <v>7.8815955307006094E-2</v>
      </c>
      <c r="H633" s="320" t="s">
        <v>110</v>
      </c>
      <c r="I633" s="378">
        <v>0.93767754464295872</v>
      </c>
      <c r="J633" s="320" t="s">
        <v>25</v>
      </c>
      <c r="K633" s="320" t="s">
        <v>114</v>
      </c>
      <c r="L633" s="320" t="s">
        <v>95</v>
      </c>
      <c r="M633" s="320" t="s">
        <v>93</v>
      </c>
      <c r="N633" s="324">
        <v>54.135381239553432</v>
      </c>
      <c r="O633" s="324">
        <v>23.147258299710817</v>
      </c>
      <c r="P633" s="324">
        <v>51.428612177575751</v>
      </c>
      <c r="Q633" s="324">
        <v>9.7462140209308696</v>
      </c>
      <c r="R633" s="37"/>
      <c r="S633" s="320" t="s">
        <v>44</v>
      </c>
      <c r="T633" s="320" t="s">
        <v>63</v>
      </c>
      <c r="U633" s="320" t="s">
        <v>44</v>
      </c>
      <c r="V633" s="320" t="s">
        <v>75</v>
      </c>
      <c r="W633" s="320" t="s">
        <v>76</v>
      </c>
      <c r="X633" s="37"/>
      <c r="Y633" s="37"/>
      <c r="Z633" s="565" t="s">
        <v>78</v>
      </c>
      <c r="AA633" s="565" t="s">
        <v>78</v>
      </c>
      <c r="AB633" s="37"/>
      <c r="AC633" s="816">
        <v>8.7800000000000011</v>
      </c>
      <c r="AD633" s="565" t="s">
        <v>84</v>
      </c>
      <c r="AE633" s="565" t="s">
        <v>73</v>
      </c>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c r="CA633" s="393"/>
      <c r="CB633" s="393"/>
      <c r="CC633" s="393"/>
      <c r="CD633" s="393"/>
      <c r="CE633" s="393"/>
      <c r="CF633" s="393"/>
      <c r="CG633" s="393"/>
      <c r="CH633" s="393"/>
      <c r="CI633" s="393"/>
      <c r="CJ633" s="390"/>
      <c r="CK633" s="390"/>
      <c r="CL633" s="390"/>
      <c r="CM633" s="390"/>
      <c r="CN633" s="390"/>
      <c r="CO633" s="390"/>
      <c r="CP633" s="390"/>
      <c r="CQ633" s="390"/>
      <c r="CR633" s="390"/>
      <c r="CS633" s="390"/>
      <c r="CT633" s="390"/>
      <c r="CU633" s="390"/>
      <c r="CV633" s="390"/>
      <c r="CW633" s="390"/>
      <c r="CX633" s="390"/>
      <c r="CY633" s="390"/>
      <c r="CZ633" s="390"/>
      <c r="DA633" s="390"/>
      <c r="DB633" s="390"/>
      <c r="DC633" s="390"/>
    </row>
    <row r="634" spans="1:107" s="303" customFormat="1" ht="33.75">
      <c r="A634" s="37"/>
      <c r="B634" s="694" t="s">
        <v>30</v>
      </c>
      <c r="C634" s="320" t="s">
        <v>1185</v>
      </c>
      <c r="D634" s="564" t="s">
        <v>1231</v>
      </c>
      <c r="E634" s="323">
        <v>1030.2872247506953</v>
      </c>
      <c r="F634" s="565" t="s">
        <v>26</v>
      </c>
      <c r="G634" s="566">
        <v>7.8815955307006094E-2</v>
      </c>
      <c r="H634" s="320" t="s">
        <v>110</v>
      </c>
      <c r="I634" s="378">
        <v>0.93767754464295872</v>
      </c>
      <c r="J634" s="320" t="s">
        <v>25</v>
      </c>
      <c r="K634" s="320" t="s">
        <v>114</v>
      </c>
      <c r="L634" s="320" t="s">
        <v>24</v>
      </c>
      <c r="M634" s="320" t="s">
        <v>88</v>
      </c>
      <c r="N634" s="324">
        <v>50.887258365180223</v>
      </c>
      <c r="O634" s="324">
        <v>13.401044278779947</v>
      </c>
      <c r="P634" s="324">
        <v>47.368458584609243</v>
      </c>
      <c r="Q634" s="324" t="s">
        <v>871</v>
      </c>
      <c r="R634" s="37"/>
      <c r="S634" s="565" t="s">
        <v>68</v>
      </c>
      <c r="T634" s="565" t="s">
        <v>63</v>
      </c>
      <c r="U634" s="320" t="s">
        <v>69</v>
      </c>
      <c r="V634" s="320" t="s">
        <v>69</v>
      </c>
      <c r="W634" s="565" t="s">
        <v>70</v>
      </c>
      <c r="X634" s="37"/>
      <c r="Y634" s="37"/>
      <c r="Z634" s="565" t="s">
        <v>78</v>
      </c>
      <c r="AA634" s="565" t="s">
        <v>78</v>
      </c>
      <c r="AB634" s="37"/>
      <c r="AC634" s="816">
        <v>8.7800000000000011</v>
      </c>
      <c r="AD634" s="565" t="s">
        <v>84</v>
      </c>
      <c r="AE634" s="565" t="s">
        <v>73</v>
      </c>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c r="CA634" s="393"/>
      <c r="CB634" s="393"/>
      <c r="CC634" s="393"/>
      <c r="CD634" s="393"/>
      <c r="CE634" s="393"/>
      <c r="CF634" s="393"/>
      <c r="CG634" s="393"/>
      <c r="CH634" s="393"/>
      <c r="CI634" s="393"/>
      <c r="CJ634" s="390"/>
      <c r="CK634" s="390"/>
      <c r="CL634" s="390"/>
      <c r="CM634" s="390"/>
      <c r="CN634" s="390"/>
      <c r="CO634" s="390"/>
      <c r="CP634" s="390"/>
      <c r="CQ634" s="390"/>
      <c r="CR634" s="390"/>
      <c r="CS634" s="390"/>
      <c r="CT634" s="390"/>
      <c r="CU634" s="390"/>
      <c r="CV634" s="390"/>
      <c r="CW634" s="390"/>
      <c r="CX634" s="390"/>
      <c r="CY634" s="390"/>
      <c r="CZ634" s="390"/>
      <c r="DA634" s="390"/>
      <c r="DB634" s="390"/>
      <c r="DC634" s="390"/>
    </row>
    <row r="635" spans="1:107" s="303" customFormat="1" ht="33.75">
      <c r="A635" s="37"/>
      <c r="B635" s="694" t="s">
        <v>30</v>
      </c>
      <c r="C635" s="320" t="s">
        <v>1185</v>
      </c>
      <c r="D635" s="564" t="s">
        <v>1231</v>
      </c>
      <c r="E635" s="323">
        <v>1030.2872247506953</v>
      </c>
      <c r="F635" s="565" t="s">
        <v>26</v>
      </c>
      <c r="G635" s="566">
        <v>7.8815955307006094E-2</v>
      </c>
      <c r="H635" s="320" t="s">
        <v>110</v>
      </c>
      <c r="I635" s="378">
        <v>0.93767754464295872</v>
      </c>
      <c r="J635" s="320" t="s">
        <v>25</v>
      </c>
      <c r="K635" s="320" t="s">
        <v>114</v>
      </c>
      <c r="L635" s="320" t="s">
        <v>24</v>
      </c>
      <c r="M635" s="320" t="s">
        <v>90</v>
      </c>
      <c r="N635" s="324">
        <v>35.020347241514813</v>
      </c>
      <c r="O635" s="324" t="s">
        <v>871</v>
      </c>
      <c r="P635" s="324">
        <v>32.754370977692325</v>
      </c>
      <c r="Q635" s="324" t="s">
        <v>871</v>
      </c>
      <c r="R635" s="37"/>
      <c r="S635" s="565" t="s">
        <v>68</v>
      </c>
      <c r="T635" s="565" t="s">
        <v>63</v>
      </c>
      <c r="U635" s="320" t="s">
        <v>69</v>
      </c>
      <c r="V635" s="320" t="s">
        <v>69</v>
      </c>
      <c r="W635" s="565" t="s">
        <v>70</v>
      </c>
      <c r="X635" s="37"/>
      <c r="Y635" s="37"/>
      <c r="Z635" s="565" t="s">
        <v>78</v>
      </c>
      <c r="AA635" s="565" t="s">
        <v>78</v>
      </c>
      <c r="AB635" s="37"/>
      <c r="AC635" s="816">
        <v>8.7800000000000011</v>
      </c>
      <c r="AD635" s="565" t="s">
        <v>84</v>
      </c>
      <c r="AE635" s="565" t="s">
        <v>73</v>
      </c>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c r="CA635" s="393"/>
      <c r="CB635" s="393"/>
      <c r="CC635" s="393"/>
      <c r="CD635" s="393"/>
      <c r="CE635" s="393"/>
      <c r="CF635" s="393"/>
      <c r="CG635" s="393"/>
      <c r="CH635" s="393"/>
      <c r="CI635" s="393"/>
      <c r="CJ635" s="390"/>
      <c r="CK635" s="390"/>
      <c r="CL635" s="390"/>
      <c r="CM635" s="390"/>
      <c r="CN635" s="390"/>
      <c r="CO635" s="390"/>
      <c r="CP635" s="390"/>
      <c r="CQ635" s="390"/>
      <c r="CR635" s="390"/>
      <c r="CS635" s="390"/>
      <c r="CT635" s="390"/>
      <c r="CU635" s="390"/>
      <c r="CV635" s="390"/>
      <c r="CW635" s="390"/>
      <c r="CX635" s="390"/>
      <c r="CY635" s="390"/>
      <c r="CZ635" s="390"/>
      <c r="DA635" s="390"/>
      <c r="DB635" s="390"/>
      <c r="DC635" s="390"/>
    </row>
    <row r="636" spans="1:107" s="303" customFormat="1" ht="33.75">
      <c r="A636" s="37"/>
      <c r="B636" s="694" t="s">
        <v>30</v>
      </c>
      <c r="C636" s="320" t="s">
        <v>1185</v>
      </c>
      <c r="D636" s="564" t="s">
        <v>1231</v>
      </c>
      <c r="E636" s="323">
        <v>1030.2872247506953</v>
      </c>
      <c r="F636" s="565" t="s">
        <v>26</v>
      </c>
      <c r="G636" s="566">
        <v>7.8815955307006094E-2</v>
      </c>
      <c r="H636" s="320" t="s">
        <v>110</v>
      </c>
      <c r="I636" s="378">
        <v>0.93767754464295872</v>
      </c>
      <c r="J636" s="320" t="s">
        <v>25</v>
      </c>
      <c r="K636" s="320" t="s">
        <v>114</v>
      </c>
      <c r="L636" s="320" t="s">
        <v>24</v>
      </c>
      <c r="M636" s="320" t="s">
        <v>91</v>
      </c>
      <c r="N636" s="324">
        <v>35.020347241514813</v>
      </c>
      <c r="O636" s="324" t="s">
        <v>870</v>
      </c>
      <c r="P636" s="324">
        <v>32.754370977692325</v>
      </c>
      <c r="Q636" s="324" t="s">
        <v>870</v>
      </c>
      <c r="R636" s="37"/>
      <c r="S636" s="565" t="s">
        <v>68</v>
      </c>
      <c r="T636" s="565" t="s">
        <v>63</v>
      </c>
      <c r="U636" s="320" t="s">
        <v>69</v>
      </c>
      <c r="V636" s="320" t="s">
        <v>69</v>
      </c>
      <c r="W636" s="565" t="s">
        <v>70</v>
      </c>
      <c r="X636" s="37"/>
      <c r="Y636" s="37"/>
      <c r="Z636" s="565" t="s">
        <v>78</v>
      </c>
      <c r="AA636" s="565" t="s">
        <v>78</v>
      </c>
      <c r="AB636" s="37"/>
      <c r="AC636" s="816">
        <v>8.7800000000000011</v>
      </c>
      <c r="AD636" s="565" t="s">
        <v>84</v>
      </c>
      <c r="AE636" s="565" t="s">
        <v>73</v>
      </c>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c r="CA636" s="393"/>
      <c r="CB636" s="393"/>
      <c r="CC636" s="393"/>
      <c r="CD636" s="393"/>
      <c r="CE636" s="393"/>
      <c r="CF636" s="393"/>
      <c r="CG636" s="393"/>
      <c r="CH636" s="393"/>
      <c r="CI636" s="393"/>
      <c r="CJ636" s="390"/>
      <c r="CK636" s="390"/>
      <c r="CL636" s="390"/>
      <c r="CM636" s="390"/>
      <c r="CN636" s="390"/>
      <c r="CO636" s="390"/>
      <c r="CP636" s="390"/>
      <c r="CQ636" s="390"/>
      <c r="CR636" s="390"/>
      <c r="CS636" s="390"/>
      <c r="CT636" s="390"/>
      <c r="CU636" s="390"/>
      <c r="CV636" s="390"/>
      <c r="CW636" s="390"/>
      <c r="CX636" s="390"/>
      <c r="CY636" s="390"/>
      <c r="CZ636" s="390"/>
      <c r="DA636" s="390"/>
      <c r="DB636" s="390"/>
      <c r="DC636" s="390"/>
    </row>
    <row r="637" spans="1:107" s="303" customFormat="1" ht="33.75">
      <c r="A637" s="37"/>
      <c r="B637" s="694" t="s">
        <v>30</v>
      </c>
      <c r="C637" s="320" t="s">
        <v>1185</v>
      </c>
      <c r="D637" s="564" t="s">
        <v>1231</v>
      </c>
      <c r="E637" s="323">
        <v>1030.2872247506953</v>
      </c>
      <c r="F637" s="565" t="s">
        <v>26</v>
      </c>
      <c r="G637" s="566">
        <v>7.8815955307006094E-2</v>
      </c>
      <c r="H637" s="320" t="s">
        <v>110</v>
      </c>
      <c r="I637" s="378">
        <v>0.93767754464295872</v>
      </c>
      <c r="J637" s="320" t="s">
        <v>25</v>
      </c>
      <c r="K637" s="320" t="s">
        <v>114</v>
      </c>
      <c r="L637" s="320" t="s">
        <v>24</v>
      </c>
      <c r="M637" s="320" t="s">
        <v>92</v>
      </c>
      <c r="N637" s="324">
        <v>35.020347241514813</v>
      </c>
      <c r="O637" s="324">
        <v>21.928981547094459</v>
      </c>
      <c r="P637" s="324">
        <v>32.754370977692325</v>
      </c>
      <c r="Q637" s="324">
        <v>8.5279372683145098</v>
      </c>
      <c r="R637" s="37"/>
      <c r="S637" s="565" t="s">
        <v>68</v>
      </c>
      <c r="T637" s="565" t="s">
        <v>63</v>
      </c>
      <c r="U637" s="320" t="s">
        <v>69</v>
      </c>
      <c r="V637" s="320" t="s">
        <v>69</v>
      </c>
      <c r="W637" s="565" t="s">
        <v>70</v>
      </c>
      <c r="X637" s="37"/>
      <c r="Y637" s="37"/>
      <c r="Z637" s="565" t="s">
        <v>78</v>
      </c>
      <c r="AA637" s="565" t="s">
        <v>78</v>
      </c>
      <c r="AB637" s="37"/>
      <c r="AC637" s="816">
        <v>8.7800000000000011</v>
      </c>
      <c r="AD637" s="565" t="s">
        <v>84</v>
      </c>
      <c r="AE637" s="565" t="s">
        <v>73</v>
      </c>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c r="CA637" s="393"/>
      <c r="CB637" s="393"/>
      <c r="CC637" s="393"/>
      <c r="CD637" s="393"/>
      <c r="CE637" s="393"/>
      <c r="CF637" s="393"/>
      <c r="CG637" s="393"/>
      <c r="CH637" s="393"/>
      <c r="CI637" s="393"/>
      <c r="CJ637" s="390"/>
      <c r="CK637" s="390"/>
      <c r="CL637" s="390"/>
      <c r="CM637" s="390"/>
      <c r="CN637" s="390"/>
      <c r="CO637" s="390"/>
      <c r="CP637" s="390"/>
      <c r="CQ637" s="390"/>
      <c r="CR637" s="390"/>
      <c r="CS637" s="390"/>
      <c r="CT637" s="390"/>
      <c r="CU637" s="390"/>
      <c r="CV637" s="390"/>
      <c r="CW637" s="390"/>
      <c r="CX637" s="390"/>
      <c r="CY637" s="390"/>
      <c r="CZ637" s="390"/>
      <c r="DA637" s="390"/>
      <c r="DB637" s="390"/>
      <c r="DC637" s="390"/>
    </row>
    <row r="638" spans="1:107" s="303" customFormat="1" ht="33.75">
      <c r="A638" s="37"/>
      <c r="B638" s="694" t="s">
        <v>30</v>
      </c>
      <c r="C638" s="320" t="s">
        <v>1185</v>
      </c>
      <c r="D638" s="564" t="s">
        <v>1231</v>
      </c>
      <c r="E638" s="323">
        <v>1030.2872247506953</v>
      </c>
      <c r="F638" s="565" t="s">
        <v>26</v>
      </c>
      <c r="G638" s="566">
        <v>7.8815955307006094E-2</v>
      </c>
      <c r="H638" s="320" t="s">
        <v>110</v>
      </c>
      <c r="I638" s="378">
        <v>0.93767754464295872</v>
      </c>
      <c r="J638" s="320" t="s">
        <v>25</v>
      </c>
      <c r="K638" s="320" t="s">
        <v>114</v>
      </c>
      <c r="L638" s="320" t="s">
        <v>24</v>
      </c>
      <c r="M638" s="320" t="s">
        <v>93</v>
      </c>
      <c r="N638" s="324">
        <v>35.020347241514813</v>
      </c>
      <c r="O638" s="324">
        <v>23.147258299710817</v>
      </c>
      <c r="P638" s="324">
        <v>32.754370977692325</v>
      </c>
      <c r="Q638" s="324">
        <v>9.7462140209308696</v>
      </c>
      <c r="R638" s="37"/>
      <c r="S638" s="565" t="s">
        <v>68</v>
      </c>
      <c r="T638" s="565" t="s">
        <v>63</v>
      </c>
      <c r="U638" s="320" t="s">
        <v>44</v>
      </c>
      <c r="V638" s="320" t="s">
        <v>75</v>
      </c>
      <c r="W638" s="565" t="s">
        <v>70</v>
      </c>
      <c r="X638" s="37"/>
      <c r="Y638" s="37"/>
      <c r="Z638" s="565" t="s">
        <v>78</v>
      </c>
      <c r="AA638" s="565" t="s">
        <v>78</v>
      </c>
      <c r="AB638" s="37"/>
      <c r="AC638" s="816">
        <v>8.7800000000000011</v>
      </c>
      <c r="AD638" s="565" t="s">
        <v>84</v>
      </c>
      <c r="AE638" s="565" t="s">
        <v>73</v>
      </c>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c r="CA638" s="393"/>
      <c r="CB638" s="393"/>
      <c r="CC638" s="393"/>
      <c r="CD638" s="393"/>
      <c r="CE638" s="393"/>
      <c r="CF638" s="393"/>
      <c r="CG638" s="393"/>
      <c r="CH638" s="393"/>
      <c r="CI638" s="393"/>
      <c r="CJ638" s="390"/>
      <c r="CK638" s="390"/>
      <c r="CL638" s="390"/>
      <c r="CM638" s="390"/>
      <c r="CN638" s="390"/>
      <c r="CO638" s="390"/>
      <c r="CP638" s="390"/>
      <c r="CQ638" s="390"/>
      <c r="CR638" s="390"/>
      <c r="CS638" s="390"/>
      <c r="CT638" s="390"/>
      <c r="CU638" s="390"/>
      <c r="CV638" s="390"/>
      <c r="CW638" s="390"/>
      <c r="CX638" s="390"/>
      <c r="CY638" s="390"/>
      <c r="CZ638" s="390"/>
      <c r="DA638" s="390"/>
      <c r="DB638" s="390"/>
      <c r="DC638" s="390"/>
    </row>
    <row r="639" spans="1:107" s="303" customFormat="1" ht="33.75">
      <c r="A639" s="37"/>
      <c r="B639" s="694" t="s">
        <v>30</v>
      </c>
      <c r="C639" s="320" t="s">
        <v>1185</v>
      </c>
      <c r="D639" s="564" t="s">
        <v>1231</v>
      </c>
      <c r="E639" s="323">
        <v>1030.2872247506953</v>
      </c>
      <c r="F639" s="565" t="s">
        <v>24</v>
      </c>
      <c r="G639" s="566">
        <v>0.26136866221368937</v>
      </c>
      <c r="H639" s="320" t="s">
        <v>110</v>
      </c>
      <c r="I639" s="378">
        <v>0.75230806402488315</v>
      </c>
      <c r="J639" s="320" t="s">
        <v>25</v>
      </c>
      <c r="K639" s="320" t="s">
        <v>114</v>
      </c>
      <c r="L639" s="320" t="s">
        <v>95</v>
      </c>
      <c r="M639" s="320" t="s">
        <v>88</v>
      </c>
      <c r="N639" s="324">
        <v>49.714115746881959</v>
      </c>
      <c r="O639" s="324">
        <v>35.654981430874258</v>
      </c>
      <c r="P639" s="324">
        <v>49.714115746881959</v>
      </c>
      <c r="Q639" s="324" t="s">
        <v>871</v>
      </c>
      <c r="R639" s="37"/>
      <c r="S639" s="565"/>
      <c r="T639" s="565"/>
      <c r="U639" s="320"/>
      <c r="V639" s="320"/>
      <c r="W639" s="565"/>
      <c r="X639" s="37"/>
      <c r="Y639" s="37"/>
      <c r="Z639" s="565" t="s">
        <v>78</v>
      </c>
      <c r="AA639" s="565" t="s">
        <v>78</v>
      </c>
      <c r="AB639" s="37"/>
      <c r="AC639" s="816">
        <v>8.7800000000000011</v>
      </c>
      <c r="AD639" s="565" t="s">
        <v>84</v>
      </c>
      <c r="AE639" s="565" t="s">
        <v>64</v>
      </c>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c r="CA639" s="393"/>
      <c r="CB639" s="393"/>
      <c r="CC639" s="393"/>
      <c r="CD639" s="393"/>
      <c r="CE639" s="393"/>
      <c r="CF639" s="393"/>
      <c r="CG639" s="393"/>
      <c r="CH639" s="393"/>
      <c r="CI639" s="393"/>
      <c r="CJ639" s="390"/>
      <c r="CK639" s="390"/>
      <c r="CL639" s="390"/>
      <c r="CM639" s="390"/>
      <c r="CN639" s="390"/>
      <c r="CO639" s="390"/>
      <c r="CP639" s="390"/>
      <c r="CQ639" s="390"/>
      <c r="CR639" s="390"/>
      <c r="CS639" s="390"/>
      <c r="CT639" s="390"/>
      <c r="CU639" s="390"/>
      <c r="CV639" s="390"/>
      <c r="CW639" s="390"/>
      <c r="CX639" s="390"/>
      <c r="CY639" s="390"/>
      <c r="CZ639" s="390"/>
      <c r="DA639" s="390"/>
      <c r="DB639" s="390"/>
      <c r="DC639" s="390"/>
    </row>
    <row r="640" spans="1:107" s="303" customFormat="1" ht="33.75">
      <c r="A640" s="37"/>
      <c r="B640" s="694" t="s">
        <v>30</v>
      </c>
      <c r="C640" s="320" t="s">
        <v>1185</v>
      </c>
      <c r="D640" s="564" t="s">
        <v>1231</v>
      </c>
      <c r="E640" s="323">
        <v>1030.2872247506953</v>
      </c>
      <c r="F640" s="565" t="s">
        <v>24</v>
      </c>
      <c r="G640" s="566">
        <v>0.26136866221368937</v>
      </c>
      <c r="H640" s="320" t="s">
        <v>110</v>
      </c>
      <c r="I640" s="378">
        <v>0.75230806402488315</v>
      </c>
      <c r="J640" s="320" t="s">
        <v>25</v>
      </c>
      <c r="K640" s="320" t="s">
        <v>114</v>
      </c>
      <c r="L640" s="320" t="s">
        <v>95</v>
      </c>
      <c r="M640" s="320" t="s">
        <v>90</v>
      </c>
      <c r="N640" s="324">
        <v>49.714115746881959</v>
      </c>
      <c r="O640" s="324" t="s">
        <v>871</v>
      </c>
      <c r="P640" s="324">
        <v>49.714115746881959</v>
      </c>
      <c r="Q640" s="324" t="s">
        <v>871</v>
      </c>
      <c r="R640" s="37"/>
      <c r="S640" s="565"/>
      <c r="T640" s="565"/>
      <c r="U640" s="320"/>
      <c r="V640" s="320"/>
      <c r="W640" s="565"/>
      <c r="X640" s="37"/>
      <c r="Y640" s="37"/>
      <c r="Z640" s="565" t="s">
        <v>78</v>
      </c>
      <c r="AA640" s="565" t="s">
        <v>78</v>
      </c>
      <c r="AB640" s="37"/>
      <c r="AC640" s="816">
        <v>8.7800000000000011</v>
      </c>
      <c r="AD640" s="565" t="s">
        <v>84</v>
      </c>
      <c r="AE640" s="565" t="s">
        <v>64</v>
      </c>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c r="CA640" s="393"/>
      <c r="CB640" s="393"/>
      <c r="CC640" s="393"/>
      <c r="CD640" s="393"/>
      <c r="CE640" s="393"/>
      <c r="CF640" s="393"/>
      <c r="CG640" s="393"/>
      <c r="CH640" s="393"/>
      <c r="CI640" s="393"/>
      <c r="CJ640" s="390"/>
      <c r="CK640" s="390"/>
      <c r="CL640" s="390"/>
      <c r="CM640" s="390"/>
      <c r="CN640" s="390"/>
      <c r="CO640" s="390"/>
      <c r="CP640" s="390"/>
      <c r="CQ640" s="390"/>
      <c r="CR640" s="390"/>
      <c r="CS640" s="390"/>
      <c r="CT640" s="390"/>
      <c r="CU640" s="390"/>
      <c r="CV640" s="390"/>
      <c r="CW640" s="390"/>
      <c r="CX640" s="390"/>
      <c r="CY640" s="390"/>
      <c r="CZ640" s="390"/>
      <c r="DA640" s="390"/>
      <c r="DB640" s="390"/>
      <c r="DC640" s="390"/>
    </row>
    <row r="641" spans="1:107" s="303" customFormat="1" ht="33.75">
      <c r="A641" s="37"/>
      <c r="B641" s="694" t="s">
        <v>30</v>
      </c>
      <c r="C641" s="320" t="s">
        <v>1185</v>
      </c>
      <c r="D641" s="564" t="s">
        <v>1231</v>
      </c>
      <c r="E641" s="323">
        <v>1030.2872247506953</v>
      </c>
      <c r="F641" s="565" t="s">
        <v>24</v>
      </c>
      <c r="G641" s="566">
        <v>0.26136866221368937</v>
      </c>
      <c r="H641" s="320" t="s">
        <v>110</v>
      </c>
      <c r="I641" s="378">
        <v>0.75230806402488315</v>
      </c>
      <c r="J641" s="320" t="s">
        <v>25</v>
      </c>
      <c r="K641" s="320" t="s">
        <v>114</v>
      </c>
      <c r="L641" s="320" t="s">
        <v>95</v>
      </c>
      <c r="M641" s="320" t="s">
        <v>91</v>
      </c>
      <c r="N641" s="324">
        <v>49.714115746881959</v>
      </c>
      <c r="O641" s="324" t="s">
        <v>870</v>
      </c>
      <c r="P641" s="324">
        <v>49.714115746881959</v>
      </c>
      <c r="Q641" s="324" t="s">
        <v>870</v>
      </c>
      <c r="R641" s="37"/>
      <c r="S641" s="565"/>
      <c r="T641" s="565"/>
      <c r="U641" s="320"/>
      <c r="V641" s="320"/>
      <c r="W641" s="565"/>
      <c r="X641" s="37"/>
      <c r="Y641" s="37"/>
      <c r="Z641" s="565" t="s">
        <v>78</v>
      </c>
      <c r="AA641" s="565" t="s">
        <v>78</v>
      </c>
      <c r="AB641" s="37"/>
      <c r="AC641" s="816">
        <v>8.7800000000000011</v>
      </c>
      <c r="AD641" s="565" t="s">
        <v>84</v>
      </c>
      <c r="AE641" s="565" t="s">
        <v>64</v>
      </c>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c r="CA641" s="393"/>
      <c r="CB641" s="393"/>
      <c r="CC641" s="393"/>
      <c r="CD641" s="393"/>
      <c r="CE641" s="393"/>
      <c r="CF641" s="393"/>
      <c r="CG641" s="393"/>
      <c r="CH641" s="393"/>
      <c r="CI641" s="393"/>
      <c r="CJ641" s="390"/>
      <c r="CK641" s="390"/>
      <c r="CL641" s="390"/>
      <c r="CM641" s="390"/>
      <c r="CN641" s="390"/>
      <c r="CO641" s="390"/>
      <c r="CP641" s="390"/>
      <c r="CQ641" s="390"/>
      <c r="CR641" s="390"/>
      <c r="CS641" s="390"/>
      <c r="CT641" s="390"/>
      <c r="CU641" s="390"/>
      <c r="CV641" s="390"/>
      <c r="CW641" s="390"/>
      <c r="CX641" s="390"/>
      <c r="CY641" s="390"/>
      <c r="CZ641" s="390"/>
      <c r="DA641" s="390"/>
      <c r="DB641" s="390"/>
      <c r="DC641" s="390"/>
    </row>
    <row r="642" spans="1:107" s="303" customFormat="1" ht="33.75">
      <c r="A642" s="37"/>
      <c r="B642" s="694" t="s">
        <v>30</v>
      </c>
      <c r="C642" s="320" t="s">
        <v>1185</v>
      </c>
      <c r="D642" s="564" t="s">
        <v>1231</v>
      </c>
      <c r="E642" s="323">
        <v>1030.2872247506953</v>
      </c>
      <c r="F642" s="565" t="s">
        <v>24</v>
      </c>
      <c r="G642" s="566">
        <v>0.26136866221368937</v>
      </c>
      <c r="H642" s="320" t="s">
        <v>110</v>
      </c>
      <c r="I642" s="378">
        <v>0.75230806402488315</v>
      </c>
      <c r="J642" s="320" t="s">
        <v>25</v>
      </c>
      <c r="K642" s="320" t="s">
        <v>114</v>
      </c>
      <c r="L642" s="320" t="s">
        <v>95</v>
      </c>
      <c r="M642" s="320" t="s">
        <v>92</v>
      </c>
      <c r="N642" s="324">
        <v>49.714115746881959</v>
      </c>
      <c r="O642" s="324">
        <v>58.34451506870333</v>
      </c>
      <c r="P642" s="324">
        <v>49.714115746881959</v>
      </c>
      <c r="Q642" s="324">
        <v>22.689533637829069</v>
      </c>
      <c r="R642" s="37"/>
      <c r="S642" s="565"/>
      <c r="T642" s="565"/>
      <c r="U642" s="320"/>
      <c r="V642" s="320"/>
      <c r="W642" s="565"/>
      <c r="X642" s="37"/>
      <c r="Y642" s="37"/>
      <c r="Z642" s="565" t="s">
        <v>78</v>
      </c>
      <c r="AA642" s="565" t="s">
        <v>78</v>
      </c>
      <c r="AB642" s="37"/>
      <c r="AC642" s="816">
        <v>8.7800000000000011</v>
      </c>
      <c r="AD642" s="565" t="s">
        <v>84</v>
      </c>
      <c r="AE642" s="565" t="s">
        <v>64</v>
      </c>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c r="CA642" s="393"/>
      <c r="CB642" s="393"/>
      <c r="CC642" s="393"/>
      <c r="CD642" s="393"/>
      <c r="CE642" s="393"/>
      <c r="CF642" s="393"/>
      <c r="CG642" s="393"/>
      <c r="CH642" s="393"/>
      <c r="CI642" s="393"/>
      <c r="CJ642" s="390"/>
      <c r="CK642" s="390"/>
      <c r="CL642" s="390"/>
      <c r="CM642" s="390"/>
      <c r="CN642" s="390"/>
      <c r="CO642" s="390"/>
      <c r="CP642" s="390"/>
      <c r="CQ642" s="390"/>
      <c r="CR642" s="390"/>
      <c r="CS642" s="390"/>
      <c r="CT642" s="390"/>
      <c r="CU642" s="390"/>
      <c r="CV642" s="390"/>
      <c r="CW642" s="390"/>
      <c r="CX642" s="390"/>
      <c r="CY642" s="390"/>
      <c r="CZ642" s="390"/>
      <c r="DA642" s="390"/>
      <c r="DB642" s="390"/>
      <c r="DC642" s="390"/>
    </row>
    <row r="643" spans="1:107" s="303" customFormat="1" ht="33.75">
      <c r="A643" s="37"/>
      <c r="B643" s="694" t="s">
        <v>30</v>
      </c>
      <c r="C643" s="320" t="s">
        <v>1185</v>
      </c>
      <c r="D643" s="564" t="s">
        <v>1231</v>
      </c>
      <c r="E643" s="323">
        <v>1030.2872247506953</v>
      </c>
      <c r="F643" s="565" t="s">
        <v>24</v>
      </c>
      <c r="G643" s="566">
        <v>0.26136866221368937</v>
      </c>
      <c r="H643" s="320" t="s">
        <v>110</v>
      </c>
      <c r="I643" s="378">
        <v>0.75230806402488315</v>
      </c>
      <c r="J643" s="320" t="s">
        <v>25</v>
      </c>
      <c r="K643" s="320" t="s">
        <v>114</v>
      </c>
      <c r="L643" s="320" t="s">
        <v>95</v>
      </c>
      <c r="M643" s="320" t="s">
        <v>93</v>
      </c>
      <c r="N643" s="324">
        <v>49.714115746881959</v>
      </c>
      <c r="O643" s="324">
        <v>61.585877016964623</v>
      </c>
      <c r="P643" s="324">
        <v>49.714115746881959</v>
      </c>
      <c r="Q643" s="324">
        <v>25.930895586090365</v>
      </c>
      <c r="R643" s="37"/>
      <c r="S643" s="565"/>
      <c r="T643" s="565"/>
      <c r="U643" s="320"/>
      <c r="V643" s="320"/>
      <c r="W643" s="565"/>
      <c r="X643" s="37"/>
      <c r="Y643" s="37"/>
      <c r="Z643" s="565" t="s">
        <v>78</v>
      </c>
      <c r="AA643" s="565" t="s">
        <v>78</v>
      </c>
      <c r="AB643" s="37"/>
      <c r="AC643" s="816">
        <v>8.7800000000000011</v>
      </c>
      <c r="AD643" s="565" t="s">
        <v>84</v>
      </c>
      <c r="AE643" s="565" t="s">
        <v>64</v>
      </c>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c r="CA643" s="393"/>
      <c r="CB643" s="393"/>
      <c r="CC643" s="393"/>
      <c r="CD643" s="393"/>
      <c r="CE643" s="393"/>
      <c r="CF643" s="393"/>
      <c r="CG643" s="393"/>
      <c r="CH643" s="393"/>
      <c r="CI643" s="393"/>
      <c r="CJ643" s="390"/>
      <c r="CK643" s="390"/>
      <c r="CL643" s="390"/>
      <c r="CM643" s="390"/>
      <c r="CN643" s="390"/>
      <c r="CO643" s="390"/>
      <c r="CP643" s="390"/>
      <c r="CQ643" s="390"/>
      <c r="CR643" s="390"/>
      <c r="CS643" s="390"/>
      <c r="CT643" s="390"/>
      <c r="CU643" s="390"/>
      <c r="CV643" s="390"/>
      <c r="CW643" s="390"/>
      <c r="CX643" s="390"/>
      <c r="CY643" s="390"/>
      <c r="CZ643" s="390"/>
      <c r="DA643" s="390"/>
      <c r="DB643" s="390"/>
      <c r="DC643" s="390"/>
    </row>
    <row r="644" spans="1:107" s="303" customFormat="1" ht="24">
      <c r="A644" s="37"/>
      <c r="B644" s="352" t="s">
        <v>30</v>
      </c>
      <c r="C644" s="344" t="s">
        <v>115</v>
      </c>
      <c r="D644" s="348" t="s">
        <v>116</v>
      </c>
      <c r="E644" s="345">
        <v>1172.6465212572155</v>
      </c>
      <c r="F644" s="344" t="s">
        <v>1256</v>
      </c>
      <c r="G644" s="346">
        <v>0.82938969822302078</v>
      </c>
      <c r="H644" s="344" t="s">
        <v>110</v>
      </c>
      <c r="I644" s="386">
        <v>1</v>
      </c>
      <c r="J644" s="344" t="s">
        <v>32</v>
      </c>
      <c r="K644" s="344" t="s">
        <v>110</v>
      </c>
      <c r="L644" s="344" t="s">
        <v>995</v>
      </c>
      <c r="M644" s="344" t="s">
        <v>88</v>
      </c>
      <c r="N644" s="349">
        <v>249.79973729539208</v>
      </c>
      <c r="O644" s="349" t="s">
        <v>870</v>
      </c>
      <c r="P644" s="349">
        <v>249.79973729539208</v>
      </c>
      <c r="Q644" s="349" t="s">
        <v>870</v>
      </c>
      <c r="R644" s="37"/>
      <c r="S644" s="344" t="s">
        <v>1273</v>
      </c>
      <c r="T644" s="344" t="s">
        <v>69</v>
      </c>
      <c r="U644" s="344" t="s">
        <v>69</v>
      </c>
      <c r="V644" s="344" t="s">
        <v>69</v>
      </c>
      <c r="W644" s="465" t="s">
        <v>76</v>
      </c>
      <c r="X644" s="37"/>
      <c r="Y644" s="37"/>
      <c r="Z644" s="344" t="s">
        <v>78</v>
      </c>
      <c r="AA644" s="344" t="s">
        <v>78</v>
      </c>
      <c r="AB644" s="37"/>
      <c r="AC644" s="347">
        <v>12</v>
      </c>
      <c r="AD644" s="344" t="s">
        <v>84</v>
      </c>
      <c r="AE644" s="344" t="s">
        <v>64</v>
      </c>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c r="CA644" s="393"/>
      <c r="CB644" s="393"/>
      <c r="CC644" s="393"/>
      <c r="CD644" s="393"/>
      <c r="CE644" s="393"/>
      <c r="CF644" s="393"/>
      <c r="CG644" s="393"/>
      <c r="CH644" s="393"/>
      <c r="CI644" s="393"/>
      <c r="CJ644" s="390"/>
      <c r="CK644" s="390"/>
      <c r="CL644" s="390"/>
      <c r="CM644" s="390"/>
      <c r="CN644" s="390"/>
      <c r="CO644" s="390"/>
      <c r="CP644" s="390"/>
      <c r="CQ644" s="390"/>
      <c r="CR644" s="390"/>
      <c r="CS644" s="390"/>
      <c r="CT644" s="390"/>
      <c r="CU644" s="390"/>
      <c r="CV644" s="390"/>
      <c r="CW644" s="390"/>
      <c r="CX644" s="390"/>
      <c r="CY644" s="390"/>
      <c r="CZ644" s="390"/>
      <c r="DA644" s="390"/>
      <c r="DB644" s="390"/>
      <c r="DC644" s="390"/>
    </row>
    <row r="645" spans="1:107" s="303" customFormat="1" ht="24">
      <c r="A645" s="37"/>
      <c r="B645" s="352" t="s">
        <v>30</v>
      </c>
      <c r="C645" s="344" t="s">
        <v>115</v>
      </c>
      <c r="D645" s="348" t="s">
        <v>116</v>
      </c>
      <c r="E645" s="345">
        <v>1172.6465212572155</v>
      </c>
      <c r="F645" s="344" t="s">
        <v>1256</v>
      </c>
      <c r="G645" s="346">
        <v>0.82938969822302078</v>
      </c>
      <c r="H645" s="344" t="s">
        <v>110</v>
      </c>
      <c r="I645" s="386">
        <v>1</v>
      </c>
      <c r="J645" s="344" t="s">
        <v>32</v>
      </c>
      <c r="K645" s="344" t="s">
        <v>110</v>
      </c>
      <c r="L645" s="344" t="s">
        <v>995</v>
      </c>
      <c r="M645" s="344" t="s">
        <v>90</v>
      </c>
      <c r="N645" s="349">
        <v>249.79973729539208</v>
      </c>
      <c r="O645" s="349" t="s">
        <v>871</v>
      </c>
      <c r="P645" s="349">
        <v>249.79973729539208</v>
      </c>
      <c r="Q645" s="349" t="s">
        <v>871</v>
      </c>
      <c r="R645" s="37"/>
      <c r="S645" s="344" t="s">
        <v>1273</v>
      </c>
      <c r="T645" s="344" t="s">
        <v>69</v>
      </c>
      <c r="U645" s="344" t="s">
        <v>69</v>
      </c>
      <c r="V645" s="344" t="s">
        <v>69</v>
      </c>
      <c r="W645" s="465" t="s">
        <v>76</v>
      </c>
      <c r="X645" s="37"/>
      <c r="Y645" s="37"/>
      <c r="Z645" s="344" t="s">
        <v>78</v>
      </c>
      <c r="AA645" s="344" t="s">
        <v>78</v>
      </c>
      <c r="AB645" s="37"/>
      <c r="AC645" s="347">
        <v>12</v>
      </c>
      <c r="AD645" s="344" t="s">
        <v>84</v>
      </c>
      <c r="AE645" s="344" t="s">
        <v>64</v>
      </c>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c r="CA645" s="393"/>
      <c r="CB645" s="393"/>
      <c r="CC645" s="393"/>
      <c r="CD645" s="393"/>
      <c r="CE645" s="393"/>
      <c r="CF645" s="393"/>
      <c r="CG645" s="393"/>
      <c r="CH645" s="393"/>
      <c r="CI645" s="393"/>
      <c r="CJ645" s="390"/>
      <c r="CK645" s="390"/>
      <c r="CL645" s="390"/>
      <c r="CM645" s="390"/>
      <c r="CN645" s="390"/>
      <c r="CO645" s="390"/>
      <c r="CP645" s="390"/>
      <c r="CQ645" s="390"/>
      <c r="CR645" s="390"/>
      <c r="CS645" s="390"/>
      <c r="CT645" s="390"/>
      <c r="CU645" s="390"/>
      <c r="CV645" s="390"/>
      <c r="CW645" s="390"/>
      <c r="CX645" s="390"/>
      <c r="CY645" s="390"/>
      <c r="CZ645" s="390"/>
      <c r="DA645" s="390"/>
      <c r="DB645" s="390"/>
      <c r="DC645" s="390"/>
    </row>
    <row r="646" spans="1:107" s="303" customFormat="1" ht="24">
      <c r="A646" s="37"/>
      <c r="B646" s="352" t="s">
        <v>30</v>
      </c>
      <c r="C646" s="344" t="s">
        <v>115</v>
      </c>
      <c r="D646" s="348" t="s">
        <v>116</v>
      </c>
      <c r="E646" s="345">
        <v>1172.6465212572155</v>
      </c>
      <c r="F646" s="344" t="s">
        <v>1256</v>
      </c>
      <c r="G646" s="346">
        <v>0.82938969822302078</v>
      </c>
      <c r="H646" s="344" t="s">
        <v>110</v>
      </c>
      <c r="I646" s="386">
        <v>1</v>
      </c>
      <c r="J646" s="344" t="s">
        <v>32</v>
      </c>
      <c r="K646" s="344" t="s">
        <v>110</v>
      </c>
      <c r="L646" s="344" t="s">
        <v>995</v>
      </c>
      <c r="M646" s="344" t="s">
        <v>91</v>
      </c>
      <c r="N646" s="349">
        <v>249.79973729539208</v>
      </c>
      <c r="O646" s="349" t="s">
        <v>870</v>
      </c>
      <c r="P646" s="349">
        <v>249.79973729539208</v>
      </c>
      <c r="Q646" s="349" t="s">
        <v>870</v>
      </c>
      <c r="R646" s="37"/>
      <c r="S646" s="344" t="s">
        <v>1273</v>
      </c>
      <c r="T646" s="344" t="s">
        <v>69</v>
      </c>
      <c r="U646" s="344" t="s">
        <v>69</v>
      </c>
      <c r="V646" s="344" t="s">
        <v>69</v>
      </c>
      <c r="W646" s="465" t="s">
        <v>76</v>
      </c>
      <c r="X646" s="37"/>
      <c r="Y646" s="37"/>
      <c r="Z646" s="344" t="s">
        <v>78</v>
      </c>
      <c r="AA646" s="344" t="s">
        <v>78</v>
      </c>
      <c r="AB646" s="37"/>
      <c r="AC646" s="347">
        <v>12</v>
      </c>
      <c r="AD646" s="344" t="s">
        <v>84</v>
      </c>
      <c r="AE646" s="344" t="s">
        <v>64</v>
      </c>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c r="CA646" s="393"/>
      <c r="CB646" s="393"/>
      <c r="CC646" s="393"/>
      <c r="CD646" s="393"/>
      <c r="CE646" s="393"/>
      <c r="CF646" s="393"/>
      <c r="CG646" s="393"/>
      <c r="CH646" s="393"/>
      <c r="CI646" s="393"/>
      <c r="CJ646" s="390"/>
      <c r="CK646" s="390"/>
      <c r="CL646" s="390"/>
      <c r="CM646" s="390"/>
      <c r="CN646" s="390"/>
      <c r="CO646" s="390"/>
      <c r="CP646" s="390"/>
      <c r="CQ646" s="390"/>
      <c r="CR646" s="390"/>
      <c r="CS646" s="390"/>
      <c r="CT646" s="390"/>
      <c r="CU646" s="390"/>
      <c r="CV646" s="390"/>
      <c r="CW646" s="390"/>
      <c r="CX646" s="390"/>
      <c r="CY646" s="390"/>
      <c r="CZ646" s="390"/>
      <c r="DA646" s="390"/>
      <c r="DB646" s="390"/>
      <c r="DC646" s="390"/>
    </row>
    <row r="647" spans="1:107" s="303" customFormat="1" ht="24">
      <c r="A647" s="37"/>
      <c r="B647" s="352" t="s">
        <v>30</v>
      </c>
      <c r="C647" s="344" t="s">
        <v>115</v>
      </c>
      <c r="D647" s="348" t="s">
        <v>116</v>
      </c>
      <c r="E647" s="345">
        <v>1172.6465212572155</v>
      </c>
      <c r="F647" s="344" t="s">
        <v>1256</v>
      </c>
      <c r="G647" s="346">
        <v>0.82938969822302078</v>
      </c>
      <c r="H647" s="344" t="s">
        <v>110</v>
      </c>
      <c r="I647" s="386">
        <v>1</v>
      </c>
      <c r="J647" s="344" t="s">
        <v>32</v>
      </c>
      <c r="K647" s="344" t="s">
        <v>110</v>
      </c>
      <c r="L647" s="344" t="s">
        <v>995</v>
      </c>
      <c r="M647" s="344" t="s">
        <v>92</v>
      </c>
      <c r="N647" s="349">
        <v>249.79973729539208</v>
      </c>
      <c r="O647" s="349">
        <v>280.10331198368556</v>
      </c>
      <c r="P647" s="349">
        <v>249.79973729539208</v>
      </c>
      <c r="Q647" s="349">
        <v>280.10331198368556</v>
      </c>
      <c r="R647" s="37"/>
      <c r="S647" s="344" t="s">
        <v>1273</v>
      </c>
      <c r="T647" s="344" t="s">
        <v>69</v>
      </c>
      <c r="U647" s="344" t="s">
        <v>69</v>
      </c>
      <c r="V647" s="344" t="s">
        <v>69</v>
      </c>
      <c r="W647" s="465" t="s">
        <v>76</v>
      </c>
      <c r="X647" s="37"/>
      <c r="Y647" s="37"/>
      <c r="Z647" s="344" t="s">
        <v>78</v>
      </c>
      <c r="AA647" s="344" t="s">
        <v>78</v>
      </c>
      <c r="AB647" s="37"/>
      <c r="AC647" s="347">
        <v>12</v>
      </c>
      <c r="AD647" s="344" t="s">
        <v>84</v>
      </c>
      <c r="AE647" s="344" t="s">
        <v>64</v>
      </c>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c r="CA647" s="393"/>
      <c r="CB647" s="393"/>
      <c r="CC647" s="393"/>
      <c r="CD647" s="393"/>
      <c r="CE647" s="393"/>
      <c r="CF647" s="393"/>
      <c r="CG647" s="393"/>
      <c r="CH647" s="393"/>
      <c r="CI647" s="393"/>
      <c r="CJ647" s="390"/>
      <c r="CK647" s="390"/>
      <c r="CL647" s="390"/>
      <c r="CM647" s="390"/>
      <c r="CN647" s="390"/>
      <c r="CO647" s="390"/>
      <c r="CP647" s="390"/>
      <c r="CQ647" s="390"/>
      <c r="CR647" s="390"/>
      <c r="CS647" s="390"/>
      <c r="CT647" s="390"/>
      <c r="CU647" s="390"/>
      <c r="CV647" s="390"/>
      <c r="CW647" s="390"/>
      <c r="CX647" s="390"/>
      <c r="CY647" s="390"/>
      <c r="CZ647" s="390"/>
      <c r="DA647" s="390"/>
      <c r="DB647" s="390"/>
      <c r="DC647" s="390"/>
    </row>
    <row r="648" spans="1:107" s="303" customFormat="1" ht="24">
      <c r="A648" s="37"/>
      <c r="B648" s="352" t="s">
        <v>30</v>
      </c>
      <c r="C648" s="344" t="s">
        <v>115</v>
      </c>
      <c r="D648" s="348" t="s">
        <v>116</v>
      </c>
      <c r="E648" s="345">
        <v>1172.6465212572155</v>
      </c>
      <c r="F648" s="344" t="s">
        <v>1256</v>
      </c>
      <c r="G648" s="346">
        <v>0.82938969822302078</v>
      </c>
      <c r="H648" s="344" t="s">
        <v>110</v>
      </c>
      <c r="I648" s="386">
        <v>1</v>
      </c>
      <c r="J648" s="344" t="s">
        <v>32</v>
      </c>
      <c r="K648" s="344" t="s">
        <v>110</v>
      </c>
      <c r="L648" s="344" t="s">
        <v>995</v>
      </c>
      <c r="M648" s="344" t="s">
        <v>93</v>
      </c>
      <c r="N648" s="349">
        <v>249.79973729539208</v>
      </c>
      <c r="O648" s="349">
        <v>295.66460709389031</v>
      </c>
      <c r="P648" s="349">
        <v>249.79973729539208</v>
      </c>
      <c r="Q648" s="349">
        <v>295.66460709389031</v>
      </c>
      <c r="R648" s="37"/>
      <c r="S648" s="344" t="s">
        <v>1273</v>
      </c>
      <c r="T648" s="344" t="s">
        <v>69</v>
      </c>
      <c r="U648" s="344" t="s">
        <v>69</v>
      </c>
      <c r="V648" s="344" t="s">
        <v>69</v>
      </c>
      <c r="W648" s="465" t="s">
        <v>76</v>
      </c>
      <c r="X648" s="37"/>
      <c r="Y648" s="37"/>
      <c r="Z648" s="344" t="s">
        <v>78</v>
      </c>
      <c r="AA648" s="344" t="s">
        <v>78</v>
      </c>
      <c r="AB648" s="37"/>
      <c r="AC648" s="347">
        <v>12</v>
      </c>
      <c r="AD648" s="344" t="s">
        <v>84</v>
      </c>
      <c r="AE648" s="344" t="s">
        <v>64</v>
      </c>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c r="CA648" s="393"/>
      <c r="CB648" s="393"/>
      <c r="CC648" s="393"/>
      <c r="CD648" s="393"/>
      <c r="CE648" s="393"/>
      <c r="CF648" s="393"/>
      <c r="CG648" s="393"/>
      <c r="CH648" s="393"/>
      <c r="CI648" s="393"/>
      <c r="CJ648" s="390"/>
      <c r="CK648" s="390"/>
      <c r="CL648" s="390"/>
      <c r="CM648" s="390"/>
      <c r="CN648" s="390"/>
      <c r="CO648" s="390"/>
      <c r="CP648" s="390"/>
      <c r="CQ648" s="390"/>
      <c r="CR648" s="390"/>
      <c r="CS648" s="390"/>
      <c r="CT648" s="390"/>
      <c r="CU648" s="390"/>
      <c r="CV648" s="390"/>
      <c r="CW648" s="390"/>
      <c r="CX648" s="390"/>
      <c r="CY648" s="390"/>
      <c r="CZ648" s="390"/>
      <c r="DA648" s="390"/>
      <c r="DB648" s="390"/>
      <c r="DC648" s="390"/>
    </row>
    <row r="649" spans="1:107" s="303" customFormat="1" ht="24">
      <c r="A649" s="37"/>
      <c r="B649" s="352" t="s">
        <v>30</v>
      </c>
      <c r="C649" s="344" t="s">
        <v>115</v>
      </c>
      <c r="D649" s="348" t="s">
        <v>116</v>
      </c>
      <c r="E649" s="345">
        <v>1172.6465212572155</v>
      </c>
      <c r="F649" s="344" t="s">
        <v>1256</v>
      </c>
      <c r="G649" s="346">
        <v>0.82938969822302078</v>
      </c>
      <c r="H649" s="344" t="s">
        <v>110</v>
      </c>
      <c r="I649" s="386">
        <v>1</v>
      </c>
      <c r="J649" s="344" t="s">
        <v>32</v>
      </c>
      <c r="K649" s="344" t="s">
        <v>110</v>
      </c>
      <c r="L649" s="465" t="s">
        <v>101</v>
      </c>
      <c r="M649" s="344" t="s">
        <v>88</v>
      </c>
      <c r="N649" s="470">
        <v>318.01034413387765</v>
      </c>
      <c r="O649" s="349" t="s">
        <v>870</v>
      </c>
      <c r="P649" s="470">
        <v>318.01034413387765</v>
      </c>
      <c r="Q649" s="349" t="s">
        <v>870</v>
      </c>
      <c r="R649" s="37"/>
      <c r="S649" s="465" t="s">
        <v>68</v>
      </c>
      <c r="T649" s="465" t="s">
        <v>63</v>
      </c>
      <c r="U649" s="465" t="s">
        <v>69</v>
      </c>
      <c r="V649" s="465" t="s">
        <v>69</v>
      </c>
      <c r="W649" s="465" t="s">
        <v>76</v>
      </c>
      <c r="X649" s="37"/>
      <c r="Y649" s="37"/>
      <c r="Z649" s="465" t="s">
        <v>78</v>
      </c>
      <c r="AA649" s="465" t="s">
        <v>78</v>
      </c>
      <c r="AB649" s="37"/>
      <c r="AC649" s="347">
        <v>12</v>
      </c>
      <c r="AD649" s="344" t="s">
        <v>84</v>
      </c>
      <c r="AE649" s="465" t="s">
        <v>64</v>
      </c>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c r="CA649" s="393"/>
      <c r="CB649" s="393"/>
      <c r="CC649" s="393"/>
      <c r="CD649" s="393"/>
      <c r="CE649" s="393"/>
      <c r="CF649" s="393"/>
      <c r="CG649" s="393"/>
      <c r="CH649" s="393"/>
      <c r="CI649" s="393"/>
      <c r="CJ649" s="390"/>
      <c r="CK649" s="390"/>
      <c r="CL649" s="390"/>
      <c r="CM649" s="390"/>
      <c r="CN649" s="390"/>
      <c r="CO649" s="390"/>
      <c r="CP649" s="390"/>
      <c r="CQ649" s="390"/>
      <c r="CR649" s="390"/>
      <c r="CS649" s="390"/>
      <c r="CT649" s="390"/>
      <c r="CU649" s="390"/>
      <c r="CV649" s="390"/>
      <c r="CW649" s="390"/>
      <c r="CX649" s="390"/>
      <c r="CY649" s="390"/>
      <c r="CZ649" s="390"/>
      <c r="DA649" s="390"/>
      <c r="DB649" s="390"/>
      <c r="DC649" s="390"/>
    </row>
    <row r="650" spans="1:107" s="303" customFormat="1" ht="24">
      <c r="A650" s="37"/>
      <c r="B650" s="352" t="s">
        <v>30</v>
      </c>
      <c r="C650" s="344" t="s">
        <v>115</v>
      </c>
      <c r="D650" s="348" t="s">
        <v>116</v>
      </c>
      <c r="E650" s="345">
        <v>1172.6465212572155</v>
      </c>
      <c r="F650" s="344" t="s">
        <v>1256</v>
      </c>
      <c r="G650" s="346">
        <v>0.82938969822302078</v>
      </c>
      <c r="H650" s="344" t="s">
        <v>110</v>
      </c>
      <c r="I650" s="386">
        <v>1</v>
      </c>
      <c r="J650" s="344" t="s">
        <v>32</v>
      </c>
      <c r="K650" s="344" t="s">
        <v>110</v>
      </c>
      <c r="L650" s="465" t="s">
        <v>101</v>
      </c>
      <c r="M650" s="344" t="s">
        <v>90</v>
      </c>
      <c r="N650" s="470">
        <v>318.01034413387765</v>
      </c>
      <c r="O650" s="349" t="s">
        <v>871</v>
      </c>
      <c r="P650" s="470">
        <v>318.01034413387765</v>
      </c>
      <c r="Q650" s="349" t="s">
        <v>871</v>
      </c>
      <c r="R650" s="37"/>
      <c r="S650" s="465" t="s">
        <v>68</v>
      </c>
      <c r="T650" s="465" t="s">
        <v>63</v>
      </c>
      <c r="U650" s="465" t="s">
        <v>69</v>
      </c>
      <c r="V650" s="465" t="s">
        <v>69</v>
      </c>
      <c r="W650" s="465" t="s">
        <v>76</v>
      </c>
      <c r="X650" s="37"/>
      <c r="Y650" s="37"/>
      <c r="Z650" s="465" t="s">
        <v>78</v>
      </c>
      <c r="AA650" s="465" t="s">
        <v>78</v>
      </c>
      <c r="AB650" s="37"/>
      <c r="AC650" s="347">
        <v>12</v>
      </c>
      <c r="AD650" s="344" t="s">
        <v>84</v>
      </c>
      <c r="AE650" s="465" t="s">
        <v>64</v>
      </c>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c r="CA650" s="393"/>
      <c r="CB650" s="393"/>
      <c r="CC650" s="393"/>
      <c r="CD650" s="393"/>
      <c r="CE650" s="393"/>
      <c r="CF650" s="393"/>
      <c r="CG650" s="393"/>
      <c r="CH650" s="393"/>
      <c r="CI650" s="393"/>
      <c r="CJ650" s="390"/>
      <c r="CK650" s="390"/>
      <c r="CL650" s="390"/>
      <c r="CM650" s="390"/>
      <c r="CN650" s="390"/>
      <c r="CO650" s="390"/>
      <c r="CP650" s="390"/>
      <c r="CQ650" s="390"/>
      <c r="CR650" s="390"/>
      <c r="CS650" s="390"/>
      <c r="CT650" s="390"/>
      <c r="CU650" s="390"/>
      <c r="CV650" s="390"/>
      <c r="CW650" s="390"/>
      <c r="CX650" s="390"/>
      <c r="CY650" s="390"/>
      <c r="CZ650" s="390"/>
      <c r="DA650" s="390"/>
      <c r="DB650" s="390"/>
      <c r="DC650" s="390"/>
    </row>
    <row r="651" spans="1:107" s="303" customFormat="1" ht="24">
      <c r="A651" s="37"/>
      <c r="B651" s="352" t="s">
        <v>30</v>
      </c>
      <c r="C651" s="344" t="s">
        <v>115</v>
      </c>
      <c r="D651" s="348" t="s">
        <v>116</v>
      </c>
      <c r="E651" s="345">
        <v>1172.6465212572155</v>
      </c>
      <c r="F651" s="344" t="s">
        <v>1256</v>
      </c>
      <c r="G651" s="346">
        <v>0.82938969822302078</v>
      </c>
      <c r="H651" s="344" t="s">
        <v>110</v>
      </c>
      <c r="I651" s="386">
        <v>1</v>
      </c>
      <c r="J651" s="344" t="s">
        <v>32</v>
      </c>
      <c r="K651" s="344" t="s">
        <v>110</v>
      </c>
      <c r="L651" s="465" t="s">
        <v>101</v>
      </c>
      <c r="M651" s="344" t="s">
        <v>91</v>
      </c>
      <c r="N651" s="470">
        <v>318.01034413387765</v>
      </c>
      <c r="O651" s="349" t="s">
        <v>870</v>
      </c>
      <c r="P651" s="470">
        <v>318.01034413387765</v>
      </c>
      <c r="Q651" s="349" t="s">
        <v>870</v>
      </c>
      <c r="R651" s="37"/>
      <c r="S651" s="465" t="s">
        <v>68</v>
      </c>
      <c r="T651" s="465" t="s">
        <v>63</v>
      </c>
      <c r="U651" s="465" t="s">
        <v>69</v>
      </c>
      <c r="V651" s="465" t="s">
        <v>69</v>
      </c>
      <c r="W651" s="465" t="s">
        <v>76</v>
      </c>
      <c r="X651" s="37"/>
      <c r="Y651" s="37"/>
      <c r="Z651" s="465" t="s">
        <v>78</v>
      </c>
      <c r="AA651" s="465" t="s">
        <v>78</v>
      </c>
      <c r="AB651" s="37"/>
      <c r="AC651" s="347">
        <v>12</v>
      </c>
      <c r="AD651" s="344" t="s">
        <v>84</v>
      </c>
      <c r="AE651" s="465" t="s">
        <v>64</v>
      </c>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c r="CA651" s="393"/>
      <c r="CB651" s="393"/>
      <c r="CC651" s="393"/>
      <c r="CD651" s="393"/>
      <c r="CE651" s="393"/>
      <c r="CF651" s="393"/>
      <c r="CG651" s="393"/>
      <c r="CH651" s="393"/>
      <c r="CI651" s="393"/>
      <c r="CJ651" s="390"/>
      <c r="CK651" s="390"/>
      <c r="CL651" s="390"/>
      <c r="CM651" s="390"/>
      <c r="CN651" s="390"/>
      <c r="CO651" s="390"/>
      <c r="CP651" s="390"/>
      <c r="CQ651" s="390"/>
      <c r="CR651" s="390"/>
      <c r="CS651" s="390"/>
      <c r="CT651" s="390"/>
      <c r="CU651" s="390"/>
      <c r="CV651" s="390"/>
      <c r="CW651" s="390"/>
      <c r="CX651" s="390"/>
      <c r="CY651" s="390"/>
      <c r="CZ651" s="390"/>
      <c r="DA651" s="390"/>
      <c r="DB651" s="390"/>
      <c r="DC651" s="390"/>
    </row>
    <row r="652" spans="1:107" s="303" customFormat="1" ht="24">
      <c r="A652" s="37"/>
      <c r="B652" s="352" t="s">
        <v>30</v>
      </c>
      <c r="C652" s="344" t="s">
        <v>115</v>
      </c>
      <c r="D652" s="348" t="s">
        <v>116</v>
      </c>
      <c r="E652" s="345">
        <v>1172.6465212572155</v>
      </c>
      <c r="F652" s="344" t="s">
        <v>1256</v>
      </c>
      <c r="G652" s="346">
        <v>0.82938969822302078</v>
      </c>
      <c r="H652" s="344" t="s">
        <v>110</v>
      </c>
      <c r="I652" s="386">
        <v>1</v>
      </c>
      <c r="J652" s="344" t="s">
        <v>32</v>
      </c>
      <c r="K652" s="344" t="s">
        <v>110</v>
      </c>
      <c r="L652" s="465" t="s">
        <v>101</v>
      </c>
      <c r="M652" s="344" t="s">
        <v>92</v>
      </c>
      <c r="N652" s="470">
        <v>318.01034413387765</v>
      </c>
      <c r="O652" s="349">
        <v>280.10331198368556</v>
      </c>
      <c r="P652" s="470">
        <v>318.01034413387765</v>
      </c>
      <c r="Q652" s="349">
        <v>280.10331198368556</v>
      </c>
      <c r="R652" s="37"/>
      <c r="S652" s="465" t="s">
        <v>68</v>
      </c>
      <c r="T652" s="465" t="s">
        <v>63</v>
      </c>
      <c r="U652" s="465" t="s">
        <v>69</v>
      </c>
      <c r="V652" s="465" t="s">
        <v>69</v>
      </c>
      <c r="W652" s="465" t="s">
        <v>76</v>
      </c>
      <c r="X652" s="37"/>
      <c r="Y652" s="37"/>
      <c r="Z652" s="465" t="s">
        <v>78</v>
      </c>
      <c r="AA652" s="465" t="s">
        <v>78</v>
      </c>
      <c r="AB652" s="37"/>
      <c r="AC652" s="347">
        <v>12</v>
      </c>
      <c r="AD652" s="344" t="s">
        <v>84</v>
      </c>
      <c r="AE652" s="465" t="s">
        <v>64</v>
      </c>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c r="CA652" s="393"/>
      <c r="CB652" s="393"/>
      <c r="CC652" s="393"/>
      <c r="CD652" s="393"/>
      <c r="CE652" s="393"/>
      <c r="CF652" s="393"/>
      <c r="CG652" s="393"/>
      <c r="CH652" s="393"/>
      <c r="CI652" s="393"/>
      <c r="CJ652" s="390"/>
      <c r="CK652" s="390"/>
      <c r="CL652" s="390"/>
      <c r="CM652" s="390"/>
      <c r="CN652" s="390"/>
      <c r="CO652" s="390"/>
      <c r="CP652" s="390"/>
      <c r="CQ652" s="390"/>
      <c r="CR652" s="390"/>
      <c r="CS652" s="390"/>
      <c r="CT652" s="390"/>
      <c r="CU652" s="390"/>
      <c r="CV652" s="390"/>
      <c r="CW652" s="390"/>
      <c r="CX652" s="390"/>
      <c r="CY652" s="390"/>
      <c r="CZ652" s="390"/>
      <c r="DA652" s="390"/>
      <c r="DB652" s="390"/>
      <c r="DC652" s="390"/>
    </row>
    <row r="653" spans="1:107" s="303" customFormat="1" ht="24">
      <c r="A653" s="37"/>
      <c r="B653" s="352" t="s">
        <v>30</v>
      </c>
      <c r="C653" s="344" t="s">
        <v>115</v>
      </c>
      <c r="D653" s="348" t="s">
        <v>116</v>
      </c>
      <c r="E653" s="345">
        <v>1172.6465212572155</v>
      </c>
      <c r="F653" s="344" t="s">
        <v>1256</v>
      </c>
      <c r="G653" s="346">
        <v>0.82938969822302078</v>
      </c>
      <c r="H653" s="344" t="s">
        <v>110</v>
      </c>
      <c r="I653" s="386">
        <v>1</v>
      </c>
      <c r="J653" s="344" t="s">
        <v>32</v>
      </c>
      <c r="K653" s="344" t="s">
        <v>110</v>
      </c>
      <c r="L653" s="465" t="s">
        <v>101</v>
      </c>
      <c r="M653" s="344" t="s">
        <v>93</v>
      </c>
      <c r="N653" s="470">
        <v>318.01034413387765</v>
      </c>
      <c r="O653" s="349">
        <v>295.66460709389031</v>
      </c>
      <c r="P653" s="470">
        <v>318.01034413387765</v>
      </c>
      <c r="Q653" s="349">
        <v>295.66460709389031</v>
      </c>
      <c r="R653" s="37"/>
      <c r="S653" s="465" t="s">
        <v>68</v>
      </c>
      <c r="T653" s="465" t="s">
        <v>63</v>
      </c>
      <c r="U653" s="465" t="s">
        <v>69</v>
      </c>
      <c r="V653" s="465" t="s">
        <v>69</v>
      </c>
      <c r="W653" s="465" t="s">
        <v>76</v>
      </c>
      <c r="X653" s="37"/>
      <c r="Y653" s="37"/>
      <c r="Z653" s="465" t="s">
        <v>78</v>
      </c>
      <c r="AA653" s="465" t="s">
        <v>78</v>
      </c>
      <c r="AB653" s="37"/>
      <c r="AC653" s="347">
        <v>12</v>
      </c>
      <c r="AD653" s="344" t="s">
        <v>84</v>
      </c>
      <c r="AE653" s="465" t="s">
        <v>64</v>
      </c>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c r="CA653" s="393"/>
      <c r="CB653" s="393"/>
      <c r="CC653" s="393"/>
      <c r="CD653" s="393"/>
      <c r="CE653" s="393"/>
      <c r="CF653" s="393"/>
      <c r="CG653" s="393"/>
      <c r="CH653" s="393"/>
      <c r="CI653" s="393"/>
      <c r="CJ653" s="390"/>
      <c r="CK653" s="390"/>
      <c r="CL653" s="390"/>
      <c r="CM653" s="390"/>
      <c r="CN653" s="390"/>
      <c r="CO653" s="390"/>
      <c r="CP653" s="390"/>
      <c r="CQ653" s="390"/>
      <c r="CR653" s="390"/>
      <c r="CS653" s="390"/>
      <c r="CT653" s="390"/>
      <c r="CU653" s="390"/>
      <c r="CV653" s="390"/>
      <c r="CW653" s="390"/>
      <c r="CX653" s="390"/>
      <c r="CY653" s="390"/>
      <c r="CZ653" s="390"/>
      <c r="DA653" s="390"/>
      <c r="DB653" s="390"/>
      <c r="DC653" s="390"/>
    </row>
    <row r="654" spans="1:107" s="303" customFormat="1" ht="24">
      <c r="A654" s="37"/>
      <c r="B654" s="352" t="s">
        <v>30</v>
      </c>
      <c r="C654" s="344" t="s">
        <v>115</v>
      </c>
      <c r="D654" s="348" t="s">
        <v>116</v>
      </c>
      <c r="E654" s="345">
        <v>1172.6465212572155</v>
      </c>
      <c r="F654" s="344" t="s">
        <v>1256</v>
      </c>
      <c r="G654" s="346">
        <v>0.82938969822302078</v>
      </c>
      <c r="H654" s="344" t="s">
        <v>110</v>
      </c>
      <c r="I654" s="386">
        <v>1</v>
      </c>
      <c r="J654" s="344" t="s">
        <v>32</v>
      </c>
      <c r="K654" s="344" t="s">
        <v>110</v>
      </c>
      <c r="L654" s="344" t="s">
        <v>95</v>
      </c>
      <c r="M654" s="344" t="s">
        <v>88</v>
      </c>
      <c r="N654" s="349">
        <v>571.42332047275454</v>
      </c>
      <c r="O654" s="349" t="s">
        <v>870</v>
      </c>
      <c r="P654" s="349">
        <v>571.42332047275454</v>
      </c>
      <c r="Q654" s="349" t="s">
        <v>870</v>
      </c>
      <c r="R654" s="37"/>
      <c r="S654" s="344" t="s">
        <v>44</v>
      </c>
      <c r="T654" s="344" t="s">
        <v>75</v>
      </c>
      <c r="U654" s="344" t="s">
        <v>69</v>
      </c>
      <c r="V654" s="344" t="s">
        <v>69</v>
      </c>
      <c r="W654" s="465" t="s">
        <v>76</v>
      </c>
      <c r="X654" s="37"/>
      <c r="Y654" s="37"/>
      <c r="Z654" s="344" t="s">
        <v>78</v>
      </c>
      <c r="AA654" s="344" t="s">
        <v>78</v>
      </c>
      <c r="AB654" s="37"/>
      <c r="AC654" s="347">
        <v>12</v>
      </c>
      <c r="AD654" s="344" t="s">
        <v>84</v>
      </c>
      <c r="AE654" s="344" t="s">
        <v>64</v>
      </c>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c r="CA654" s="393"/>
      <c r="CB654" s="393"/>
      <c r="CC654" s="393"/>
      <c r="CD654" s="393"/>
      <c r="CE654" s="393"/>
      <c r="CF654" s="393"/>
      <c r="CG654" s="393"/>
      <c r="CH654" s="393"/>
      <c r="CI654" s="393"/>
      <c r="CJ654" s="390"/>
      <c r="CK654" s="390"/>
      <c r="CL654" s="390"/>
      <c r="CM654" s="390"/>
      <c r="CN654" s="390"/>
      <c r="CO654" s="390"/>
      <c r="CP654" s="390"/>
      <c r="CQ654" s="390"/>
      <c r="CR654" s="390"/>
      <c r="CS654" s="390"/>
      <c r="CT654" s="390"/>
      <c r="CU654" s="390"/>
      <c r="CV654" s="390"/>
      <c r="CW654" s="390"/>
      <c r="CX654" s="390"/>
      <c r="CY654" s="390"/>
      <c r="CZ654" s="390"/>
      <c r="DA654" s="390"/>
      <c r="DB654" s="390"/>
      <c r="DC654" s="390"/>
    </row>
    <row r="655" spans="1:107" s="303" customFormat="1" ht="24">
      <c r="A655" s="37"/>
      <c r="B655" s="352" t="s">
        <v>30</v>
      </c>
      <c r="C655" s="344" t="s">
        <v>115</v>
      </c>
      <c r="D655" s="348" t="s">
        <v>116</v>
      </c>
      <c r="E655" s="345">
        <v>1172.6465212572155</v>
      </c>
      <c r="F655" s="344" t="s">
        <v>1256</v>
      </c>
      <c r="G655" s="346">
        <v>0.82938969822302078</v>
      </c>
      <c r="H655" s="344" t="s">
        <v>110</v>
      </c>
      <c r="I655" s="386">
        <v>1</v>
      </c>
      <c r="J655" s="344" t="s">
        <v>32</v>
      </c>
      <c r="K655" s="344" t="s">
        <v>110</v>
      </c>
      <c r="L655" s="344" t="s">
        <v>95</v>
      </c>
      <c r="M655" s="344" t="s">
        <v>90</v>
      </c>
      <c r="N655" s="349">
        <v>571.42332047275454</v>
      </c>
      <c r="O655" s="349" t="s">
        <v>871</v>
      </c>
      <c r="P655" s="349">
        <v>571.42332047275454</v>
      </c>
      <c r="Q655" s="349" t="s">
        <v>871</v>
      </c>
      <c r="R655" s="37"/>
      <c r="S655" s="344" t="s">
        <v>44</v>
      </c>
      <c r="T655" s="344" t="s">
        <v>75</v>
      </c>
      <c r="U655" s="344" t="s">
        <v>69</v>
      </c>
      <c r="V655" s="344" t="s">
        <v>69</v>
      </c>
      <c r="W655" s="465" t="s">
        <v>76</v>
      </c>
      <c r="X655" s="37"/>
      <c r="Y655" s="37"/>
      <c r="Z655" s="344" t="s">
        <v>78</v>
      </c>
      <c r="AA655" s="344" t="s">
        <v>78</v>
      </c>
      <c r="AB655" s="37"/>
      <c r="AC655" s="347">
        <v>12</v>
      </c>
      <c r="AD655" s="344" t="s">
        <v>84</v>
      </c>
      <c r="AE655" s="344" t="s">
        <v>64</v>
      </c>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c r="CA655" s="393"/>
      <c r="CB655" s="393"/>
      <c r="CC655" s="393"/>
      <c r="CD655" s="393"/>
      <c r="CE655" s="393"/>
      <c r="CF655" s="393"/>
      <c r="CG655" s="393"/>
      <c r="CH655" s="393"/>
      <c r="CI655" s="393"/>
      <c r="CJ655" s="390"/>
      <c r="CK655" s="390"/>
      <c r="CL655" s="390"/>
      <c r="CM655" s="390"/>
      <c r="CN655" s="390"/>
      <c r="CO655" s="390"/>
      <c r="CP655" s="390"/>
      <c r="CQ655" s="390"/>
      <c r="CR655" s="390"/>
      <c r="CS655" s="390"/>
      <c r="CT655" s="390"/>
      <c r="CU655" s="390"/>
      <c r="CV655" s="390"/>
      <c r="CW655" s="390"/>
      <c r="CX655" s="390"/>
      <c r="CY655" s="390"/>
      <c r="CZ655" s="390"/>
      <c r="DA655" s="390"/>
      <c r="DB655" s="390"/>
      <c r="DC655" s="390"/>
    </row>
    <row r="656" spans="1:107" s="303" customFormat="1" ht="24">
      <c r="A656" s="37"/>
      <c r="B656" s="352" t="s">
        <v>30</v>
      </c>
      <c r="C656" s="344" t="s">
        <v>115</v>
      </c>
      <c r="D656" s="348" t="s">
        <v>116</v>
      </c>
      <c r="E656" s="345">
        <v>1172.6465212572155</v>
      </c>
      <c r="F656" s="344" t="s">
        <v>1256</v>
      </c>
      <c r="G656" s="346">
        <v>0.82938969822302078</v>
      </c>
      <c r="H656" s="344" t="s">
        <v>110</v>
      </c>
      <c r="I656" s="386">
        <v>1</v>
      </c>
      <c r="J656" s="344" t="s">
        <v>32</v>
      </c>
      <c r="K656" s="344" t="s">
        <v>110</v>
      </c>
      <c r="L656" s="344" t="s">
        <v>95</v>
      </c>
      <c r="M656" s="344" t="s">
        <v>91</v>
      </c>
      <c r="N656" s="349">
        <v>571.42332047275454</v>
      </c>
      <c r="O656" s="349" t="s">
        <v>870</v>
      </c>
      <c r="P656" s="349">
        <v>571.42332047275454</v>
      </c>
      <c r="Q656" s="349" t="s">
        <v>870</v>
      </c>
      <c r="R656" s="37"/>
      <c r="S656" s="344" t="s">
        <v>44</v>
      </c>
      <c r="T656" s="344" t="s">
        <v>75</v>
      </c>
      <c r="U656" s="344" t="s">
        <v>69</v>
      </c>
      <c r="V656" s="344" t="s">
        <v>69</v>
      </c>
      <c r="W656" s="465" t="s">
        <v>76</v>
      </c>
      <c r="X656" s="37"/>
      <c r="Y656" s="37"/>
      <c r="Z656" s="344" t="s">
        <v>78</v>
      </c>
      <c r="AA656" s="344" t="s">
        <v>78</v>
      </c>
      <c r="AB656" s="37"/>
      <c r="AC656" s="347">
        <v>12</v>
      </c>
      <c r="AD656" s="344" t="s">
        <v>84</v>
      </c>
      <c r="AE656" s="344" t="s">
        <v>64</v>
      </c>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c r="CA656" s="393"/>
      <c r="CB656" s="393"/>
      <c r="CC656" s="393"/>
      <c r="CD656" s="393"/>
      <c r="CE656" s="393"/>
      <c r="CF656" s="393"/>
      <c r="CG656" s="393"/>
      <c r="CH656" s="393"/>
      <c r="CI656" s="393"/>
      <c r="CJ656" s="390"/>
      <c r="CK656" s="390"/>
      <c r="CL656" s="390"/>
      <c r="CM656" s="390"/>
      <c r="CN656" s="390"/>
      <c r="CO656" s="390"/>
      <c r="CP656" s="390"/>
      <c r="CQ656" s="390"/>
      <c r="CR656" s="390"/>
      <c r="CS656" s="390"/>
      <c r="CT656" s="390"/>
      <c r="CU656" s="390"/>
      <c r="CV656" s="390"/>
      <c r="CW656" s="390"/>
      <c r="CX656" s="390"/>
      <c r="CY656" s="390"/>
      <c r="CZ656" s="390"/>
      <c r="DA656" s="390"/>
      <c r="DB656" s="390"/>
      <c r="DC656" s="390"/>
    </row>
    <row r="657" spans="1:107" s="303" customFormat="1" ht="24">
      <c r="A657" s="37"/>
      <c r="B657" s="352" t="s">
        <v>30</v>
      </c>
      <c r="C657" s="344" t="s">
        <v>115</v>
      </c>
      <c r="D657" s="348" t="s">
        <v>116</v>
      </c>
      <c r="E657" s="345">
        <v>1172.6465212572155</v>
      </c>
      <c r="F657" s="344" t="s">
        <v>1256</v>
      </c>
      <c r="G657" s="346">
        <v>0.82938969822302078</v>
      </c>
      <c r="H657" s="344" t="s">
        <v>110</v>
      </c>
      <c r="I657" s="386">
        <v>1</v>
      </c>
      <c r="J657" s="344" t="s">
        <v>32</v>
      </c>
      <c r="K657" s="344" t="s">
        <v>110</v>
      </c>
      <c r="L657" s="344" t="s">
        <v>95</v>
      </c>
      <c r="M657" s="344" t="s">
        <v>92</v>
      </c>
      <c r="N657" s="349">
        <v>571.42332047275454</v>
      </c>
      <c r="O657" s="349">
        <v>280.10331198368556</v>
      </c>
      <c r="P657" s="349">
        <v>571.42332047275454</v>
      </c>
      <c r="Q657" s="349">
        <v>280.10331198368556</v>
      </c>
      <c r="R657" s="37"/>
      <c r="S657" s="344" t="s">
        <v>44</v>
      </c>
      <c r="T657" s="344" t="s">
        <v>75</v>
      </c>
      <c r="U657" s="344" t="s">
        <v>69</v>
      </c>
      <c r="V657" s="344" t="s">
        <v>69</v>
      </c>
      <c r="W657" s="465" t="s">
        <v>76</v>
      </c>
      <c r="X657" s="37"/>
      <c r="Y657" s="37"/>
      <c r="Z657" s="344" t="s">
        <v>78</v>
      </c>
      <c r="AA657" s="344" t="s">
        <v>78</v>
      </c>
      <c r="AB657" s="37"/>
      <c r="AC657" s="347">
        <v>12</v>
      </c>
      <c r="AD657" s="344" t="s">
        <v>84</v>
      </c>
      <c r="AE657" s="344" t="s">
        <v>64</v>
      </c>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c r="CA657" s="393"/>
      <c r="CB657" s="393"/>
      <c r="CC657" s="393"/>
      <c r="CD657" s="393"/>
      <c r="CE657" s="393"/>
      <c r="CF657" s="393"/>
      <c r="CG657" s="393"/>
      <c r="CH657" s="393"/>
      <c r="CI657" s="393"/>
      <c r="CJ657" s="390"/>
      <c r="CK657" s="390"/>
      <c r="CL657" s="390"/>
      <c r="CM657" s="390"/>
      <c r="CN657" s="390"/>
      <c r="CO657" s="390"/>
      <c r="CP657" s="390"/>
      <c r="CQ657" s="390"/>
      <c r="CR657" s="390"/>
      <c r="CS657" s="390"/>
      <c r="CT657" s="390"/>
      <c r="CU657" s="390"/>
      <c r="CV657" s="390"/>
      <c r="CW657" s="390"/>
      <c r="CX657" s="390"/>
      <c r="CY657" s="390"/>
      <c r="CZ657" s="390"/>
      <c r="DA657" s="390"/>
      <c r="DB657" s="390"/>
      <c r="DC657" s="390"/>
    </row>
    <row r="658" spans="1:107" s="303" customFormat="1" ht="24">
      <c r="A658" s="37"/>
      <c r="B658" s="352" t="s">
        <v>30</v>
      </c>
      <c r="C658" s="344" t="s">
        <v>115</v>
      </c>
      <c r="D658" s="348" t="s">
        <v>116</v>
      </c>
      <c r="E658" s="345">
        <v>1172.6465212572155</v>
      </c>
      <c r="F658" s="344" t="s">
        <v>1256</v>
      </c>
      <c r="G658" s="346">
        <v>0.82938969822302078</v>
      </c>
      <c r="H658" s="344" t="s">
        <v>110</v>
      </c>
      <c r="I658" s="386">
        <v>1</v>
      </c>
      <c r="J658" s="344" t="s">
        <v>32</v>
      </c>
      <c r="K658" s="344" t="s">
        <v>110</v>
      </c>
      <c r="L658" s="344" t="s">
        <v>95</v>
      </c>
      <c r="M658" s="344" t="s">
        <v>93</v>
      </c>
      <c r="N658" s="349">
        <v>571.42332047275454</v>
      </c>
      <c r="O658" s="349">
        <v>295.66460709389031</v>
      </c>
      <c r="P658" s="349">
        <v>571.42332047275454</v>
      </c>
      <c r="Q658" s="349">
        <v>295.66460709389031</v>
      </c>
      <c r="R658" s="37"/>
      <c r="S658" s="344" t="s">
        <v>44</v>
      </c>
      <c r="T658" s="344" t="s">
        <v>75</v>
      </c>
      <c r="U658" s="344" t="s">
        <v>69</v>
      </c>
      <c r="V658" s="344" t="s">
        <v>69</v>
      </c>
      <c r="W658" s="465" t="s">
        <v>76</v>
      </c>
      <c r="X658" s="37"/>
      <c r="Y658" s="37"/>
      <c r="Z658" s="344" t="s">
        <v>78</v>
      </c>
      <c r="AA658" s="344" t="s">
        <v>78</v>
      </c>
      <c r="AB658" s="37"/>
      <c r="AC658" s="347">
        <v>12</v>
      </c>
      <c r="AD658" s="344" t="s">
        <v>84</v>
      </c>
      <c r="AE658" s="344" t="s">
        <v>64</v>
      </c>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c r="CA658" s="393"/>
      <c r="CB658" s="393"/>
      <c r="CC658" s="393"/>
      <c r="CD658" s="393"/>
      <c r="CE658" s="393"/>
      <c r="CF658" s="393"/>
      <c r="CG658" s="393"/>
      <c r="CH658" s="393"/>
      <c r="CI658" s="393"/>
      <c r="CJ658" s="390"/>
      <c r="CK658" s="390"/>
      <c r="CL658" s="390"/>
      <c r="CM658" s="390"/>
      <c r="CN658" s="390"/>
      <c r="CO658" s="390"/>
      <c r="CP658" s="390"/>
      <c r="CQ658" s="390"/>
      <c r="CR658" s="390"/>
      <c r="CS658" s="390"/>
      <c r="CT658" s="390"/>
      <c r="CU658" s="390"/>
      <c r="CV658" s="390"/>
      <c r="CW658" s="390"/>
      <c r="CX658" s="390"/>
      <c r="CY658" s="390"/>
      <c r="CZ658" s="390"/>
      <c r="DA658" s="390"/>
      <c r="DB658" s="390"/>
      <c r="DC658" s="390"/>
    </row>
    <row r="659" spans="1:107" s="303" customFormat="1" ht="24">
      <c r="A659" s="37"/>
      <c r="B659" s="352" t="s">
        <v>30</v>
      </c>
      <c r="C659" s="344" t="s">
        <v>115</v>
      </c>
      <c r="D659" s="348" t="s">
        <v>116</v>
      </c>
      <c r="E659" s="345">
        <v>1172.6465212572155</v>
      </c>
      <c r="F659" s="344" t="s">
        <v>1245</v>
      </c>
      <c r="G659" s="346">
        <v>9.687644704336465E-2</v>
      </c>
      <c r="H659" s="344" t="s">
        <v>110</v>
      </c>
      <c r="I659" s="386">
        <v>1</v>
      </c>
      <c r="J659" s="344" t="s">
        <v>994</v>
      </c>
      <c r="K659" s="344" t="s">
        <v>110</v>
      </c>
      <c r="L659" s="344" t="s">
        <v>995</v>
      </c>
      <c r="M659" s="344" t="s">
        <v>88</v>
      </c>
      <c r="N659" s="349">
        <v>21.971342677604653</v>
      </c>
      <c r="O659" s="349" t="s">
        <v>870</v>
      </c>
      <c r="P659" s="349">
        <v>17.964940339457925</v>
      </c>
      <c r="Q659" s="349" t="s">
        <v>870</v>
      </c>
      <c r="R659" s="37"/>
      <c r="S659" s="344" t="s">
        <v>63</v>
      </c>
      <c r="T659" s="344" t="s">
        <v>69</v>
      </c>
      <c r="U659" s="344" t="s">
        <v>69</v>
      </c>
      <c r="V659" s="344" t="s">
        <v>69</v>
      </c>
      <c r="W659" s="344" t="s">
        <v>112</v>
      </c>
      <c r="X659" s="37"/>
      <c r="Y659" s="37"/>
      <c r="Z659" s="344" t="s">
        <v>78</v>
      </c>
      <c r="AA659" s="344" t="s">
        <v>78</v>
      </c>
      <c r="AB659" s="37"/>
      <c r="AC659" s="347">
        <v>12</v>
      </c>
      <c r="AD659" s="344" t="s">
        <v>84</v>
      </c>
      <c r="AE659" s="344" t="s">
        <v>64</v>
      </c>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c r="CA659" s="393"/>
      <c r="CB659" s="393"/>
      <c r="CC659" s="393"/>
      <c r="CD659" s="393"/>
      <c r="CE659" s="393"/>
      <c r="CF659" s="393"/>
      <c r="CG659" s="393"/>
      <c r="CH659" s="393"/>
      <c r="CI659" s="393"/>
      <c r="CJ659" s="390"/>
      <c r="CK659" s="390"/>
      <c r="CL659" s="390"/>
      <c r="CM659" s="390"/>
      <c r="CN659" s="390"/>
      <c r="CO659" s="390"/>
      <c r="CP659" s="390"/>
      <c r="CQ659" s="390"/>
      <c r="CR659" s="390"/>
      <c r="CS659" s="390"/>
      <c r="CT659" s="390"/>
      <c r="CU659" s="390"/>
      <c r="CV659" s="390"/>
      <c r="CW659" s="390"/>
      <c r="CX659" s="390"/>
      <c r="CY659" s="390"/>
      <c r="CZ659" s="390"/>
      <c r="DA659" s="390"/>
      <c r="DB659" s="390"/>
      <c r="DC659" s="390"/>
    </row>
    <row r="660" spans="1:107" s="303" customFormat="1" ht="24">
      <c r="A660" s="37"/>
      <c r="B660" s="352" t="s">
        <v>30</v>
      </c>
      <c r="C660" s="344" t="s">
        <v>115</v>
      </c>
      <c r="D660" s="348" t="s">
        <v>116</v>
      </c>
      <c r="E660" s="345">
        <v>1172.6465212572155</v>
      </c>
      <c r="F660" s="344" t="s">
        <v>1245</v>
      </c>
      <c r="G660" s="346">
        <v>9.687644704336465E-2</v>
      </c>
      <c r="H660" s="344" t="s">
        <v>110</v>
      </c>
      <c r="I660" s="386">
        <v>1</v>
      </c>
      <c r="J660" s="344" t="s">
        <v>994</v>
      </c>
      <c r="K660" s="344" t="s">
        <v>110</v>
      </c>
      <c r="L660" s="344" t="s">
        <v>995</v>
      </c>
      <c r="M660" s="344" t="s">
        <v>90</v>
      </c>
      <c r="N660" s="349">
        <v>21.971342677604653</v>
      </c>
      <c r="O660" s="349" t="s">
        <v>871</v>
      </c>
      <c r="P660" s="349">
        <v>17.964940339457925</v>
      </c>
      <c r="Q660" s="349" t="s">
        <v>871</v>
      </c>
      <c r="R660" s="37"/>
      <c r="S660" s="344" t="s">
        <v>63</v>
      </c>
      <c r="T660" s="344" t="s">
        <v>69</v>
      </c>
      <c r="U660" s="344" t="s">
        <v>69</v>
      </c>
      <c r="V660" s="344" t="s">
        <v>69</v>
      </c>
      <c r="W660" s="344" t="s">
        <v>112</v>
      </c>
      <c r="X660" s="37"/>
      <c r="Y660" s="37"/>
      <c r="Z660" s="344" t="s">
        <v>78</v>
      </c>
      <c r="AA660" s="344" t="s">
        <v>78</v>
      </c>
      <c r="AB660" s="37"/>
      <c r="AC660" s="347">
        <v>12</v>
      </c>
      <c r="AD660" s="344" t="s">
        <v>84</v>
      </c>
      <c r="AE660" s="344" t="s">
        <v>64</v>
      </c>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c r="CA660" s="393"/>
      <c r="CB660" s="393"/>
      <c r="CC660" s="393"/>
      <c r="CD660" s="393"/>
      <c r="CE660" s="393"/>
      <c r="CF660" s="393"/>
      <c r="CG660" s="393"/>
      <c r="CH660" s="393"/>
      <c r="CI660" s="393"/>
      <c r="CJ660" s="390"/>
      <c r="CK660" s="390"/>
      <c r="CL660" s="390"/>
      <c r="CM660" s="390"/>
      <c r="CN660" s="390"/>
      <c r="CO660" s="390"/>
      <c r="CP660" s="390"/>
      <c r="CQ660" s="390"/>
      <c r="CR660" s="390"/>
      <c r="CS660" s="390"/>
      <c r="CT660" s="390"/>
      <c r="CU660" s="390"/>
      <c r="CV660" s="390"/>
      <c r="CW660" s="390"/>
      <c r="CX660" s="390"/>
      <c r="CY660" s="390"/>
      <c r="CZ660" s="390"/>
      <c r="DA660" s="390"/>
      <c r="DB660" s="390"/>
      <c r="DC660" s="390"/>
    </row>
    <row r="661" spans="1:107" s="303" customFormat="1" ht="24">
      <c r="A661" s="37"/>
      <c r="B661" s="352" t="s">
        <v>30</v>
      </c>
      <c r="C661" s="344" t="s">
        <v>115</v>
      </c>
      <c r="D661" s="348" t="s">
        <v>116</v>
      </c>
      <c r="E661" s="345">
        <v>1172.6465212572155</v>
      </c>
      <c r="F661" s="344" t="s">
        <v>1245</v>
      </c>
      <c r="G661" s="346">
        <v>9.687644704336465E-2</v>
      </c>
      <c r="H661" s="344" t="s">
        <v>110</v>
      </c>
      <c r="I661" s="386">
        <v>1</v>
      </c>
      <c r="J661" s="344" t="s">
        <v>994</v>
      </c>
      <c r="K661" s="344" t="s">
        <v>110</v>
      </c>
      <c r="L661" s="344" t="s">
        <v>995</v>
      </c>
      <c r="M661" s="344" t="s">
        <v>91</v>
      </c>
      <c r="N661" s="349">
        <v>21.971342677604653</v>
      </c>
      <c r="O661" s="349" t="s">
        <v>870</v>
      </c>
      <c r="P661" s="349">
        <v>17.964940339457925</v>
      </c>
      <c r="Q661" s="349" t="s">
        <v>870</v>
      </c>
      <c r="R661" s="37"/>
      <c r="S661" s="344" t="s">
        <v>63</v>
      </c>
      <c r="T661" s="344" t="s">
        <v>69</v>
      </c>
      <c r="U661" s="344" t="s">
        <v>69</v>
      </c>
      <c r="V661" s="344" t="s">
        <v>69</v>
      </c>
      <c r="W661" s="344" t="s">
        <v>112</v>
      </c>
      <c r="X661" s="37"/>
      <c r="Y661" s="37"/>
      <c r="Z661" s="344" t="s">
        <v>78</v>
      </c>
      <c r="AA661" s="344" t="s">
        <v>78</v>
      </c>
      <c r="AB661" s="37"/>
      <c r="AC661" s="347">
        <v>12</v>
      </c>
      <c r="AD661" s="344" t="s">
        <v>84</v>
      </c>
      <c r="AE661" s="344" t="s">
        <v>64</v>
      </c>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c r="CA661" s="393"/>
      <c r="CB661" s="393"/>
      <c r="CC661" s="393"/>
      <c r="CD661" s="393"/>
      <c r="CE661" s="393"/>
      <c r="CF661" s="393"/>
      <c r="CG661" s="393"/>
      <c r="CH661" s="393"/>
      <c r="CI661" s="393"/>
      <c r="CJ661" s="390"/>
      <c r="CK661" s="390"/>
      <c r="CL661" s="390"/>
      <c r="CM661" s="390"/>
      <c r="CN661" s="390"/>
      <c r="CO661" s="390"/>
      <c r="CP661" s="390"/>
      <c r="CQ661" s="390"/>
      <c r="CR661" s="390"/>
      <c r="CS661" s="390"/>
      <c r="CT661" s="390"/>
      <c r="CU661" s="390"/>
      <c r="CV661" s="390"/>
      <c r="CW661" s="390"/>
      <c r="CX661" s="390"/>
      <c r="CY661" s="390"/>
      <c r="CZ661" s="390"/>
      <c r="DA661" s="390"/>
      <c r="DB661" s="390"/>
      <c r="DC661" s="390"/>
    </row>
    <row r="662" spans="1:107" s="303" customFormat="1" ht="24">
      <c r="A662" s="37"/>
      <c r="B662" s="352" t="s">
        <v>30</v>
      </c>
      <c r="C662" s="344" t="s">
        <v>115</v>
      </c>
      <c r="D662" s="348" t="s">
        <v>116</v>
      </c>
      <c r="E662" s="345">
        <v>1172.6465212572155</v>
      </c>
      <c r="F662" s="344" t="s">
        <v>1245</v>
      </c>
      <c r="G662" s="346">
        <v>9.687644704336465E-2</v>
      </c>
      <c r="H662" s="344" t="s">
        <v>110</v>
      </c>
      <c r="I662" s="386">
        <v>1</v>
      </c>
      <c r="J662" s="344" t="s">
        <v>994</v>
      </c>
      <c r="K662" s="344" t="s">
        <v>110</v>
      </c>
      <c r="L662" s="344" t="s">
        <v>995</v>
      </c>
      <c r="M662" s="344" t="s">
        <v>92</v>
      </c>
      <c r="N662" s="349">
        <v>21.971342677604653</v>
      </c>
      <c r="O662" s="349">
        <v>32.717326641742197</v>
      </c>
      <c r="P662" s="349">
        <v>17.964940339457925</v>
      </c>
      <c r="Q662" s="349">
        <v>32.717326641742197</v>
      </c>
      <c r="R662" s="37"/>
      <c r="S662" s="344" t="s">
        <v>63</v>
      </c>
      <c r="T662" s="344" t="s">
        <v>69</v>
      </c>
      <c r="U662" s="344" t="s">
        <v>69</v>
      </c>
      <c r="V662" s="344" t="s">
        <v>69</v>
      </c>
      <c r="W662" s="344" t="s">
        <v>112</v>
      </c>
      <c r="X662" s="37"/>
      <c r="Y662" s="37"/>
      <c r="Z662" s="344" t="s">
        <v>78</v>
      </c>
      <c r="AA662" s="344" t="s">
        <v>78</v>
      </c>
      <c r="AB662" s="37"/>
      <c r="AC662" s="347">
        <v>12</v>
      </c>
      <c r="AD662" s="344" t="s">
        <v>84</v>
      </c>
      <c r="AE662" s="344" t="s">
        <v>64</v>
      </c>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c r="CA662" s="393"/>
      <c r="CB662" s="393"/>
      <c r="CC662" s="393"/>
      <c r="CD662" s="393"/>
      <c r="CE662" s="393"/>
      <c r="CF662" s="393"/>
      <c r="CG662" s="393"/>
      <c r="CH662" s="393"/>
      <c r="CI662" s="393"/>
      <c r="CJ662" s="390"/>
      <c r="CK662" s="390"/>
      <c r="CL662" s="390"/>
      <c r="CM662" s="390"/>
      <c r="CN662" s="390"/>
      <c r="CO662" s="390"/>
      <c r="CP662" s="390"/>
      <c r="CQ662" s="390"/>
      <c r="CR662" s="390"/>
      <c r="CS662" s="390"/>
      <c r="CT662" s="390"/>
      <c r="CU662" s="390"/>
      <c r="CV662" s="390"/>
      <c r="CW662" s="390"/>
      <c r="CX662" s="390"/>
      <c r="CY662" s="390"/>
      <c r="CZ662" s="390"/>
      <c r="DA662" s="390"/>
      <c r="DB662" s="390"/>
      <c r="DC662" s="390"/>
    </row>
    <row r="663" spans="1:107" s="303" customFormat="1" ht="24">
      <c r="A663" s="37"/>
      <c r="B663" s="352" t="s">
        <v>30</v>
      </c>
      <c r="C663" s="344" t="s">
        <v>115</v>
      </c>
      <c r="D663" s="348" t="s">
        <v>116</v>
      </c>
      <c r="E663" s="345">
        <v>1172.6465212572155</v>
      </c>
      <c r="F663" s="344" t="s">
        <v>1245</v>
      </c>
      <c r="G663" s="346">
        <v>9.687644704336465E-2</v>
      </c>
      <c r="H663" s="344" t="s">
        <v>110</v>
      </c>
      <c r="I663" s="386">
        <v>1</v>
      </c>
      <c r="J663" s="344" t="s">
        <v>994</v>
      </c>
      <c r="K663" s="344" t="s">
        <v>110</v>
      </c>
      <c r="L663" s="344" t="s">
        <v>995</v>
      </c>
      <c r="M663" s="344" t="s">
        <v>93</v>
      </c>
      <c r="N663" s="349">
        <v>21.971342677604653</v>
      </c>
      <c r="O663" s="349">
        <v>34.534955899616762</v>
      </c>
      <c r="P663" s="349">
        <v>17.964940339457925</v>
      </c>
      <c r="Q663" s="349">
        <v>34.534955899616762</v>
      </c>
      <c r="R663" s="37"/>
      <c r="S663" s="344" t="s">
        <v>63</v>
      </c>
      <c r="T663" s="344" t="s">
        <v>69</v>
      </c>
      <c r="U663" s="344" t="s">
        <v>69</v>
      </c>
      <c r="V663" s="344" t="s">
        <v>69</v>
      </c>
      <c r="W663" s="344" t="s">
        <v>112</v>
      </c>
      <c r="X663" s="37"/>
      <c r="Y663" s="37"/>
      <c r="Z663" s="344" t="s">
        <v>78</v>
      </c>
      <c r="AA663" s="344" t="s">
        <v>78</v>
      </c>
      <c r="AB663" s="37"/>
      <c r="AC663" s="347">
        <v>12</v>
      </c>
      <c r="AD663" s="344" t="s">
        <v>84</v>
      </c>
      <c r="AE663" s="344" t="s">
        <v>64</v>
      </c>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c r="CA663" s="393"/>
      <c r="CB663" s="393"/>
      <c r="CC663" s="393"/>
      <c r="CD663" s="393"/>
      <c r="CE663" s="393"/>
      <c r="CF663" s="393"/>
      <c r="CG663" s="393"/>
      <c r="CH663" s="393"/>
      <c r="CI663" s="393"/>
      <c r="CJ663" s="390"/>
      <c r="CK663" s="390"/>
      <c r="CL663" s="390"/>
      <c r="CM663" s="390"/>
      <c r="CN663" s="390"/>
      <c r="CO663" s="390"/>
      <c r="CP663" s="390"/>
      <c r="CQ663" s="390"/>
      <c r="CR663" s="390"/>
      <c r="CS663" s="390"/>
      <c r="CT663" s="390"/>
      <c r="CU663" s="390"/>
      <c r="CV663" s="390"/>
      <c r="CW663" s="390"/>
      <c r="CX663" s="390"/>
      <c r="CY663" s="390"/>
      <c r="CZ663" s="390"/>
      <c r="DA663" s="390"/>
      <c r="DB663" s="390"/>
      <c r="DC663" s="390"/>
    </row>
    <row r="664" spans="1:107" s="303" customFormat="1" ht="24">
      <c r="A664" s="37"/>
      <c r="B664" s="352" t="s">
        <v>30</v>
      </c>
      <c r="C664" s="344" t="s">
        <v>115</v>
      </c>
      <c r="D664" s="348" t="s">
        <v>116</v>
      </c>
      <c r="E664" s="345">
        <v>1172.6465212572155</v>
      </c>
      <c r="F664" s="344" t="s">
        <v>1245</v>
      </c>
      <c r="G664" s="346">
        <v>9.687644704336465E-2</v>
      </c>
      <c r="H664" s="344" t="s">
        <v>110</v>
      </c>
      <c r="I664" s="386">
        <v>1</v>
      </c>
      <c r="J664" s="344" t="s">
        <v>994</v>
      </c>
      <c r="K664" s="344" t="s">
        <v>110</v>
      </c>
      <c r="L664" s="465" t="s">
        <v>101</v>
      </c>
      <c r="M664" s="344" t="s">
        <v>88</v>
      </c>
      <c r="N664" s="470">
        <v>12.444182897802689</v>
      </c>
      <c r="O664" s="349" t="s">
        <v>870</v>
      </c>
      <c r="P664" s="470">
        <v>12.444182897802689</v>
      </c>
      <c r="Q664" s="349" t="s">
        <v>870</v>
      </c>
      <c r="R664" s="37"/>
      <c r="S664" s="465" t="s">
        <v>68</v>
      </c>
      <c r="T664" s="465" t="s">
        <v>63</v>
      </c>
      <c r="U664" s="465" t="s">
        <v>69</v>
      </c>
      <c r="V664" s="465" t="s">
        <v>69</v>
      </c>
      <c r="W664" s="465" t="s">
        <v>76</v>
      </c>
      <c r="X664" s="37"/>
      <c r="Y664" s="37"/>
      <c r="Z664" s="465" t="s">
        <v>78</v>
      </c>
      <c r="AA664" s="465" t="s">
        <v>78</v>
      </c>
      <c r="AB664" s="37"/>
      <c r="AC664" s="347">
        <v>12</v>
      </c>
      <c r="AD664" s="344" t="s">
        <v>84</v>
      </c>
      <c r="AE664" s="465" t="s">
        <v>64</v>
      </c>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c r="CA664" s="393"/>
      <c r="CB664" s="393"/>
      <c r="CC664" s="393"/>
      <c r="CD664" s="393"/>
      <c r="CE664" s="393"/>
      <c r="CF664" s="393"/>
      <c r="CG664" s="393"/>
      <c r="CH664" s="393"/>
      <c r="CI664" s="393"/>
      <c r="CJ664" s="390"/>
      <c r="CK664" s="390"/>
      <c r="CL664" s="390"/>
      <c r="CM664" s="390"/>
      <c r="CN664" s="390"/>
      <c r="CO664" s="390"/>
      <c r="CP664" s="390"/>
      <c r="CQ664" s="390"/>
      <c r="CR664" s="390"/>
      <c r="CS664" s="390"/>
      <c r="CT664" s="390"/>
      <c r="CU664" s="390"/>
      <c r="CV664" s="390"/>
      <c r="CW664" s="390"/>
      <c r="CX664" s="390"/>
      <c r="CY664" s="390"/>
      <c r="CZ664" s="390"/>
      <c r="DA664" s="390"/>
      <c r="DB664" s="390"/>
      <c r="DC664" s="390"/>
    </row>
    <row r="665" spans="1:107" s="303" customFormat="1" ht="24">
      <c r="A665" s="37"/>
      <c r="B665" s="352" t="s">
        <v>30</v>
      </c>
      <c r="C665" s="344" t="s">
        <v>115</v>
      </c>
      <c r="D665" s="348" t="s">
        <v>116</v>
      </c>
      <c r="E665" s="345">
        <v>1172.6465212572155</v>
      </c>
      <c r="F665" s="344" t="s">
        <v>1245</v>
      </c>
      <c r="G665" s="346">
        <v>9.687644704336465E-2</v>
      </c>
      <c r="H665" s="344" t="s">
        <v>110</v>
      </c>
      <c r="I665" s="386">
        <v>1</v>
      </c>
      <c r="J665" s="344" t="s">
        <v>994</v>
      </c>
      <c r="K665" s="344" t="s">
        <v>110</v>
      </c>
      <c r="L665" s="465" t="s">
        <v>101</v>
      </c>
      <c r="M665" s="344" t="s">
        <v>90</v>
      </c>
      <c r="N665" s="470">
        <v>12.444182897802689</v>
      </c>
      <c r="O665" s="349" t="s">
        <v>871</v>
      </c>
      <c r="P665" s="470">
        <v>12.444182897802689</v>
      </c>
      <c r="Q665" s="349" t="s">
        <v>871</v>
      </c>
      <c r="R665" s="37"/>
      <c r="S665" s="465" t="s">
        <v>68</v>
      </c>
      <c r="T665" s="465" t="s">
        <v>63</v>
      </c>
      <c r="U665" s="465" t="s">
        <v>69</v>
      </c>
      <c r="V665" s="465" t="s">
        <v>69</v>
      </c>
      <c r="W665" s="465" t="s">
        <v>76</v>
      </c>
      <c r="X665" s="37"/>
      <c r="Y665" s="37"/>
      <c r="Z665" s="465" t="s">
        <v>78</v>
      </c>
      <c r="AA665" s="465" t="s">
        <v>78</v>
      </c>
      <c r="AB665" s="37"/>
      <c r="AC665" s="347">
        <v>12</v>
      </c>
      <c r="AD665" s="344" t="s">
        <v>84</v>
      </c>
      <c r="AE665" s="465" t="s">
        <v>64</v>
      </c>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c r="CA665" s="393"/>
      <c r="CB665" s="393"/>
      <c r="CC665" s="393"/>
      <c r="CD665" s="393"/>
      <c r="CE665" s="393"/>
      <c r="CF665" s="393"/>
      <c r="CG665" s="393"/>
      <c r="CH665" s="393"/>
      <c r="CI665" s="393"/>
      <c r="CJ665" s="390"/>
      <c r="CK665" s="390"/>
      <c r="CL665" s="390"/>
      <c r="CM665" s="390"/>
      <c r="CN665" s="390"/>
      <c r="CO665" s="390"/>
      <c r="CP665" s="390"/>
      <c r="CQ665" s="390"/>
      <c r="CR665" s="390"/>
      <c r="CS665" s="390"/>
      <c r="CT665" s="390"/>
      <c r="CU665" s="390"/>
      <c r="CV665" s="390"/>
      <c r="CW665" s="390"/>
      <c r="CX665" s="390"/>
      <c r="CY665" s="390"/>
      <c r="CZ665" s="390"/>
      <c r="DA665" s="390"/>
      <c r="DB665" s="390"/>
      <c r="DC665" s="390"/>
    </row>
    <row r="666" spans="1:107" s="303" customFormat="1" ht="24">
      <c r="A666" s="37"/>
      <c r="B666" s="352" t="s">
        <v>30</v>
      </c>
      <c r="C666" s="344" t="s">
        <v>115</v>
      </c>
      <c r="D666" s="348" t="s">
        <v>116</v>
      </c>
      <c r="E666" s="345">
        <v>1172.6465212572155</v>
      </c>
      <c r="F666" s="344" t="s">
        <v>1245</v>
      </c>
      <c r="G666" s="346">
        <v>9.687644704336465E-2</v>
      </c>
      <c r="H666" s="344" t="s">
        <v>110</v>
      </c>
      <c r="I666" s="386">
        <v>1</v>
      </c>
      <c r="J666" s="344" t="s">
        <v>994</v>
      </c>
      <c r="K666" s="344" t="s">
        <v>110</v>
      </c>
      <c r="L666" s="465" t="s">
        <v>101</v>
      </c>
      <c r="M666" s="344" t="s">
        <v>91</v>
      </c>
      <c r="N666" s="470">
        <v>12.444182897802689</v>
      </c>
      <c r="O666" s="349" t="s">
        <v>870</v>
      </c>
      <c r="P666" s="470">
        <v>12.444182897802689</v>
      </c>
      <c r="Q666" s="349" t="s">
        <v>870</v>
      </c>
      <c r="R666" s="37"/>
      <c r="S666" s="465" t="s">
        <v>68</v>
      </c>
      <c r="T666" s="465" t="s">
        <v>63</v>
      </c>
      <c r="U666" s="465" t="s">
        <v>69</v>
      </c>
      <c r="V666" s="465" t="s">
        <v>69</v>
      </c>
      <c r="W666" s="465" t="s">
        <v>76</v>
      </c>
      <c r="X666" s="37"/>
      <c r="Y666" s="37"/>
      <c r="Z666" s="465" t="s">
        <v>78</v>
      </c>
      <c r="AA666" s="465" t="s">
        <v>78</v>
      </c>
      <c r="AB666" s="37"/>
      <c r="AC666" s="347">
        <v>12</v>
      </c>
      <c r="AD666" s="344" t="s">
        <v>84</v>
      </c>
      <c r="AE666" s="465" t="s">
        <v>64</v>
      </c>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c r="CA666" s="393"/>
      <c r="CB666" s="393"/>
      <c r="CC666" s="393"/>
      <c r="CD666" s="393"/>
      <c r="CE666" s="393"/>
      <c r="CF666" s="393"/>
      <c r="CG666" s="393"/>
      <c r="CH666" s="393"/>
      <c r="CI666" s="393"/>
      <c r="CJ666" s="390"/>
      <c r="CK666" s="390"/>
      <c r="CL666" s="390"/>
      <c r="CM666" s="390"/>
      <c r="CN666" s="390"/>
      <c r="CO666" s="390"/>
      <c r="CP666" s="390"/>
      <c r="CQ666" s="390"/>
      <c r="CR666" s="390"/>
      <c r="CS666" s="390"/>
      <c r="CT666" s="390"/>
      <c r="CU666" s="390"/>
      <c r="CV666" s="390"/>
      <c r="CW666" s="390"/>
      <c r="CX666" s="390"/>
      <c r="CY666" s="390"/>
      <c r="CZ666" s="390"/>
      <c r="DA666" s="390"/>
      <c r="DB666" s="390"/>
      <c r="DC666" s="390"/>
    </row>
    <row r="667" spans="1:107" s="303" customFormat="1" ht="24">
      <c r="A667" s="37"/>
      <c r="B667" s="352" t="s">
        <v>30</v>
      </c>
      <c r="C667" s="344" t="s">
        <v>115</v>
      </c>
      <c r="D667" s="348" t="s">
        <v>116</v>
      </c>
      <c r="E667" s="345">
        <v>1172.6465212572155</v>
      </c>
      <c r="F667" s="344" t="s">
        <v>1245</v>
      </c>
      <c r="G667" s="346">
        <v>9.687644704336465E-2</v>
      </c>
      <c r="H667" s="344" t="s">
        <v>110</v>
      </c>
      <c r="I667" s="386">
        <v>1</v>
      </c>
      <c r="J667" s="344" t="s">
        <v>994</v>
      </c>
      <c r="K667" s="344" t="s">
        <v>110</v>
      </c>
      <c r="L667" s="465" t="s">
        <v>101</v>
      </c>
      <c r="M667" s="344" t="s">
        <v>92</v>
      </c>
      <c r="N667" s="470">
        <v>12.444182897802689</v>
      </c>
      <c r="O667" s="349">
        <v>32.717326641742197</v>
      </c>
      <c r="P667" s="470">
        <v>12.444182897802689</v>
      </c>
      <c r="Q667" s="349">
        <v>32.717326641742197</v>
      </c>
      <c r="R667" s="37"/>
      <c r="S667" s="465" t="s">
        <v>68</v>
      </c>
      <c r="T667" s="465" t="s">
        <v>63</v>
      </c>
      <c r="U667" s="465" t="s">
        <v>69</v>
      </c>
      <c r="V667" s="465" t="s">
        <v>69</v>
      </c>
      <c r="W667" s="465" t="s">
        <v>76</v>
      </c>
      <c r="X667" s="37"/>
      <c r="Y667" s="37"/>
      <c r="Z667" s="465" t="s">
        <v>78</v>
      </c>
      <c r="AA667" s="465" t="s">
        <v>78</v>
      </c>
      <c r="AB667" s="37"/>
      <c r="AC667" s="347">
        <v>12</v>
      </c>
      <c r="AD667" s="344" t="s">
        <v>84</v>
      </c>
      <c r="AE667" s="465" t="s">
        <v>64</v>
      </c>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c r="CA667" s="393"/>
      <c r="CB667" s="393"/>
      <c r="CC667" s="393"/>
      <c r="CD667" s="393"/>
      <c r="CE667" s="393"/>
      <c r="CF667" s="393"/>
      <c r="CG667" s="393"/>
      <c r="CH667" s="393"/>
      <c r="CI667" s="393"/>
      <c r="CJ667" s="390"/>
      <c r="CK667" s="390"/>
      <c r="CL667" s="390"/>
      <c r="CM667" s="390"/>
      <c r="CN667" s="390"/>
      <c r="CO667" s="390"/>
      <c r="CP667" s="390"/>
      <c r="CQ667" s="390"/>
      <c r="CR667" s="390"/>
      <c r="CS667" s="390"/>
      <c r="CT667" s="390"/>
      <c r="CU667" s="390"/>
      <c r="CV667" s="390"/>
      <c r="CW667" s="390"/>
      <c r="CX667" s="390"/>
      <c r="CY667" s="390"/>
      <c r="CZ667" s="390"/>
      <c r="DA667" s="390"/>
      <c r="DB667" s="390"/>
      <c r="DC667" s="390"/>
    </row>
    <row r="668" spans="1:107" s="303" customFormat="1" ht="24">
      <c r="A668" s="37"/>
      <c r="B668" s="352" t="s">
        <v>30</v>
      </c>
      <c r="C668" s="344" t="s">
        <v>115</v>
      </c>
      <c r="D668" s="348" t="s">
        <v>116</v>
      </c>
      <c r="E668" s="345">
        <v>1172.6465212572155</v>
      </c>
      <c r="F668" s="344" t="s">
        <v>1245</v>
      </c>
      <c r="G668" s="346">
        <v>9.687644704336465E-2</v>
      </c>
      <c r="H668" s="344" t="s">
        <v>110</v>
      </c>
      <c r="I668" s="386">
        <v>1</v>
      </c>
      <c r="J668" s="344" t="s">
        <v>994</v>
      </c>
      <c r="K668" s="344" t="s">
        <v>110</v>
      </c>
      <c r="L668" s="465" t="s">
        <v>101</v>
      </c>
      <c r="M668" s="344" t="s">
        <v>93</v>
      </c>
      <c r="N668" s="470">
        <v>12.444182897802689</v>
      </c>
      <c r="O668" s="349">
        <v>34.534955899616762</v>
      </c>
      <c r="P668" s="470">
        <v>12.444182897802689</v>
      </c>
      <c r="Q668" s="349">
        <v>34.534955899616762</v>
      </c>
      <c r="R668" s="37"/>
      <c r="S668" s="465" t="s">
        <v>68</v>
      </c>
      <c r="T668" s="465" t="s">
        <v>63</v>
      </c>
      <c r="U668" s="465" t="s">
        <v>44</v>
      </c>
      <c r="V668" s="465" t="s">
        <v>75</v>
      </c>
      <c r="W668" s="465" t="s">
        <v>76</v>
      </c>
      <c r="X668" s="37"/>
      <c r="Y668" s="37"/>
      <c r="Z668" s="465" t="s">
        <v>78</v>
      </c>
      <c r="AA668" s="465" t="s">
        <v>78</v>
      </c>
      <c r="AB668" s="37"/>
      <c r="AC668" s="347">
        <v>12</v>
      </c>
      <c r="AD668" s="344" t="s">
        <v>84</v>
      </c>
      <c r="AE668" s="465" t="s">
        <v>64</v>
      </c>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c r="CA668" s="393"/>
      <c r="CB668" s="393"/>
      <c r="CC668" s="393"/>
      <c r="CD668" s="393"/>
      <c r="CE668" s="393"/>
      <c r="CF668" s="393"/>
      <c r="CG668" s="393"/>
      <c r="CH668" s="393"/>
      <c r="CI668" s="393"/>
      <c r="CJ668" s="390"/>
      <c r="CK668" s="390"/>
      <c r="CL668" s="390"/>
      <c r="CM668" s="390"/>
      <c r="CN668" s="390"/>
      <c r="CO668" s="390"/>
      <c r="CP668" s="390"/>
      <c r="CQ668" s="390"/>
      <c r="CR668" s="390"/>
      <c r="CS668" s="390"/>
      <c r="CT668" s="390"/>
      <c r="CU668" s="390"/>
      <c r="CV668" s="390"/>
      <c r="CW668" s="390"/>
      <c r="CX668" s="390"/>
      <c r="CY668" s="390"/>
      <c r="CZ668" s="390"/>
      <c r="DA668" s="390"/>
      <c r="DB668" s="390"/>
      <c r="DC668" s="390"/>
    </row>
    <row r="669" spans="1:107" s="303" customFormat="1" ht="24">
      <c r="A669" s="37"/>
      <c r="B669" s="352" t="s">
        <v>30</v>
      </c>
      <c r="C669" s="344" t="s">
        <v>115</v>
      </c>
      <c r="D669" s="348" t="s">
        <v>116</v>
      </c>
      <c r="E669" s="345">
        <v>1172.6465212572155</v>
      </c>
      <c r="F669" s="344" t="s">
        <v>1245</v>
      </c>
      <c r="G669" s="346">
        <v>9.687644704336465E-2</v>
      </c>
      <c r="H669" s="344" t="s">
        <v>110</v>
      </c>
      <c r="I669" s="386">
        <v>1</v>
      </c>
      <c r="J669" s="344" t="s">
        <v>994</v>
      </c>
      <c r="K669" s="344" t="s">
        <v>110</v>
      </c>
      <c r="L669" s="344" t="s">
        <v>1271</v>
      </c>
      <c r="M669" s="344" t="s">
        <v>88</v>
      </c>
      <c r="N669" s="349">
        <v>48.992918547907145</v>
      </c>
      <c r="O669" s="349" t="s">
        <v>870</v>
      </c>
      <c r="P669" s="349">
        <v>45.822853163936841</v>
      </c>
      <c r="Q669" s="349" t="s">
        <v>870</v>
      </c>
      <c r="R669" s="37"/>
      <c r="S669" s="344" t="s">
        <v>44</v>
      </c>
      <c r="T669" s="344" t="s">
        <v>75</v>
      </c>
      <c r="U669" s="344" t="s">
        <v>69</v>
      </c>
      <c r="V669" s="344" t="s">
        <v>69</v>
      </c>
      <c r="W669" s="344" t="s">
        <v>112</v>
      </c>
      <c r="X669" s="37"/>
      <c r="Y669" s="37"/>
      <c r="Z669" s="344" t="s">
        <v>78</v>
      </c>
      <c r="AA669" s="344" t="s">
        <v>78</v>
      </c>
      <c r="AB669" s="37"/>
      <c r="AC669" s="347">
        <v>12</v>
      </c>
      <c r="AD669" s="344" t="s">
        <v>84</v>
      </c>
      <c r="AE669" s="344" t="s">
        <v>64</v>
      </c>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c r="CA669" s="393"/>
      <c r="CB669" s="393"/>
      <c r="CC669" s="393"/>
      <c r="CD669" s="393"/>
      <c r="CE669" s="393"/>
      <c r="CF669" s="393"/>
      <c r="CG669" s="393"/>
      <c r="CH669" s="393"/>
      <c r="CI669" s="393"/>
      <c r="CJ669" s="390"/>
      <c r="CK669" s="390"/>
      <c r="CL669" s="390"/>
      <c r="CM669" s="390"/>
      <c r="CN669" s="390"/>
      <c r="CO669" s="390"/>
      <c r="CP669" s="390"/>
      <c r="CQ669" s="390"/>
      <c r="CR669" s="390"/>
      <c r="CS669" s="390"/>
      <c r="CT669" s="390"/>
      <c r="CU669" s="390"/>
      <c r="CV669" s="390"/>
      <c r="CW669" s="390"/>
      <c r="CX669" s="390"/>
      <c r="CY669" s="390"/>
      <c r="CZ669" s="390"/>
      <c r="DA669" s="390"/>
      <c r="DB669" s="390"/>
      <c r="DC669" s="390"/>
    </row>
    <row r="670" spans="1:107" s="303" customFormat="1" ht="24">
      <c r="A670" s="37"/>
      <c r="B670" s="352" t="s">
        <v>30</v>
      </c>
      <c r="C670" s="344" t="s">
        <v>115</v>
      </c>
      <c r="D670" s="348" t="s">
        <v>116</v>
      </c>
      <c r="E670" s="345">
        <v>1172.6465212572155</v>
      </c>
      <c r="F670" s="344" t="s">
        <v>1245</v>
      </c>
      <c r="G670" s="346">
        <v>9.687644704336465E-2</v>
      </c>
      <c r="H670" s="344" t="s">
        <v>110</v>
      </c>
      <c r="I670" s="386">
        <v>1</v>
      </c>
      <c r="J670" s="344" t="s">
        <v>994</v>
      </c>
      <c r="K670" s="344" t="s">
        <v>110</v>
      </c>
      <c r="L670" s="344" t="s">
        <v>1271</v>
      </c>
      <c r="M670" s="344" t="s">
        <v>90</v>
      </c>
      <c r="N670" s="349">
        <v>48.992918547907145</v>
      </c>
      <c r="O670" s="349" t="s">
        <v>871</v>
      </c>
      <c r="P670" s="349">
        <v>45.822853163936841</v>
      </c>
      <c r="Q670" s="349" t="s">
        <v>871</v>
      </c>
      <c r="R670" s="37"/>
      <c r="S670" s="344" t="s">
        <v>44</v>
      </c>
      <c r="T670" s="344" t="s">
        <v>75</v>
      </c>
      <c r="U670" s="344" t="s">
        <v>69</v>
      </c>
      <c r="V670" s="344" t="s">
        <v>69</v>
      </c>
      <c r="W670" s="344" t="s">
        <v>112</v>
      </c>
      <c r="X670" s="37"/>
      <c r="Y670" s="37"/>
      <c r="Z670" s="344" t="s">
        <v>78</v>
      </c>
      <c r="AA670" s="344" t="s">
        <v>78</v>
      </c>
      <c r="AB670" s="37"/>
      <c r="AC670" s="347">
        <v>12</v>
      </c>
      <c r="AD670" s="344" t="s">
        <v>84</v>
      </c>
      <c r="AE670" s="344" t="s">
        <v>64</v>
      </c>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c r="CA670" s="393"/>
      <c r="CB670" s="393"/>
      <c r="CC670" s="393"/>
      <c r="CD670" s="393"/>
      <c r="CE670" s="393"/>
      <c r="CF670" s="393"/>
      <c r="CG670" s="393"/>
      <c r="CH670" s="393"/>
      <c r="CI670" s="393"/>
      <c r="CJ670" s="390"/>
      <c r="CK670" s="390"/>
      <c r="CL670" s="390"/>
      <c r="CM670" s="390"/>
      <c r="CN670" s="390"/>
      <c r="CO670" s="390"/>
      <c r="CP670" s="390"/>
      <c r="CQ670" s="390"/>
      <c r="CR670" s="390"/>
      <c r="CS670" s="390"/>
      <c r="CT670" s="390"/>
      <c r="CU670" s="390"/>
      <c r="CV670" s="390"/>
      <c r="CW670" s="390"/>
      <c r="CX670" s="390"/>
      <c r="CY670" s="390"/>
      <c r="CZ670" s="390"/>
      <c r="DA670" s="390"/>
      <c r="DB670" s="390"/>
      <c r="DC670" s="390"/>
    </row>
    <row r="671" spans="1:107" s="303" customFormat="1" ht="24">
      <c r="A671" s="37"/>
      <c r="B671" s="352" t="s">
        <v>30</v>
      </c>
      <c r="C671" s="344" t="s">
        <v>115</v>
      </c>
      <c r="D671" s="348" t="s">
        <v>116</v>
      </c>
      <c r="E671" s="345">
        <v>1172.6465212572155</v>
      </c>
      <c r="F671" s="344" t="s">
        <v>1245</v>
      </c>
      <c r="G671" s="346">
        <v>9.687644704336465E-2</v>
      </c>
      <c r="H671" s="344" t="s">
        <v>110</v>
      </c>
      <c r="I671" s="386">
        <v>1</v>
      </c>
      <c r="J671" s="344" t="s">
        <v>994</v>
      </c>
      <c r="K671" s="344" t="s">
        <v>110</v>
      </c>
      <c r="L671" s="344" t="s">
        <v>1271</v>
      </c>
      <c r="M671" s="344" t="s">
        <v>91</v>
      </c>
      <c r="N671" s="349">
        <v>48.992918547907145</v>
      </c>
      <c r="O671" s="349" t="s">
        <v>870</v>
      </c>
      <c r="P671" s="349">
        <v>45.822853163936841</v>
      </c>
      <c r="Q671" s="349" t="s">
        <v>870</v>
      </c>
      <c r="R671" s="37"/>
      <c r="S671" s="344" t="s">
        <v>44</v>
      </c>
      <c r="T671" s="344" t="s">
        <v>75</v>
      </c>
      <c r="U671" s="344" t="s">
        <v>69</v>
      </c>
      <c r="V671" s="344" t="s">
        <v>69</v>
      </c>
      <c r="W671" s="344" t="s">
        <v>112</v>
      </c>
      <c r="X671" s="37"/>
      <c r="Y671" s="37"/>
      <c r="Z671" s="344" t="s">
        <v>78</v>
      </c>
      <c r="AA671" s="344" t="s">
        <v>78</v>
      </c>
      <c r="AB671" s="37"/>
      <c r="AC671" s="347">
        <v>12</v>
      </c>
      <c r="AD671" s="344" t="s">
        <v>84</v>
      </c>
      <c r="AE671" s="344" t="s">
        <v>64</v>
      </c>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c r="CA671" s="393"/>
      <c r="CB671" s="393"/>
      <c r="CC671" s="393"/>
      <c r="CD671" s="393"/>
      <c r="CE671" s="393"/>
      <c r="CF671" s="393"/>
      <c r="CG671" s="393"/>
      <c r="CH671" s="393"/>
      <c r="CI671" s="393"/>
      <c r="CJ671" s="390"/>
      <c r="CK671" s="390"/>
      <c r="CL671" s="390"/>
      <c r="CM671" s="390"/>
      <c r="CN671" s="390"/>
      <c r="CO671" s="390"/>
      <c r="CP671" s="390"/>
      <c r="CQ671" s="390"/>
      <c r="CR671" s="390"/>
      <c r="CS671" s="390"/>
      <c r="CT671" s="390"/>
      <c r="CU671" s="390"/>
      <c r="CV671" s="390"/>
      <c r="CW671" s="390"/>
      <c r="CX671" s="390"/>
      <c r="CY671" s="390"/>
      <c r="CZ671" s="390"/>
      <c r="DA671" s="390"/>
      <c r="DB671" s="390"/>
      <c r="DC671" s="390"/>
    </row>
    <row r="672" spans="1:107" s="303" customFormat="1" ht="24">
      <c r="A672" s="37"/>
      <c r="B672" s="352" t="s">
        <v>30</v>
      </c>
      <c r="C672" s="344" t="s">
        <v>115</v>
      </c>
      <c r="D672" s="348" t="s">
        <v>116</v>
      </c>
      <c r="E672" s="345">
        <v>1172.6465212572155</v>
      </c>
      <c r="F672" s="344" t="s">
        <v>1245</v>
      </c>
      <c r="G672" s="346">
        <v>9.687644704336465E-2</v>
      </c>
      <c r="H672" s="344" t="s">
        <v>110</v>
      </c>
      <c r="I672" s="386">
        <v>1</v>
      </c>
      <c r="J672" s="344" t="s">
        <v>994</v>
      </c>
      <c r="K672" s="344" t="s">
        <v>110</v>
      </c>
      <c r="L672" s="344" t="s">
        <v>1271</v>
      </c>
      <c r="M672" s="344" t="s">
        <v>92</v>
      </c>
      <c r="N672" s="349">
        <v>48.992918547907145</v>
      </c>
      <c r="O672" s="349">
        <v>32.717326641742197</v>
      </c>
      <c r="P672" s="349">
        <v>45.822853163936841</v>
      </c>
      <c r="Q672" s="349">
        <v>32.717326641742197</v>
      </c>
      <c r="R672" s="37"/>
      <c r="S672" s="344" t="s">
        <v>44</v>
      </c>
      <c r="T672" s="344" t="s">
        <v>75</v>
      </c>
      <c r="U672" s="344" t="s">
        <v>69</v>
      </c>
      <c r="V672" s="344" t="s">
        <v>69</v>
      </c>
      <c r="W672" s="344" t="s">
        <v>112</v>
      </c>
      <c r="X672" s="37"/>
      <c r="Y672" s="37"/>
      <c r="Z672" s="344" t="s">
        <v>78</v>
      </c>
      <c r="AA672" s="344" t="s">
        <v>78</v>
      </c>
      <c r="AB672" s="37"/>
      <c r="AC672" s="347">
        <v>12</v>
      </c>
      <c r="AD672" s="344" t="s">
        <v>84</v>
      </c>
      <c r="AE672" s="344" t="s">
        <v>64</v>
      </c>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c r="CA672" s="393"/>
      <c r="CB672" s="393"/>
      <c r="CC672" s="393"/>
      <c r="CD672" s="393"/>
      <c r="CE672" s="393"/>
      <c r="CF672" s="393"/>
      <c r="CG672" s="393"/>
      <c r="CH672" s="393"/>
      <c r="CI672" s="393"/>
      <c r="CJ672" s="390"/>
      <c r="CK672" s="390"/>
      <c r="CL672" s="390"/>
      <c r="CM672" s="390"/>
      <c r="CN672" s="390"/>
      <c r="CO672" s="390"/>
      <c r="CP672" s="390"/>
      <c r="CQ672" s="390"/>
      <c r="CR672" s="390"/>
      <c r="CS672" s="390"/>
      <c r="CT672" s="390"/>
      <c r="CU672" s="390"/>
      <c r="CV672" s="390"/>
      <c r="CW672" s="390"/>
      <c r="CX672" s="390"/>
      <c r="CY672" s="390"/>
      <c r="CZ672" s="390"/>
      <c r="DA672" s="390"/>
      <c r="DB672" s="390"/>
      <c r="DC672" s="390"/>
    </row>
    <row r="673" spans="1:107" s="303" customFormat="1" ht="24">
      <c r="A673" s="37"/>
      <c r="B673" s="352" t="s">
        <v>30</v>
      </c>
      <c r="C673" s="344" t="s">
        <v>115</v>
      </c>
      <c r="D673" s="348" t="s">
        <v>116</v>
      </c>
      <c r="E673" s="345">
        <v>1172.6465212572155</v>
      </c>
      <c r="F673" s="344" t="s">
        <v>1245</v>
      </c>
      <c r="G673" s="346">
        <v>9.687644704336465E-2</v>
      </c>
      <c r="H673" s="344" t="s">
        <v>110</v>
      </c>
      <c r="I673" s="386">
        <v>1</v>
      </c>
      <c r="J673" s="344" t="s">
        <v>994</v>
      </c>
      <c r="K673" s="344" t="s">
        <v>110</v>
      </c>
      <c r="L673" s="344" t="s">
        <v>1271</v>
      </c>
      <c r="M673" s="344" t="s">
        <v>93</v>
      </c>
      <c r="N673" s="349">
        <v>48.992918547907145</v>
      </c>
      <c r="O673" s="349">
        <v>34.534955899616762</v>
      </c>
      <c r="P673" s="349">
        <v>45.822853163936841</v>
      </c>
      <c r="Q673" s="349">
        <v>34.534955899616762</v>
      </c>
      <c r="R673" s="37"/>
      <c r="S673" s="344" t="s">
        <v>44</v>
      </c>
      <c r="T673" s="344" t="s">
        <v>75</v>
      </c>
      <c r="U673" s="344" t="s">
        <v>69</v>
      </c>
      <c r="V673" s="344" t="s">
        <v>69</v>
      </c>
      <c r="W673" s="344" t="s">
        <v>112</v>
      </c>
      <c r="X673" s="37"/>
      <c r="Y673" s="37"/>
      <c r="Z673" s="344" t="s">
        <v>78</v>
      </c>
      <c r="AA673" s="344" t="s">
        <v>78</v>
      </c>
      <c r="AB673" s="37"/>
      <c r="AC673" s="347">
        <v>12</v>
      </c>
      <c r="AD673" s="344" t="s">
        <v>84</v>
      </c>
      <c r="AE673" s="344" t="s">
        <v>64</v>
      </c>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c r="CA673" s="393"/>
      <c r="CB673" s="393"/>
      <c r="CC673" s="393"/>
      <c r="CD673" s="393"/>
      <c r="CE673" s="393"/>
      <c r="CF673" s="393"/>
      <c r="CG673" s="393"/>
      <c r="CH673" s="393"/>
      <c r="CI673" s="393"/>
      <c r="CJ673" s="390"/>
      <c r="CK673" s="390"/>
      <c r="CL673" s="390"/>
      <c r="CM673" s="390"/>
      <c r="CN673" s="390"/>
      <c r="CO673" s="390"/>
      <c r="CP673" s="390"/>
      <c r="CQ673" s="390"/>
      <c r="CR673" s="390"/>
      <c r="CS673" s="390"/>
      <c r="CT673" s="390"/>
      <c r="CU673" s="390"/>
      <c r="CV673" s="390"/>
      <c r="CW673" s="390"/>
      <c r="CX673" s="390"/>
      <c r="CY673" s="390"/>
      <c r="CZ673" s="390"/>
      <c r="DA673" s="390"/>
      <c r="DB673" s="390"/>
      <c r="DC673" s="390"/>
    </row>
    <row r="674" spans="1:107" s="303" customFormat="1" ht="24">
      <c r="A674" s="37"/>
      <c r="B674" s="695" t="s">
        <v>30</v>
      </c>
      <c r="C674" s="599" t="s">
        <v>115</v>
      </c>
      <c r="D674" s="600" t="s">
        <v>117</v>
      </c>
      <c r="E674" s="601">
        <v>18.654478742784612</v>
      </c>
      <c r="F674" s="599" t="s">
        <v>33</v>
      </c>
      <c r="G674" s="602">
        <v>0.35</v>
      </c>
      <c r="H674" s="599" t="s">
        <v>873</v>
      </c>
      <c r="I674" s="696">
        <v>0.99</v>
      </c>
      <c r="J674" s="599" t="s">
        <v>1013</v>
      </c>
      <c r="K674" s="599" t="s">
        <v>873</v>
      </c>
      <c r="L674" s="599" t="s">
        <v>1013</v>
      </c>
      <c r="M674" s="599" t="s">
        <v>873</v>
      </c>
      <c r="N674" s="603">
        <v>4.3527117066497425</v>
      </c>
      <c r="O674" s="603" t="s">
        <v>870</v>
      </c>
      <c r="P674" s="603">
        <v>0</v>
      </c>
      <c r="Q674" s="603" t="s">
        <v>870</v>
      </c>
      <c r="R674" s="37"/>
      <c r="S674" s="599" t="s">
        <v>44</v>
      </c>
      <c r="T674" s="599" t="s">
        <v>69</v>
      </c>
      <c r="U674" s="599" t="s">
        <v>69</v>
      </c>
      <c r="V674" s="599" t="s">
        <v>69</v>
      </c>
      <c r="W674" s="599" t="s">
        <v>76</v>
      </c>
      <c r="X674" s="37"/>
      <c r="Y674" s="37"/>
      <c r="Z674" s="599" t="s">
        <v>78</v>
      </c>
      <c r="AA674" s="599" t="s">
        <v>78</v>
      </c>
      <c r="AB674" s="37"/>
      <c r="AC674" s="817">
        <v>24</v>
      </c>
      <c r="AD674" s="599" t="s">
        <v>72</v>
      </c>
      <c r="AE674" s="599" t="s">
        <v>64</v>
      </c>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c r="CA674" s="393"/>
      <c r="CB674" s="393"/>
      <c r="CC674" s="393"/>
      <c r="CD674" s="393"/>
      <c r="CE674" s="393"/>
      <c r="CF674" s="393"/>
      <c r="CG674" s="393"/>
      <c r="CH674" s="393"/>
      <c r="CI674" s="393"/>
      <c r="CJ674" s="390"/>
      <c r="CK674" s="390"/>
      <c r="CL674" s="390"/>
      <c r="CM674" s="390"/>
      <c r="CN674" s="390"/>
      <c r="CO674" s="390"/>
      <c r="CP674" s="390"/>
      <c r="CQ674" s="390"/>
      <c r="CR674" s="390"/>
      <c r="CS674" s="390"/>
      <c r="CT674" s="390"/>
      <c r="CU674" s="390"/>
      <c r="CV674" s="390"/>
      <c r="CW674" s="390"/>
      <c r="CX674" s="390"/>
      <c r="CY674" s="390"/>
      <c r="CZ674" s="390"/>
      <c r="DA674" s="390"/>
      <c r="DB674" s="390"/>
      <c r="DC674" s="390"/>
    </row>
    <row r="675" spans="1:107" s="303" customFormat="1" ht="24">
      <c r="A675" s="37"/>
      <c r="B675" s="694" t="s">
        <v>30</v>
      </c>
      <c r="C675" s="320" t="s">
        <v>115</v>
      </c>
      <c r="D675" s="322" t="s">
        <v>118</v>
      </c>
      <c r="E675" s="323">
        <v>86.066523995226561</v>
      </c>
      <c r="F675" s="320" t="s">
        <v>31</v>
      </c>
      <c r="G675" s="319">
        <v>0.52104664391353805</v>
      </c>
      <c r="H675" s="320" t="s">
        <v>867</v>
      </c>
      <c r="I675" s="378">
        <v>1</v>
      </c>
      <c r="J675" s="320" t="s">
        <v>31</v>
      </c>
      <c r="K675" s="320" t="s">
        <v>936</v>
      </c>
      <c r="L675" s="320" t="s">
        <v>119</v>
      </c>
      <c r="M675" s="320" t="s">
        <v>88</v>
      </c>
      <c r="N675" s="324">
        <v>9.1824807603986773</v>
      </c>
      <c r="O675" s="324" t="s">
        <v>870</v>
      </c>
      <c r="P675" s="324">
        <v>9.1824807603986773</v>
      </c>
      <c r="Q675" s="324" t="s">
        <v>870</v>
      </c>
      <c r="R675" s="37"/>
      <c r="S675" s="320" t="s">
        <v>69</v>
      </c>
      <c r="T675" s="320" t="s">
        <v>69</v>
      </c>
      <c r="U675" s="320" t="s">
        <v>69</v>
      </c>
      <c r="V675" s="320" t="s">
        <v>69</v>
      </c>
      <c r="W675" s="320" t="s">
        <v>76</v>
      </c>
      <c r="X675" s="37"/>
      <c r="Y675" s="37"/>
      <c r="Z675" s="320" t="s">
        <v>78</v>
      </c>
      <c r="AA675" s="320" t="s">
        <v>78</v>
      </c>
      <c r="AB675" s="37"/>
      <c r="AC675" s="321">
        <v>12</v>
      </c>
      <c r="AD675" s="320" t="s">
        <v>84</v>
      </c>
      <c r="AE675" s="320" t="s">
        <v>64</v>
      </c>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c r="CA675" s="393"/>
      <c r="CB675" s="393"/>
      <c r="CC675" s="393"/>
      <c r="CD675" s="393"/>
      <c r="CE675" s="393"/>
      <c r="CF675" s="393"/>
      <c r="CG675" s="393"/>
      <c r="CH675" s="393"/>
      <c r="CI675" s="393"/>
      <c r="CJ675" s="390"/>
      <c r="CK675" s="390"/>
      <c r="CL675" s="390"/>
      <c r="CM675" s="390"/>
      <c r="CN675" s="390"/>
      <c r="CO675" s="390"/>
      <c r="CP675" s="390"/>
      <c r="CQ675" s="390"/>
      <c r="CR675" s="390"/>
      <c r="CS675" s="390"/>
      <c r="CT675" s="390"/>
      <c r="CU675" s="390"/>
      <c r="CV675" s="390"/>
      <c r="CW675" s="390"/>
      <c r="CX675" s="390"/>
      <c r="CY675" s="390"/>
      <c r="CZ675" s="390"/>
      <c r="DA675" s="390"/>
      <c r="DB675" s="390"/>
      <c r="DC675" s="390"/>
    </row>
    <row r="676" spans="1:107" s="303" customFormat="1" ht="24">
      <c r="A676" s="37"/>
      <c r="B676" s="694" t="s">
        <v>30</v>
      </c>
      <c r="C676" s="320" t="s">
        <v>115</v>
      </c>
      <c r="D676" s="322" t="s">
        <v>118</v>
      </c>
      <c r="E676" s="323">
        <v>86.066523995226561</v>
      </c>
      <c r="F676" s="320" t="s">
        <v>31</v>
      </c>
      <c r="G676" s="319">
        <v>0.52104664391353805</v>
      </c>
      <c r="H676" s="320" t="s">
        <v>867</v>
      </c>
      <c r="I676" s="378">
        <v>1</v>
      </c>
      <c r="J676" s="320" t="s">
        <v>31</v>
      </c>
      <c r="K676" s="320" t="s">
        <v>936</v>
      </c>
      <c r="L676" s="320" t="s">
        <v>119</v>
      </c>
      <c r="M676" s="320" t="s">
        <v>90</v>
      </c>
      <c r="N676" s="324">
        <v>9.1824807603986773</v>
      </c>
      <c r="O676" s="324" t="s">
        <v>871</v>
      </c>
      <c r="P676" s="324">
        <v>9.1824807603986773</v>
      </c>
      <c r="Q676" s="324" t="s">
        <v>871</v>
      </c>
      <c r="R676" s="37"/>
      <c r="S676" s="320" t="s">
        <v>69</v>
      </c>
      <c r="T676" s="320" t="s">
        <v>69</v>
      </c>
      <c r="U676" s="320" t="s">
        <v>69</v>
      </c>
      <c r="V676" s="320" t="s">
        <v>69</v>
      </c>
      <c r="W676" s="320" t="s">
        <v>76</v>
      </c>
      <c r="X676" s="37"/>
      <c r="Y676" s="37"/>
      <c r="Z676" s="320" t="s">
        <v>78</v>
      </c>
      <c r="AA676" s="320" t="s">
        <v>78</v>
      </c>
      <c r="AB676" s="37"/>
      <c r="AC676" s="321">
        <v>12</v>
      </c>
      <c r="AD676" s="320" t="s">
        <v>84</v>
      </c>
      <c r="AE676" s="320" t="s">
        <v>64</v>
      </c>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c r="CA676" s="393"/>
      <c r="CB676" s="393"/>
      <c r="CC676" s="393"/>
      <c r="CD676" s="393"/>
      <c r="CE676" s="393"/>
      <c r="CF676" s="393"/>
      <c r="CG676" s="393"/>
      <c r="CH676" s="393"/>
      <c r="CI676" s="393"/>
      <c r="CJ676" s="390"/>
      <c r="CK676" s="390"/>
      <c r="CL676" s="390"/>
      <c r="CM676" s="390"/>
      <c r="CN676" s="390"/>
      <c r="CO676" s="390"/>
      <c r="CP676" s="390"/>
      <c r="CQ676" s="390"/>
      <c r="CR676" s="390"/>
      <c r="CS676" s="390"/>
      <c r="CT676" s="390"/>
      <c r="CU676" s="390"/>
      <c r="CV676" s="390"/>
      <c r="CW676" s="390"/>
      <c r="CX676" s="390"/>
      <c r="CY676" s="390"/>
      <c r="CZ676" s="390"/>
      <c r="DA676" s="390"/>
      <c r="DB676" s="390"/>
      <c r="DC676" s="390"/>
    </row>
    <row r="677" spans="1:107" s="303" customFormat="1" ht="24">
      <c r="A677" s="37"/>
      <c r="B677" s="694" t="s">
        <v>30</v>
      </c>
      <c r="C677" s="320" t="s">
        <v>115</v>
      </c>
      <c r="D677" s="322" t="s">
        <v>118</v>
      </c>
      <c r="E677" s="323">
        <v>86.066523995226561</v>
      </c>
      <c r="F677" s="320" t="s">
        <v>31</v>
      </c>
      <c r="G677" s="319">
        <v>0.52104664391353805</v>
      </c>
      <c r="H677" s="320" t="s">
        <v>867</v>
      </c>
      <c r="I677" s="378">
        <v>1</v>
      </c>
      <c r="J677" s="320" t="s">
        <v>31</v>
      </c>
      <c r="K677" s="320" t="s">
        <v>936</v>
      </c>
      <c r="L677" s="320" t="s">
        <v>119</v>
      </c>
      <c r="M677" s="320" t="s">
        <v>91</v>
      </c>
      <c r="N677" s="324">
        <v>9.1824807603986773</v>
      </c>
      <c r="O677" s="324" t="s">
        <v>870</v>
      </c>
      <c r="P677" s="324">
        <v>9.1824807603986773</v>
      </c>
      <c r="Q677" s="324" t="s">
        <v>870</v>
      </c>
      <c r="R677" s="37"/>
      <c r="S677" s="320" t="s">
        <v>69</v>
      </c>
      <c r="T677" s="320" t="s">
        <v>69</v>
      </c>
      <c r="U677" s="320" t="s">
        <v>69</v>
      </c>
      <c r="V677" s="320" t="s">
        <v>69</v>
      </c>
      <c r="W677" s="320" t="s">
        <v>76</v>
      </c>
      <c r="X677" s="37"/>
      <c r="Y677" s="37"/>
      <c r="Z677" s="320" t="s">
        <v>78</v>
      </c>
      <c r="AA677" s="320" t="s">
        <v>78</v>
      </c>
      <c r="AB677" s="37"/>
      <c r="AC677" s="321">
        <v>12</v>
      </c>
      <c r="AD677" s="320" t="s">
        <v>84</v>
      </c>
      <c r="AE677" s="320" t="s">
        <v>64</v>
      </c>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c r="CA677" s="393"/>
      <c r="CB677" s="393"/>
      <c r="CC677" s="393"/>
      <c r="CD677" s="393"/>
      <c r="CE677" s="393"/>
      <c r="CF677" s="393"/>
      <c r="CG677" s="393"/>
      <c r="CH677" s="393"/>
      <c r="CI677" s="393"/>
      <c r="CJ677" s="390"/>
      <c r="CK677" s="390"/>
      <c r="CL677" s="390"/>
      <c r="CM677" s="390"/>
      <c r="CN677" s="390"/>
      <c r="CO677" s="390"/>
      <c r="CP677" s="390"/>
      <c r="CQ677" s="390"/>
      <c r="CR677" s="390"/>
      <c r="CS677" s="390"/>
      <c r="CT677" s="390"/>
      <c r="CU677" s="390"/>
      <c r="CV677" s="390"/>
      <c r="CW677" s="390"/>
      <c r="CX677" s="390"/>
      <c r="CY677" s="390"/>
      <c r="CZ677" s="390"/>
      <c r="DA677" s="390"/>
      <c r="DB677" s="390"/>
      <c r="DC677" s="390"/>
    </row>
    <row r="678" spans="1:107" s="303" customFormat="1" ht="24">
      <c r="A678" s="37"/>
      <c r="B678" s="694" t="s">
        <v>30</v>
      </c>
      <c r="C678" s="320" t="s">
        <v>115</v>
      </c>
      <c r="D678" s="322" t="s">
        <v>118</v>
      </c>
      <c r="E678" s="323">
        <v>86.066523995226561</v>
      </c>
      <c r="F678" s="320" t="s">
        <v>31</v>
      </c>
      <c r="G678" s="319">
        <v>0.52104664391353805</v>
      </c>
      <c r="H678" s="320" t="s">
        <v>867</v>
      </c>
      <c r="I678" s="378">
        <v>1</v>
      </c>
      <c r="J678" s="320" t="s">
        <v>31</v>
      </c>
      <c r="K678" s="320" t="s">
        <v>936</v>
      </c>
      <c r="L678" s="320" t="s">
        <v>119</v>
      </c>
      <c r="M678" s="320" t="s">
        <v>92</v>
      </c>
      <c r="N678" s="324">
        <v>9.1824807603986773</v>
      </c>
      <c r="O678" s="324">
        <v>12.915265962532835</v>
      </c>
      <c r="P678" s="324">
        <v>9.1824807603986773</v>
      </c>
      <c r="Q678" s="324">
        <v>12.915265962532835</v>
      </c>
      <c r="R678" s="37"/>
      <c r="S678" s="320" t="s">
        <v>69</v>
      </c>
      <c r="T678" s="320" t="s">
        <v>69</v>
      </c>
      <c r="U678" s="320" t="s">
        <v>69</v>
      </c>
      <c r="V678" s="320" t="s">
        <v>69</v>
      </c>
      <c r="W678" s="320" t="s">
        <v>76</v>
      </c>
      <c r="X678" s="37"/>
      <c r="Y678" s="37"/>
      <c r="Z678" s="320" t="s">
        <v>78</v>
      </c>
      <c r="AA678" s="320" t="s">
        <v>78</v>
      </c>
      <c r="AB678" s="37"/>
      <c r="AC678" s="321">
        <v>12</v>
      </c>
      <c r="AD678" s="320" t="s">
        <v>84</v>
      </c>
      <c r="AE678" s="320" t="s">
        <v>64</v>
      </c>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c r="CA678" s="393"/>
      <c r="CB678" s="393"/>
      <c r="CC678" s="393"/>
      <c r="CD678" s="393"/>
      <c r="CE678" s="393"/>
      <c r="CF678" s="393"/>
      <c r="CG678" s="393"/>
      <c r="CH678" s="393"/>
      <c r="CI678" s="393"/>
      <c r="CJ678" s="390"/>
      <c r="CK678" s="390"/>
      <c r="CL678" s="390"/>
      <c r="CM678" s="390"/>
      <c r="CN678" s="390"/>
      <c r="CO678" s="390"/>
      <c r="CP678" s="390"/>
      <c r="CQ678" s="390"/>
      <c r="CR678" s="390"/>
      <c r="CS678" s="390"/>
      <c r="CT678" s="390"/>
      <c r="CU678" s="390"/>
      <c r="CV678" s="390"/>
      <c r="CW678" s="390"/>
      <c r="CX678" s="390"/>
      <c r="CY678" s="390"/>
      <c r="CZ678" s="390"/>
      <c r="DA678" s="390"/>
      <c r="DB678" s="390"/>
      <c r="DC678" s="390"/>
    </row>
    <row r="679" spans="1:107" s="303" customFormat="1" ht="24">
      <c r="A679" s="37"/>
      <c r="B679" s="694" t="s">
        <v>30</v>
      </c>
      <c r="C679" s="320" t="s">
        <v>115</v>
      </c>
      <c r="D679" s="322" t="s">
        <v>118</v>
      </c>
      <c r="E679" s="323">
        <v>86.066523995226561</v>
      </c>
      <c r="F679" s="320" t="s">
        <v>31</v>
      </c>
      <c r="G679" s="319">
        <v>0.52104664391353805</v>
      </c>
      <c r="H679" s="320" t="s">
        <v>867</v>
      </c>
      <c r="I679" s="378">
        <v>1</v>
      </c>
      <c r="J679" s="320" t="s">
        <v>31</v>
      </c>
      <c r="K679" s="320" t="s">
        <v>936</v>
      </c>
      <c r="L679" s="320" t="s">
        <v>119</v>
      </c>
      <c r="M679" s="320" t="s">
        <v>93</v>
      </c>
      <c r="N679" s="324">
        <v>9.1824807603986773</v>
      </c>
      <c r="O679" s="324">
        <v>13.632780738229105</v>
      </c>
      <c r="P679" s="324">
        <v>9.1824807603986773</v>
      </c>
      <c r="Q679" s="324">
        <v>13.632780738229105</v>
      </c>
      <c r="R679" s="37"/>
      <c r="S679" s="320" t="s">
        <v>69</v>
      </c>
      <c r="T679" s="320" t="s">
        <v>69</v>
      </c>
      <c r="U679" s="320" t="s">
        <v>69</v>
      </c>
      <c r="V679" s="320" t="s">
        <v>69</v>
      </c>
      <c r="W679" s="320" t="s">
        <v>76</v>
      </c>
      <c r="X679" s="37"/>
      <c r="Y679" s="37"/>
      <c r="Z679" s="320" t="s">
        <v>78</v>
      </c>
      <c r="AA679" s="320" t="s">
        <v>78</v>
      </c>
      <c r="AB679" s="37"/>
      <c r="AC679" s="321">
        <v>12</v>
      </c>
      <c r="AD679" s="320" t="s">
        <v>84</v>
      </c>
      <c r="AE679" s="320" t="s">
        <v>64</v>
      </c>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c r="CA679" s="393"/>
      <c r="CB679" s="393"/>
      <c r="CC679" s="393"/>
      <c r="CD679" s="393"/>
      <c r="CE679" s="393"/>
      <c r="CF679" s="393"/>
      <c r="CG679" s="393"/>
      <c r="CH679" s="393"/>
      <c r="CI679" s="393"/>
      <c r="CJ679" s="390"/>
      <c r="CK679" s="390"/>
      <c r="CL679" s="390"/>
      <c r="CM679" s="390"/>
      <c r="CN679" s="390"/>
      <c r="CO679" s="390"/>
      <c r="CP679" s="390"/>
      <c r="CQ679" s="390"/>
      <c r="CR679" s="390"/>
      <c r="CS679" s="390"/>
      <c r="CT679" s="390"/>
      <c r="CU679" s="390"/>
      <c r="CV679" s="390"/>
      <c r="CW679" s="390"/>
      <c r="CX679" s="390"/>
      <c r="CY679" s="390"/>
      <c r="CZ679" s="390"/>
      <c r="DA679" s="390"/>
      <c r="DB679" s="390"/>
      <c r="DC679" s="390"/>
    </row>
    <row r="680" spans="1:107" s="303" customFormat="1" ht="24">
      <c r="A680" s="37"/>
      <c r="B680" s="694" t="s">
        <v>30</v>
      </c>
      <c r="C680" s="320" t="s">
        <v>115</v>
      </c>
      <c r="D680" s="322" t="s">
        <v>118</v>
      </c>
      <c r="E680" s="323">
        <v>86.066523995226561</v>
      </c>
      <c r="F680" s="320" t="s">
        <v>35</v>
      </c>
      <c r="G680" s="319">
        <v>0.47895335608646189</v>
      </c>
      <c r="H680" s="320" t="s">
        <v>867</v>
      </c>
      <c r="I680" s="378">
        <v>1</v>
      </c>
      <c r="J680" s="320" t="s">
        <v>35</v>
      </c>
      <c r="K680" s="320" t="s">
        <v>936</v>
      </c>
      <c r="L680" s="320" t="s">
        <v>119</v>
      </c>
      <c r="M680" s="320" t="s">
        <v>88</v>
      </c>
      <c r="N680" s="324">
        <v>8.4406646291000964</v>
      </c>
      <c r="O680" s="324" t="s">
        <v>870</v>
      </c>
      <c r="P680" s="324">
        <v>8.4406646291000964</v>
      </c>
      <c r="Q680" s="324" t="s">
        <v>870</v>
      </c>
      <c r="R680" s="37"/>
      <c r="S680" s="320" t="s">
        <v>69</v>
      </c>
      <c r="T680" s="320" t="s">
        <v>69</v>
      </c>
      <c r="U680" s="320" t="s">
        <v>69</v>
      </c>
      <c r="V680" s="320" t="s">
        <v>69</v>
      </c>
      <c r="W680" s="320" t="s">
        <v>76</v>
      </c>
      <c r="X680" s="37"/>
      <c r="Y680" s="37"/>
      <c r="Z680" s="320" t="s">
        <v>78</v>
      </c>
      <c r="AA680" s="320" t="s">
        <v>78</v>
      </c>
      <c r="AB680" s="37"/>
      <c r="AC680" s="321">
        <v>12</v>
      </c>
      <c r="AD680" s="320" t="s">
        <v>84</v>
      </c>
      <c r="AE680" s="320" t="s">
        <v>64</v>
      </c>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c r="CA680" s="393"/>
      <c r="CB680" s="393"/>
      <c r="CC680" s="393"/>
      <c r="CD680" s="393"/>
      <c r="CE680" s="393"/>
      <c r="CF680" s="393"/>
      <c r="CG680" s="393"/>
      <c r="CH680" s="393"/>
      <c r="CI680" s="393"/>
      <c r="CJ680" s="390"/>
      <c r="CK680" s="390"/>
      <c r="CL680" s="390"/>
      <c r="CM680" s="390"/>
      <c r="CN680" s="390"/>
      <c r="CO680" s="390"/>
      <c r="CP680" s="390"/>
      <c r="CQ680" s="390"/>
      <c r="CR680" s="390"/>
      <c r="CS680" s="390"/>
      <c r="CT680" s="390"/>
      <c r="CU680" s="390"/>
      <c r="CV680" s="390"/>
      <c r="CW680" s="390"/>
      <c r="CX680" s="390"/>
      <c r="CY680" s="390"/>
      <c r="CZ680" s="390"/>
      <c r="DA680" s="390"/>
      <c r="DB680" s="390"/>
      <c r="DC680" s="390"/>
    </row>
    <row r="681" spans="1:107" s="303" customFormat="1" ht="24">
      <c r="A681" s="37"/>
      <c r="B681" s="694" t="s">
        <v>30</v>
      </c>
      <c r="C681" s="320" t="s">
        <v>115</v>
      </c>
      <c r="D681" s="322" t="s">
        <v>118</v>
      </c>
      <c r="E681" s="323">
        <v>86.066523995226561</v>
      </c>
      <c r="F681" s="320" t="s">
        <v>35</v>
      </c>
      <c r="G681" s="319">
        <v>0.47895335608646189</v>
      </c>
      <c r="H681" s="320" t="s">
        <v>867</v>
      </c>
      <c r="I681" s="378">
        <v>1</v>
      </c>
      <c r="J681" s="320" t="s">
        <v>35</v>
      </c>
      <c r="K681" s="320" t="s">
        <v>936</v>
      </c>
      <c r="L681" s="320" t="s">
        <v>119</v>
      </c>
      <c r="M681" s="320" t="s">
        <v>90</v>
      </c>
      <c r="N681" s="324">
        <v>8.4406646291000964</v>
      </c>
      <c r="O681" s="324" t="s">
        <v>871</v>
      </c>
      <c r="P681" s="324">
        <v>8.4406646291000964</v>
      </c>
      <c r="Q681" s="324" t="s">
        <v>871</v>
      </c>
      <c r="R681" s="37"/>
      <c r="S681" s="320" t="s">
        <v>69</v>
      </c>
      <c r="T681" s="320" t="s">
        <v>69</v>
      </c>
      <c r="U681" s="320" t="s">
        <v>69</v>
      </c>
      <c r="V681" s="320" t="s">
        <v>69</v>
      </c>
      <c r="W681" s="320" t="s">
        <v>76</v>
      </c>
      <c r="X681" s="37"/>
      <c r="Y681" s="37"/>
      <c r="Z681" s="320" t="s">
        <v>78</v>
      </c>
      <c r="AA681" s="320" t="s">
        <v>78</v>
      </c>
      <c r="AB681" s="37"/>
      <c r="AC681" s="321">
        <v>12</v>
      </c>
      <c r="AD681" s="320" t="s">
        <v>84</v>
      </c>
      <c r="AE681" s="320" t="s">
        <v>64</v>
      </c>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c r="CA681" s="393"/>
      <c r="CB681" s="393"/>
      <c r="CC681" s="393"/>
      <c r="CD681" s="393"/>
      <c r="CE681" s="393"/>
      <c r="CF681" s="393"/>
      <c r="CG681" s="393"/>
      <c r="CH681" s="393"/>
      <c r="CI681" s="393"/>
      <c r="CJ681" s="390"/>
      <c r="CK681" s="390"/>
      <c r="CL681" s="390"/>
      <c r="CM681" s="390"/>
      <c r="CN681" s="390"/>
      <c r="CO681" s="390"/>
      <c r="CP681" s="390"/>
      <c r="CQ681" s="390"/>
      <c r="CR681" s="390"/>
      <c r="CS681" s="390"/>
      <c r="CT681" s="390"/>
      <c r="CU681" s="390"/>
      <c r="CV681" s="390"/>
      <c r="CW681" s="390"/>
      <c r="CX681" s="390"/>
      <c r="CY681" s="390"/>
      <c r="CZ681" s="390"/>
      <c r="DA681" s="390"/>
      <c r="DB681" s="390"/>
      <c r="DC681" s="390"/>
    </row>
    <row r="682" spans="1:107" s="303" customFormat="1" ht="24">
      <c r="A682" s="37"/>
      <c r="B682" s="694" t="s">
        <v>30</v>
      </c>
      <c r="C682" s="320" t="s">
        <v>115</v>
      </c>
      <c r="D682" s="322" t="s">
        <v>118</v>
      </c>
      <c r="E682" s="323">
        <v>86.066523995226561</v>
      </c>
      <c r="F682" s="320" t="s">
        <v>35</v>
      </c>
      <c r="G682" s="319">
        <v>0.47895335608646189</v>
      </c>
      <c r="H682" s="320" t="s">
        <v>867</v>
      </c>
      <c r="I682" s="378">
        <v>1</v>
      </c>
      <c r="J682" s="320" t="s">
        <v>35</v>
      </c>
      <c r="K682" s="320" t="s">
        <v>936</v>
      </c>
      <c r="L682" s="320" t="s">
        <v>119</v>
      </c>
      <c r="M682" s="320" t="s">
        <v>91</v>
      </c>
      <c r="N682" s="324">
        <v>8.4406646291000964</v>
      </c>
      <c r="O682" s="324" t="s">
        <v>870</v>
      </c>
      <c r="P682" s="324">
        <v>8.4406646291000964</v>
      </c>
      <c r="Q682" s="324" t="s">
        <v>870</v>
      </c>
      <c r="R682" s="37"/>
      <c r="S682" s="320" t="s">
        <v>69</v>
      </c>
      <c r="T682" s="320" t="s">
        <v>69</v>
      </c>
      <c r="U682" s="320" t="s">
        <v>69</v>
      </c>
      <c r="V682" s="320" t="s">
        <v>69</v>
      </c>
      <c r="W682" s="320" t="s">
        <v>76</v>
      </c>
      <c r="X682" s="37"/>
      <c r="Y682" s="37"/>
      <c r="Z682" s="320" t="s">
        <v>78</v>
      </c>
      <c r="AA682" s="320" t="s">
        <v>78</v>
      </c>
      <c r="AB682" s="37"/>
      <c r="AC682" s="321">
        <v>12</v>
      </c>
      <c r="AD682" s="320" t="s">
        <v>84</v>
      </c>
      <c r="AE682" s="320" t="s">
        <v>64</v>
      </c>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c r="CA682" s="393"/>
      <c r="CB682" s="393"/>
      <c r="CC682" s="393"/>
      <c r="CD682" s="393"/>
      <c r="CE682" s="393"/>
      <c r="CF682" s="393"/>
      <c r="CG682" s="393"/>
      <c r="CH682" s="393"/>
      <c r="CI682" s="393"/>
      <c r="CJ682" s="390"/>
      <c r="CK682" s="390"/>
      <c r="CL682" s="390"/>
      <c r="CM682" s="390"/>
      <c r="CN682" s="390"/>
      <c r="CO682" s="390"/>
      <c r="CP682" s="390"/>
      <c r="CQ682" s="390"/>
      <c r="CR682" s="390"/>
      <c r="CS682" s="390"/>
      <c r="CT682" s="390"/>
      <c r="CU682" s="390"/>
      <c r="CV682" s="390"/>
      <c r="CW682" s="390"/>
      <c r="CX682" s="390"/>
      <c r="CY682" s="390"/>
      <c r="CZ682" s="390"/>
      <c r="DA682" s="390"/>
      <c r="DB682" s="390"/>
      <c r="DC682" s="390"/>
    </row>
    <row r="683" spans="1:107" s="303" customFormat="1" ht="24">
      <c r="A683" s="37"/>
      <c r="B683" s="694" t="s">
        <v>30</v>
      </c>
      <c r="C683" s="320" t="s">
        <v>115</v>
      </c>
      <c r="D683" s="322" t="s">
        <v>118</v>
      </c>
      <c r="E683" s="323">
        <v>86.066523995226561</v>
      </c>
      <c r="F683" s="320" t="s">
        <v>35</v>
      </c>
      <c r="G683" s="319">
        <v>0.47895335608646189</v>
      </c>
      <c r="H683" s="320" t="s">
        <v>867</v>
      </c>
      <c r="I683" s="378">
        <v>1</v>
      </c>
      <c r="J683" s="320" t="s">
        <v>35</v>
      </c>
      <c r="K683" s="320" t="s">
        <v>936</v>
      </c>
      <c r="L683" s="320" t="s">
        <v>119</v>
      </c>
      <c r="M683" s="320" t="s">
        <v>92</v>
      </c>
      <c r="N683" s="324">
        <v>8.4406646291000964</v>
      </c>
      <c r="O683" s="324">
        <v>11.871892948092412</v>
      </c>
      <c r="P683" s="324">
        <v>8.4406646291000964</v>
      </c>
      <c r="Q683" s="324">
        <v>11.871892948092412</v>
      </c>
      <c r="R683" s="37"/>
      <c r="S683" s="320" t="s">
        <v>69</v>
      </c>
      <c r="T683" s="320" t="s">
        <v>69</v>
      </c>
      <c r="U683" s="320" t="s">
        <v>69</v>
      </c>
      <c r="V683" s="320" t="s">
        <v>69</v>
      </c>
      <c r="W683" s="320" t="s">
        <v>76</v>
      </c>
      <c r="X683" s="37"/>
      <c r="Y683" s="37"/>
      <c r="Z683" s="320" t="s">
        <v>78</v>
      </c>
      <c r="AA683" s="320" t="s">
        <v>78</v>
      </c>
      <c r="AB683" s="37"/>
      <c r="AC683" s="321">
        <v>12</v>
      </c>
      <c r="AD683" s="320" t="s">
        <v>84</v>
      </c>
      <c r="AE683" s="320" t="s">
        <v>64</v>
      </c>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c r="CA683" s="393"/>
      <c r="CB683" s="393"/>
      <c r="CC683" s="393"/>
      <c r="CD683" s="393"/>
      <c r="CE683" s="393"/>
      <c r="CF683" s="393"/>
      <c r="CG683" s="393"/>
      <c r="CH683" s="393"/>
      <c r="CI683" s="393"/>
      <c r="CJ683" s="390"/>
      <c r="CK683" s="390"/>
      <c r="CL683" s="390"/>
      <c r="CM683" s="390"/>
      <c r="CN683" s="390"/>
      <c r="CO683" s="390"/>
      <c r="CP683" s="390"/>
      <c r="CQ683" s="390"/>
      <c r="CR683" s="390"/>
      <c r="CS683" s="390"/>
      <c r="CT683" s="390"/>
      <c r="CU683" s="390"/>
      <c r="CV683" s="390"/>
      <c r="CW683" s="390"/>
      <c r="CX683" s="390"/>
      <c r="CY683" s="390"/>
      <c r="CZ683" s="390"/>
      <c r="DA683" s="390"/>
      <c r="DB683" s="390"/>
      <c r="DC683" s="390"/>
    </row>
    <row r="684" spans="1:107" s="303" customFormat="1" ht="24">
      <c r="A684" s="37"/>
      <c r="B684" s="694" t="s">
        <v>30</v>
      </c>
      <c r="C684" s="320" t="s">
        <v>115</v>
      </c>
      <c r="D684" s="322" t="s">
        <v>118</v>
      </c>
      <c r="E684" s="323">
        <v>86.066523995226561</v>
      </c>
      <c r="F684" s="320" t="s">
        <v>35</v>
      </c>
      <c r="G684" s="319">
        <v>0.47895335608646189</v>
      </c>
      <c r="H684" s="320" t="s">
        <v>867</v>
      </c>
      <c r="I684" s="378">
        <v>1</v>
      </c>
      <c r="J684" s="320" t="s">
        <v>35</v>
      </c>
      <c r="K684" s="320" t="s">
        <v>936</v>
      </c>
      <c r="L684" s="320" t="s">
        <v>119</v>
      </c>
      <c r="M684" s="320" t="s">
        <v>93</v>
      </c>
      <c r="N684" s="324">
        <v>8.4406646291000964</v>
      </c>
      <c r="O684" s="324">
        <v>12.531442556319767</v>
      </c>
      <c r="P684" s="324">
        <v>8.4406646291000964</v>
      </c>
      <c r="Q684" s="324">
        <v>12.531442556319767</v>
      </c>
      <c r="R684" s="37"/>
      <c r="S684" s="320" t="s">
        <v>69</v>
      </c>
      <c r="T684" s="320" t="s">
        <v>69</v>
      </c>
      <c r="U684" s="320" t="s">
        <v>69</v>
      </c>
      <c r="V684" s="320" t="s">
        <v>69</v>
      </c>
      <c r="W684" s="320" t="s">
        <v>76</v>
      </c>
      <c r="X684" s="37"/>
      <c r="Y684" s="37"/>
      <c r="Z684" s="320" t="s">
        <v>78</v>
      </c>
      <c r="AA684" s="320" t="s">
        <v>78</v>
      </c>
      <c r="AB684" s="37"/>
      <c r="AC684" s="321">
        <v>12</v>
      </c>
      <c r="AD684" s="320" t="s">
        <v>84</v>
      </c>
      <c r="AE684" s="320" t="s">
        <v>64</v>
      </c>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c r="CA684" s="393"/>
      <c r="CB684" s="393"/>
      <c r="CC684" s="393"/>
      <c r="CD684" s="393"/>
      <c r="CE684" s="393"/>
      <c r="CF684" s="393"/>
      <c r="CG684" s="393"/>
      <c r="CH684" s="393"/>
      <c r="CI684" s="393"/>
      <c r="CJ684" s="390"/>
      <c r="CK684" s="390"/>
      <c r="CL684" s="390"/>
      <c r="CM684" s="390"/>
      <c r="CN684" s="390"/>
      <c r="CO684" s="390"/>
      <c r="CP684" s="390"/>
      <c r="CQ684" s="390"/>
      <c r="CR684" s="390"/>
      <c r="CS684" s="390"/>
      <c r="CT684" s="390"/>
      <c r="CU684" s="390"/>
      <c r="CV684" s="390"/>
      <c r="CW684" s="390"/>
      <c r="CX684" s="390"/>
      <c r="CY684" s="390"/>
      <c r="CZ684" s="390"/>
      <c r="DA684" s="390"/>
      <c r="DB684" s="390"/>
      <c r="DC684" s="390"/>
    </row>
    <row r="687" spans="1:107">
      <c r="Q687" s="730"/>
      <c r="R687" s="806"/>
    </row>
    <row r="688" spans="1:107">
      <c r="Q688" s="730"/>
    </row>
    <row r="690" spans="4:18">
      <c r="D690" s="34" t="s">
        <v>877</v>
      </c>
      <c r="Q690" s="730"/>
      <c r="R690" s="806"/>
    </row>
    <row r="691" spans="4:18">
      <c r="Q691" s="730"/>
    </row>
  </sheetData>
  <autoFilter ref="A5:DD684"/>
  <mergeCells count="11">
    <mergeCell ref="S3:W3"/>
    <mergeCell ref="J4:K4"/>
    <mergeCell ref="L4:M4"/>
    <mergeCell ref="N4:O4"/>
    <mergeCell ref="P4:Q4"/>
    <mergeCell ref="P3:Q3"/>
    <mergeCell ref="B3:E3"/>
    <mergeCell ref="F3:I3"/>
    <mergeCell ref="J3:K3"/>
    <mergeCell ref="L3:M3"/>
    <mergeCell ref="N3: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74"/>
  <sheetViews>
    <sheetView zoomScale="60" zoomScaleNormal="60" workbookViewId="0">
      <pane ySplit="6" topLeftCell="A7" activePane="bottomLeft" state="frozen"/>
      <selection pane="bottomLeft" activeCell="F19" sqref="F19"/>
    </sheetView>
  </sheetViews>
  <sheetFormatPr defaultRowHeight="15"/>
  <cols>
    <col min="1" max="1" width="4.28515625" customWidth="1"/>
    <col min="2" max="2" width="52.7109375" customWidth="1"/>
    <col min="3" max="3" width="40.28515625" customWidth="1"/>
    <col min="4" max="4" width="48.140625" customWidth="1"/>
    <col min="5" max="5" width="25.85546875" customWidth="1"/>
    <col min="6" max="6" width="29.85546875" customWidth="1"/>
    <col min="7" max="7" width="26" customWidth="1"/>
    <col min="8" max="8" width="28.5703125" customWidth="1"/>
    <col min="9" max="9" width="34" customWidth="1"/>
    <col min="10" max="10" width="45.28515625" bestFit="1" customWidth="1"/>
    <col min="11" max="11" width="60.28515625" customWidth="1"/>
    <col min="12" max="12" width="25.5703125" customWidth="1"/>
    <col min="13" max="13" width="16.7109375" customWidth="1"/>
    <col min="14" max="14" width="16.5703125" customWidth="1"/>
    <col min="15" max="15" width="9.140625" customWidth="1"/>
    <col min="16" max="16" width="12" style="7" bestFit="1" customWidth="1"/>
    <col min="17" max="17" width="13.140625" bestFit="1" customWidth="1"/>
  </cols>
  <sheetData>
    <row r="1" spans="1:18" ht="15.75" thickBot="1">
      <c r="A1" s="1" t="s">
        <v>1383</v>
      </c>
    </row>
    <row r="2" spans="1:18">
      <c r="B2" s="264" t="s">
        <v>120</v>
      </c>
    </row>
    <row r="3" spans="1:18" ht="15.75" thickBot="1">
      <c r="B3" s="265">
        <v>0.8</v>
      </c>
      <c r="C3" s="398" t="s">
        <v>1373</v>
      </c>
    </row>
    <row r="5" spans="1:18">
      <c r="A5" s="1" t="s">
        <v>121</v>
      </c>
      <c r="F5" t="s">
        <v>122</v>
      </c>
    </row>
    <row r="6" spans="1:18">
      <c r="B6" s="53" t="s">
        <v>123</v>
      </c>
      <c r="C6" s="53" t="s">
        <v>124</v>
      </c>
      <c r="D6" s="53" t="s">
        <v>125</v>
      </c>
      <c r="E6" s="263" t="s">
        <v>126</v>
      </c>
      <c r="F6" s="263" t="s">
        <v>969</v>
      </c>
      <c r="G6" s="263" t="s">
        <v>127</v>
      </c>
      <c r="H6" s="263" t="s">
        <v>128</v>
      </c>
      <c r="I6" s="263" t="s">
        <v>129</v>
      </c>
      <c r="J6" s="263" t="s">
        <v>160</v>
      </c>
      <c r="P6"/>
      <c r="R6" s="7"/>
    </row>
    <row r="7" spans="1:18">
      <c r="B7" s="698" t="s">
        <v>130</v>
      </c>
      <c r="C7" s="699" t="s">
        <v>24</v>
      </c>
      <c r="D7" s="699" t="s">
        <v>95</v>
      </c>
      <c r="E7" s="700">
        <f>('Ref-DOE'!H100-'Ref-DOE'!H91)/'Ref-DOE'!H100</f>
        <v>0.23076923076923078</v>
      </c>
      <c r="F7" s="701"/>
      <c r="G7" s="426" t="s">
        <v>1374</v>
      </c>
      <c r="H7" s="702" t="s">
        <v>940</v>
      </c>
      <c r="I7" s="702"/>
      <c r="J7" s="703"/>
      <c r="P7"/>
      <c r="R7" s="7"/>
    </row>
    <row r="8" spans="1:18" s="37" customFormat="1">
      <c r="B8" s="698" t="s">
        <v>131</v>
      </c>
      <c r="C8" s="698" t="s">
        <v>25</v>
      </c>
      <c r="D8" s="698" t="s">
        <v>24</v>
      </c>
      <c r="E8" s="700">
        <f>('Ref-DOE'!H101-'Ref-DOE'!H100)/'Ref-DOE'!H101</f>
        <v>0.72916666666666663</v>
      </c>
      <c r="F8" s="704"/>
      <c r="G8" s="426" t="s">
        <v>1375</v>
      </c>
      <c r="H8" s="702" t="s">
        <v>940</v>
      </c>
      <c r="I8" s="705"/>
      <c r="J8" s="706"/>
      <c r="R8" s="401"/>
    </row>
    <row r="9" spans="1:18">
      <c r="B9" s="698" t="s">
        <v>132</v>
      </c>
      <c r="C9" s="698" t="s">
        <v>25</v>
      </c>
      <c r="D9" s="698" t="s">
        <v>95</v>
      </c>
      <c r="E9" s="700">
        <f>('Ref-DOE'!H101-'Ref-DOE'!H91)/'Ref-DOE'!H101</f>
        <v>0.79166666666666663</v>
      </c>
      <c r="F9" s="701"/>
      <c r="G9" s="426" t="s">
        <v>1376</v>
      </c>
      <c r="H9" s="702" t="s">
        <v>940</v>
      </c>
      <c r="I9" s="702"/>
      <c r="J9" s="703"/>
      <c r="P9"/>
      <c r="R9" s="7"/>
    </row>
    <row r="10" spans="1:18" s="37" customFormat="1" ht="24.75">
      <c r="B10" s="698" t="s">
        <v>146</v>
      </c>
      <c r="C10" s="698" t="s">
        <v>26</v>
      </c>
      <c r="D10" s="698" t="s">
        <v>24</v>
      </c>
      <c r="E10" s="700">
        <f>('Ref-DOE'!H102-'Ref-DOE'!H100)/'Ref-DOE'!H102</f>
        <v>0.78333333333333333</v>
      </c>
      <c r="F10" s="704"/>
      <c r="G10" s="426" t="s">
        <v>147</v>
      </c>
      <c r="H10" s="702" t="s">
        <v>940</v>
      </c>
      <c r="I10" s="707" t="s">
        <v>148</v>
      </c>
      <c r="J10" s="706"/>
      <c r="R10" s="401"/>
    </row>
    <row r="11" spans="1:18">
      <c r="B11" s="698" t="s">
        <v>149</v>
      </c>
      <c r="C11" s="698" t="s">
        <v>26</v>
      </c>
      <c r="D11" s="698" t="s">
        <v>95</v>
      </c>
      <c r="E11" s="708">
        <f>('Ref-DOE'!H102-'Ref-DOE'!H91)/'Ref-DOE'!H102</f>
        <v>0.83333333333333337</v>
      </c>
      <c r="F11" s="701"/>
      <c r="G11" s="426" t="s">
        <v>147</v>
      </c>
      <c r="H11" s="702" t="s">
        <v>940</v>
      </c>
      <c r="I11" s="702"/>
      <c r="J11" s="703"/>
      <c r="P11"/>
      <c r="R11" s="7"/>
    </row>
    <row r="12" spans="1:18" ht="60">
      <c r="B12" s="698" t="s">
        <v>985</v>
      </c>
      <c r="C12" s="698" t="s">
        <v>970</v>
      </c>
      <c r="D12" s="698" t="s">
        <v>136</v>
      </c>
      <c r="E12" s="708">
        <f>1-(22/72)</f>
        <v>0.69444444444444442</v>
      </c>
      <c r="F12" s="701" t="s">
        <v>976</v>
      </c>
      <c r="G12" s="426" t="s">
        <v>1098</v>
      </c>
      <c r="H12" s="702" t="s">
        <v>974</v>
      </c>
      <c r="I12" s="709" t="s">
        <v>975</v>
      </c>
      <c r="J12" s="703" t="s">
        <v>973</v>
      </c>
      <c r="P12"/>
      <c r="R12" s="7"/>
    </row>
    <row r="13" spans="1:18" s="387" customFormat="1" ht="60">
      <c r="B13" s="698" t="s">
        <v>986</v>
      </c>
      <c r="C13" s="698" t="s">
        <v>971</v>
      </c>
      <c r="D13" s="698" t="s">
        <v>136</v>
      </c>
      <c r="E13" s="708">
        <f>1-(22/63)</f>
        <v>0.65079365079365081</v>
      </c>
      <c r="F13" s="701" t="s">
        <v>977</v>
      </c>
      <c r="G13" s="426" t="s">
        <v>1098</v>
      </c>
      <c r="H13" s="702" t="s">
        <v>974</v>
      </c>
      <c r="I13" s="709" t="s">
        <v>975</v>
      </c>
      <c r="J13" s="703" t="s">
        <v>973</v>
      </c>
      <c r="R13" s="400"/>
    </row>
    <row r="14" spans="1:18" ht="36.75">
      <c r="B14" s="698" t="s">
        <v>1250</v>
      </c>
      <c r="C14" s="698" t="s">
        <v>573</v>
      </c>
      <c r="D14" s="698" t="s">
        <v>101</v>
      </c>
      <c r="E14" s="700">
        <f>AVERAGE(1-(82/90),1-(107/129),1-(157/185))</f>
        <v>0.13692762529971833</v>
      </c>
      <c r="F14" s="701" t="s">
        <v>134</v>
      </c>
      <c r="G14" s="711"/>
      <c r="H14" s="710" t="s">
        <v>135</v>
      </c>
      <c r="I14" s="702"/>
      <c r="J14" s="703"/>
      <c r="P14"/>
      <c r="R14" s="7"/>
    </row>
    <row r="15" spans="1:18" s="384" customFormat="1" ht="36.75">
      <c r="B15" s="698" t="s">
        <v>1272</v>
      </c>
      <c r="C15" s="698" t="s">
        <v>994</v>
      </c>
      <c r="D15" s="698" t="s">
        <v>101</v>
      </c>
      <c r="E15" s="700">
        <f>AVERAGE(1-(82/90),1-(107/129),1-(157/185))</f>
        <v>0.13692762529971833</v>
      </c>
      <c r="F15" s="701" t="s">
        <v>134</v>
      </c>
      <c r="G15" s="711"/>
      <c r="H15" s="710" t="s">
        <v>135</v>
      </c>
      <c r="I15" s="702"/>
      <c r="J15" s="703"/>
      <c r="R15" s="7"/>
    </row>
    <row r="16" spans="1:18" s="384" customFormat="1" ht="36.75">
      <c r="B16" s="698" t="s">
        <v>1274</v>
      </c>
      <c r="C16" s="698" t="s">
        <v>32</v>
      </c>
      <c r="D16" s="698" t="s">
        <v>101</v>
      </c>
      <c r="E16" s="700">
        <f>AVERAGE(1-(103/190),1-(165/295),1-(312/464))</f>
        <v>0.40871963661345062</v>
      </c>
      <c r="F16" s="701" t="s">
        <v>1258</v>
      </c>
      <c r="G16" s="711"/>
      <c r="H16" s="710" t="s">
        <v>1257</v>
      </c>
      <c r="I16" s="702"/>
      <c r="J16" s="703"/>
      <c r="R16" s="7"/>
    </row>
    <row r="17" spans="2:19" ht="108">
      <c r="B17" s="698" t="s">
        <v>1246</v>
      </c>
      <c r="C17" s="698" t="s">
        <v>979</v>
      </c>
      <c r="D17" s="698" t="s">
        <v>992</v>
      </c>
      <c r="E17" s="708">
        <f>1-(372/460)</f>
        <v>0.19130434782608696</v>
      </c>
      <c r="F17" s="701" t="s">
        <v>1379</v>
      </c>
      <c r="G17" s="426" t="s">
        <v>147</v>
      </c>
      <c r="H17" s="710" t="s">
        <v>1253</v>
      </c>
      <c r="I17" s="714"/>
      <c r="J17" s="714" t="s">
        <v>991</v>
      </c>
      <c r="P17"/>
      <c r="R17" s="7"/>
    </row>
    <row r="18" spans="2:19" s="384" customFormat="1" ht="108">
      <c r="B18" s="698" t="s">
        <v>1247</v>
      </c>
      <c r="C18" s="698" t="s">
        <v>980</v>
      </c>
      <c r="D18" s="698" t="s">
        <v>992</v>
      </c>
      <c r="E18" s="708">
        <f>1-(372/435)</f>
        <v>0.14482758620689651</v>
      </c>
      <c r="F18" s="701" t="s">
        <v>993</v>
      </c>
      <c r="G18" s="426" t="s">
        <v>147</v>
      </c>
      <c r="H18" s="715"/>
      <c r="I18" s="710" t="s">
        <v>990</v>
      </c>
      <c r="J18" s="702" t="s">
        <v>991</v>
      </c>
      <c r="R18" s="7"/>
    </row>
    <row r="19" spans="2:19" ht="48.75">
      <c r="B19" s="698" t="s">
        <v>1248</v>
      </c>
      <c r="C19" s="698" t="s">
        <v>979</v>
      </c>
      <c r="D19" s="698" t="s">
        <v>981</v>
      </c>
      <c r="E19" s="700">
        <f>1-(345/455)</f>
        <v>0.24175824175824179</v>
      </c>
      <c r="F19" s="701" t="s">
        <v>1380</v>
      </c>
      <c r="G19" s="426" t="s">
        <v>147</v>
      </c>
      <c r="H19" s="710" t="s">
        <v>978</v>
      </c>
      <c r="I19" s="702"/>
      <c r="J19" s="703" t="s">
        <v>983</v>
      </c>
      <c r="P19"/>
      <c r="R19" s="7"/>
    </row>
    <row r="20" spans="2:19" s="387" customFormat="1" ht="120">
      <c r="B20" s="698" t="s">
        <v>1249</v>
      </c>
      <c r="C20" s="698" t="s">
        <v>980</v>
      </c>
      <c r="D20" s="698" t="s">
        <v>981</v>
      </c>
      <c r="E20" s="700">
        <f>1-(345/430)</f>
        <v>0.19767441860465118</v>
      </c>
      <c r="F20" s="701" t="s">
        <v>1381</v>
      </c>
      <c r="G20" s="426" t="s">
        <v>147</v>
      </c>
      <c r="H20" s="710" t="s">
        <v>144</v>
      </c>
      <c r="I20" s="702" t="s">
        <v>987</v>
      </c>
      <c r="J20" s="703" t="s">
        <v>982</v>
      </c>
      <c r="R20" s="400"/>
    </row>
    <row r="21" spans="2:19" ht="36.75">
      <c r="B21" s="698" t="s">
        <v>1275</v>
      </c>
      <c r="C21" s="698" t="s">
        <v>32</v>
      </c>
      <c r="D21" s="698" t="s">
        <v>981</v>
      </c>
      <c r="E21" s="708">
        <f>1-(129/190)</f>
        <v>0.32105263157894737</v>
      </c>
      <c r="F21" s="701" t="s">
        <v>1259</v>
      </c>
      <c r="G21" s="426" t="s">
        <v>1377</v>
      </c>
      <c r="H21" s="710" t="s">
        <v>1257</v>
      </c>
      <c r="I21" s="702"/>
      <c r="J21" s="703"/>
      <c r="P21"/>
      <c r="R21" s="7"/>
    </row>
    <row r="22" spans="2:19" s="384" customFormat="1">
      <c r="B22" s="698" t="s">
        <v>1282</v>
      </c>
      <c r="C22" s="698" t="s">
        <v>32</v>
      </c>
      <c r="D22" s="698" t="s">
        <v>137</v>
      </c>
      <c r="E22" s="708">
        <f>H155</f>
        <v>0.73441614778968844</v>
      </c>
      <c r="F22" s="701" t="s">
        <v>1260</v>
      </c>
      <c r="G22" s="426" t="s">
        <v>1376</v>
      </c>
      <c r="H22" s="710"/>
      <c r="I22" s="702"/>
      <c r="J22" s="703"/>
      <c r="R22" s="7"/>
    </row>
    <row r="23" spans="2:19" ht="36.75">
      <c r="B23" s="698" t="s">
        <v>1276</v>
      </c>
      <c r="C23" s="698" t="s">
        <v>988</v>
      </c>
      <c r="D23" s="698" t="s">
        <v>137</v>
      </c>
      <c r="E23" s="708">
        <f>$H$146</f>
        <v>0.53908593664691229</v>
      </c>
      <c r="F23" s="701" t="s">
        <v>1260</v>
      </c>
      <c r="G23" s="426" t="s">
        <v>147</v>
      </c>
      <c r="H23" s="710" t="s">
        <v>138</v>
      </c>
      <c r="I23" s="702"/>
      <c r="J23" s="703"/>
      <c r="P23"/>
      <c r="R23" s="7"/>
    </row>
    <row r="24" spans="2:19" s="384" customFormat="1">
      <c r="B24" s="698" t="s">
        <v>1277</v>
      </c>
      <c r="C24" s="698" t="s">
        <v>989</v>
      </c>
      <c r="D24" s="698" t="s">
        <v>137</v>
      </c>
      <c r="E24" s="708">
        <f>$M$146</f>
        <v>0.50420461670516359</v>
      </c>
      <c r="F24" s="701" t="s">
        <v>1260</v>
      </c>
      <c r="G24" s="426" t="s">
        <v>147</v>
      </c>
      <c r="H24" s="710"/>
      <c r="I24" s="702"/>
      <c r="J24" s="703"/>
      <c r="R24" s="7"/>
    </row>
    <row r="25" spans="2:19" ht="36.75">
      <c r="B25" s="698" t="s">
        <v>1278</v>
      </c>
      <c r="C25" s="698" t="s">
        <v>988</v>
      </c>
      <c r="D25" s="698" t="s">
        <v>139</v>
      </c>
      <c r="E25" s="708">
        <f t="shared" ref="E25" si="0">$H$146</f>
        <v>0.53908593664691229</v>
      </c>
      <c r="F25" s="701" t="s">
        <v>1260</v>
      </c>
      <c r="G25" s="426" t="s">
        <v>147</v>
      </c>
      <c r="H25" s="710" t="s">
        <v>138</v>
      </c>
      <c r="I25" s="702"/>
      <c r="J25" s="703"/>
      <c r="P25"/>
      <c r="R25" s="7"/>
    </row>
    <row r="26" spans="2:19" s="384" customFormat="1">
      <c r="B26" s="698" t="s">
        <v>1279</v>
      </c>
      <c r="C26" s="698" t="s">
        <v>989</v>
      </c>
      <c r="D26" s="698" t="s">
        <v>139</v>
      </c>
      <c r="E26" s="708">
        <f t="shared" ref="E26" si="1">$M$146</f>
        <v>0.50420461670516359</v>
      </c>
      <c r="F26" s="701" t="s">
        <v>1260</v>
      </c>
      <c r="G26" s="426" t="s">
        <v>147</v>
      </c>
      <c r="H26" s="710"/>
      <c r="I26" s="702"/>
      <c r="J26" s="703"/>
      <c r="R26" s="7"/>
    </row>
    <row r="27" spans="2:19" ht="48.75">
      <c r="B27" s="698" t="s">
        <v>1251</v>
      </c>
      <c r="C27" s="698" t="s">
        <v>988</v>
      </c>
      <c r="D27" s="698" t="s">
        <v>140</v>
      </c>
      <c r="E27" s="708">
        <f t="shared" ref="E27" si="2">$H$146</f>
        <v>0.53908593664691229</v>
      </c>
      <c r="F27" s="701" t="s">
        <v>1260</v>
      </c>
      <c r="G27" s="426" t="s">
        <v>147</v>
      </c>
      <c r="H27" s="710" t="s">
        <v>141</v>
      </c>
      <c r="I27" s="702"/>
      <c r="J27" s="703"/>
      <c r="P27"/>
      <c r="R27" s="7"/>
    </row>
    <row r="28" spans="2:19" s="384" customFormat="1">
      <c r="B28" s="698" t="s">
        <v>1252</v>
      </c>
      <c r="C28" s="698" t="s">
        <v>989</v>
      </c>
      <c r="D28" s="698" t="s">
        <v>140</v>
      </c>
      <c r="E28" s="708">
        <f t="shared" ref="E28" si="3">$M$146</f>
        <v>0.50420461670516359</v>
      </c>
      <c r="F28" s="701" t="s">
        <v>1260</v>
      </c>
      <c r="G28" s="426" t="s">
        <v>147</v>
      </c>
      <c r="H28" s="710"/>
      <c r="I28" s="702"/>
      <c r="J28" s="703"/>
      <c r="R28" s="7"/>
    </row>
    <row r="29" spans="2:19" ht="24.75">
      <c r="B29" s="698" t="s">
        <v>142</v>
      </c>
      <c r="C29" s="698" t="s">
        <v>133</v>
      </c>
      <c r="D29" s="698" t="s">
        <v>143</v>
      </c>
      <c r="E29" s="708">
        <f>1-(48/65)</f>
        <v>0.2615384615384615</v>
      </c>
      <c r="F29" s="701" t="s">
        <v>1382</v>
      </c>
      <c r="G29" s="426" t="s">
        <v>1377</v>
      </c>
      <c r="H29" s="710" t="s">
        <v>144</v>
      </c>
      <c r="I29" s="702"/>
      <c r="J29" s="703"/>
      <c r="P29"/>
      <c r="R29" s="7"/>
    </row>
    <row r="30" spans="2:19" ht="36.75">
      <c r="B30" s="698" t="s">
        <v>1281</v>
      </c>
      <c r="C30" s="698" t="s">
        <v>1280</v>
      </c>
      <c r="D30" s="698" t="s">
        <v>102</v>
      </c>
      <c r="E30" s="700">
        <f>36%</f>
        <v>0.36</v>
      </c>
      <c r="F30" s="701" t="s">
        <v>150</v>
      </c>
      <c r="G30" s="426" t="s">
        <v>1378</v>
      </c>
      <c r="H30" s="710" t="s">
        <v>151</v>
      </c>
      <c r="I30" s="702"/>
      <c r="J30" s="703"/>
      <c r="P30"/>
      <c r="R30" s="7"/>
    </row>
    <row r="31" spans="2:19" ht="72">
      <c r="B31" s="698" t="s">
        <v>961</v>
      </c>
      <c r="C31" s="698" t="s">
        <v>1237</v>
      </c>
      <c r="D31" s="698" t="s">
        <v>153</v>
      </c>
      <c r="E31" s="795">
        <f>(12*0.18+24*0.82)/(60*0.18+72*0.82)</f>
        <v>0.3127147766323024</v>
      </c>
      <c r="F31" s="701" t="s">
        <v>1355</v>
      </c>
      <c r="G31" s="426" t="s">
        <v>1098</v>
      </c>
      <c r="H31" s="710" t="s">
        <v>144</v>
      </c>
      <c r="I31" s="710" t="s">
        <v>957</v>
      </c>
      <c r="J31" s="703"/>
      <c r="P31"/>
      <c r="R31" s="7"/>
      <c r="S31" s="364"/>
    </row>
    <row r="32" spans="2:19" s="384" customFormat="1" ht="36.75">
      <c r="B32" s="698" t="s">
        <v>966</v>
      </c>
      <c r="C32" s="698" t="s">
        <v>1236</v>
      </c>
      <c r="D32" s="698" t="s">
        <v>153</v>
      </c>
      <c r="E32" s="708">
        <f>1-(48/60)</f>
        <v>0.19999999999999996</v>
      </c>
      <c r="F32" s="701" t="s">
        <v>1108</v>
      </c>
      <c r="G32" s="426" t="s">
        <v>1099</v>
      </c>
      <c r="H32" s="710" t="s">
        <v>144</v>
      </c>
      <c r="I32" s="710" t="s">
        <v>957</v>
      </c>
      <c r="J32" s="703"/>
      <c r="R32" s="7"/>
      <c r="S32" s="403"/>
    </row>
    <row r="33" spans="2:18" ht="48" customHeight="1">
      <c r="B33" s="698" t="s">
        <v>962</v>
      </c>
      <c r="C33" s="698" t="s">
        <v>1235</v>
      </c>
      <c r="D33" s="698" t="s">
        <v>155</v>
      </c>
      <c r="E33" s="712">
        <f>0.8*((12*0.8+24*0.2)/(60*0.8+72*0.2))</f>
        <v>0.18461538461538465</v>
      </c>
      <c r="F33" s="701" t="s">
        <v>1238</v>
      </c>
      <c r="G33" s="426" t="s">
        <v>1100</v>
      </c>
      <c r="H33" s="710" t="s">
        <v>144</v>
      </c>
      <c r="I33" s="710" t="s">
        <v>958</v>
      </c>
      <c r="J33" s="703" t="s">
        <v>1242</v>
      </c>
      <c r="P33"/>
      <c r="R33" s="7"/>
    </row>
    <row r="34" spans="2:18" s="384" customFormat="1" ht="48">
      <c r="B34" s="698" t="s">
        <v>967</v>
      </c>
      <c r="C34" s="698" t="s">
        <v>1236</v>
      </c>
      <c r="D34" s="698" t="s">
        <v>155</v>
      </c>
      <c r="E34" s="708">
        <f>0.8*(1-(48/60))</f>
        <v>0.15999999999999998</v>
      </c>
      <c r="F34" s="701" t="s">
        <v>1239</v>
      </c>
      <c r="G34" s="426" t="s">
        <v>1101</v>
      </c>
      <c r="H34" s="710" t="s">
        <v>144</v>
      </c>
      <c r="I34" s="710" t="s">
        <v>958</v>
      </c>
      <c r="J34" s="703" t="s">
        <v>1243</v>
      </c>
      <c r="R34" s="7"/>
    </row>
    <row r="35" spans="2:18" s="384" customFormat="1" ht="60">
      <c r="B35" s="698" t="s">
        <v>963</v>
      </c>
      <c r="C35" s="698" t="s">
        <v>1235</v>
      </c>
      <c r="D35" s="698" t="s">
        <v>155</v>
      </c>
      <c r="E35" s="712">
        <f>0.6*((12*0.7+24*0.3)/(60*0.7+72*0.3))</f>
        <v>0.14716981132075471</v>
      </c>
      <c r="F35" s="701" t="s">
        <v>1261</v>
      </c>
      <c r="G35" s="426" t="s">
        <v>1102</v>
      </c>
      <c r="H35" s="710" t="s">
        <v>144</v>
      </c>
      <c r="I35" s="710" t="s">
        <v>958</v>
      </c>
      <c r="J35" s="703" t="s">
        <v>1241</v>
      </c>
      <c r="R35" s="7"/>
    </row>
    <row r="36" spans="2:18" s="384" customFormat="1" ht="48">
      <c r="B36" s="698" t="s">
        <v>968</v>
      </c>
      <c r="C36" s="698" t="s">
        <v>1236</v>
      </c>
      <c r="D36" s="698" t="s">
        <v>155</v>
      </c>
      <c r="E36" s="708">
        <f>0.6*(1-(48/60))</f>
        <v>0.11999999999999997</v>
      </c>
      <c r="F36" s="701" t="s">
        <v>1262</v>
      </c>
      <c r="G36" s="426" t="s">
        <v>1103</v>
      </c>
      <c r="H36" s="710" t="s">
        <v>144</v>
      </c>
      <c r="I36" s="710" t="s">
        <v>958</v>
      </c>
      <c r="J36" s="703" t="s">
        <v>1240</v>
      </c>
      <c r="R36" s="7"/>
    </row>
    <row r="37" spans="2:18" s="384" customFormat="1" ht="84">
      <c r="B37" s="698" t="s">
        <v>1358</v>
      </c>
      <c r="C37" s="698" t="s">
        <v>1237</v>
      </c>
      <c r="D37" s="698" t="s">
        <v>15</v>
      </c>
      <c r="E37" s="708">
        <f>(14*0.18+30*0.82)/(64*0.18+80*0.82)</f>
        <v>0.35165975103734443</v>
      </c>
      <c r="F37" s="701" t="s">
        <v>1359</v>
      </c>
      <c r="G37" s="426" t="s">
        <v>1103</v>
      </c>
      <c r="H37" s="710"/>
      <c r="I37" s="710"/>
      <c r="J37" s="703"/>
      <c r="R37" s="7"/>
    </row>
    <row r="38" spans="2:18" s="384" customFormat="1" ht="48.75">
      <c r="B38" s="698" t="s">
        <v>1361</v>
      </c>
      <c r="C38" s="698" t="s">
        <v>1236</v>
      </c>
      <c r="D38" s="698" t="s">
        <v>15</v>
      </c>
      <c r="E38" s="708">
        <f>1-(50/64)</f>
        <v>0.21875</v>
      </c>
      <c r="F38" s="701" t="s">
        <v>156</v>
      </c>
      <c r="G38" s="426" t="s">
        <v>1105</v>
      </c>
      <c r="H38" s="702" t="s">
        <v>965</v>
      </c>
      <c r="I38" s="710"/>
      <c r="J38" s="703"/>
      <c r="R38" s="7"/>
    </row>
    <row r="39" spans="2:18" ht="96.75">
      <c r="B39" s="698" t="s">
        <v>1356</v>
      </c>
      <c r="C39" s="698" t="s">
        <v>1237</v>
      </c>
      <c r="D39" s="698" t="s">
        <v>15</v>
      </c>
      <c r="E39" s="708">
        <f>(14*0.8+30*0.2)/(64*0.8+80*0.2)</f>
        <v>0.25595238095238099</v>
      </c>
      <c r="F39" s="701" t="s">
        <v>1244</v>
      </c>
      <c r="G39" s="426" t="s">
        <v>1104</v>
      </c>
      <c r="H39" s="702" t="s">
        <v>964</v>
      </c>
      <c r="I39" s="707" t="s">
        <v>154</v>
      </c>
      <c r="J39" s="703"/>
      <c r="P39"/>
      <c r="R39" s="7"/>
    </row>
    <row r="40" spans="2:18" s="384" customFormat="1" ht="96.75">
      <c r="B40" s="698" t="s">
        <v>1357</v>
      </c>
      <c r="C40" s="698" t="s">
        <v>1236</v>
      </c>
      <c r="D40" s="698" t="s">
        <v>15</v>
      </c>
      <c r="E40" s="708">
        <f>1-(50/64)</f>
        <v>0.21875</v>
      </c>
      <c r="F40" s="701" t="s">
        <v>156</v>
      </c>
      <c r="G40" s="426" t="s">
        <v>1105</v>
      </c>
      <c r="H40" s="702" t="s">
        <v>965</v>
      </c>
      <c r="I40" s="707" t="s">
        <v>154</v>
      </c>
      <c r="J40" s="703"/>
      <c r="R40" s="7"/>
    </row>
    <row r="41" spans="2:18" ht="96.75">
      <c r="B41" s="698" t="s">
        <v>996</v>
      </c>
      <c r="C41" s="698" t="s">
        <v>959</v>
      </c>
      <c r="D41" s="698" t="s">
        <v>137</v>
      </c>
      <c r="E41" s="708">
        <f>G169</f>
        <v>0.35897435897435898</v>
      </c>
      <c r="F41" s="701" t="s">
        <v>1255</v>
      </c>
      <c r="G41" s="426" t="s">
        <v>1106</v>
      </c>
      <c r="H41" s="710"/>
      <c r="I41" s="707" t="s">
        <v>154</v>
      </c>
      <c r="J41" s="703" t="s">
        <v>972</v>
      </c>
      <c r="P41"/>
      <c r="R41" s="7"/>
    </row>
    <row r="42" spans="2:18" s="384" customFormat="1" ht="96.75">
      <c r="B42" s="698" t="s">
        <v>997</v>
      </c>
      <c r="C42" s="698" t="s">
        <v>152</v>
      </c>
      <c r="D42" s="698" t="s">
        <v>137</v>
      </c>
      <c r="E42" s="708">
        <f>G171</f>
        <v>0.33333333333333337</v>
      </c>
      <c r="F42" s="701" t="s">
        <v>1002</v>
      </c>
      <c r="G42" s="426" t="s">
        <v>1107</v>
      </c>
      <c r="H42" s="710"/>
      <c r="I42" s="707" t="s">
        <v>154</v>
      </c>
      <c r="J42" s="703" t="s">
        <v>972</v>
      </c>
      <c r="R42" s="7"/>
    </row>
    <row r="43" spans="2:18">
      <c r="B43" s="698" t="s">
        <v>157</v>
      </c>
      <c r="C43" s="698" t="s">
        <v>158</v>
      </c>
      <c r="D43" s="698" t="s">
        <v>159</v>
      </c>
      <c r="E43" s="700">
        <f>E11</f>
        <v>0.83333333333333337</v>
      </c>
      <c r="F43" s="701"/>
      <c r="G43" s="426" t="s">
        <v>147</v>
      </c>
      <c r="H43" s="702"/>
      <c r="I43" s="702"/>
      <c r="J43" s="703"/>
      <c r="P43"/>
      <c r="R43" s="7"/>
    </row>
    <row r="44" spans="2:18" s="387" customFormat="1" ht="45">
      <c r="B44" s="698" t="s">
        <v>1005</v>
      </c>
      <c r="C44" s="698" t="s">
        <v>26</v>
      </c>
      <c r="D44" s="698" t="s">
        <v>1007</v>
      </c>
      <c r="E44" s="700">
        <f>1-(0.5/40)</f>
        <v>0.98750000000000004</v>
      </c>
      <c r="F44" s="701" t="s">
        <v>1011</v>
      </c>
      <c r="G44" s="426" t="s">
        <v>89</v>
      </c>
      <c r="H44" s="702" t="s">
        <v>1009</v>
      </c>
      <c r="I44" s="709" t="s">
        <v>937</v>
      </c>
      <c r="J44" s="713" t="s">
        <v>1010</v>
      </c>
      <c r="R44" s="400"/>
    </row>
    <row r="45" spans="2:18" s="387" customFormat="1" ht="45">
      <c r="B45" s="698" t="s">
        <v>1006</v>
      </c>
      <c r="C45" s="698" t="s">
        <v>95</v>
      </c>
      <c r="D45" s="698" t="s">
        <v>1007</v>
      </c>
      <c r="E45" s="700">
        <f>1-(0.5/4)</f>
        <v>0.875</v>
      </c>
      <c r="F45" s="701" t="s">
        <v>1008</v>
      </c>
      <c r="G45" s="426" t="s">
        <v>89</v>
      </c>
      <c r="H45" s="702" t="s">
        <v>1009</v>
      </c>
      <c r="I45" s="709" t="s">
        <v>937</v>
      </c>
      <c r="J45" s="713" t="s">
        <v>1010</v>
      </c>
      <c r="R45" s="400"/>
    </row>
    <row r="46" spans="2:18" s="387" customFormat="1">
      <c r="B46" s="698"/>
      <c r="C46" s="698"/>
      <c r="D46" s="698"/>
      <c r="E46" s="700"/>
      <c r="F46" s="701"/>
      <c r="G46" s="426"/>
      <c r="H46" s="703"/>
      <c r="I46" s="709"/>
      <c r="J46" s="713"/>
      <c r="R46" s="400"/>
    </row>
    <row r="47" spans="2:18">
      <c r="P47"/>
      <c r="R47" s="7"/>
    </row>
    <row r="48" spans="2:18">
      <c r="P48"/>
      <c r="R48" s="7"/>
    </row>
    <row r="49" spans="1:24" ht="15.75" thickBot="1"/>
    <row r="50" spans="1:24" s="384" customFormat="1" ht="15.75" thickBot="1">
      <c r="B50" s="809">
        <v>0.3</v>
      </c>
      <c r="C50" s="808" t="s">
        <v>1056</v>
      </c>
      <c r="P50" s="7"/>
    </row>
    <row r="52" spans="1:24" ht="15.75" thickBot="1">
      <c r="A52" s="1" t="s">
        <v>163</v>
      </c>
    </row>
    <row r="53" spans="1:24" ht="30">
      <c r="B53" s="272" t="s">
        <v>164</v>
      </c>
      <c r="C53" s="273" t="s">
        <v>165</v>
      </c>
      <c r="D53" s="273" t="s">
        <v>166</v>
      </c>
      <c r="E53" s="273" t="s">
        <v>167</v>
      </c>
      <c r="F53" s="273" t="s">
        <v>168</v>
      </c>
      <c r="G53" s="273" t="s">
        <v>169</v>
      </c>
      <c r="H53" s="273" t="s">
        <v>170</v>
      </c>
      <c r="I53" s="273" t="s">
        <v>171</v>
      </c>
      <c r="J53" s="273" t="s">
        <v>4</v>
      </c>
      <c r="K53" s="273" t="s">
        <v>172</v>
      </c>
      <c r="L53" s="274" t="s">
        <v>1071</v>
      </c>
      <c r="M53" s="291" t="s">
        <v>173</v>
      </c>
      <c r="N53" s="291" t="s">
        <v>174</v>
      </c>
      <c r="P53" s="861"/>
      <c r="Q53" s="861"/>
      <c r="R53" s="861"/>
      <c r="S53" s="861"/>
      <c r="T53" s="861"/>
      <c r="U53" s="861"/>
      <c r="V53" s="861"/>
      <c r="W53" s="861"/>
      <c r="X53" s="861"/>
    </row>
    <row r="54" spans="1:24" ht="45">
      <c r="B54" s="275" t="s">
        <v>88</v>
      </c>
      <c r="C54" s="276">
        <v>0.24</v>
      </c>
      <c r="D54" s="277" t="s">
        <v>85</v>
      </c>
      <c r="E54" s="277" t="s">
        <v>85</v>
      </c>
      <c r="F54" s="277" t="s">
        <v>1111</v>
      </c>
      <c r="G54" s="277" t="s">
        <v>177</v>
      </c>
      <c r="H54" s="278" t="s">
        <v>84</v>
      </c>
      <c r="I54" s="278" t="s">
        <v>1112</v>
      </c>
      <c r="J54" s="277"/>
      <c r="K54" s="277" t="s">
        <v>179</v>
      </c>
      <c r="L54" s="438" t="s">
        <v>72</v>
      </c>
      <c r="P54" s="439"/>
      <c r="Q54" s="440"/>
      <c r="R54" s="439"/>
      <c r="S54" s="439"/>
      <c r="T54" s="439"/>
      <c r="U54" s="439"/>
      <c r="V54" s="439"/>
      <c r="W54" s="439"/>
      <c r="X54" s="439"/>
    </row>
    <row r="55" spans="1:24">
      <c r="B55" s="279"/>
      <c r="C55" s="280">
        <v>0.22</v>
      </c>
      <c r="D55" s="281" t="s">
        <v>1113</v>
      </c>
      <c r="E55" s="282" t="s">
        <v>181</v>
      </c>
      <c r="F55" s="281" t="s">
        <v>182</v>
      </c>
      <c r="G55" s="282" t="s">
        <v>182</v>
      </c>
      <c r="H55" s="282" t="s">
        <v>84</v>
      </c>
      <c r="I55" s="282" t="s">
        <v>1114</v>
      </c>
      <c r="J55" s="282"/>
      <c r="K55" s="282"/>
      <c r="L55" s="283" t="s">
        <v>72</v>
      </c>
      <c r="M55" t="s">
        <v>183</v>
      </c>
      <c r="N55">
        <v>23</v>
      </c>
      <c r="P55" s="439"/>
      <c r="Q55" s="440"/>
      <c r="R55" s="441"/>
      <c r="S55" s="439"/>
      <c r="T55" s="441"/>
      <c r="U55" s="439"/>
      <c r="V55" s="439"/>
      <c r="W55" s="439"/>
      <c r="X55" s="439"/>
    </row>
    <row r="56" spans="1:24">
      <c r="B56" s="279"/>
      <c r="C56" s="280">
        <v>0.31</v>
      </c>
      <c r="D56" s="281" t="s">
        <v>1113</v>
      </c>
      <c r="E56" s="282" t="s">
        <v>184</v>
      </c>
      <c r="F56" s="281" t="s">
        <v>182</v>
      </c>
      <c r="G56" s="282" t="s">
        <v>182</v>
      </c>
      <c r="H56" s="282" t="s">
        <v>84</v>
      </c>
      <c r="I56" s="282" t="s">
        <v>1112</v>
      </c>
      <c r="J56" s="282" t="s">
        <v>1115</v>
      </c>
      <c r="K56" s="282"/>
      <c r="L56" s="283" t="s">
        <v>72</v>
      </c>
      <c r="M56" t="s">
        <v>183</v>
      </c>
      <c r="N56">
        <v>1</v>
      </c>
      <c r="P56" s="442"/>
      <c r="Q56" s="443"/>
      <c r="R56" s="444"/>
      <c r="S56" s="442"/>
      <c r="T56" s="444"/>
      <c r="U56" s="442"/>
      <c r="V56" s="442"/>
      <c r="W56" s="442"/>
      <c r="X56" s="442"/>
    </row>
    <row r="57" spans="1:24">
      <c r="B57" s="279"/>
      <c r="C57" s="280">
        <v>0.45</v>
      </c>
      <c r="D57" s="281" t="s">
        <v>1113</v>
      </c>
      <c r="E57" s="282" t="s">
        <v>186</v>
      </c>
      <c r="F57" s="281" t="s">
        <v>182</v>
      </c>
      <c r="G57" s="282" t="s">
        <v>182</v>
      </c>
      <c r="H57" s="282" t="s">
        <v>84</v>
      </c>
      <c r="I57" s="282" t="s">
        <v>1112</v>
      </c>
      <c r="J57" s="282" t="s">
        <v>1115</v>
      </c>
      <c r="K57" s="282"/>
      <c r="L57" s="283" t="s">
        <v>72</v>
      </c>
      <c r="M57" t="s">
        <v>183</v>
      </c>
      <c r="N57">
        <v>0</v>
      </c>
      <c r="P57" s="442"/>
      <c r="Q57" s="443"/>
      <c r="R57" s="444"/>
      <c r="S57" s="442"/>
      <c r="T57" s="444"/>
      <c r="U57" s="442"/>
      <c r="V57" s="442"/>
      <c r="W57" s="442"/>
      <c r="X57" s="442"/>
    </row>
    <row r="58" spans="1:24">
      <c r="B58" s="279"/>
      <c r="C58" s="280">
        <v>0.18</v>
      </c>
      <c r="D58" s="281" t="s">
        <v>1113</v>
      </c>
      <c r="E58" s="282" t="s">
        <v>187</v>
      </c>
      <c r="F58" s="281" t="s">
        <v>182</v>
      </c>
      <c r="G58" s="282" t="s">
        <v>182</v>
      </c>
      <c r="H58" s="282" t="s">
        <v>84</v>
      </c>
      <c r="I58" s="282" t="s">
        <v>1112</v>
      </c>
      <c r="J58" s="282" t="s">
        <v>1115</v>
      </c>
      <c r="K58" s="282"/>
      <c r="L58" s="283" t="s">
        <v>72</v>
      </c>
      <c r="M58" t="s">
        <v>183</v>
      </c>
      <c r="N58">
        <v>7</v>
      </c>
      <c r="P58" s="442"/>
      <c r="Q58" s="443"/>
      <c r="R58" s="444"/>
      <c r="S58" s="442"/>
      <c r="T58" s="444"/>
      <c r="U58" s="442"/>
      <c r="V58" s="442"/>
      <c r="W58" s="442"/>
      <c r="X58" s="442"/>
    </row>
    <row r="59" spans="1:24">
      <c r="B59" s="279"/>
      <c r="C59" s="280" t="s">
        <v>188</v>
      </c>
      <c r="D59" s="281" t="s">
        <v>180</v>
      </c>
      <c r="E59" s="282" t="s">
        <v>189</v>
      </c>
      <c r="F59" s="281" t="s">
        <v>182</v>
      </c>
      <c r="G59" s="282" t="s">
        <v>182</v>
      </c>
      <c r="H59" s="282" t="s">
        <v>84</v>
      </c>
      <c r="I59" s="282" t="s">
        <v>178</v>
      </c>
      <c r="J59" s="282"/>
      <c r="K59" s="282"/>
      <c r="L59" s="283"/>
      <c r="M59" t="s">
        <v>183</v>
      </c>
      <c r="N59">
        <v>3</v>
      </c>
      <c r="P59" s="445"/>
      <c r="Q59" s="13"/>
      <c r="R59" s="13"/>
      <c r="S59" s="13"/>
      <c r="T59" s="13"/>
      <c r="U59" s="13"/>
      <c r="V59" s="13"/>
      <c r="W59" s="13"/>
      <c r="X59" s="13"/>
    </row>
    <row r="60" spans="1:24">
      <c r="B60" s="279"/>
      <c r="C60" s="280" t="s">
        <v>188</v>
      </c>
      <c r="D60" s="281" t="s">
        <v>180</v>
      </c>
      <c r="E60" s="282" t="s">
        <v>190</v>
      </c>
      <c r="F60" s="281" t="s">
        <v>182</v>
      </c>
      <c r="G60" s="282" t="s">
        <v>182</v>
      </c>
      <c r="H60" s="282" t="s">
        <v>84</v>
      </c>
      <c r="I60" s="282" t="s">
        <v>178</v>
      </c>
      <c r="J60" s="282"/>
      <c r="K60" s="282"/>
      <c r="L60" s="283"/>
      <c r="M60" t="s">
        <v>183</v>
      </c>
      <c r="N60">
        <v>0</v>
      </c>
      <c r="P60" s="445"/>
      <c r="Q60" s="13"/>
      <c r="R60" s="13"/>
      <c r="S60" s="13"/>
      <c r="T60" s="13"/>
      <c r="U60" s="13"/>
      <c r="V60" s="13"/>
      <c r="W60" s="13"/>
      <c r="X60" s="13"/>
    </row>
    <row r="61" spans="1:24">
      <c r="B61" s="279"/>
      <c r="C61" s="280">
        <v>0.36</v>
      </c>
      <c r="D61" s="281" t="s">
        <v>1113</v>
      </c>
      <c r="E61" s="282" t="s">
        <v>191</v>
      </c>
      <c r="F61" s="281" t="s">
        <v>182</v>
      </c>
      <c r="G61" s="282" t="s">
        <v>182</v>
      </c>
      <c r="H61" s="282" t="s">
        <v>84</v>
      </c>
      <c r="I61" s="282" t="s">
        <v>1112</v>
      </c>
      <c r="J61" s="282" t="s">
        <v>1115</v>
      </c>
      <c r="K61" s="282"/>
      <c r="L61" s="283"/>
      <c r="M61" t="s">
        <v>183</v>
      </c>
      <c r="N61">
        <v>1</v>
      </c>
      <c r="P61" s="442"/>
      <c r="Q61" s="443"/>
      <c r="R61" s="444"/>
      <c r="S61" s="442"/>
      <c r="T61" s="444"/>
      <c r="U61" s="442"/>
      <c r="V61" s="442"/>
      <c r="W61" s="442"/>
      <c r="X61" s="442"/>
    </row>
    <row r="62" spans="1:24">
      <c r="B62" s="279"/>
      <c r="C62" s="280">
        <v>0.23</v>
      </c>
      <c r="D62" s="281" t="s">
        <v>1113</v>
      </c>
      <c r="E62" s="282" t="s">
        <v>192</v>
      </c>
      <c r="F62" s="281" t="s">
        <v>182</v>
      </c>
      <c r="G62" s="282" t="s">
        <v>182</v>
      </c>
      <c r="H62" s="282" t="s">
        <v>84</v>
      </c>
      <c r="I62" s="282" t="s">
        <v>1112</v>
      </c>
      <c r="J62" s="282" t="s">
        <v>1115</v>
      </c>
      <c r="K62" s="282"/>
      <c r="L62" s="283"/>
      <c r="M62" t="s">
        <v>183</v>
      </c>
      <c r="N62">
        <v>0</v>
      </c>
      <c r="P62" s="442"/>
      <c r="Q62" s="443"/>
      <c r="R62" s="444"/>
      <c r="S62" s="442"/>
      <c r="T62" s="444"/>
      <c r="U62" s="442"/>
      <c r="V62" s="442"/>
      <c r="W62" s="442"/>
      <c r="X62" s="442"/>
    </row>
    <row r="63" spans="1:24">
      <c r="B63" s="279"/>
      <c r="C63" s="280">
        <v>7.0000000000000007E-2</v>
      </c>
      <c r="D63" s="281" t="s">
        <v>1113</v>
      </c>
      <c r="E63" s="282" t="s">
        <v>107</v>
      </c>
      <c r="F63" s="281" t="s">
        <v>182</v>
      </c>
      <c r="G63" s="282" t="s">
        <v>182</v>
      </c>
      <c r="H63" s="282" t="s">
        <v>84</v>
      </c>
      <c r="I63" s="282" t="s">
        <v>1112</v>
      </c>
      <c r="J63" s="282" t="s">
        <v>1115</v>
      </c>
      <c r="K63" s="282"/>
      <c r="L63" s="283"/>
      <c r="M63" t="s">
        <v>183</v>
      </c>
      <c r="N63">
        <v>1</v>
      </c>
      <c r="P63" s="442"/>
      <c r="Q63" s="443"/>
      <c r="R63" s="444"/>
      <c r="S63" s="442"/>
      <c r="T63" s="444"/>
      <c r="U63" s="442"/>
      <c r="V63" s="442"/>
      <c r="W63" s="442"/>
      <c r="X63" s="442"/>
    </row>
    <row r="64" spans="1:24" ht="30">
      <c r="B64" s="284"/>
      <c r="C64" s="285">
        <v>0.1</v>
      </c>
      <c r="D64" s="286" t="s">
        <v>1113</v>
      </c>
      <c r="E64" s="287" t="s">
        <v>181</v>
      </c>
      <c r="F64" s="286" t="s">
        <v>193</v>
      </c>
      <c r="G64" s="287" t="s">
        <v>194</v>
      </c>
      <c r="H64" s="287" t="s">
        <v>1063</v>
      </c>
      <c r="I64" s="287" t="s">
        <v>195</v>
      </c>
      <c r="J64" s="287" t="s">
        <v>1116</v>
      </c>
      <c r="K64" s="287"/>
      <c r="L64" s="288"/>
      <c r="P64" s="442"/>
      <c r="Q64" s="443"/>
      <c r="R64" s="444"/>
      <c r="S64" s="442"/>
      <c r="T64" s="444"/>
      <c r="U64" s="442"/>
      <c r="V64" s="442"/>
      <c r="W64" s="442"/>
      <c r="X64" s="442"/>
    </row>
    <row r="65" spans="2:24" ht="30">
      <c r="B65" s="284"/>
      <c r="C65" s="285">
        <v>0.1</v>
      </c>
      <c r="D65" s="286" t="s">
        <v>1113</v>
      </c>
      <c r="E65" s="287" t="s">
        <v>181</v>
      </c>
      <c r="F65" s="286" t="s">
        <v>193</v>
      </c>
      <c r="G65" s="287" t="s">
        <v>196</v>
      </c>
      <c r="H65" s="287" t="s">
        <v>1063</v>
      </c>
      <c r="I65" s="287" t="s">
        <v>195</v>
      </c>
      <c r="J65" s="287" t="s">
        <v>1117</v>
      </c>
      <c r="K65" s="287"/>
      <c r="L65" s="288"/>
      <c r="P65" s="442"/>
      <c r="Q65" s="443"/>
      <c r="R65" s="444"/>
      <c r="S65" s="442"/>
      <c r="T65" s="444"/>
      <c r="U65" s="442"/>
      <c r="V65" s="442"/>
      <c r="W65" s="442"/>
      <c r="X65" s="442"/>
    </row>
    <row r="66" spans="2:24" ht="30">
      <c r="B66" s="284"/>
      <c r="C66" s="285">
        <v>0.22</v>
      </c>
      <c r="D66" s="286" t="s">
        <v>1113</v>
      </c>
      <c r="E66" s="287" t="s">
        <v>198</v>
      </c>
      <c r="F66" s="286" t="s">
        <v>199</v>
      </c>
      <c r="G66" s="287" t="s">
        <v>194</v>
      </c>
      <c r="H66" s="287" t="s">
        <v>1063</v>
      </c>
      <c r="I66" s="282" t="s">
        <v>1118</v>
      </c>
      <c r="J66" s="287" t="s">
        <v>200</v>
      </c>
      <c r="K66" s="287"/>
      <c r="L66" s="288"/>
      <c r="P66" s="442"/>
      <c r="Q66" s="443"/>
      <c r="R66" s="444"/>
      <c r="S66" s="442"/>
      <c r="T66" s="444"/>
      <c r="U66" s="442"/>
      <c r="V66" s="442"/>
      <c r="W66" s="442"/>
      <c r="X66" s="442"/>
    </row>
    <row r="67" spans="2:24" ht="30">
      <c r="B67" s="284"/>
      <c r="C67" s="285">
        <v>0.55000000000000004</v>
      </c>
      <c r="D67" s="286" t="s">
        <v>1113</v>
      </c>
      <c r="E67" s="287" t="s">
        <v>198</v>
      </c>
      <c r="F67" s="286" t="s">
        <v>201</v>
      </c>
      <c r="G67" s="287" t="s">
        <v>194</v>
      </c>
      <c r="H67" s="287" t="s">
        <v>1063</v>
      </c>
      <c r="I67" s="282" t="s">
        <v>1118</v>
      </c>
      <c r="J67" s="287" t="s">
        <v>200</v>
      </c>
      <c r="K67" s="287"/>
      <c r="L67" s="288"/>
      <c r="P67" s="442"/>
      <c r="Q67" s="443"/>
      <c r="R67" s="444"/>
      <c r="S67" s="442"/>
      <c r="T67" s="444"/>
      <c r="U67" s="442"/>
      <c r="V67" s="442"/>
      <c r="W67" s="442"/>
      <c r="X67" s="442"/>
    </row>
    <row r="68" spans="2:24" ht="30">
      <c r="B68" s="284"/>
      <c r="C68" s="285">
        <v>0.44</v>
      </c>
      <c r="D68" s="286" t="s">
        <v>1113</v>
      </c>
      <c r="E68" s="287" t="s">
        <v>198</v>
      </c>
      <c r="F68" s="286" t="s">
        <v>202</v>
      </c>
      <c r="G68" s="287" t="s">
        <v>194</v>
      </c>
      <c r="H68" s="287" t="s">
        <v>1063</v>
      </c>
      <c r="I68" s="282" t="s">
        <v>1118</v>
      </c>
      <c r="J68" s="287" t="s">
        <v>200</v>
      </c>
      <c r="K68" s="287"/>
      <c r="L68" s="288"/>
      <c r="P68" s="442"/>
      <c r="Q68" s="443"/>
      <c r="R68" s="444"/>
      <c r="S68" s="442"/>
      <c r="T68" s="444"/>
      <c r="U68" s="442"/>
      <c r="V68" s="442"/>
      <c r="W68" s="442"/>
      <c r="X68" s="442"/>
    </row>
    <row r="69" spans="2:24" ht="30">
      <c r="B69" s="284"/>
      <c r="C69" s="285">
        <v>0.33</v>
      </c>
      <c r="D69" s="286" t="s">
        <v>1113</v>
      </c>
      <c r="E69" s="287" t="s">
        <v>198</v>
      </c>
      <c r="F69" s="286" t="s">
        <v>203</v>
      </c>
      <c r="G69" s="287" t="s">
        <v>194</v>
      </c>
      <c r="H69" s="287" t="s">
        <v>1063</v>
      </c>
      <c r="I69" s="716" t="s">
        <v>1118</v>
      </c>
      <c r="J69" s="287" t="s">
        <v>200</v>
      </c>
      <c r="K69" s="287"/>
      <c r="L69" s="288"/>
      <c r="P69" s="442"/>
      <c r="Q69" s="443"/>
      <c r="R69" s="444"/>
      <c r="S69" s="442"/>
      <c r="T69" s="444"/>
      <c r="U69" s="442"/>
      <c r="V69" s="442"/>
      <c r="W69" s="442"/>
      <c r="X69" s="442"/>
    </row>
    <row r="70" spans="2:24" ht="30">
      <c r="B70" s="284"/>
      <c r="C70" s="285">
        <v>0.53</v>
      </c>
      <c r="D70" s="286" t="s">
        <v>1113</v>
      </c>
      <c r="E70" s="287" t="s">
        <v>198</v>
      </c>
      <c r="F70" s="286" t="s">
        <v>204</v>
      </c>
      <c r="G70" s="287" t="s">
        <v>194</v>
      </c>
      <c r="H70" s="287" t="s">
        <v>1063</v>
      </c>
      <c r="I70" s="716" t="s">
        <v>1118</v>
      </c>
      <c r="J70" s="287" t="s">
        <v>200</v>
      </c>
      <c r="K70" s="287"/>
      <c r="L70" s="288"/>
      <c r="P70" s="442"/>
      <c r="Q70" s="443"/>
      <c r="R70" s="444"/>
      <c r="S70" s="442"/>
      <c r="T70" s="444"/>
      <c r="U70" s="442"/>
      <c r="V70" s="442"/>
      <c r="W70" s="442"/>
      <c r="X70" s="442"/>
    </row>
    <row r="71" spans="2:24" s="37" customFormat="1" ht="30" customHeight="1">
      <c r="B71" s="417"/>
      <c r="C71" s="285">
        <v>0.65</v>
      </c>
      <c r="D71" s="286" t="s">
        <v>1113</v>
      </c>
      <c r="E71" s="287" t="s">
        <v>181</v>
      </c>
      <c r="F71" s="286" t="s">
        <v>1016</v>
      </c>
      <c r="G71" s="287" t="s">
        <v>377</v>
      </c>
      <c r="H71" s="287" t="s">
        <v>1119</v>
      </c>
      <c r="I71" s="287" t="s">
        <v>1065</v>
      </c>
      <c r="J71" s="287" t="s">
        <v>1014</v>
      </c>
      <c r="K71" s="287" t="s">
        <v>1015</v>
      </c>
      <c r="L71" s="288" t="s">
        <v>84</v>
      </c>
      <c r="M71" s="37" t="s">
        <v>183</v>
      </c>
      <c r="N71" s="37">
        <v>2</v>
      </c>
      <c r="P71" s="442"/>
      <c r="Q71" s="443"/>
      <c r="R71" s="444"/>
      <c r="S71" s="442"/>
      <c r="T71" s="444"/>
      <c r="U71" s="442"/>
      <c r="V71" s="442"/>
      <c r="W71" s="442"/>
      <c r="X71" s="442"/>
    </row>
    <row r="72" spans="2:24" s="37" customFormat="1" ht="30" customHeight="1">
      <c r="B72" s="417"/>
      <c r="C72" s="285">
        <v>0.5</v>
      </c>
      <c r="D72" s="286" t="s">
        <v>1113</v>
      </c>
      <c r="E72" s="287" t="s">
        <v>181</v>
      </c>
      <c r="F72" s="286" t="s">
        <v>1017</v>
      </c>
      <c r="G72" s="287" t="s">
        <v>377</v>
      </c>
      <c r="H72" s="287" t="s">
        <v>1119</v>
      </c>
      <c r="I72" s="287" t="s">
        <v>1065</v>
      </c>
      <c r="J72" s="287" t="s">
        <v>1014</v>
      </c>
      <c r="K72" s="287" t="s">
        <v>1015</v>
      </c>
      <c r="L72" s="288" t="s">
        <v>84</v>
      </c>
      <c r="M72" s="37" t="s">
        <v>183</v>
      </c>
      <c r="N72" s="37">
        <v>2</v>
      </c>
      <c r="P72" s="442"/>
      <c r="Q72" s="443"/>
      <c r="R72" s="444"/>
      <c r="S72" s="442"/>
      <c r="T72" s="444"/>
      <c r="U72" s="442"/>
      <c r="V72" s="442"/>
      <c r="W72" s="442"/>
      <c r="X72" s="442"/>
    </row>
    <row r="73" spans="2:24" s="37" customFormat="1" ht="30" customHeight="1">
      <c r="B73" s="417"/>
      <c r="C73" s="285">
        <v>0.43</v>
      </c>
      <c r="D73" s="286" t="s">
        <v>1113</v>
      </c>
      <c r="E73" s="287" t="s">
        <v>181</v>
      </c>
      <c r="F73" s="286" t="s">
        <v>1054</v>
      </c>
      <c r="G73" s="287" t="s">
        <v>377</v>
      </c>
      <c r="H73" s="287" t="s">
        <v>98</v>
      </c>
      <c r="I73" s="287" t="s">
        <v>1120</v>
      </c>
      <c r="J73" s="287" t="s">
        <v>1121</v>
      </c>
      <c r="K73" s="287"/>
      <c r="L73" s="288" t="s">
        <v>84</v>
      </c>
      <c r="P73" s="442"/>
      <c r="Q73" s="443"/>
      <c r="R73" s="444"/>
      <c r="S73" s="442"/>
      <c r="T73" s="444"/>
      <c r="U73" s="442"/>
      <c r="V73" s="442"/>
      <c r="W73" s="442"/>
      <c r="X73" s="442"/>
    </row>
    <row r="74" spans="2:24" s="37" customFormat="1" ht="30">
      <c r="B74" s="417"/>
      <c r="C74" s="285">
        <v>0.3</v>
      </c>
      <c r="D74" s="286" t="s">
        <v>180</v>
      </c>
      <c r="E74" s="287" t="s">
        <v>176</v>
      </c>
      <c r="F74" s="286" t="s">
        <v>215</v>
      </c>
      <c r="G74" s="287" t="s">
        <v>214</v>
      </c>
      <c r="H74" s="287"/>
      <c r="I74" s="287"/>
      <c r="J74" s="287" t="s">
        <v>216</v>
      </c>
      <c r="K74" s="287"/>
      <c r="L74" s="288"/>
      <c r="P74" s="24"/>
      <c r="Q74" s="24"/>
      <c r="R74" s="24"/>
      <c r="S74" s="24"/>
      <c r="T74" s="24"/>
      <c r="U74" s="24"/>
      <c r="V74" s="24"/>
      <c r="W74" s="24"/>
      <c r="X74" s="24"/>
    </row>
    <row r="75" spans="2:24" s="37" customFormat="1" ht="30">
      <c r="B75" s="417"/>
      <c r="C75" s="285">
        <v>0.22</v>
      </c>
      <c r="D75" s="286" t="s">
        <v>1113</v>
      </c>
      <c r="E75" s="287" t="s">
        <v>1043</v>
      </c>
      <c r="F75" s="286" t="s">
        <v>98</v>
      </c>
      <c r="G75" s="287" t="s">
        <v>377</v>
      </c>
      <c r="H75" s="287" t="s">
        <v>98</v>
      </c>
      <c r="I75" s="287" t="s">
        <v>1069</v>
      </c>
      <c r="J75" s="287" t="s">
        <v>1122</v>
      </c>
      <c r="K75" s="287"/>
      <c r="L75" s="288"/>
      <c r="M75" s="37" t="s">
        <v>1045</v>
      </c>
      <c r="P75" s="444"/>
      <c r="Q75" s="446"/>
      <c r="R75" s="444"/>
      <c r="S75" s="444"/>
      <c r="T75" s="444"/>
      <c r="U75" s="444"/>
      <c r="V75" s="444"/>
      <c r="W75" s="444"/>
      <c r="X75" s="444"/>
    </row>
    <row r="76" spans="2:24" s="37" customFormat="1" ht="60">
      <c r="B76" s="417"/>
      <c r="C76" s="285">
        <v>0.05</v>
      </c>
      <c r="D76" s="286" t="s">
        <v>1113</v>
      </c>
      <c r="E76" s="287" t="s">
        <v>1111</v>
      </c>
      <c r="F76" s="286" t="s">
        <v>98</v>
      </c>
      <c r="G76" s="287" t="s">
        <v>1058</v>
      </c>
      <c r="H76" s="287" t="s">
        <v>98</v>
      </c>
      <c r="I76" s="287" t="s">
        <v>1123</v>
      </c>
      <c r="J76" s="287" t="s">
        <v>1057</v>
      </c>
      <c r="K76" s="287" t="s">
        <v>1059</v>
      </c>
      <c r="L76" s="288" t="s">
        <v>72</v>
      </c>
      <c r="P76" s="439"/>
      <c r="Q76" s="440"/>
      <c r="R76" s="441"/>
      <c r="S76" s="439"/>
      <c r="T76" s="441"/>
      <c r="U76" s="439"/>
      <c r="V76" s="439"/>
      <c r="W76" s="439"/>
      <c r="X76" s="439"/>
    </row>
    <row r="77" spans="2:24" ht="30">
      <c r="B77" s="275" t="s">
        <v>90</v>
      </c>
      <c r="C77" s="276">
        <v>0.28000000000000003</v>
      </c>
      <c r="D77" s="277" t="s">
        <v>176</v>
      </c>
      <c r="E77" s="277" t="s">
        <v>176</v>
      </c>
      <c r="F77" s="278" t="s">
        <v>1111</v>
      </c>
      <c r="G77" s="277" t="s">
        <v>205</v>
      </c>
      <c r="H77" s="278" t="s">
        <v>84</v>
      </c>
      <c r="I77" s="277" t="s">
        <v>178</v>
      </c>
      <c r="J77" s="277"/>
      <c r="K77" s="277" t="s">
        <v>206</v>
      </c>
      <c r="L77" s="438" t="s">
        <v>72</v>
      </c>
    </row>
    <row r="78" spans="2:24">
      <c r="B78" s="279"/>
      <c r="C78" s="280">
        <v>0.27</v>
      </c>
      <c r="D78" s="281" t="s">
        <v>180</v>
      </c>
      <c r="E78" s="282" t="s">
        <v>181</v>
      </c>
      <c r="F78" s="281" t="s">
        <v>182</v>
      </c>
      <c r="G78" s="282" t="s">
        <v>182</v>
      </c>
      <c r="H78" s="282" t="s">
        <v>84</v>
      </c>
      <c r="I78" s="282" t="s">
        <v>178</v>
      </c>
      <c r="J78" s="282"/>
      <c r="K78" s="282"/>
      <c r="L78" s="283"/>
      <c r="M78" t="s">
        <v>183</v>
      </c>
      <c r="N78">
        <v>23</v>
      </c>
    </row>
    <row r="79" spans="2:24">
      <c r="B79" s="279"/>
      <c r="C79" s="280">
        <v>0.28000000000000003</v>
      </c>
      <c r="D79" s="281" t="s">
        <v>180</v>
      </c>
      <c r="E79" s="282" t="s">
        <v>184</v>
      </c>
      <c r="F79" s="281" t="s">
        <v>182</v>
      </c>
      <c r="G79" s="282" t="s">
        <v>182</v>
      </c>
      <c r="H79" s="282" t="s">
        <v>84</v>
      </c>
      <c r="I79" s="282" t="s">
        <v>178</v>
      </c>
      <c r="J79" s="282" t="s">
        <v>185</v>
      </c>
      <c r="K79" s="282"/>
      <c r="L79" s="283"/>
      <c r="M79" t="s">
        <v>183</v>
      </c>
      <c r="N79">
        <v>4</v>
      </c>
    </row>
    <row r="80" spans="2:24">
      <c r="B80" s="279"/>
      <c r="C80" s="282" t="s">
        <v>188</v>
      </c>
      <c r="D80" s="281" t="s">
        <v>180</v>
      </c>
      <c r="E80" s="282" t="s">
        <v>186</v>
      </c>
      <c r="F80" s="281" t="s">
        <v>182</v>
      </c>
      <c r="G80" s="282" t="s">
        <v>182</v>
      </c>
      <c r="H80" s="282" t="s">
        <v>84</v>
      </c>
      <c r="I80" s="282" t="s">
        <v>178</v>
      </c>
      <c r="J80" s="282"/>
      <c r="K80" s="282"/>
      <c r="L80" s="283"/>
      <c r="M80" t="s">
        <v>183</v>
      </c>
      <c r="N80">
        <v>2</v>
      </c>
    </row>
    <row r="81" spans="2:16">
      <c r="B81" s="279"/>
      <c r="C81" s="280">
        <v>0.28999999999999998</v>
      </c>
      <c r="D81" s="281" t="s">
        <v>180</v>
      </c>
      <c r="E81" s="282" t="s">
        <v>187</v>
      </c>
      <c r="F81" s="281" t="s">
        <v>182</v>
      </c>
      <c r="G81" s="282" t="s">
        <v>182</v>
      </c>
      <c r="H81" s="282" t="s">
        <v>84</v>
      </c>
      <c r="I81" s="282" t="s">
        <v>178</v>
      </c>
      <c r="J81" s="282" t="s">
        <v>185</v>
      </c>
      <c r="K81" s="282"/>
      <c r="L81" s="283"/>
      <c r="M81" t="s">
        <v>183</v>
      </c>
      <c r="N81">
        <v>5</v>
      </c>
    </row>
    <row r="82" spans="2:16">
      <c r="B82" s="279"/>
      <c r="C82" s="280">
        <v>0.28999999999999998</v>
      </c>
      <c r="D82" s="281" t="s">
        <v>180</v>
      </c>
      <c r="E82" s="282" t="s">
        <v>189</v>
      </c>
      <c r="F82" s="281" t="s">
        <v>182</v>
      </c>
      <c r="G82" s="282" t="s">
        <v>182</v>
      </c>
      <c r="H82" s="282" t="s">
        <v>84</v>
      </c>
      <c r="I82" s="282" t="s">
        <v>178</v>
      </c>
      <c r="J82" s="282" t="s">
        <v>185</v>
      </c>
      <c r="K82" s="282"/>
      <c r="L82" s="283"/>
      <c r="M82" t="s">
        <v>183</v>
      </c>
      <c r="N82">
        <v>0</v>
      </c>
    </row>
    <row r="83" spans="2:16">
      <c r="B83" s="279"/>
      <c r="C83" s="282" t="s">
        <v>188</v>
      </c>
      <c r="D83" s="281" t="s">
        <v>180</v>
      </c>
      <c r="E83" s="282" t="s">
        <v>190</v>
      </c>
      <c r="F83" s="281" t="s">
        <v>182</v>
      </c>
      <c r="G83" s="282" t="s">
        <v>182</v>
      </c>
      <c r="H83" s="282" t="s">
        <v>84</v>
      </c>
      <c r="I83" s="282" t="s">
        <v>178</v>
      </c>
      <c r="J83" s="282"/>
      <c r="K83" s="282"/>
      <c r="L83" s="283"/>
      <c r="M83" t="s">
        <v>183</v>
      </c>
      <c r="N83">
        <v>0</v>
      </c>
    </row>
    <row r="84" spans="2:16">
      <c r="B84" s="279"/>
      <c r="C84" s="280">
        <v>0.36</v>
      </c>
      <c r="D84" s="281" t="s">
        <v>180</v>
      </c>
      <c r="E84" s="282" t="s">
        <v>191</v>
      </c>
      <c r="F84" s="281" t="s">
        <v>182</v>
      </c>
      <c r="G84" s="282" t="s">
        <v>182</v>
      </c>
      <c r="H84" s="282" t="s">
        <v>84</v>
      </c>
      <c r="I84" s="282" t="s">
        <v>178</v>
      </c>
      <c r="J84" s="282" t="s">
        <v>185</v>
      </c>
      <c r="K84" s="282"/>
      <c r="L84" s="283"/>
      <c r="M84" t="s">
        <v>183</v>
      </c>
      <c r="N84">
        <v>2</v>
      </c>
    </row>
    <row r="85" spans="2:16">
      <c r="B85" s="279"/>
      <c r="C85" s="282" t="s">
        <v>188</v>
      </c>
      <c r="D85" s="281" t="s">
        <v>180</v>
      </c>
      <c r="E85" s="282" t="s">
        <v>192</v>
      </c>
      <c r="F85" s="281" t="s">
        <v>182</v>
      </c>
      <c r="G85" s="282" t="s">
        <v>182</v>
      </c>
      <c r="H85" s="282" t="s">
        <v>84</v>
      </c>
      <c r="I85" s="282" t="s">
        <v>178</v>
      </c>
      <c r="J85" s="282"/>
      <c r="K85" s="282"/>
      <c r="L85" s="283"/>
      <c r="M85" t="s">
        <v>183</v>
      </c>
      <c r="N85">
        <v>1</v>
      </c>
    </row>
    <row r="86" spans="2:16">
      <c r="B86" s="279"/>
      <c r="C86" s="280">
        <v>0.18</v>
      </c>
      <c r="D86" s="281" t="s">
        <v>180</v>
      </c>
      <c r="E86" s="282" t="s">
        <v>107</v>
      </c>
      <c r="F86" s="281" t="s">
        <v>182</v>
      </c>
      <c r="G86" s="282" t="s">
        <v>182</v>
      </c>
      <c r="H86" s="282" t="s">
        <v>84</v>
      </c>
      <c r="I86" s="282" t="s">
        <v>178</v>
      </c>
      <c r="J86" s="282" t="s">
        <v>185</v>
      </c>
      <c r="K86" s="282"/>
      <c r="L86" s="283"/>
      <c r="M86" t="s">
        <v>183</v>
      </c>
      <c r="N86">
        <v>1</v>
      </c>
    </row>
    <row r="87" spans="2:16" ht="30">
      <c r="B87" s="284"/>
      <c r="C87" s="285">
        <v>0.25</v>
      </c>
      <c r="D87" s="286" t="s">
        <v>180</v>
      </c>
      <c r="E87" s="287" t="s">
        <v>181</v>
      </c>
      <c r="F87" s="286" t="s">
        <v>207</v>
      </c>
      <c r="G87" s="287" t="s">
        <v>208</v>
      </c>
      <c r="H87" s="287" t="s">
        <v>1063</v>
      </c>
      <c r="I87" s="287" t="s">
        <v>195</v>
      </c>
      <c r="J87" s="287" t="s">
        <v>197</v>
      </c>
      <c r="K87" s="287"/>
      <c r="L87" s="288"/>
    </row>
    <row r="88" spans="2:16" s="706" customFormat="1" ht="30">
      <c r="B88" s="284"/>
      <c r="C88" s="285">
        <v>0.19</v>
      </c>
      <c r="D88" s="286" t="s">
        <v>180</v>
      </c>
      <c r="E88" s="287" t="s">
        <v>1043</v>
      </c>
      <c r="F88" s="286" t="s">
        <v>182</v>
      </c>
      <c r="G88" s="287" t="s">
        <v>208</v>
      </c>
      <c r="H88" s="287" t="s">
        <v>84</v>
      </c>
      <c r="I88" s="287" t="s">
        <v>1044</v>
      </c>
      <c r="J88" s="287" t="s">
        <v>1046</v>
      </c>
      <c r="K88" s="287"/>
      <c r="L88" s="288"/>
      <c r="P88" s="717"/>
    </row>
    <row r="89" spans="2:16" ht="60">
      <c r="B89" s="275" t="s">
        <v>209</v>
      </c>
      <c r="C89" s="276">
        <v>0.31</v>
      </c>
      <c r="D89" s="277" t="s">
        <v>176</v>
      </c>
      <c r="E89" s="277" t="s">
        <v>176</v>
      </c>
      <c r="F89" s="278" t="s">
        <v>1111</v>
      </c>
      <c r="G89" s="277" t="s">
        <v>210</v>
      </c>
      <c r="H89" s="278" t="s">
        <v>84</v>
      </c>
      <c r="I89" s="277" t="s">
        <v>178</v>
      </c>
      <c r="J89" s="277"/>
      <c r="K89" s="277" t="s">
        <v>211</v>
      </c>
      <c r="L89" s="438" t="s">
        <v>72</v>
      </c>
    </row>
    <row r="90" spans="2:16">
      <c r="B90" s="279"/>
      <c r="C90" s="280">
        <v>0.35</v>
      </c>
      <c r="D90" s="281" t="s">
        <v>180</v>
      </c>
      <c r="E90" s="282" t="s">
        <v>181</v>
      </c>
      <c r="F90" s="281" t="s">
        <v>182</v>
      </c>
      <c r="G90" s="282" t="s">
        <v>182</v>
      </c>
      <c r="H90" s="282" t="s">
        <v>84</v>
      </c>
      <c r="I90" s="282" t="s">
        <v>178</v>
      </c>
      <c r="J90" s="282"/>
      <c r="K90" s="282"/>
      <c r="L90" s="283"/>
      <c r="M90" t="s">
        <v>183</v>
      </c>
      <c r="N90">
        <v>13</v>
      </c>
    </row>
    <row r="91" spans="2:16">
      <c r="B91" s="279"/>
      <c r="C91" s="280" t="s">
        <v>188</v>
      </c>
      <c r="D91" s="281" t="s">
        <v>180</v>
      </c>
      <c r="E91" s="282" t="s">
        <v>184</v>
      </c>
      <c r="F91" s="281" t="s">
        <v>182</v>
      </c>
      <c r="G91" s="282" t="s">
        <v>182</v>
      </c>
      <c r="H91" s="282" t="s">
        <v>84</v>
      </c>
      <c r="I91" s="282" t="s">
        <v>178</v>
      </c>
      <c r="J91" s="282"/>
      <c r="K91" s="282"/>
      <c r="L91" s="283"/>
      <c r="M91" t="s">
        <v>183</v>
      </c>
      <c r="N91">
        <v>0</v>
      </c>
    </row>
    <row r="92" spans="2:16">
      <c r="B92" s="279"/>
      <c r="C92" s="280" t="s">
        <v>188</v>
      </c>
      <c r="D92" s="281" t="s">
        <v>180</v>
      </c>
      <c r="E92" s="282" t="s">
        <v>186</v>
      </c>
      <c r="F92" s="281" t="s">
        <v>182</v>
      </c>
      <c r="G92" s="282" t="s">
        <v>182</v>
      </c>
      <c r="H92" s="282" t="s">
        <v>84</v>
      </c>
      <c r="I92" s="282" t="s">
        <v>178</v>
      </c>
      <c r="J92" s="282"/>
      <c r="K92" s="282"/>
      <c r="L92" s="283"/>
      <c r="M92" t="s">
        <v>183</v>
      </c>
      <c r="N92">
        <v>0</v>
      </c>
    </row>
    <row r="93" spans="2:16">
      <c r="B93" s="279"/>
      <c r="C93" s="280">
        <v>0.06</v>
      </c>
      <c r="D93" s="281" t="s">
        <v>180</v>
      </c>
      <c r="E93" s="282" t="s">
        <v>187</v>
      </c>
      <c r="F93" s="281" t="s">
        <v>182</v>
      </c>
      <c r="G93" s="282" t="s">
        <v>182</v>
      </c>
      <c r="H93" s="282" t="s">
        <v>84</v>
      </c>
      <c r="I93" s="282" t="s">
        <v>178</v>
      </c>
      <c r="J93" s="282" t="s">
        <v>185</v>
      </c>
      <c r="K93" s="282"/>
      <c r="L93" s="283"/>
      <c r="M93" t="s">
        <v>183</v>
      </c>
      <c r="N93">
        <v>2</v>
      </c>
    </row>
    <row r="94" spans="2:16">
      <c r="B94" s="279"/>
      <c r="C94" s="280" t="s">
        <v>188</v>
      </c>
      <c r="D94" s="281" t="s">
        <v>180</v>
      </c>
      <c r="E94" s="282" t="s">
        <v>189</v>
      </c>
      <c r="F94" s="281" t="s">
        <v>182</v>
      </c>
      <c r="G94" s="282" t="s">
        <v>182</v>
      </c>
      <c r="H94" s="282" t="s">
        <v>84</v>
      </c>
      <c r="I94" s="282" t="s">
        <v>178</v>
      </c>
      <c r="J94" s="282"/>
      <c r="K94" s="282"/>
      <c r="L94" s="283"/>
      <c r="M94" t="s">
        <v>183</v>
      </c>
      <c r="N94">
        <v>0</v>
      </c>
    </row>
    <row r="95" spans="2:16">
      <c r="B95" s="279"/>
      <c r="C95" s="280" t="s">
        <v>188</v>
      </c>
      <c r="D95" s="281" t="s">
        <v>180</v>
      </c>
      <c r="E95" s="282" t="s">
        <v>190</v>
      </c>
      <c r="F95" s="281" t="s">
        <v>182</v>
      </c>
      <c r="G95" s="282" t="s">
        <v>182</v>
      </c>
      <c r="H95" s="282" t="s">
        <v>84</v>
      </c>
      <c r="I95" s="282" t="s">
        <v>178</v>
      </c>
      <c r="J95" s="282"/>
      <c r="K95" s="282"/>
      <c r="L95" s="283"/>
      <c r="M95" t="s">
        <v>183</v>
      </c>
      <c r="N95">
        <v>0</v>
      </c>
    </row>
    <row r="96" spans="2:16">
      <c r="B96" s="279"/>
      <c r="C96" s="280" t="s">
        <v>188</v>
      </c>
      <c r="D96" s="281" t="s">
        <v>180</v>
      </c>
      <c r="E96" s="282" t="s">
        <v>191</v>
      </c>
      <c r="F96" s="281" t="s">
        <v>182</v>
      </c>
      <c r="G96" s="282" t="s">
        <v>182</v>
      </c>
      <c r="H96" s="282" t="s">
        <v>84</v>
      </c>
      <c r="I96" s="282" t="s">
        <v>178</v>
      </c>
      <c r="J96" s="282"/>
      <c r="K96" s="282"/>
      <c r="L96" s="283"/>
      <c r="M96" t="s">
        <v>183</v>
      </c>
      <c r="N96">
        <v>0</v>
      </c>
    </row>
    <row r="97" spans="2:16">
      <c r="B97" s="279"/>
      <c r="C97" s="280" t="s">
        <v>188</v>
      </c>
      <c r="D97" s="281" t="s">
        <v>180</v>
      </c>
      <c r="E97" s="282" t="s">
        <v>192</v>
      </c>
      <c r="F97" s="281" t="s">
        <v>182</v>
      </c>
      <c r="G97" s="282" t="s">
        <v>182</v>
      </c>
      <c r="H97" s="282" t="s">
        <v>84</v>
      </c>
      <c r="I97" s="282" t="s">
        <v>178</v>
      </c>
      <c r="J97" s="282"/>
      <c r="K97" s="282"/>
      <c r="L97" s="283"/>
      <c r="M97" t="s">
        <v>183</v>
      </c>
      <c r="N97">
        <v>0</v>
      </c>
    </row>
    <row r="98" spans="2:16">
      <c r="B98" s="279"/>
      <c r="C98" s="280" t="s">
        <v>188</v>
      </c>
      <c r="D98" s="281" t="s">
        <v>180</v>
      </c>
      <c r="E98" s="282" t="s">
        <v>107</v>
      </c>
      <c r="F98" s="281" t="s">
        <v>182</v>
      </c>
      <c r="G98" s="282" t="s">
        <v>182</v>
      </c>
      <c r="H98" s="282" t="s">
        <v>84</v>
      </c>
      <c r="I98" s="282" t="s">
        <v>178</v>
      </c>
      <c r="J98" s="282"/>
      <c r="K98" s="282"/>
      <c r="L98" s="283"/>
      <c r="M98" t="s">
        <v>183</v>
      </c>
      <c r="N98">
        <v>0</v>
      </c>
    </row>
    <row r="99" spans="2:16" ht="90">
      <c r="B99" s="275" t="s">
        <v>92</v>
      </c>
      <c r="C99" s="276">
        <v>0.36</v>
      </c>
      <c r="D99" s="277" t="s">
        <v>176</v>
      </c>
      <c r="E99" s="277" t="s">
        <v>176</v>
      </c>
      <c r="F99" s="278" t="s">
        <v>1111</v>
      </c>
      <c r="G99" s="277" t="s">
        <v>212</v>
      </c>
      <c r="H99" s="278" t="s">
        <v>84</v>
      </c>
      <c r="I99" s="277" t="s">
        <v>178</v>
      </c>
      <c r="J99" s="277"/>
      <c r="K99" s="277" t="s">
        <v>213</v>
      </c>
      <c r="L99" s="438" t="s">
        <v>72</v>
      </c>
    </row>
    <row r="100" spans="2:16">
      <c r="B100" s="279"/>
      <c r="C100" s="280">
        <v>0.36</v>
      </c>
      <c r="D100" s="281" t="s">
        <v>180</v>
      </c>
      <c r="E100" s="282" t="s">
        <v>181</v>
      </c>
      <c r="F100" s="281" t="s">
        <v>182</v>
      </c>
      <c r="G100" s="282" t="s">
        <v>182</v>
      </c>
      <c r="H100" s="282" t="s">
        <v>84</v>
      </c>
      <c r="I100" s="282" t="s">
        <v>178</v>
      </c>
      <c r="J100" s="282"/>
      <c r="K100" s="282"/>
      <c r="L100" s="283"/>
      <c r="M100" t="s">
        <v>183</v>
      </c>
      <c r="N100">
        <v>11</v>
      </c>
    </row>
    <row r="101" spans="2:16">
      <c r="B101" s="279"/>
      <c r="C101" s="280" t="s">
        <v>188</v>
      </c>
      <c r="D101" s="281" t="s">
        <v>180</v>
      </c>
      <c r="E101" s="282" t="s">
        <v>184</v>
      </c>
      <c r="F101" s="281" t="s">
        <v>182</v>
      </c>
      <c r="G101" s="282" t="s">
        <v>182</v>
      </c>
      <c r="H101" s="282" t="s">
        <v>84</v>
      </c>
      <c r="I101" s="282" t="s">
        <v>1023</v>
      </c>
      <c r="J101" s="282"/>
      <c r="K101" s="282"/>
      <c r="L101" s="283"/>
      <c r="M101" s="384" t="s">
        <v>183</v>
      </c>
      <c r="N101">
        <v>0</v>
      </c>
    </row>
    <row r="102" spans="2:16">
      <c r="B102" s="279"/>
      <c r="C102" s="280" t="s">
        <v>188</v>
      </c>
      <c r="D102" s="281" t="s">
        <v>180</v>
      </c>
      <c r="E102" s="282" t="s">
        <v>186</v>
      </c>
      <c r="F102" s="281" t="s">
        <v>182</v>
      </c>
      <c r="G102" s="282" t="s">
        <v>182</v>
      </c>
      <c r="H102" s="282" t="s">
        <v>84</v>
      </c>
      <c r="I102" s="282" t="s">
        <v>178</v>
      </c>
      <c r="J102" s="282"/>
      <c r="K102" s="282"/>
      <c r="L102" s="283"/>
      <c r="M102" t="s">
        <v>183</v>
      </c>
      <c r="N102">
        <v>0</v>
      </c>
    </row>
    <row r="103" spans="2:16">
      <c r="B103" s="279"/>
      <c r="C103" s="280" t="s">
        <v>188</v>
      </c>
      <c r="D103" s="281" t="s">
        <v>180</v>
      </c>
      <c r="E103" s="282" t="s">
        <v>187</v>
      </c>
      <c r="F103" s="281" t="s">
        <v>182</v>
      </c>
      <c r="G103" s="282" t="s">
        <v>182</v>
      </c>
      <c r="H103" s="282" t="s">
        <v>84</v>
      </c>
      <c r="I103" s="282" t="s">
        <v>178</v>
      </c>
      <c r="J103" s="282"/>
      <c r="K103" s="282"/>
      <c r="L103" s="283"/>
      <c r="M103" t="s">
        <v>183</v>
      </c>
      <c r="N103">
        <v>0</v>
      </c>
    </row>
    <row r="104" spans="2:16">
      <c r="B104" s="279"/>
      <c r="C104" s="280">
        <v>0.6</v>
      </c>
      <c r="D104" s="281" t="s">
        <v>180</v>
      </c>
      <c r="E104" s="282" t="s">
        <v>189</v>
      </c>
      <c r="F104" s="281" t="s">
        <v>182</v>
      </c>
      <c r="G104" s="282" t="s">
        <v>182</v>
      </c>
      <c r="H104" s="282" t="s">
        <v>84</v>
      </c>
      <c r="I104" s="282" t="s">
        <v>178</v>
      </c>
      <c r="J104" s="282" t="s">
        <v>185</v>
      </c>
      <c r="K104" s="282"/>
      <c r="L104" s="283"/>
      <c r="M104" t="s">
        <v>183</v>
      </c>
      <c r="N104">
        <v>1</v>
      </c>
    </row>
    <row r="105" spans="2:16">
      <c r="B105" s="279"/>
      <c r="C105" s="280" t="s">
        <v>188</v>
      </c>
      <c r="D105" s="281" t="s">
        <v>180</v>
      </c>
      <c r="E105" s="282" t="s">
        <v>190</v>
      </c>
      <c r="F105" s="281" t="s">
        <v>182</v>
      </c>
      <c r="G105" s="282" t="s">
        <v>182</v>
      </c>
      <c r="H105" s="282" t="s">
        <v>84</v>
      </c>
      <c r="I105" s="282" t="s">
        <v>178</v>
      </c>
      <c r="J105" s="282"/>
      <c r="K105" s="282"/>
      <c r="L105" s="283"/>
      <c r="M105" t="s">
        <v>183</v>
      </c>
      <c r="N105">
        <v>0</v>
      </c>
    </row>
    <row r="106" spans="2:16">
      <c r="B106" s="279"/>
      <c r="C106" s="280" t="s">
        <v>188</v>
      </c>
      <c r="D106" s="281" t="s">
        <v>180</v>
      </c>
      <c r="E106" s="282" t="s">
        <v>191</v>
      </c>
      <c r="F106" s="281" t="s">
        <v>182</v>
      </c>
      <c r="G106" s="282" t="s">
        <v>182</v>
      </c>
      <c r="H106" s="282" t="s">
        <v>84</v>
      </c>
      <c r="I106" s="282" t="s">
        <v>178</v>
      </c>
      <c r="J106" s="282"/>
      <c r="K106" s="282"/>
      <c r="L106" s="283"/>
      <c r="M106" t="s">
        <v>183</v>
      </c>
      <c r="N106">
        <v>0</v>
      </c>
    </row>
    <row r="107" spans="2:16">
      <c r="B107" s="279"/>
      <c r="C107" s="280" t="s">
        <v>188</v>
      </c>
      <c r="D107" s="281" t="s">
        <v>180</v>
      </c>
      <c r="E107" s="282" t="s">
        <v>192</v>
      </c>
      <c r="F107" s="281" t="s">
        <v>182</v>
      </c>
      <c r="G107" s="282" t="s">
        <v>182</v>
      </c>
      <c r="H107" s="282" t="s">
        <v>84</v>
      </c>
      <c r="I107" s="282" t="s">
        <v>178</v>
      </c>
      <c r="J107" s="282"/>
      <c r="K107" s="282"/>
      <c r="L107" s="283"/>
      <c r="M107" t="s">
        <v>183</v>
      </c>
      <c r="N107">
        <v>0</v>
      </c>
    </row>
    <row r="108" spans="2:16">
      <c r="B108" s="279"/>
      <c r="C108" s="280" t="s">
        <v>188</v>
      </c>
      <c r="D108" s="281" t="s">
        <v>180</v>
      </c>
      <c r="E108" s="282" t="s">
        <v>107</v>
      </c>
      <c r="F108" s="281" t="s">
        <v>182</v>
      </c>
      <c r="G108" s="282" t="s">
        <v>182</v>
      </c>
      <c r="H108" s="282" t="s">
        <v>84</v>
      </c>
      <c r="I108" s="282" t="s">
        <v>178</v>
      </c>
      <c r="J108" s="282"/>
      <c r="K108" s="282"/>
      <c r="L108" s="283"/>
      <c r="M108" t="s">
        <v>183</v>
      </c>
      <c r="N108">
        <v>0</v>
      </c>
    </row>
    <row r="109" spans="2:16" ht="30">
      <c r="B109" s="275" t="s">
        <v>93</v>
      </c>
      <c r="C109" s="276">
        <v>0.38</v>
      </c>
      <c r="D109" s="277" t="s">
        <v>176</v>
      </c>
      <c r="E109" s="277" t="s">
        <v>176</v>
      </c>
      <c r="F109" s="278" t="s">
        <v>1111</v>
      </c>
      <c r="G109" s="277"/>
      <c r="H109" s="278" t="s">
        <v>84</v>
      </c>
      <c r="I109" s="277" t="s">
        <v>178</v>
      </c>
      <c r="J109" s="277"/>
      <c r="K109" s="277"/>
      <c r="L109" s="438" t="s">
        <v>72</v>
      </c>
    </row>
    <row r="110" spans="2:16">
      <c r="B110" s="279"/>
      <c r="C110" s="280">
        <v>0.4</v>
      </c>
      <c r="D110" s="281" t="s">
        <v>180</v>
      </c>
      <c r="E110" s="282" t="s">
        <v>181</v>
      </c>
      <c r="F110" s="281" t="s">
        <v>182</v>
      </c>
      <c r="G110" s="282" t="s">
        <v>182</v>
      </c>
      <c r="H110" s="282" t="s">
        <v>84</v>
      </c>
      <c r="I110" s="282" t="s">
        <v>178</v>
      </c>
      <c r="J110" s="282"/>
      <c r="K110" s="282"/>
      <c r="L110" s="283"/>
      <c r="M110" t="s">
        <v>183</v>
      </c>
      <c r="N110">
        <v>24</v>
      </c>
    </row>
    <row r="111" spans="2:16" s="706" customFormat="1" ht="75">
      <c r="B111" s="284"/>
      <c r="C111" s="285">
        <v>0.41</v>
      </c>
      <c r="D111" s="286" t="s">
        <v>180</v>
      </c>
      <c r="E111" s="287" t="s">
        <v>184</v>
      </c>
      <c r="F111" s="286" t="s">
        <v>182</v>
      </c>
      <c r="G111" s="287" t="s">
        <v>182</v>
      </c>
      <c r="H111" s="287" t="s">
        <v>84</v>
      </c>
      <c r="I111" s="287" t="s">
        <v>1024</v>
      </c>
      <c r="J111" s="287"/>
      <c r="K111" s="287"/>
      <c r="L111" s="288"/>
      <c r="M111" s="706" t="s">
        <v>183</v>
      </c>
      <c r="N111" s="706">
        <v>0</v>
      </c>
      <c r="P111" s="717"/>
    </row>
    <row r="112" spans="2:16">
      <c r="B112" s="279"/>
      <c r="C112" s="280" t="s">
        <v>188</v>
      </c>
      <c r="D112" s="281" t="s">
        <v>180</v>
      </c>
      <c r="E112" s="282" t="s">
        <v>186</v>
      </c>
      <c r="F112" s="281" t="s">
        <v>182</v>
      </c>
      <c r="G112" s="282" t="s">
        <v>182</v>
      </c>
      <c r="H112" s="282" t="s">
        <v>84</v>
      </c>
      <c r="I112" s="282" t="s">
        <v>178</v>
      </c>
      <c r="J112" s="282"/>
      <c r="K112" s="282"/>
      <c r="L112" s="283"/>
      <c r="M112" t="s">
        <v>183</v>
      </c>
      <c r="N112">
        <v>0</v>
      </c>
    </row>
    <row r="113" spans="1:16">
      <c r="B113" s="279"/>
      <c r="C113" s="280">
        <v>0.34</v>
      </c>
      <c r="D113" s="281" t="s">
        <v>180</v>
      </c>
      <c r="E113" s="282" t="s">
        <v>187</v>
      </c>
      <c r="F113" s="281" t="s">
        <v>182</v>
      </c>
      <c r="G113" s="282" t="s">
        <v>182</v>
      </c>
      <c r="H113" s="282" t="s">
        <v>84</v>
      </c>
      <c r="I113" s="282" t="s">
        <v>178</v>
      </c>
      <c r="J113" s="282" t="s">
        <v>185</v>
      </c>
      <c r="K113" s="282"/>
      <c r="L113" s="283"/>
      <c r="M113" t="s">
        <v>183</v>
      </c>
      <c r="N113">
        <v>7</v>
      </c>
    </row>
    <row r="114" spans="1:16">
      <c r="B114" s="279"/>
      <c r="C114" s="280" t="s">
        <v>188</v>
      </c>
      <c r="D114" s="281" t="s">
        <v>180</v>
      </c>
      <c r="E114" s="282" t="s">
        <v>189</v>
      </c>
      <c r="F114" s="281" t="s">
        <v>182</v>
      </c>
      <c r="G114" s="282" t="s">
        <v>182</v>
      </c>
      <c r="H114" s="282" t="s">
        <v>84</v>
      </c>
      <c r="I114" s="282" t="s">
        <v>178</v>
      </c>
      <c r="J114" s="282"/>
      <c r="K114" s="282"/>
      <c r="L114" s="283"/>
      <c r="M114" t="s">
        <v>183</v>
      </c>
      <c r="N114">
        <v>0</v>
      </c>
    </row>
    <row r="115" spans="1:16">
      <c r="B115" s="279"/>
      <c r="C115" s="280">
        <v>0.35</v>
      </c>
      <c r="D115" s="281" t="s">
        <v>180</v>
      </c>
      <c r="E115" s="282" t="s">
        <v>190</v>
      </c>
      <c r="F115" s="281" t="s">
        <v>182</v>
      </c>
      <c r="G115" s="282" t="s">
        <v>182</v>
      </c>
      <c r="H115" s="282" t="s">
        <v>84</v>
      </c>
      <c r="I115" s="282" t="s">
        <v>178</v>
      </c>
      <c r="J115" s="282" t="s">
        <v>185</v>
      </c>
      <c r="K115" s="282"/>
      <c r="L115" s="283"/>
      <c r="M115" t="s">
        <v>183</v>
      </c>
      <c r="N115">
        <v>1</v>
      </c>
    </row>
    <row r="116" spans="1:16">
      <c r="B116" s="279"/>
      <c r="C116" s="280" t="s">
        <v>188</v>
      </c>
      <c r="D116" s="281" t="s">
        <v>180</v>
      </c>
      <c r="E116" s="282" t="s">
        <v>191</v>
      </c>
      <c r="F116" s="281" t="s">
        <v>182</v>
      </c>
      <c r="G116" s="282" t="s">
        <v>182</v>
      </c>
      <c r="H116" s="282" t="s">
        <v>84</v>
      </c>
      <c r="I116" s="282" t="s">
        <v>178</v>
      </c>
      <c r="J116" s="282"/>
      <c r="K116" s="282"/>
      <c r="L116" s="283"/>
      <c r="M116" t="s">
        <v>183</v>
      </c>
      <c r="N116">
        <v>0</v>
      </c>
    </row>
    <row r="117" spans="1:16">
      <c r="B117" s="279"/>
      <c r="C117" s="280" t="s">
        <v>188</v>
      </c>
      <c r="D117" s="281" t="s">
        <v>180</v>
      </c>
      <c r="E117" s="282" t="s">
        <v>192</v>
      </c>
      <c r="F117" s="281" t="s">
        <v>182</v>
      </c>
      <c r="G117" s="282" t="s">
        <v>182</v>
      </c>
      <c r="H117" s="282" t="s">
        <v>84</v>
      </c>
      <c r="I117" s="282" t="s">
        <v>178</v>
      </c>
      <c r="J117" s="282"/>
      <c r="K117" s="282"/>
      <c r="L117" s="283"/>
      <c r="M117" t="s">
        <v>183</v>
      </c>
      <c r="N117">
        <v>0</v>
      </c>
    </row>
    <row r="118" spans="1:16">
      <c r="B118" s="279"/>
      <c r="C118" s="280" t="s">
        <v>188</v>
      </c>
      <c r="D118" s="281" t="s">
        <v>180</v>
      </c>
      <c r="E118" s="282" t="s">
        <v>107</v>
      </c>
      <c r="F118" s="281" t="s">
        <v>182</v>
      </c>
      <c r="G118" s="282" t="s">
        <v>182</v>
      </c>
      <c r="H118" s="282" t="s">
        <v>84</v>
      </c>
      <c r="I118" s="282" t="s">
        <v>178</v>
      </c>
      <c r="J118" s="282"/>
      <c r="K118" s="282"/>
      <c r="L118" s="283"/>
      <c r="M118" t="s">
        <v>183</v>
      </c>
      <c r="N118">
        <v>0</v>
      </c>
    </row>
    <row r="119" spans="1:16" ht="30">
      <c r="B119" s="31"/>
      <c r="C119" s="289">
        <v>0.45</v>
      </c>
      <c r="D119" s="281" t="s">
        <v>180</v>
      </c>
      <c r="E119" s="282" t="s">
        <v>181</v>
      </c>
      <c r="F119" s="281" t="s">
        <v>217</v>
      </c>
      <c r="G119" s="281" t="s">
        <v>218</v>
      </c>
      <c r="H119" s="282" t="s">
        <v>1063</v>
      </c>
      <c r="I119" s="282" t="s">
        <v>195</v>
      </c>
      <c r="J119" s="282" t="s">
        <v>219</v>
      </c>
      <c r="K119" s="13"/>
      <c r="L119" s="14"/>
    </row>
    <row r="120" spans="1:16" ht="30">
      <c r="B120" s="284"/>
      <c r="C120" s="285">
        <v>0.33</v>
      </c>
      <c r="D120" s="286" t="s">
        <v>180</v>
      </c>
      <c r="E120" s="287" t="s">
        <v>181</v>
      </c>
      <c r="F120" s="286" t="s">
        <v>207</v>
      </c>
      <c r="G120" s="281" t="s">
        <v>218</v>
      </c>
      <c r="H120" s="282" t="s">
        <v>1063</v>
      </c>
      <c r="I120" s="287" t="s">
        <v>195</v>
      </c>
      <c r="J120" s="287" t="s">
        <v>197</v>
      </c>
      <c r="K120" s="287"/>
      <c r="L120" s="288"/>
    </row>
    <row r="121" spans="1:16" ht="30">
      <c r="B121" s="284"/>
      <c r="C121" s="285">
        <v>0.33</v>
      </c>
      <c r="D121" s="286" t="s">
        <v>180</v>
      </c>
      <c r="E121" s="287" t="s">
        <v>181</v>
      </c>
      <c r="F121" s="286" t="s">
        <v>207</v>
      </c>
      <c r="G121" s="282" t="s">
        <v>220</v>
      </c>
      <c r="H121" s="282" t="s">
        <v>1063</v>
      </c>
      <c r="I121" s="287" t="s">
        <v>195</v>
      </c>
      <c r="J121" s="287" t="s">
        <v>197</v>
      </c>
      <c r="K121" s="287"/>
      <c r="L121" s="288"/>
    </row>
    <row r="122" spans="1:16" ht="45">
      <c r="B122" s="31"/>
      <c r="C122" s="289">
        <f>AVERAGE(50,-11,-20,76,43,75,2)/100</f>
        <v>0.30714285714285716</v>
      </c>
      <c r="D122" s="286" t="s">
        <v>180</v>
      </c>
      <c r="E122" s="287" t="s">
        <v>181</v>
      </c>
      <c r="F122" s="292" t="s">
        <v>221</v>
      </c>
      <c r="G122" s="292" t="s">
        <v>85</v>
      </c>
      <c r="H122" s="282" t="s">
        <v>84</v>
      </c>
      <c r="I122" s="290" t="s">
        <v>222</v>
      </c>
      <c r="J122" s="13"/>
      <c r="K122" s="13"/>
      <c r="L122" s="14"/>
      <c r="M122" t="s">
        <v>183</v>
      </c>
      <c r="N122">
        <v>5</v>
      </c>
    </row>
    <row r="123" spans="1:16" s="706" customFormat="1" ht="30">
      <c r="B123" s="284"/>
      <c r="C123" s="285">
        <v>0.41</v>
      </c>
      <c r="D123" s="286" t="s">
        <v>180</v>
      </c>
      <c r="E123" s="287" t="s">
        <v>1043</v>
      </c>
      <c r="F123" s="286" t="s">
        <v>182</v>
      </c>
      <c r="G123" s="287" t="s">
        <v>1048</v>
      </c>
      <c r="H123" s="287" t="s">
        <v>84</v>
      </c>
      <c r="I123" s="287" t="s">
        <v>1044</v>
      </c>
      <c r="J123" s="287" t="s">
        <v>1046</v>
      </c>
      <c r="K123" s="287"/>
      <c r="L123" s="288"/>
      <c r="M123" s="287" t="s">
        <v>1045</v>
      </c>
      <c r="P123" s="717"/>
    </row>
    <row r="124" spans="1:16" s="706" customFormat="1" ht="45">
      <c r="B124" s="284"/>
      <c r="C124" s="285">
        <v>0.2</v>
      </c>
      <c r="D124" s="286" t="s">
        <v>180</v>
      </c>
      <c r="E124" s="287" t="s">
        <v>182</v>
      </c>
      <c r="F124" s="286" t="s">
        <v>182</v>
      </c>
      <c r="G124" s="287" t="s">
        <v>1061</v>
      </c>
      <c r="H124" s="287" t="s">
        <v>84</v>
      </c>
      <c r="I124" s="287" t="s">
        <v>1062</v>
      </c>
      <c r="J124" s="287" t="s">
        <v>1060</v>
      </c>
      <c r="K124" s="287"/>
      <c r="L124" s="288" t="s">
        <v>72</v>
      </c>
      <c r="M124" s="287"/>
      <c r="P124" s="717"/>
    </row>
    <row r="125" spans="1:16" ht="15.75" thickBot="1">
      <c r="B125" s="15"/>
      <c r="C125" s="416"/>
      <c r="D125" s="16"/>
      <c r="E125" s="16"/>
      <c r="F125" s="16"/>
      <c r="G125" s="16"/>
      <c r="H125" s="16"/>
      <c r="I125" s="16"/>
      <c r="J125" s="16"/>
      <c r="K125" s="16"/>
      <c r="L125" s="17"/>
    </row>
    <row r="127" spans="1:16" ht="15.75" thickBot="1">
      <c r="A127" s="1" t="s">
        <v>223</v>
      </c>
    </row>
    <row r="128" spans="1:16">
      <c r="C128" s="450" t="s">
        <v>224</v>
      </c>
      <c r="D128" s="451" t="s">
        <v>225</v>
      </c>
      <c r="E128" s="451" t="s">
        <v>226</v>
      </c>
      <c r="F128" s="451" t="s">
        <v>227</v>
      </c>
      <c r="G128" s="451" t="s">
        <v>228</v>
      </c>
      <c r="H128" s="452" t="s">
        <v>1138</v>
      </c>
    </row>
    <row r="129" spans="2:16" ht="38.25">
      <c r="C129" s="453" t="s">
        <v>1112</v>
      </c>
      <c r="D129" s="448" t="s">
        <v>1124</v>
      </c>
      <c r="E129" s="282" t="s">
        <v>229</v>
      </c>
      <c r="F129" s="448" t="s">
        <v>230</v>
      </c>
      <c r="G129" s="449">
        <v>40909</v>
      </c>
      <c r="H129" s="454" t="s">
        <v>1125</v>
      </c>
      <c r="I129" s="13"/>
      <c r="J129" s="13"/>
      <c r="K129" s="13"/>
      <c r="L129" s="13"/>
      <c r="M129" s="13"/>
    </row>
    <row r="130" spans="2:16" ht="51">
      <c r="C130" s="453" t="s">
        <v>195</v>
      </c>
      <c r="D130" s="448" t="s">
        <v>1064</v>
      </c>
      <c r="E130" s="282" t="s">
        <v>161</v>
      </c>
      <c r="F130" s="448" t="s">
        <v>1126</v>
      </c>
      <c r="G130" s="449">
        <v>36861</v>
      </c>
      <c r="H130" s="454" t="s">
        <v>1125</v>
      </c>
      <c r="I130" s="13"/>
      <c r="J130" s="13"/>
      <c r="K130" s="13"/>
      <c r="L130" s="13"/>
      <c r="M130" s="13"/>
    </row>
    <row r="131" spans="2:16" ht="51">
      <c r="C131" s="455" t="s">
        <v>1118</v>
      </c>
      <c r="D131" s="448" t="s">
        <v>1127</v>
      </c>
      <c r="E131" s="282" t="s">
        <v>162</v>
      </c>
      <c r="F131" s="448" t="s">
        <v>1137</v>
      </c>
      <c r="G131" s="449">
        <v>36739</v>
      </c>
      <c r="H131" s="454" t="s">
        <v>88</v>
      </c>
      <c r="I131" s="13"/>
      <c r="J131" s="13"/>
      <c r="K131" s="13"/>
      <c r="L131" s="13"/>
      <c r="M131" s="13"/>
    </row>
    <row r="132" spans="2:16" ht="51">
      <c r="C132" s="455" t="s">
        <v>222</v>
      </c>
      <c r="D132" s="448" t="s">
        <v>1128</v>
      </c>
      <c r="E132" s="290" t="s">
        <v>231</v>
      </c>
      <c r="F132" s="448" t="s">
        <v>1129</v>
      </c>
      <c r="G132" s="449">
        <v>41153</v>
      </c>
      <c r="H132" s="454" t="s">
        <v>1130</v>
      </c>
      <c r="I132" s="447"/>
      <c r="J132" s="448"/>
      <c r="K132" s="448"/>
      <c r="L132" s="449"/>
      <c r="M132" s="448"/>
    </row>
    <row r="133" spans="2:16" s="703" customFormat="1" ht="75">
      <c r="C133" s="718" t="s">
        <v>1065</v>
      </c>
      <c r="D133" s="287" t="s">
        <v>1066</v>
      </c>
      <c r="E133" s="719" t="s">
        <v>1018</v>
      </c>
      <c r="F133" s="287" t="s">
        <v>1131</v>
      </c>
      <c r="G133" s="720">
        <v>40817</v>
      </c>
      <c r="H133" s="288" t="s">
        <v>1132</v>
      </c>
      <c r="I133" s="721"/>
      <c r="J133" s="721"/>
      <c r="K133" s="721"/>
      <c r="L133" s="721"/>
      <c r="M133" s="721"/>
      <c r="P133" s="722"/>
    </row>
    <row r="134" spans="2:16" s="703" customFormat="1" ht="105">
      <c r="C134" s="718" t="s">
        <v>1019</v>
      </c>
      <c r="D134" s="287" t="s">
        <v>1133</v>
      </c>
      <c r="E134" s="723" t="s">
        <v>1021</v>
      </c>
      <c r="F134" s="287" t="s">
        <v>98</v>
      </c>
      <c r="G134" s="720">
        <v>40603</v>
      </c>
      <c r="H134" s="288" t="s">
        <v>1134</v>
      </c>
      <c r="I134" s="721"/>
      <c r="J134" s="721"/>
      <c r="K134" s="721"/>
      <c r="L134" s="721"/>
      <c r="M134" s="721"/>
      <c r="P134" s="722"/>
    </row>
    <row r="135" spans="2:16" s="703" customFormat="1" ht="120">
      <c r="C135" s="284" t="s">
        <v>1067</v>
      </c>
      <c r="D135" s="287" t="s">
        <v>1068</v>
      </c>
      <c r="E135" s="723" t="s">
        <v>1022</v>
      </c>
      <c r="F135" s="287" t="s">
        <v>98</v>
      </c>
      <c r="G135" s="720">
        <v>40787</v>
      </c>
      <c r="H135" s="288" t="s">
        <v>1135</v>
      </c>
      <c r="I135" s="721"/>
      <c r="J135" s="721"/>
      <c r="K135" s="721"/>
      <c r="L135" s="721"/>
      <c r="M135" s="721"/>
      <c r="P135" s="722"/>
    </row>
    <row r="136" spans="2:16" s="703" customFormat="1" ht="75.75" thickBot="1">
      <c r="C136" s="724" t="s">
        <v>1069</v>
      </c>
      <c r="D136" s="725" t="s">
        <v>1070</v>
      </c>
      <c r="E136" s="726" t="s">
        <v>1047</v>
      </c>
      <c r="F136" s="725" t="s">
        <v>98</v>
      </c>
      <c r="G136" s="727">
        <v>40817</v>
      </c>
      <c r="H136" s="728" t="s">
        <v>1136</v>
      </c>
      <c r="I136" s="721"/>
      <c r="J136" s="721"/>
      <c r="K136" s="721"/>
      <c r="L136" s="721"/>
      <c r="M136" s="721"/>
      <c r="P136" s="722"/>
    </row>
    <row r="137" spans="2:16">
      <c r="B137" s="271"/>
    </row>
    <row r="138" spans="2:16">
      <c r="B138" s="402" t="s">
        <v>941</v>
      </c>
      <c r="C138" s="865" t="s">
        <v>942</v>
      </c>
      <c r="D138" s="865"/>
      <c r="E138" s="865"/>
      <c r="F138" s="865"/>
    </row>
    <row r="139" spans="2:16" ht="54" customHeight="1">
      <c r="B139" s="402" t="s">
        <v>941</v>
      </c>
      <c r="C139" s="864" t="s">
        <v>943</v>
      </c>
      <c r="D139" s="864"/>
      <c r="E139" s="864"/>
      <c r="F139" s="864"/>
    </row>
    <row r="140" spans="2:16" s="384" customFormat="1">
      <c r="P140" s="7"/>
    </row>
    <row r="141" spans="2:16" s="384" customFormat="1">
      <c r="P141" s="7"/>
    </row>
    <row r="143" spans="2:16">
      <c r="B143" s="862" t="s">
        <v>232</v>
      </c>
      <c r="C143" s="862"/>
      <c r="D143" s="862"/>
      <c r="E143" s="862"/>
      <c r="F143" s="862"/>
      <c r="G143" s="862"/>
    </row>
    <row r="144" spans="2:16">
      <c r="B144" t="s">
        <v>41</v>
      </c>
      <c r="C144" t="s">
        <v>233</v>
      </c>
      <c r="D144" t="s">
        <v>234</v>
      </c>
      <c r="E144" t="s">
        <v>235</v>
      </c>
      <c r="F144" t="s">
        <v>236</v>
      </c>
      <c r="G144" s="7" t="s">
        <v>237</v>
      </c>
      <c r="H144" t="s">
        <v>238</v>
      </c>
      <c r="I144" t="s">
        <v>984</v>
      </c>
      <c r="J144" t="s">
        <v>234</v>
      </c>
      <c r="K144" t="s">
        <v>236</v>
      </c>
      <c r="L144" s="7" t="s">
        <v>237</v>
      </c>
      <c r="M144" s="384" t="s">
        <v>238</v>
      </c>
    </row>
    <row r="145" spans="2:16">
      <c r="B145" s="384" t="s">
        <v>1283</v>
      </c>
      <c r="C145" t="s">
        <v>573</v>
      </c>
      <c r="D145" s="38" t="s">
        <v>144</v>
      </c>
      <c r="E145" s="38"/>
      <c r="F145" t="s">
        <v>1283</v>
      </c>
      <c r="G145" s="7"/>
      <c r="H145" s="266"/>
      <c r="I145" s="38" t="s">
        <v>144</v>
      </c>
      <c r="K145" t="s">
        <v>1283</v>
      </c>
      <c r="L145" s="7"/>
      <c r="M145" s="384"/>
    </row>
    <row r="146" spans="2:16">
      <c r="C146">
        <v>70</v>
      </c>
      <c r="D146">
        <v>90</v>
      </c>
      <c r="G146" s="7"/>
      <c r="H146" s="863">
        <f>AVERAGE(G146:G152)</f>
        <v>0.53908593664691229</v>
      </c>
      <c r="I146" s="384">
        <v>70</v>
      </c>
      <c r="J146" s="384">
        <f>AVERAGE(90,95)</f>
        <v>92.5</v>
      </c>
      <c r="K146">
        <v>36</v>
      </c>
      <c r="L146" s="7">
        <f>1-(K146/J146)</f>
        <v>0.61081081081081079</v>
      </c>
      <c r="M146" s="866">
        <f>AVERAGE(L146:L151)</f>
        <v>0.50420461670516359</v>
      </c>
    </row>
    <row r="147" spans="2:16">
      <c r="C147">
        <v>100</v>
      </c>
      <c r="D147">
        <v>120</v>
      </c>
      <c r="G147" s="7"/>
      <c r="H147" s="863"/>
      <c r="I147" s="384">
        <v>100</v>
      </c>
      <c r="J147" s="384">
        <f>AVERAGE(130,120)</f>
        <v>125</v>
      </c>
      <c r="K147">
        <v>48</v>
      </c>
      <c r="L147" s="7">
        <f t="shared" ref="L147:L151" si="4">1-(K147/J147)</f>
        <v>0.61599999999999999</v>
      </c>
      <c r="M147" s="866"/>
    </row>
    <row r="148" spans="2:16">
      <c r="C148">
        <v>150</v>
      </c>
      <c r="D148">
        <v>190</v>
      </c>
      <c r="G148" s="7"/>
      <c r="H148" s="863"/>
      <c r="I148" s="384">
        <v>150</v>
      </c>
      <c r="J148" s="384">
        <f>AVERAGE(160,190)</f>
        <v>175</v>
      </c>
      <c r="K148">
        <v>83</v>
      </c>
      <c r="L148" s="7">
        <f t="shared" si="4"/>
        <v>0.52571428571428569</v>
      </c>
      <c r="M148" s="866"/>
    </row>
    <row r="149" spans="2:16">
      <c r="C149">
        <v>175</v>
      </c>
      <c r="D149">
        <v>205</v>
      </c>
      <c r="F149">
        <v>89</v>
      </c>
      <c r="G149" s="7">
        <f t="shared" ref="G149:G151" si="5">1-(F149/D149)</f>
        <v>0.56585365853658542</v>
      </c>
      <c r="H149" s="863"/>
      <c r="I149" s="384">
        <v>200</v>
      </c>
      <c r="J149" s="384">
        <v>234</v>
      </c>
      <c r="K149">
        <v>139</v>
      </c>
      <c r="L149" s="7">
        <f t="shared" si="4"/>
        <v>0.40598290598290598</v>
      </c>
      <c r="M149" s="866"/>
    </row>
    <row r="150" spans="2:16">
      <c r="C150">
        <v>250</v>
      </c>
      <c r="D150">
        <v>270</v>
      </c>
      <c r="F150">
        <v>141</v>
      </c>
      <c r="G150" s="7">
        <f t="shared" si="5"/>
        <v>0.47777777777777775</v>
      </c>
      <c r="H150" s="863"/>
      <c r="I150" s="384">
        <v>250</v>
      </c>
      <c r="J150" s="384">
        <f>AVERAGE(270,295)</f>
        <v>282.5</v>
      </c>
      <c r="K150">
        <v>157</v>
      </c>
      <c r="L150" s="7">
        <f t="shared" si="4"/>
        <v>0.44424778761061945</v>
      </c>
      <c r="M150" s="866"/>
    </row>
    <row r="151" spans="2:16">
      <c r="C151">
        <v>400</v>
      </c>
      <c r="D151">
        <v>455</v>
      </c>
      <c r="F151">
        <v>194</v>
      </c>
      <c r="G151" s="7">
        <f t="shared" si="5"/>
        <v>0.57362637362637359</v>
      </c>
      <c r="H151" s="863"/>
      <c r="I151" s="384">
        <v>400</v>
      </c>
      <c r="J151" s="384">
        <f>AVERAGE(430,460)</f>
        <v>445</v>
      </c>
      <c r="K151">
        <v>257</v>
      </c>
      <c r="L151" s="7">
        <f t="shared" si="4"/>
        <v>0.42247191011235952</v>
      </c>
      <c r="M151" s="866"/>
    </row>
    <row r="152" spans="2:16">
      <c r="G152" s="7"/>
      <c r="H152" s="863"/>
      <c r="I152" s="384"/>
      <c r="J152" s="384"/>
      <c r="L152" s="7"/>
      <c r="M152" s="866"/>
    </row>
    <row r="154" spans="2:16" s="384" customFormat="1">
      <c r="C154" s="384" t="s">
        <v>32</v>
      </c>
      <c r="D154" s="38" t="s">
        <v>144</v>
      </c>
      <c r="E154" s="38"/>
      <c r="F154" s="384" t="s">
        <v>1283</v>
      </c>
      <c r="G154" s="7"/>
      <c r="H154" s="266"/>
      <c r="I154" s="38" t="s">
        <v>144</v>
      </c>
      <c r="K154" s="7"/>
      <c r="P154" s="7"/>
    </row>
    <row r="155" spans="2:16" s="384" customFormat="1">
      <c r="C155" s="384">
        <v>70</v>
      </c>
      <c r="D155" s="384">
        <f>95</f>
        <v>95</v>
      </c>
      <c r="F155" s="384">
        <v>18</v>
      </c>
      <c r="G155" s="7">
        <f>1-(F155/D155)</f>
        <v>0.81052631578947365</v>
      </c>
      <c r="H155" s="863">
        <f>AVERAGE(G155:G161)</f>
        <v>0.73441614778968844</v>
      </c>
      <c r="K155" s="7"/>
      <c r="L155" s="729"/>
      <c r="P155" s="7"/>
    </row>
    <row r="156" spans="2:16" s="384" customFormat="1">
      <c r="C156" s="384">
        <v>100</v>
      </c>
      <c r="D156" s="384">
        <f>130</f>
        <v>130</v>
      </c>
      <c r="F156" s="384">
        <v>29</v>
      </c>
      <c r="G156" s="7">
        <f t="shared" ref="G156:G160" si="6">1-(F156/D156)</f>
        <v>0.77692307692307694</v>
      </c>
      <c r="H156" s="863"/>
      <c r="K156" s="7"/>
      <c r="L156" s="729"/>
      <c r="P156" s="7"/>
    </row>
    <row r="157" spans="2:16" s="384" customFormat="1">
      <c r="C157" s="384">
        <v>150</v>
      </c>
      <c r="D157" s="384">
        <f>190</f>
        <v>190</v>
      </c>
      <c r="F157" s="384">
        <v>50</v>
      </c>
      <c r="G157" s="7">
        <f t="shared" si="6"/>
        <v>0.73684210526315796</v>
      </c>
      <c r="H157" s="863"/>
      <c r="K157" s="7"/>
      <c r="L157" s="729"/>
      <c r="P157" s="7"/>
    </row>
    <row r="158" spans="2:16" s="384" customFormat="1">
      <c r="G158" s="7"/>
      <c r="H158" s="863"/>
      <c r="K158" s="7"/>
      <c r="L158" s="729"/>
      <c r="P158" s="7"/>
    </row>
    <row r="159" spans="2:16" s="384" customFormat="1">
      <c r="C159" s="384">
        <v>250</v>
      </c>
      <c r="D159" s="384">
        <f>295</f>
        <v>295</v>
      </c>
      <c r="F159" s="384">
        <v>93</v>
      </c>
      <c r="G159" s="7">
        <f t="shared" si="6"/>
        <v>0.68474576271186438</v>
      </c>
      <c r="H159" s="863"/>
      <c r="K159" s="7"/>
      <c r="L159" s="729"/>
      <c r="P159" s="7"/>
    </row>
    <row r="160" spans="2:16" s="384" customFormat="1">
      <c r="C160" s="384">
        <v>400</v>
      </c>
      <c r="D160" s="384">
        <f>460</f>
        <v>460</v>
      </c>
      <c r="F160" s="384">
        <v>155</v>
      </c>
      <c r="G160" s="7">
        <f t="shared" si="6"/>
        <v>0.66304347826086962</v>
      </c>
      <c r="H160" s="863"/>
      <c r="K160" s="7"/>
      <c r="L160" s="729"/>
      <c r="P160" s="7"/>
    </row>
    <row r="161" spans="2:16" s="384" customFormat="1">
      <c r="G161" s="7"/>
      <c r="H161" s="863"/>
      <c r="K161" s="7"/>
      <c r="L161" s="729"/>
      <c r="P161" s="7"/>
    </row>
    <row r="166" spans="2:16" s="384" customFormat="1">
      <c r="B166" s="862" t="s">
        <v>239</v>
      </c>
      <c r="C166" s="862"/>
      <c r="D166" s="862"/>
      <c r="E166" s="862"/>
      <c r="F166" s="862"/>
      <c r="G166" s="862"/>
      <c r="P166" s="7"/>
    </row>
    <row r="167" spans="2:16" s="384" customFormat="1">
      <c r="C167" s="384" t="s">
        <v>240</v>
      </c>
      <c r="D167" s="384" t="s">
        <v>241</v>
      </c>
      <c r="E167" s="384" t="s">
        <v>235</v>
      </c>
      <c r="F167" s="384" t="s">
        <v>236</v>
      </c>
      <c r="G167" s="7" t="s">
        <v>237</v>
      </c>
      <c r="P167" s="7"/>
    </row>
    <row r="168" spans="2:16" s="384" customFormat="1">
      <c r="D168" s="38" t="s">
        <v>144</v>
      </c>
      <c r="E168" s="384" t="s">
        <v>141</v>
      </c>
      <c r="G168" s="7"/>
      <c r="P168" s="7"/>
    </row>
    <row r="169" spans="2:16" s="384" customFormat="1">
      <c r="B169" s="384" t="s">
        <v>1000</v>
      </c>
      <c r="C169" s="384">
        <v>64</v>
      </c>
      <c r="D169" s="384">
        <v>60</v>
      </c>
      <c r="E169" s="867">
        <v>40</v>
      </c>
      <c r="F169" s="867">
        <v>40</v>
      </c>
      <c r="G169" s="863">
        <f>(0.8*(D169-F169)+0.2*(D170-F169))/(0.8*D169+0.2*D170)</f>
        <v>0.35897435897435898</v>
      </c>
      <c r="H169" s="868" t="s">
        <v>1254</v>
      </c>
      <c r="P169" s="7"/>
    </row>
    <row r="170" spans="2:16">
      <c r="B170" s="384" t="s">
        <v>1001</v>
      </c>
      <c r="C170">
        <v>80</v>
      </c>
      <c r="D170">
        <v>72</v>
      </c>
      <c r="E170" s="867"/>
      <c r="F170" s="867"/>
      <c r="G170" s="863"/>
      <c r="H170" s="868"/>
    </row>
    <row r="171" spans="2:16">
      <c r="B171" t="s">
        <v>999</v>
      </c>
      <c r="C171">
        <v>64</v>
      </c>
      <c r="D171">
        <v>60</v>
      </c>
      <c r="E171" s="406">
        <v>40</v>
      </c>
      <c r="F171" s="406">
        <v>40</v>
      </c>
      <c r="G171" s="405">
        <f>1-(F171/D171)</f>
        <v>0.33333333333333337</v>
      </c>
    </row>
    <row r="172" spans="2:16">
      <c r="G172" s="408"/>
    </row>
    <row r="174" spans="2:16" ht="60">
      <c r="B174" s="269" t="s">
        <v>175</v>
      </c>
    </row>
  </sheetData>
  <sheetProtection password="CD9A" sheet="1" objects="1" scenarios="1"/>
  <sortState ref="B44:F44">
    <sortCondition ref="F43"/>
  </sortState>
  <mergeCells count="12">
    <mergeCell ref="H155:H161"/>
    <mergeCell ref="E169:E170"/>
    <mergeCell ref="F169:F170"/>
    <mergeCell ref="G169:G170"/>
    <mergeCell ref="H169:H170"/>
    <mergeCell ref="B166:G166"/>
    <mergeCell ref="P53:X53"/>
    <mergeCell ref="B143:G143"/>
    <mergeCell ref="H146:H152"/>
    <mergeCell ref="C139:F139"/>
    <mergeCell ref="C138:F138"/>
    <mergeCell ref="M146:M152"/>
  </mergeCells>
  <hyperlinks>
    <hyperlink ref="H30" r:id="rId1"/>
    <hyperlink ref="H23" r:id="rId2"/>
    <hyperlink ref="D145" r:id="rId3"/>
    <hyperlink ref="H25" r:id="rId4"/>
    <hyperlink ref="H27" r:id="rId5"/>
    <hyperlink ref="H14" r:id="rId6"/>
    <hyperlink ref="H29" r:id="rId7"/>
    <hyperlink ref="I10" r:id="rId8"/>
    <hyperlink ref="I39" r:id="rId9" location="xml=http://search.nema.org/texis/search/pdfhi.txt?query=t12&amp;pr=nema.org&amp;prox=page&amp;rorder=500&amp;rprox=500&amp;rdfreq=500&amp;rwfreq=500&amp;rlead=500&amp;rdepth=0&amp;sufs=0&amp;order=r&amp;cq=&amp;id=4b4d833c61" display="http://www.nema.org/gov/energy/efficiency/upload/2012_Standards_for_General_Service_Flr_Lps.pdf - xml=http://search.nema.org/texis/search/pdfhi.txt?query=t12&amp;pr=nema.org&amp;prox=page&amp;rorder=500&amp;rprox=500&amp;rdfreq=500&amp;rwfreq=500&amp;rlead=500&amp;rdepth=0&amp;sufs=0&amp;order=r&amp;cq=&amp;id=4b4d833c61"/>
    <hyperlink ref="I41" r:id="rId10" location="xml=http://search.nema.org/texis/search/pdfhi.txt?query=t12&amp;pr=nema.org&amp;prox=page&amp;rorder=500&amp;rprox=500&amp;rdfreq=500&amp;rwfreq=500&amp;rlead=500&amp;rdepth=0&amp;sufs=0&amp;order=r&amp;cq=&amp;id=4b4d833c61" display="http://www.nema.org/gov/energy/efficiency/upload/2012_Standards_for_General_Service_Flr_Lps.pdf - xml=http://search.nema.org/texis/search/pdfhi.txt?query=t12&amp;pr=nema.org&amp;prox=page&amp;rorder=500&amp;rprox=500&amp;rdfreq=500&amp;rwfreq=500&amp;rlead=500&amp;rdepth=0&amp;sufs=0&amp;order=r&amp;cq=&amp;id=4b4d833c61"/>
    <hyperlink ref="I44" r:id="rId11"/>
    <hyperlink ref="H31" r:id="rId12"/>
    <hyperlink ref="H32" r:id="rId13"/>
    <hyperlink ref="H33" r:id="rId14"/>
    <hyperlink ref="H34" r:id="rId15"/>
    <hyperlink ref="H35" r:id="rId16"/>
    <hyperlink ref="H36" r:id="rId17"/>
    <hyperlink ref="I40" r:id="rId18" location="xml=http://search.nema.org/texis/search/pdfhi.txt?query=t12&amp;pr=nema.org&amp;prox=page&amp;rorder=500&amp;rprox=500&amp;rdfreq=500&amp;rwfreq=500&amp;rlead=500&amp;rdepth=0&amp;sufs=0&amp;order=r&amp;cq=&amp;id=4b4d833c61" display="http://www.nema.org/gov/energy/efficiency/upload/2012_Standards_for_General_Service_Flr_Lps.pdf - xml=http://search.nema.org/texis/search/pdfhi.txt?query=t12&amp;pr=nema.org&amp;prox=page&amp;rorder=500&amp;rprox=500&amp;rdfreq=500&amp;rwfreq=500&amp;rlead=500&amp;rdepth=0&amp;sufs=0&amp;order=r&amp;cq=&amp;id=4b4d833c61"/>
    <hyperlink ref="I12" r:id="rId19"/>
    <hyperlink ref="I145" r:id="rId20"/>
    <hyperlink ref="H20" r:id="rId21"/>
    <hyperlink ref="I42" r:id="rId22" location="xml=http://search.nema.org/texis/search/pdfhi.txt?query=t12&amp;pr=nema.org&amp;prox=page&amp;rorder=500&amp;rprox=500&amp;rdfreq=500&amp;rwfreq=500&amp;rlead=500&amp;rdepth=0&amp;sufs=0&amp;order=r&amp;cq=&amp;id=4b4d833c61" display="http://www.nema.org/gov/energy/efficiency/upload/2012_Standards_for_General_Service_Flr_Lps.pdf - xml=http://search.nema.org/texis/search/pdfhi.txt?query=t12&amp;pr=nema.org&amp;prox=page&amp;rorder=500&amp;rprox=500&amp;rdfreq=500&amp;rwfreq=500&amp;rlead=500&amp;rdepth=0&amp;sufs=0&amp;order=r&amp;cq=&amp;id=4b4d833c61"/>
    <hyperlink ref="J44" r:id="rId23"/>
    <hyperlink ref="J45" r:id="rId24"/>
    <hyperlink ref="I45" r:id="rId25"/>
    <hyperlink ref="E135" r:id="rId26"/>
    <hyperlink ref="E136" r:id="rId27"/>
    <hyperlink ref="E134" r:id="rId28"/>
    <hyperlink ref="J17" r:id="rId29"/>
    <hyperlink ref="H17" r:id="rId30"/>
    <hyperlink ref="H16" r:id="rId31"/>
    <hyperlink ref="H21" r:id="rId32"/>
    <hyperlink ref="D168" r:id="rId33"/>
    <hyperlink ref="D154" r:id="rId34"/>
    <hyperlink ref="I154" r:id="rId35"/>
    <hyperlink ref="H19" r:id="rId36"/>
    <hyperlink ref="H15" r:id="rId37"/>
    <hyperlink ref="I13" r:id="rId38"/>
  </hyperlinks>
  <pageMargins left="0.7" right="0.7" top="0.75" bottom="0.75" header="0.3" footer="0.3"/>
  <pageSetup orientation="portrait" r:id="rId39"/>
  <drawing r:id="rId40"/>
  <legacyDrawing r:id="rId4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217"/>
  <sheetViews>
    <sheetView workbookViewId="0"/>
  </sheetViews>
  <sheetFormatPr defaultRowHeight="15"/>
  <cols>
    <col min="1" max="1" width="4.28515625" customWidth="1"/>
    <col min="2" max="2" width="15.42578125" bestFit="1" customWidth="1"/>
    <col min="3" max="3" width="26" customWidth="1"/>
    <col min="4" max="4" width="25.85546875" customWidth="1"/>
    <col min="5" max="5" width="19.42578125" bestFit="1" customWidth="1"/>
    <col min="6" max="6" width="26.7109375" bestFit="1" customWidth="1"/>
    <col min="7" max="7" width="20.7109375" bestFit="1" customWidth="1"/>
    <col min="8" max="8" width="13.28515625" customWidth="1"/>
    <col min="9" max="9" width="13.5703125" customWidth="1"/>
    <col min="10" max="10" width="9.140625" customWidth="1"/>
    <col min="11" max="11" width="9.42578125" customWidth="1"/>
    <col min="12" max="12" width="9.140625" customWidth="1"/>
    <col min="13" max="13" width="25" bestFit="1" customWidth="1"/>
    <col min="14" max="14" width="11.5703125" customWidth="1"/>
    <col min="15" max="15" width="9.7109375" bestFit="1" customWidth="1"/>
    <col min="16" max="16" width="12.140625" customWidth="1"/>
    <col min="17" max="17" width="12.7109375" bestFit="1" customWidth="1"/>
    <col min="19" max="19" width="10.85546875" bestFit="1" customWidth="1"/>
    <col min="20" max="20" width="11" customWidth="1"/>
    <col min="23" max="23" width="11.85546875" customWidth="1"/>
  </cols>
  <sheetData>
    <row r="1" spans="1:23">
      <c r="L1" s="30"/>
      <c r="M1" s="368" t="s">
        <v>1330</v>
      </c>
      <c r="N1" s="11"/>
      <c r="O1" s="11"/>
      <c r="P1" s="11"/>
      <c r="Q1" s="11"/>
      <c r="R1" s="368" t="s">
        <v>858</v>
      </c>
      <c r="S1" s="11"/>
      <c r="T1" s="11"/>
      <c r="U1" s="11"/>
      <c r="V1" s="11"/>
      <c r="W1" s="12"/>
    </row>
    <row r="2" spans="1:23" ht="15.75" thickBot="1">
      <c r="A2" s="1"/>
      <c r="L2" s="31"/>
      <c r="M2" s="370" t="s">
        <v>1329</v>
      </c>
      <c r="N2" s="13"/>
      <c r="O2" s="13"/>
      <c r="P2" s="13"/>
      <c r="Q2" s="13"/>
      <c r="R2" s="370" t="s">
        <v>859</v>
      </c>
      <c r="S2" s="13"/>
      <c r="T2" s="13"/>
      <c r="U2" s="13"/>
      <c r="V2" s="13"/>
      <c r="W2" s="14"/>
    </row>
    <row r="3" spans="1:23">
      <c r="B3" s="30" t="s">
        <v>1175</v>
      </c>
      <c r="C3" s="11"/>
      <c r="D3" s="11"/>
      <c r="E3" s="11"/>
      <c r="F3" s="12"/>
      <c r="L3" s="31"/>
      <c r="M3" s="369" t="s">
        <v>1331</v>
      </c>
      <c r="N3" s="13"/>
      <c r="O3" s="13"/>
      <c r="P3" s="13"/>
      <c r="Q3" s="13"/>
      <c r="R3" s="13"/>
      <c r="S3" s="13"/>
      <c r="T3" s="13"/>
      <c r="U3" s="13"/>
      <c r="V3" s="13"/>
      <c r="W3" s="14"/>
    </row>
    <row r="4" spans="1:23">
      <c r="B4" s="376" t="s">
        <v>865</v>
      </c>
      <c r="C4" s="13"/>
      <c r="D4" s="13" t="s">
        <v>1174</v>
      </c>
      <c r="E4" s="13"/>
      <c r="F4" s="14"/>
      <c r="L4" s="31"/>
      <c r="M4" s="370" t="s">
        <v>853</v>
      </c>
      <c r="N4" s="370" t="s">
        <v>1332</v>
      </c>
      <c r="O4" s="371" t="s">
        <v>863</v>
      </c>
      <c r="P4" s="13"/>
      <c r="Q4" s="13"/>
      <c r="R4" s="13"/>
      <c r="S4" s="13" t="s">
        <v>302</v>
      </c>
      <c r="T4" s="13">
        <v>1.4</v>
      </c>
      <c r="U4" s="13"/>
      <c r="V4" s="13"/>
      <c r="W4" s="14"/>
    </row>
    <row r="5" spans="1:23">
      <c r="B5" s="31"/>
      <c r="C5" s="13"/>
      <c r="D5" s="13"/>
      <c r="E5" s="13"/>
      <c r="F5" s="14"/>
      <c r="G5" s="384"/>
      <c r="H5" s="384"/>
      <c r="I5" s="384"/>
      <c r="L5" s="31"/>
      <c r="M5" s="367" t="s">
        <v>1333</v>
      </c>
      <c r="N5" s="367">
        <v>157.23400000000001</v>
      </c>
      <c r="O5" s="367">
        <f>(N5*$T$4*365)/1000</f>
        <v>80.34657399999999</v>
      </c>
      <c r="P5" s="13"/>
      <c r="Q5" s="13"/>
      <c r="R5" s="13"/>
      <c r="S5" s="13" t="s">
        <v>444</v>
      </c>
      <c r="T5" s="13">
        <v>1.7</v>
      </c>
      <c r="U5" s="13"/>
      <c r="V5" s="13"/>
      <c r="W5" s="14"/>
    </row>
    <row r="6" spans="1:23">
      <c r="B6" s="31" t="s">
        <v>1327</v>
      </c>
      <c r="C6" s="13"/>
      <c r="D6" s="13"/>
      <c r="E6" s="13"/>
      <c r="F6" s="14"/>
      <c r="G6" s="384"/>
      <c r="H6" s="384"/>
      <c r="I6" s="384"/>
      <c r="L6" s="31"/>
      <c r="M6" s="367" t="s">
        <v>1334</v>
      </c>
      <c r="N6" s="367">
        <v>176.40700000000001</v>
      </c>
      <c r="O6" s="367">
        <f>(N6*$T$4*365)/1000</f>
        <v>90.143976999999992</v>
      </c>
      <c r="P6" s="13"/>
      <c r="Q6" s="13"/>
      <c r="R6" s="13"/>
      <c r="S6" s="13" t="s">
        <v>860</v>
      </c>
      <c r="T6" s="13">
        <v>1.9</v>
      </c>
      <c r="U6" s="13"/>
      <c r="V6" s="13"/>
      <c r="W6" s="14"/>
    </row>
    <row r="7" spans="1:23">
      <c r="B7" s="31"/>
      <c r="C7" s="13" t="s">
        <v>1176</v>
      </c>
      <c r="D7" s="13"/>
      <c r="E7" s="13"/>
      <c r="F7" s="14"/>
      <c r="G7" s="384"/>
      <c r="H7" s="384"/>
      <c r="I7" s="384"/>
      <c r="L7" s="31"/>
      <c r="M7" s="367" t="s">
        <v>1335</v>
      </c>
      <c r="N7" s="367">
        <v>203.58199999999999</v>
      </c>
      <c r="O7" s="367">
        <f t="shared" ref="O7:O12" si="0">(N7*$T$4*365)/1000</f>
        <v>104.03040199999998</v>
      </c>
      <c r="P7" s="13"/>
      <c r="Q7" s="13"/>
      <c r="R7" s="13"/>
      <c r="S7" s="13" t="s">
        <v>337</v>
      </c>
      <c r="T7" s="13">
        <v>1.2</v>
      </c>
      <c r="U7" s="13"/>
      <c r="V7" s="13"/>
      <c r="W7" s="14"/>
    </row>
    <row r="8" spans="1:23">
      <c r="B8" s="31" t="s">
        <v>874</v>
      </c>
      <c r="C8" s="547">
        <f>'Ref-ComSources'!F42</f>
        <v>4280.1398546454002</v>
      </c>
      <c r="D8" s="13"/>
      <c r="E8" s="13"/>
      <c r="F8" s="14"/>
      <c r="G8" s="384"/>
      <c r="H8" s="384"/>
      <c r="I8" s="384"/>
      <c r="L8" s="31"/>
      <c r="M8" s="367" t="s">
        <v>1336</v>
      </c>
      <c r="N8" s="367">
        <v>199.87</v>
      </c>
      <c r="O8" s="367">
        <f t="shared" si="0"/>
        <v>102.13356999999999</v>
      </c>
      <c r="P8" s="13"/>
      <c r="Q8" s="13"/>
      <c r="R8" s="13"/>
      <c r="S8" s="13" t="s">
        <v>854</v>
      </c>
      <c r="T8" s="13">
        <v>1.2</v>
      </c>
      <c r="U8" s="13"/>
      <c r="V8" s="13"/>
      <c r="W8" s="14"/>
    </row>
    <row r="9" spans="1:23">
      <c r="B9" s="31" t="s">
        <v>826</v>
      </c>
      <c r="C9" s="547">
        <f>'Ref-ComSources'!F43</f>
        <v>997.40461129934999</v>
      </c>
      <c r="D9" s="13"/>
      <c r="E9" s="13"/>
      <c r="F9" s="14"/>
      <c r="G9" s="384"/>
      <c r="H9" s="384"/>
      <c r="I9" s="384"/>
      <c r="L9" s="31"/>
      <c r="M9" s="367" t="s">
        <v>1337</v>
      </c>
      <c r="N9" s="367">
        <v>213.31899999999999</v>
      </c>
      <c r="O9" s="367">
        <f t="shared" si="0"/>
        <v>109.00600899999999</v>
      </c>
      <c r="P9" s="13"/>
      <c r="Q9" s="13"/>
      <c r="R9" s="13"/>
      <c r="S9" s="13" t="s">
        <v>311</v>
      </c>
      <c r="T9" s="13">
        <v>2.5</v>
      </c>
      <c r="U9" s="13"/>
      <c r="V9" s="13"/>
      <c r="W9" s="14"/>
    </row>
    <row r="10" spans="1:23">
      <c r="B10" s="31" t="s">
        <v>824</v>
      </c>
      <c r="C10" s="547">
        <f>'Ref-ComSources'!F44</f>
        <v>4512.2562598063996</v>
      </c>
      <c r="D10" s="13"/>
      <c r="E10" s="13"/>
      <c r="F10" s="14"/>
      <c r="G10" s="384"/>
      <c r="H10" s="384"/>
      <c r="I10" s="384"/>
      <c r="L10" s="31"/>
      <c r="M10" s="367" t="s">
        <v>1338</v>
      </c>
      <c r="N10" s="367">
        <v>268.60300000000001</v>
      </c>
      <c r="O10" s="367">
        <f t="shared" si="0"/>
        <v>137.25613300000001</v>
      </c>
      <c r="P10" s="13"/>
      <c r="Q10" s="13"/>
      <c r="R10" s="13"/>
      <c r="S10" s="13" t="s">
        <v>861</v>
      </c>
      <c r="T10" s="13">
        <v>2.2999999999999998</v>
      </c>
      <c r="U10" s="13"/>
      <c r="V10" s="13"/>
      <c r="W10" s="14"/>
    </row>
    <row r="11" spans="1:23">
      <c r="B11" s="31"/>
      <c r="C11" s="13"/>
      <c r="D11" s="13"/>
      <c r="E11" s="13"/>
      <c r="F11" s="14"/>
      <c r="G11" s="384"/>
      <c r="H11" s="384"/>
      <c r="I11" s="384"/>
      <c r="L11" s="31"/>
      <c r="M11" s="367" t="s">
        <v>1339</v>
      </c>
      <c r="N11" s="367">
        <v>77.272000000000006</v>
      </c>
      <c r="O11" s="367">
        <f t="shared" si="0"/>
        <v>39.485991999999996</v>
      </c>
      <c r="P11" s="13"/>
      <c r="Q11" s="13"/>
      <c r="R11" s="13"/>
      <c r="S11" s="13" t="s">
        <v>181</v>
      </c>
      <c r="T11" s="13">
        <v>1.6</v>
      </c>
      <c r="U11" s="13"/>
      <c r="V11" s="13"/>
      <c r="W11" s="14"/>
    </row>
    <row r="12" spans="1:23" ht="15.75" thickBot="1">
      <c r="B12" s="786" t="s">
        <v>1328</v>
      </c>
      <c r="C12" s="787"/>
      <c r="D12" s="787"/>
      <c r="E12" s="788">
        <f>SUM(C8:C10)</f>
        <v>9789.800725751149</v>
      </c>
      <c r="F12" s="789" t="s">
        <v>822</v>
      </c>
      <c r="G12" s="384"/>
      <c r="H12" s="384"/>
      <c r="I12" s="384"/>
      <c r="L12" s="31"/>
      <c r="M12" s="367" t="s">
        <v>1340</v>
      </c>
      <c r="N12" s="367">
        <v>264.815</v>
      </c>
      <c r="O12" s="367">
        <f t="shared" si="0"/>
        <v>135.32046499999998</v>
      </c>
      <c r="P12" s="13"/>
      <c r="Q12" s="13"/>
      <c r="R12" s="13"/>
      <c r="S12" s="13" t="s">
        <v>107</v>
      </c>
      <c r="T12" s="13">
        <v>1.4</v>
      </c>
      <c r="U12" s="13"/>
      <c r="V12" s="13"/>
      <c r="W12" s="14"/>
    </row>
    <row r="13" spans="1:23">
      <c r="B13" s="384"/>
      <c r="C13" s="384"/>
      <c r="D13" s="384"/>
      <c r="E13" s="384"/>
      <c r="F13" s="384"/>
      <c r="G13" s="384"/>
      <c r="H13" s="384"/>
      <c r="I13" s="384"/>
      <c r="L13" s="31"/>
      <c r="M13" s="367" t="s">
        <v>1341</v>
      </c>
      <c r="N13" s="367">
        <v>136.90600000000001</v>
      </c>
      <c r="O13" s="367">
        <f>(N13*$T$5*365)/1000</f>
        <v>84.950173000000007</v>
      </c>
      <c r="P13" s="13"/>
      <c r="Q13" s="13"/>
      <c r="R13" s="13"/>
      <c r="S13" s="13"/>
      <c r="T13" s="13"/>
      <c r="U13" s="13"/>
      <c r="V13" s="13"/>
      <c r="W13" s="14"/>
    </row>
    <row r="14" spans="1:23">
      <c r="L14" s="31"/>
      <c r="M14" s="367" t="s">
        <v>1342</v>
      </c>
      <c r="N14" s="367">
        <v>119.414</v>
      </c>
      <c r="O14" s="367">
        <f t="shared" ref="O14:O21" si="1">(N14*$T$5*365)/1000</f>
        <v>74.096386999999993</v>
      </c>
      <c r="P14" s="13"/>
      <c r="Q14" s="13"/>
      <c r="R14" s="13"/>
      <c r="S14" s="13" t="s">
        <v>862</v>
      </c>
      <c r="T14" s="13">
        <v>3.9</v>
      </c>
      <c r="U14" s="13"/>
      <c r="V14" s="13"/>
      <c r="W14" s="14"/>
    </row>
    <row r="15" spans="1:23">
      <c r="A15" s="365" t="s">
        <v>439</v>
      </c>
      <c r="C15" s="3"/>
      <c r="D15" s="3"/>
      <c r="E15" s="3"/>
      <c r="L15" s="31"/>
      <c r="M15" s="367" t="s">
        <v>1343</v>
      </c>
      <c r="N15" s="367">
        <v>121.36</v>
      </c>
      <c r="O15" s="367">
        <f t="shared" si="1"/>
        <v>75.303879999999992</v>
      </c>
      <c r="P15" s="13"/>
      <c r="Q15" s="13"/>
      <c r="R15" s="13"/>
      <c r="S15" s="13"/>
      <c r="T15" s="13"/>
      <c r="U15" s="13"/>
      <c r="V15" s="13"/>
      <c r="W15" s="14"/>
    </row>
    <row r="16" spans="1:23">
      <c r="B16" s="92" t="s">
        <v>440</v>
      </c>
      <c r="C16" s="92" t="s">
        <v>441</v>
      </c>
      <c r="D16" s="92" t="s">
        <v>442</v>
      </c>
      <c r="E16" s="92" t="s">
        <v>443</v>
      </c>
      <c r="L16" s="31"/>
      <c r="M16" s="367" t="s">
        <v>1344</v>
      </c>
      <c r="N16" s="367">
        <v>116.18899999999999</v>
      </c>
      <c r="O16" s="367">
        <f t="shared" si="1"/>
        <v>72.095274500000002</v>
      </c>
      <c r="P16" s="13"/>
      <c r="Q16" s="13"/>
      <c r="R16" s="13"/>
      <c r="S16" s="13"/>
      <c r="T16" s="13"/>
      <c r="U16" s="13"/>
      <c r="V16" s="13"/>
      <c r="W16" s="14"/>
    </row>
    <row r="17" spans="2:23">
      <c r="B17" s="93" t="s">
        <v>302</v>
      </c>
      <c r="C17" s="94">
        <v>1.8</v>
      </c>
      <c r="D17" s="93">
        <v>251</v>
      </c>
      <c r="E17" s="93">
        <v>3</v>
      </c>
      <c r="L17" s="31"/>
      <c r="M17" s="367" t="s">
        <v>1345</v>
      </c>
      <c r="N17" s="367">
        <v>128.858</v>
      </c>
      <c r="O17" s="367">
        <f t="shared" si="1"/>
        <v>79.956389000000016</v>
      </c>
      <c r="P17" s="13"/>
      <c r="Q17" s="13"/>
      <c r="R17" s="13"/>
      <c r="S17" s="13"/>
      <c r="T17" s="13"/>
      <c r="U17" s="13"/>
      <c r="V17" s="13"/>
      <c r="W17" s="14"/>
    </row>
    <row r="18" spans="2:23">
      <c r="B18" s="95" t="s">
        <v>444</v>
      </c>
      <c r="C18" s="96">
        <v>1.1000000000000001</v>
      </c>
      <c r="D18" s="95">
        <v>215</v>
      </c>
      <c r="E18" s="95">
        <v>5</v>
      </c>
      <c r="L18" s="31"/>
      <c r="M18" s="367" t="s">
        <v>1346</v>
      </c>
      <c r="N18" s="367">
        <v>110.76600000000001</v>
      </c>
      <c r="O18" s="367">
        <f t="shared" si="1"/>
        <v>68.730303000000006</v>
      </c>
      <c r="P18" s="13"/>
      <c r="Q18" s="13"/>
      <c r="R18" s="13"/>
      <c r="S18" s="13"/>
      <c r="T18" s="13"/>
      <c r="U18" s="13"/>
      <c r="V18" s="13"/>
      <c r="W18" s="14"/>
    </row>
    <row r="19" spans="2:23">
      <c r="B19" s="93" t="s">
        <v>445</v>
      </c>
      <c r="C19" s="94">
        <v>1.1000000000000001</v>
      </c>
      <c r="D19" s="93">
        <v>19</v>
      </c>
      <c r="E19" s="93">
        <v>13</v>
      </c>
      <c r="L19" s="31"/>
      <c r="M19" s="367" t="s">
        <v>1347</v>
      </c>
      <c r="N19" s="367">
        <v>115.23</v>
      </c>
      <c r="O19" s="367">
        <f t="shared" si="1"/>
        <v>71.500214999999997</v>
      </c>
      <c r="P19" s="13"/>
      <c r="Q19" s="13"/>
      <c r="R19" s="13"/>
      <c r="S19" s="13"/>
      <c r="T19" s="13"/>
      <c r="U19" s="13"/>
      <c r="V19" s="13"/>
      <c r="W19" s="14"/>
    </row>
    <row r="20" spans="2:23">
      <c r="B20" s="95" t="s">
        <v>446</v>
      </c>
      <c r="C20" s="96">
        <v>2.5</v>
      </c>
      <c r="D20" s="95">
        <v>55</v>
      </c>
      <c r="E20" s="95">
        <v>10</v>
      </c>
      <c r="L20" s="31"/>
      <c r="M20" s="367" t="s">
        <v>1348</v>
      </c>
      <c r="N20" s="367">
        <v>303</v>
      </c>
      <c r="O20" s="367">
        <f t="shared" si="1"/>
        <v>188.01150000000001</v>
      </c>
      <c r="P20" s="13"/>
      <c r="Q20" s="13"/>
      <c r="R20" s="13"/>
      <c r="S20" s="13"/>
      <c r="T20" s="13"/>
      <c r="U20" s="13"/>
      <c r="V20" s="13"/>
      <c r="W20" s="14"/>
    </row>
    <row r="21" spans="2:23">
      <c r="B21" s="93" t="s">
        <v>447</v>
      </c>
      <c r="C21" s="94">
        <v>1.8</v>
      </c>
      <c r="D21" s="93">
        <v>74</v>
      </c>
      <c r="E21" s="93">
        <v>8</v>
      </c>
      <c r="L21" s="31"/>
      <c r="M21" s="367" t="s">
        <v>1349</v>
      </c>
      <c r="N21" s="367">
        <v>208.98599999999999</v>
      </c>
      <c r="O21" s="367">
        <f t="shared" si="1"/>
        <v>129.67581299999998</v>
      </c>
      <c r="P21" s="13"/>
      <c r="Q21" s="13"/>
      <c r="R21" s="13"/>
      <c r="S21" s="13"/>
      <c r="T21" s="13"/>
      <c r="U21" s="13"/>
      <c r="V21" s="13"/>
      <c r="W21" s="14"/>
    </row>
    <row r="22" spans="2:23">
      <c r="B22" s="95" t="s">
        <v>337</v>
      </c>
      <c r="C22" s="96">
        <v>1.5</v>
      </c>
      <c r="D22" s="95">
        <v>103</v>
      </c>
      <c r="E22" s="95">
        <v>7</v>
      </c>
      <c r="L22" s="31"/>
      <c r="M22" s="367" t="s">
        <v>445</v>
      </c>
      <c r="N22" s="367">
        <v>99.304000000000002</v>
      </c>
      <c r="O22" s="367">
        <f>(N22*T12*365)/1000</f>
        <v>50.744343999999998</v>
      </c>
      <c r="P22" s="13"/>
      <c r="Q22" s="13"/>
      <c r="R22" s="13"/>
      <c r="S22" s="13"/>
      <c r="T22" s="13"/>
      <c r="U22" s="13"/>
      <c r="V22" s="13"/>
      <c r="W22" s="14"/>
    </row>
    <row r="23" spans="2:23">
      <c r="B23" s="93" t="s">
        <v>448</v>
      </c>
      <c r="C23" s="94">
        <v>1.5</v>
      </c>
      <c r="D23" s="93">
        <v>171</v>
      </c>
      <c r="E23" s="93">
        <v>6</v>
      </c>
      <c r="L23" s="31"/>
      <c r="M23" s="367" t="s">
        <v>446</v>
      </c>
      <c r="N23" s="367">
        <v>204.56399999999999</v>
      </c>
      <c r="O23" s="367">
        <f>(N23*T6*365)/1000</f>
        <v>141.86513399999998</v>
      </c>
      <c r="P23" s="13"/>
      <c r="Q23" s="13"/>
      <c r="R23" s="13"/>
      <c r="S23" s="13"/>
      <c r="T23" s="13"/>
      <c r="U23" s="13"/>
      <c r="V23" s="13"/>
      <c r="W23" s="14"/>
    </row>
    <row r="24" spans="2:23">
      <c r="B24" s="95" t="s">
        <v>311</v>
      </c>
      <c r="C24" s="96">
        <v>3</v>
      </c>
      <c r="D24" s="95">
        <v>322</v>
      </c>
      <c r="E24" s="95">
        <v>2</v>
      </c>
      <c r="L24" s="31"/>
      <c r="M24" s="367" t="s">
        <v>1350</v>
      </c>
      <c r="N24" s="367">
        <v>93.323999999999998</v>
      </c>
      <c r="O24" s="367">
        <f>(N24*$T$14*365)/1000</f>
        <v>132.84671400000002</v>
      </c>
      <c r="P24" s="13"/>
      <c r="Q24" s="13"/>
      <c r="R24" s="13"/>
      <c r="S24" s="13"/>
      <c r="T24" s="13"/>
      <c r="U24" s="13"/>
      <c r="V24" s="13"/>
      <c r="W24" s="14"/>
    </row>
    <row r="25" spans="2:23">
      <c r="B25" s="93" t="s">
        <v>449</v>
      </c>
      <c r="C25" s="94">
        <v>2.5</v>
      </c>
      <c r="D25" s="93">
        <v>352</v>
      </c>
      <c r="E25" s="93">
        <v>1</v>
      </c>
      <c r="L25" s="31"/>
      <c r="M25" s="367" t="s">
        <v>1351</v>
      </c>
      <c r="N25" s="367">
        <v>270.62</v>
      </c>
      <c r="O25" s="367">
        <f t="shared" ref="O25:O26" si="2">(N25*$T$14*365)/1000</f>
        <v>385.22756999999996</v>
      </c>
      <c r="P25" s="13"/>
      <c r="Q25" s="13"/>
      <c r="R25" s="13"/>
      <c r="S25" s="13"/>
      <c r="T25" s="13"/>
      <c r="U25" s="13"/>
      <c r="V25" s="13"/>
      <c r="W25" s="14"/>
    </row>
    <row r="26" spans="2:23">
      <c r="B26" s="95" t="s">
        <v>181</v>
      </c>
      <c r="C26" s="96">
        <v>1.7</v>
      </c>
      <c r="D26" s="95">
        <v>37</v>
      </c>
      <c r="E26" s="95">
        <v>11</v>
      </c>
      <c r="L26" s="31"/>
      <c r="M26" s="367" t="s">
        <v>1352</v>
      </c>
      <c r="N26" s="367">
        <v>155.90700000000001</v>
      </c>
      <c r="O26" s="367">
        <f t="shared" si="2"/>
        <v>221.93361450000003</v>
      </c>
      <c r="P26" s="13"/>
      <c r="Q26" s="13"/>
      <c r="R26" s="13"/>
      <c r="S26" s="13"/>
      <c r="T26" s="13"/>
      <c r="U26" s="13"/>
      <c r="V26" s="13"/>
      <c r="W26" s="14"/>
    </row>
    <row r="27" spans="2:23">
      <c r="B27" s="93" t="s">
        <v>450</v>
      </c>
      <c r="C27" s="94">
        <v>2.1</v>
      </c>
      <c r="D27" s="93">
        <v>248</v>
      </c>
      <c r="E27" s="93">
        <v>4</v>
      </c>
      <c r="L27" s="31"/>
      <c r="M27" s="367" t="s">
        <v>337</v>
      </c>
      <c r="N27" s="367">
        <v>193.05600000000001</v>
      </c>
      <c r="O27" s="367">
        <f>(N27*T7*365)/1000</f>
        <v>84.55852800000001</v>
      </c>
      <c r="P27" s="13"/>
      <c r="Q27" s="13"/>
      <c r="R27" s="13"/>
      <c r="S27" s="13"/>
      <c r="T27" s="13"/>
      <c r="U27" s="13"/>
      <c r="V27" s="13"/>
      <c r="W27" s="14"/>
    </row>
    <row r="28" spans="2:23">
      <c r="B28" s="95" t="s">
        <v>451</v>
      </c>
      <c r="C28" s="96">
        <v>2</v>
      </c>
      <c r="D28" s="95">
        <v>67</v>
      </c>
      <c r="E28" s="95">
        <v>9</v>
      </c>
      <c r="L28" s="31"/>
      <c r="M28" s="367" t="s">
        <v>1353</v>
      </c>
      <c r="N28" s="367">
        <v>180.16800000000001</v>
      </c>
      <c r="O28" s="367">
        <f>(N28*T8*365)/1000</f>
        <v>78.913584</v>
      </c>
      <c r="P28" s="13"/>
      <c r="Q28" s="13"/>
      <c r="R28" s="13"/>
      <c r="S28" s="13"/>
      <c r="T28" s="13"/>
      <c r="U28" s="13"/>
      <c r="V28" s="13"/>
      <c r="W28" s="14"/>
    </row>
    <row r="29" spans="2:23">
      <c r="B29" s="93" t="s">
        <v>107</v>
      </c>
      <c r="C29" s="94">
        <v>0.8</v>
      </c>
      <c r="D29" s="93">
        <v>32</v>
      </c>
      <c r="E29" s="93">
        <v>12</v>
      </c>
      <c r="L29" s="31"/>
      <c r="M29" s="367" t="s">
        <v>311</v>
      </c>
      <c r="N29" s="367">
        <v>241.04400000000001</v>
      </c>
      <c r="O29" s="367">
        <f>(N29*T9*365)/1000</f>
        <v>219.95265000000001</v>
      </c>
      <c r="P29" s="13"/>
      <c r="Q29" s="13"/>
      <c r="R29" s="13"/>
      <c r="S29" s="13"/>
      <c r="T29" s="13"/>
      <c r="U29" s="13"/>
      <c r="V29" s="13"/>
      <c r="W29" s="14"/>
    </row>
    <row r="30" spans="2:23">
      <c r="B30" s="95" t="s">
        <v>452</v>
      </c>
      <c r="C30" s="95">
        <v>1.9</v>
      </c>
      <c r="D30" s="97">
        <v>1946</v>
      </c>
      <c r="E30" s="95"/>
      <c r="F30" s="32" t="s">
        <v>453</v>
      </c>
      <c r="G30" s="32"/>
      <c r="L30" s="31"/>
      <c r="M30" s="367" t="s">
        <v>1354</v>
      </c>
      <c r="N30" s="367">
        <v>70.685000000000002</v>
      </c>
      <c r="O30" s="367">
        <f>(N30*T12*365)/1000</f>
        <v>36.120035000000001</v>
      </c>
      <c r="P30" s="13"/>
      <c r="Q30" s="13"/>
      <c r="R30" s="13"/>
      <c r="S30" s="13"/>
      <c r="T30" s="13"/>
      <c r="U30" s="13"/>
      <c r="V30" s="13"/>
      <c r="W30" s="14"/>
    </row>
    <row r="31" spans="2:23" ht="12.75" customHeight="1">
      <c r="B31" s="869" t="s">
        <v>454</v>
      </c>
      <c r="C31" s="869"/>
      <c r="D31" s="869"/>
      <c r="E31" s="869"/>
      <c r="F31" s="32" t="s">
        <v>455</v>
      </c>
      <c r="G31" s="100">
        <f>(SUMPRODUCT(C17:C21,D17:D21)+SUMPRODUCT(C23:C26,D23:D26))/SUM(D17:D21,D23:D26)</f>
        <v>2.1024732620320856</v>
      </c>
      <c r="L31" s="31"/>
      <c r="M31" s="367" t="s">
        <v>449</v>
      </c>
      <c r="N31" s="367">
        <v>266.24900000000002</v>
      </c>
      <c r="O31" s="367">
        <f>(N31*T10*365)/1000</f>
        <v>223.51603549999999</v>
      </c>
      <c r="P31" s="13"/>
      <c r="Q31" s="13"/>
      <c r="R31" s="13"/>
      <c r="S31" s="13"/>
      <c r="T31" s="13"/>
      <c r="U31" s="13"/>
      <c r="V31" s="13"/>
      <c r="W31" s="14"/>
    </row>
    <row r="32" spans="2:23">
      <c r="L32" s="31"/>
      <c r="M32" s="367" t="s">
        <v>181</v>
      </c>
      <c r="N32" s="367">
        <v>166.73099999999999</v>
      </c>
      <c r="O32" s="367">
        <f>(N32*T11*365)/1000</f>
        <v>97.37090400000001</v>
      </c>
      <c r="P32" s="13"/>
      <c r="Q32" s="13"/>
      <c r="R32" s="13"/>
      <c r="S32" s="13"/>
      <c r="T32" s="13"/>
      <c r="U32" s="13"/>
      <c r="V32" s="13"/>
      <c r="W32" s="14"/>
    </row>
    <row r="33" spans="2:23" ht="15.75" thickBot="1">
      <c r="L33" s="31"/>
      <c r="M33" s="367" t="s">
        <v>107</v>
      </c>
      <c r="N33" s="367">
        <v>214.62899999999999</v>
      </c>
      <c r="O33" s="367">
        <f>(N33*T12*365)/1000</f>
        <v>109.67541899999999</v>
      </c>
      <c r="P33" s="13"/>
      <c r="Q33" s="13"/>
      <c r="R33" s="13"/>
      <c r="S33" s="13"/>
      <c r="T33" s="13"/>
      <c r="U33" s="13"/>
      <c r="V33" s="13"/>
      <c r="W33" s="14"/>
    </row>
    <row r="34" spans="2:23">
      <c r="B34" s="30" t="s">
        <v>456</v>
      </c>
      <c r="C34" s="11"/>
      <c r="D34" s="11"/>
      <c r="E34" s="12"/>
      <c r="L34" s="31"/>
      <c r="M34" s="370" t="s">
        <v>855</v>
      </c>
      <c r="N34" s="13"/>
      <c r="O34" s="370"/>
      <c r="P34" s="370" t="s">
        <v>864</v>
      </c>
      <c r="Q34" s="13"/>
      <c r="R34" s="13"/>
      <c r="S34" s="13"/>
      <c r="T34" s="13"/>
      <c r="U34" s="13"/>
      <c r="V34" s="13"/>
      <c r="W34" s="14"/>
    </row>
    <row r="35" spans="2:23">
      <c r="B35" s="31" t="s">
        <v>457</v>
      </c>
      <c r="D35" s="13">
        <v>2.1800000000000002</v>
      </c>
      <c r="E35" s="14"/>
      <c r="L35" s="31"/>
      <c r="M35" s="375" t="s">
        <v>856</v>
      </c>
      <c r="N35" s="13"/>
      <c r="O35" s="367">
        <f>SUM(O13:O21,O23,O29,O31,O32)</f>
        <v>1527.024658</v>
      </c>
      <c r="P35" s="49">
        <f>O35/$O$38</f>
        <v>0.44587687150730582</v>
      </c>
      <c r="Q35" s="13"/>
      <c r="R35" s="13"/>
      <c r="S35" s="13"/>
      <c r="T35" s="13"/>
      <c r="U35" s="13"/>
      <c r="V35" s="13"/>
      <c r="W35" s="14"/>
    </row>
    <row r="36" spans="2:23" ht="15.75" thickBot="1">
      <c r="B36" s="15" t="s">
        <v>458</v>
      </c>
      <c r="C36" s="16"/>
      <c r="D36" s="16"/>
      <c r="E36" s="17"/>
      <c r="L36" s="31"/>
      <c r="M36" s="373" t="s">
        <v>857</v>
      </c>
      <c r="N36" s="13"/>
      <c r="O36" s="367">
        <f>SUM(O5:O12,O22,O27,O28,O30,O33)</f>
        <v>1157.7350319999998</v>
      </c>
      <c r="P36" s="49">
        <f>O36/$O$38</f>
        <v>0.33804776589440672</v>
      </c>
      <c r="Q36" s="13"/>
      <c r="R36" s="13"/>
      <c r="S36" s="13"/>
      <c r="T36" s="13"/>
      <c r="U36" s="13"/>
      <c r="V36" s="13"/>
      <c r="W36" s="14"/>
    </row>
    <row r="37" spans="2:23">
      <c r="B37" s="13"/>
      <c r="C37" s="13"/>
      <c r="D37" s="13"/>
      <c r="E37" s="13"/>
      <c r="L37" s="31"/>
      <c r="M37" s="372" t="s">
        <v>6</v>
      </c>
      <c r="N37" s="13"/>
      <c r="O37" s="367">
        <f>SUM(O24:O26)</f>
        <v>740.00789850000001</v>
      </c>
      <c r="P37" s="49">
        <f>O37/$O$38</f>
        <v>0.21607536259828747</v>
      </c>
      <c r="Q37" s="13"/>
      <c r="R37" s="13"/>
      <c r="S37" s="13"/>
      <c r="T37" s="13"/>
      <c r="U37" s="13"/>
      <c r="V37" s="13"/>
      <c r="W37" s="14"/>
    </row>
    <row r="38" spans="2:23" ht="16.5" customHeight="1" thickBot="1">
      <c r="L38" s="15"/>
      <c r="M38" s="787" t="s">
        <v>452</v>
      </c>
      <c r="N38" s="787"/>
      <c r="O38" s="790">
        <f>SUM(O35:O37)</f>
        <v>3424.7675884999999</v>
      </c>
      <c r="P38" s="16"/>
      <c r="Q38" s="16"/>
      <c r="R38" s="16"/>
      <c r="S38" s="366"/>
      <c r="T38" s="16"/>
      <c r="U38" s="16"/>
      <c r="V38" s="16"/>
      <c r="W38" s="17"/>
    </row>
    <row r="39" spans="2:23">
      <c r="B39" s="30"/>
      <c r="C39" s="11" t="s">
        <v>459</v>
      </c>
      <c r="D39" s="11"/>
      <c r="E39" s="11"/>
      <c r="F39" s="11"/>
      <c r="G39" s="11"/>
      <c r="H39" s="11"/>
      <c r="I39" s="11"/>
      <c r="J39" s="12"/>
      <c r="S39" s="384"/>
      <c r="T39" s="384"/>
      <c r="U39" s="384"/>
      <c r="V39" s="384"/>
      <c r="W39" s="384"/>
    </row>
    <row r="40" spans="2:23">
      <c r="B40" s="31"/>
      <c r="C40" s="13" t="s">
        <v>460</v>
      </c>
      <c r="D40" s="13"/>
      <c r="E40" s="13"/>
      <c r="F40" s="13"/>
      <c r="G40" s="13"/>
      <c r="H40" s="13"/>
      <c r="I40" s="13"/>
      <c r="J40" s="14"/>
      <c r="S40" s="384"/>
      <c r="T40" s="384"/>
      <c r="U40" s="384"/>
      <c r="V40" s="384"/>
      <c r="W40" s="384"/>
    </row>
    <row r="41" spans="2:23">
      <c r="B41" s="31"/>
      <c r="C41" s="44" t="s">
        <v>12</v>
      </c>
      <c r="D41" s="44" t="s">
        <v>461</v>
      </c>
      <c r="E41" s="44" t="s">
        <v>107</v>
      </c>
      <c r="F41" s="44" t="s">
        <v>462</v>
      </c>
      <c r="G41" s="44" t="s">
        <v>463</v>
      </c>
      <c r="H41" s="44" t="s">
        <v>464</v>
      </c>
      <c r="I41" s="44" t="s">
        <v>18</v>
      </c>
      <c r="J41" s="14"/>
      <c r="S41" s="384"/>
      <c r="T41" s="384"/>
      <c r="U41" s="384"/>
      <c r="V41" s="384"/>
      <c r="W41" s="384"/>
    </row>
    <row r="42" spans="2:23">
      <c r="B42" s="31"/>
      <c r="C42" s="39" t="s">
        <v>24</v>
      </c>
      <c r="D42" s="39">
        <v>180628</v>
      </c>
      <c r="E42" s="39"/>
      <c r="F42" s="39">
        <v>15708</v>
      </c>
      <c r="G42" s="39">
        <v>1472</v>
      </c>
      <c r="H42" s="39">
        <v>795</v>
      </c>
      <c r="I42" s="39">
        <v>198603</v>
      </c>
      <c r="J42" s="14"/>
      <c r="S42" s="384"/>
      <c r="T42" s="384"/>
      <c r="U42" s="384"/>
      <c r="V42" s="384"/>
      <c r="W42" s="384"/>
    </row>
    <row r="43" spans="2:23">
      <c r="B43" s="31"/>
      <c r="C43" s="39" t="s">
        <v>465</v>
      </c>
      <c r="D43" s="39">
        <v>1407</v>
      </c>
      <c r="E43" s="39"/>
      <c r="F43" s="39">
        <v>250240</v>
      </c>
      <c r="G43" s="39"/>
      <c r="H43" s="39">
        <v>60</v>
      </c>
      <c r="I43" s="39">
        <v>251707</v>
      </c>
      <c r="J43" s="14"/>
      <c r="S43" s="384"/>
      <c r="T43" s="384"/>
      <c r="U43" s="384"/>
      <c r="V43" s="384"/>
      <c r="W43" s="384"/>
    </row>
    <row r="44" spans="2:23">
      <c r="B44" s="31"/>
      <c r="C44" s="39" t="s">
        <v>25</v>
      </c>
      <c r="D44" s="39">
        <v>79798</v>
      </c>
      <c r="E44" s="39">
        <v>2070</v>
      </c>
      <c r="F44" s="39">
        <v>154259</v>
      </c>
      <c r="G44" s="39">
        <v>3315</v>
      </c>
      <c r="H44" s="39">
        <v>600</v>
      </c>
      <c r="I44" s="39">
        <v>240042</v>
      </c>
      <c r="J44" s="14"/>
      <c r="S44" s="384"/>
      <c r="T44" s="384"/>
      <c r="U44" s="384"/>
      <c r="V44" s="384"/>
      <c r="W44" s="384"/>
    </row>
    <row r="45" spans="2:23">
      <c r="B45" s="31"/>
      <c r="C45" s="39" t="s">
        <v>466</v>
      </c>
      <c r="D45" s="39"/>
      <c r="E45" s="39">
        <v>100</v>
      </c>
      <c r="F45" s="39"/>
      <c r="G45" s="39"/>
      <c r="H45" s="39"/>
      <c r="I45" s="39">
        <v>100</v>
      </c>
      <c r="J45" s="14"/>
      <c r="S45" s="384"/>
      <c r="T45" s="384"/>
      <c r="U45" s="384"/>
      <c r="V45" s="384"/>
      <c r="W45" s="384"/>
    </row>
    <row r="46" spans="2:23">
      <c r="B46" s="31"/>
      <c r="C46" s="39" t="s">
        <v>26</v>
      </c>
      <c r="D46" s="39">
        <v>1490611</v>
      </c>
      <c r="E46" s="39">
        <v>912</v>
      </c>
      <c r="F46" s="39"/>
      <c r="G46" s="39">
        <v>201144.4</v>
      </c>
      <c r="H46" s="39">
        <v>4684.5</v>
      </c>
      <c r="I46" s="39">
        <v>1697351.9</v>
      </c>
      <c r="J46" s="14"/>
      <c r="S46" s="384"/>
      <c r="T46" s="384"/>
      <c r="U46" s="384"/>
      <c r="V46" s="384"/>
      <c r="W46" s="384"/>
    </row>
    <row r="47" spans="2:23">
      <c r="B47" s="31"/>
      <c r="C47" s="39" t="s">
        <v>95</v>
      </c>
      <c r="D47" s="39">
        <v>51.3</v>
      </c>
      <c r="E47" s="39">
        <v>0.46</v>
      </c>
      <c r="F47" s="39">
        <v>193</v>
      </c>
      <c r="G47" s="39">
        <v>33.5</v>
      </c>
      <c r="H47" s="39"/>
      <c r="I47" s="39">
        <v>278.26</v>
      </c>
      <c r="J47" s="14"/>
      <c r="S47" s="384"/>
      <c r="T47" s="384"/>
      <c r="U47" s="384"/>
      <c r="V47" s="384"/>
      <c r="W47" s="384"/>
    </row>
    <row r="48" spans="2:23">
      <c r="B48" s="31"/>
      <c r="C48" s="39" t="s">
        <v>107</v>
      </c>
      <c r="D48" s="39"/>
      <c r="E48" s="39"/>
      <c r="F48" s="39">
        <v>200</v>
      </c>
      <c r="G48" s="39"/>
      <c r="H48" s="39"/>
      <c r="I48" s="39">
        <v>200</v>
      </c>
      <c r="J48" s="14"/>
      <c r="S48" s="384"/>
      <c r="T48" s="384"/>
      <c r="U48" s="384"/>
      <c r="V48" s="384"/>
      <c r="W48" s="384"/>
    </row>
    <row r="49" spans="2:23">
      <c r="B49" s="31"/>
      <c r="C49" s="39" t="s">
        <v>467</v>
      </c>
      <c r="D49" s="39"/>
      <c r="E49" s="39"/>
      <c r="F49" s="39"/>
      <c r="G49" s="39"/>
      <c r="H49" s="39"/>
      <c r="I49" s="39"/>
      <c r="J49" s="14"/>
      <c r="N49" s="384"/>
      <c r="O49" s="384"/>
      <c r="P49" s="384"/>
      <c r="Q49" s="384"/>
      <c r="R49" s="384"/>
      <c r="S49" s="384"/>
      <c r="T49" s="384"/>
      <c r="U49" s="384"/>
      <c r="V49" s="384"/>
      <c r="W49" s="384"/>
    </row>
    <row r="50" spans="2:23">
      <c r="B50" s="31"/>
      <c r="C50" s="39" t="s">
        <v>464</v>
      </c>
      <c r="D50" s="39">
        <v>2701</v>
      </c>
      <c r="E50" s="39"/>
      <c r="F50" s="39"/>
      <c r="G50" s="39"/>
      <c r="H50" s="39">
        <v>575</v>
      </c>
      <c r="I50" s="39">
        <v>3276</v>
      </c>
      <c r="J50" s="14"/>
      <c r="N50" s="384"/>
      <c r="O50" s="384"/>
      <c r="P50" s="384"/>
      <c r="Q50" s="384"/>
      <c r="R50" s="384"/>
      <c r="S50" s="384"/>
      <c r="T50" s="384"/>
      <c r="U50" s="384"/>
      <c r="V50" s="384"/>
      <c r="W50" s="384"/>
    </row>
    <row r="51" spans="2:23">
      <c r="B51" s="31"/>
      <c r="C51" s="99" t="s">
        <v>18</v>
      </c>
      <c r="D51" s="99">
        <v>1755196.3</v>
      </c>
      <c r="E51" s="99">
        <v>3082.46</v>
      </c>
      <c r="F51" s="99">
        <v>420600</v>
      </c>
      <c r="G51" s="99">
        <v>205964.9</v>
      </c>
      <c r="H51" s="99">
        <v>6714.5</v>
      </c>
      <c r="I51" s="99">
        <v>2391558.1599999997</v>
      </c>
      <c r="J51" s="14"/>
      <c r="N51" s="384"/>
      <c r="O51" s="384"/>
      <c r="P51" s="384"/>
      <c r="Q51" s="384"/>
      <c r="R51" s="384"/>
      <c r="S51" s="384"/>
      <c r="T51" s="384"/>
      <c r="U51" s="384"/>
      <c r="V51" s="384"/>
      <c r="W51" s="384"/>
    </row>
    <row r="52" spans="2:23">
      <c r="B52" s="31"/>
      <c r="C52" s="13"/>
      <c r="D52" s="49"/>
      <c r="E52" s="49"/>
      <c r="F52" s="49"/>
      <c r="G52" s="49"/>
      <c r="H52" s="49"/>
      <c r="I52" s="49"/>
      <c r="J52" s="14"/>
      <c r="N52" s="384"/>
      <c r="O52" s="384"/>
      <c r="P52" s="384"/>
      <c r="Q52" s="384"/>
      <c r="R52" s="384"/>
      <c r="S52" s="384"/>
      <c r="T52" s="384"/>
      <c r="U52" s="384"/>
      <c r="V52" s="384"/>
      <c r="W52" s="384"/>
    </row>
    <row r="53" spans="2:23">
      <c r="B53" s="31"/>
      <c r="C53" s="13"/>
      <c r="D53" s="13"/>
      <c r="E53" s="13"/>
      <c r="F53" s="13"/>
      <c r="G53" s="13"/>
      <c r="H53" s="13"/>
      <c r="I53" s="13"/>
      <c r="J53" s="14"/>
      <c r="N53" s="384"/>
      <c r="O53" s="384"/>
      <c r="P53" s="384"/>
      <c r="Q53" s="384"/>
      <c r="R53" s="384"/>
      <c r="S53" s="384"/>
      <c r="T53" s="384"/>
      <c r="U53" s="384"/>
      <c r="V53" s="384"/>
      <c r="W53" s="384"/>
    </row>
    <row r="54" spans="2:23">
      <c r="B54" s="31"/>
      <c r="C54" s="41" t="s">
        <v>468</v>
      </c>
      <c r="D54" s="13"/>
      <c r="E54" s="13"/>
      <c r="F54" s="13"/>
      <c r="G54" s="13"/>
      <c r="H54" s="13"/>
      <c r="I54" s="13"/>
      <c r="J54" s="14"/>
      <c r="N54" s="384"/>
      <c r="O54" s="384"/>
      <c r="P54" s="384"/>
      <c r="Q54" s="384"/>
      <c r="R54" s="384"/>
      <c r="S54" s="384"/>
      <c r="T54" s="384"/>
      <c r="U54" s="384"/>
      <c r="V54" s="384"/>
      <c r="W54" s="384"/>
    </row>
    <row r="55" spans="2:23">
      <c r="B55" s="31"/>
      <c r="C55" s="44" t="s">
        <v>12</v>
      </c>
      <c r="D55" s="44" t="s">
        <v>461</v>
      </c>
      <c r="E55" s="44" t="s">
        <v>107</v>
      </c>
      <c r="F55" s="44" t="s">
        <v>462</v>
      </c>
      <c r="G55" s="44" t="s">
        <v>463</v>
      </c>
      <c r="H55" s="44" t="s">
        <v>464</v>
      </c>
      <c r="I55" s="44" t="s">
        <v>18</v>
      </c>
      <c r="J55" s="14"/>
      <c r="N55" s="384"/>
      <c r="O55" s="384"/>
      <c r="P55" s="384"/>
      <c r="Q55" s="384"/>
      <c r="R55" s="384"/>
      <c r="S55" s="384"/>
      <c r="T55" s="384"/>
      <c r="U55" s="384"/>
      <c r="V55" s="384"/>
      <c r="W55" s="384"/>
    </row>
    <row r="56" spans="2:23">
      <c r="B56" s="31"/>
      <c r="C56" s="39" t="s">
        <v>24</v>
      </c>
      <c r="D56" s="42">
        <f t="shared" ref="D56:I65" si="3">D42/$I$51</f>
        <v>7.5527329011308694E-2</v>
      </c>
      <c r="E56" s="42">
        <f t="shared" si="3"/>
        <v>0</v>
      </c>
      <c r="F56" s="42">
        <f t="shared" si="3"/>
        <v>6.5681028639504226E-3</v>
      </c>
      <c r="G56" s="42">
        <f t="shared" si="3"/>
        <v>6.1549830759708563E-4</v>
      </c>
      <c r="H56" s="42">
        <f t="shared" si="3"/>
        <v>3.324192625948934E-4</v>
      </c>
      <c r="I56" s="43">
        <f t="shared" si="3"/>
        <v>8.3043349445451095E-2</v>
      </c>
      <c r="J56" s="14"/>
      <c r="N56" s="384"/>
      <c r="O56" s="384"/>
      <c r="P56" s="384"/>
      <c r="Q56" s="384"/>
      <c r="R56" s="384"/>
      <c r="S56" s="384"/>
      <c r="T56" s="384"/>
      <c r="U56" s="384"/>
      <c r="V56" s="384"/>
      <c r="W56" s="384"/>
    </row>
    <row r="57" spans="2:23">
      <c r="B57" s="31"/>
      <c r="C57" s="39" t="s">
        <v>465</v>
      </c>
      <c r="D57" s="42">
        <f t="shared" si="3"/>
        <v>5.8831937417737736E-4</v>
      </c>
      <c r="E57" s="42">
        <f t="shared" si="3"/>
        <v>0</v>
      </c>
      <c r="F57" s="42">
        <f t="shared" si="3"/>
        <v>0.10463471229150456</v>
      </c>
      <c r="G57" s="42">
        <f t="shared" si="3"/>
        <v>0</v>
      </c>
      <c r="H57" s="42">
        <f t="shared" si="3"/>
        <v>2.5088246233576861E-5</v>
      </c>
      <c r="I57" s="43">
        <f t="shared" si="3"/>
        <v>0.10524811991191552</v>
      </c>
      <c r="J57" s="14"/>
      <c r="N57" s="384"/>
      <c r="O57" s="384"/>
      <c r="P57" s="384"/>
      <c r="Q57" s="384"/>
      <c r="R57" s="384"/>
      <c r="S57" s="384"/>
      <c r="T57" s="384"/>
      <c r="U57" s="384"/>
      <c r="V57" s="384"/>
      <c r="W57" s="384"/>
    </row>
    <row r="58" spans="2:23">
      <c r="B58" s="31"/>
      <c r="C58" s="39" t="s">
        <v>25</v>
      </c>
      <c r="D58" s="42">
        <f t="shared" si="3"/>
        <v>3.3366531215782771E-2</v>
      </c>
      <c r="E58" s="42">
        <f t="shared" si="3"/>
        <v>8.6554449505840171E-4</v>
      </c>
      <c r="F58" s="42">
        <f t="shared" si="3"/>
        <v>6.4501462929088885E-2</v>
      </c>
      <c r="G58" s="42">
        <f t="shared" si="3"/>
        <v>1.3861256044051216E-3</v>
      </c>
      <c r="H58" s="42">
        <f t="shared" si="3"/>
        <v>2.5088246233576859E-4</v>
      </c>
      <c r="I58" s="43">
        <f t="shared" si="3"/>
        <v>0.10037054670667095</v>
      </c>
      <c r="J58" s="14"/>
      <c r="N58" s="384"/>
      <c r="O58" s="384"/>
      <c r="P58" s="384"/>
      <c r="Q58" s="384"/>
      <c r="R58" s="384"/>
      <c r="S58" s="384"/>
      <c r="T58" s="384"/>
      <c r="U58" s="384"/>
      <c r="V58" s="384"/>
      <c r="W58" s="384"/>
    </row>
    <row r="59" spans="2:23">
      <c r="B59" s="31"/>
      <c r="C59" s="39" t="s">
        <v>466</v>
      </c>
      <c r="D59" s="42">
        <f t="shared" si="3"/>
        <v>0</v>
      </c>
      <c r="E59" s="42">
        <f t="shared" si="3"/>
        <v>4.18137437226281E-5</v>
      </c>
      <c r="F59" s="42">
        <f t="shared" si="3"/>
        <v>0</v>
      </c>
      <c r="G59" s="42">
        <f t="shared" si="3"/>
        <v>0</v>
      </c>
      <c r="H59" s="42">
        <f t="shared" si="3"/>
        <v>0</v>
      </c>
      <c r="I59" s="43">
        <f t="shared" si="3"/>
        <v>4.18137437226281E-5</v>
      </c>
      <c r="J59" s="14"/>
      <c r="N59" s="384"/>
      <c r="O59" s="384"/>
      <c r="P59" s="384"/>
      <c r="Q59" s="384"/>
      <c r="R59" s="384"/>
      <c r="S59" s="384"/>
      <c r="T59" s="384"/>
      <c r="U59" s="384"/>
      <c r="V59" s="384"/>
      <c r="W59" s="384"/>
    </row>
    <row r="60" spans="2:23">
      <c r="B60" s="31"/>
      <c r="C60" s="39" t="s">
        <v>26</v>
      </c>
      <c r="D60" s="42">
        <f t="shared" si="3"/>
        <v>0.62328026344130394</v>
      </c>
      <c r="E60" s="42">
        <f t="shared" si="3"/>
        <v>3.8134134275036828E-4</v>
      </c>
      <c r="F60" s="42">
        <f t="shared" si="3"/>
        <v>0</v>
      </c>
      <c r="G60" s="42">
        <f t="shared" si="3"/>
        <v>8.4106003928417952E-2</v>
      </c>
      <c r="H60" s="42">
        <f t="shared" si="3"/>
        <v>1.9587648246865135E-3</v>
      </c>
      <c r="I60" s="43">
        <f t="shared" si="3"/>
        <v>0.70972637353715873</v>
      </c>
      <c r="J60" s="14"/>
      <c r="N60" s="384"/>
      <c r="O60" s="384"/>
      <c r="P60" s="384"/>
      <c r="Q60" s="384"/>
      <c r="R60" s="384"/>
      <c r="S60" s="384"/>
      <c r="T60" s="384"/>
      <c r="U60" s="384"/>
      <c r="V60" s="384"/>
      <c r="W60" s="384"/>
    </row>
    <row r="61" spans="2:23">
      <c r="B61" s="31"/>
      <c r="C61" s="39" t="s">
        <v>95</v>
      </c>
      <c r="D61" s="42">
        <f t="shared" si="3"/>
        <v>2.1450450529708216E-5</v>
      </c>
      <c r="E61" s="42">
        <f t="shared" si="3"/>
        <v>1.9234322112408927E-7</v>
      </c>
      <c r="F61" s="42">
        <f t="shared" si="3"/>
        <v>8.0700525384672233E-5</v>
      </c>
      <c r="G61" s="42">
        <f t="shared" si="3"/>
        <v>1.4007604147080414E-5</v>
      </c>
      <c r="H61" s="42">
        <f t="shared" si="3"/>
        <v>0</v>
      </c>
      <c r="I61" s="43">
        <f t="shared" si="3"/>
        <v>1.1635092328258496E-4</v>
      </c>
      <c r="J61" s="14"/>
      <c r="N61" s="384"/>
      <c r="O61" s="384"/>
      <c r="P61" s="384"/>
      <c r="Q61" s="384"/>
      <c r="R61" s="384"/>
      <c r="S61" s="384"/>
      <c r="T61" s="384"/>
      <c r="U61" s="384"/>
      <c r="V61" s="384"/>
      <c r="W61" s="384"/>
    </row>
    <row r="62" spans="2:23">
      <c r="B62" s="31"/>
      <c r="C62" s="39" t="s">
        <v>107</v>
      </c>
      <c r="D62" s="42">
        <f t="shared" si="3"/>
        <v>0</v>
      </c>
      <c r="E62" s="42">
        <f t="shared" si="3"/>
        <v>0</v>
      </c>
      <c r="F62" s="42">
        <f t="shared" si="3"/>
        <v>8.3627487445256201E-5</v>
      </c>
      <c r="G62" s="42">
        <f t="shared" si="3"/>
        <v>0</v>
      </c>
      <c r="H62" s="42">
        <f t="shared" si="3"/>
        <v>0</v>
      </c>
      <c r="I62" s="43">
        <f t="shared" si="3"/>
        <v>8.3627487445256201E-5</v>
      </c>
      <c r="J62" s="14"/>
      <c r="N62" s="384"/>
      <c r="O62" s="384"/>
      <c r="P62" s="384"/>
      <c r="Q62" s="384"/>
      <c r="R62" s="384"/>
      <c r="S62" s="384"/>
      <c r="T62" s="384"/>
      <c r="U62" s="384"/>
      <c r="V62" s="384"/>
      <c r="W62" s="384"/>
    </row>
    <row r="63" spans="2:23">
      <c r="B63" s="31"/>
      <c r="C63" s="39" t="s">
        <v>467</v>
      </c>
      <c r="D63" s="42">
        <f t="shared" si="3"/>
        <v>0</v>
      </c>
      <c r="E63" s="42">
        <f t="shared" si="3"/>
        <v>0</v>
      </c>
      <c r="F63" s="42">
        <f t="shared" si="3"/>
        <v>0</v>
      </c>
      <c r="G63" s="42">
        <f t="shared" si="3"/>
        <v>0</v>
      </c>
      <c r="H63" s="42">
        <f t="shared" si="3"/>
        <v>0</v>
      </c>
      <c r="I63" s="43">
        <f t="shared" si="3"/>
        <v>0</v>
      </c>
      <c r="J63" s="14"/>
      <c r="N63" s="384"/>
      <c r="O63" s="384"/>
      <c r="P63" s="384"/>
      <c r="Q63" s="384"/>
      <c r="R63" s="384"/>
      <c r="S63" s="384"/>
      <c r="T63" s="384"/>
      <c r="U63" s="384"/>
    </row>
    <row r="64" spans="2:23">
      <c r="B64" s="31"/>
      <c r="C64" s="39" t="s">
        <v>464</v>
      </c>
      <c r="D64" s="42">
        <f t="shared" si="3"/>
        <v>1.1293892179481851E-3</v>
      </c>
      <c r="E64" s="42">
        <f t="shared" si="3"/>
        <v>0</v>
      </c>
      <c r="F64" s="42">
        <f t="shared" si="3"/>
        <v>0</v>
      </c>
      <c r="G64" s="42">
        <f t="shared" si="3"/>
        <v>0</v>
      </c>
      <c r="H64" s="42">
        <f t="shared" si="3"/>
        <v>2.4042902640511159E-4</v>
      </c>
      <c r="I64" s="43">
        <f t="shared" si="3"/>
        <v>1.3698182443532966E-3</v>
      </c>
      <c r="J64" s="14"/>
      <c r="N64" s="384"/>
      <c r="O64" s="384"/>
      <c r="P64" s="384"/>
      <c r="Q64" s="384"/>
      <c r="R64" s="384"/>
      <c r="S64" s="384"/>
      <c r="T64" s="384"/>
      <c r="U64" s="384"/>
    </row>
    <row r="65" spans="2:21">
      <c r="B65" s="31"/>
      <c r="C65" s="98" t="s">
        <v>18</v>
      </c>
      <c r="D65" s="98">
        <f t="shared" si="3"/>
        <v>0.73391328271105072</v>
      </c>
      <c r="E65" s="98">
        <f t="shared" si="3"/>
        <v>1.2888919247525223E-3</v>
      </c>
      <c r="F65" s="98">
        <f t="shared" si="3"/>
        <v>0.17586860609737379</v>
      </c>
      <c r="G65" s="98">
        <f t="shared" si="3"/>
        <v>8.6121635444567246E-2</v>
      </c>
      <c r="H65" s="98">
        <f t="shared" si="3"/>
        <v>2.8075838222558639E-3</v>
      </c>
      <c r="I65" s="98">
        <f t="shared" si="3"/>
        <v>1</v>
      </c>
      <c r="J65" s="14"/>
      <c r="N65" s="384"/>
      <c r="O65" s="384"/>
      <c r="P65" s="384"/>
      <c r="Q65" s="384"/>
      <c r="R65" s="384"/>
      <c r="S65" s="384"/>
      <c r="T65" s="384"/>
      <c r="U65" s="384"/>
    </row>
    <row r="66" spans="2:21">
      <c r="B66" s="31"/>
      <c r="C66" s="13"/>
      <c r="D66" s="13"/>
      <c r="E66" s="13"/>
      <c r="F66" s="13"/>
      <c r="G66" s="13"/>
      <c r="H66" s="13"/>
      <c r="I66" s="13"/>
      <c r="J66" s="14"/>
      <c r="N66" s="13"/>
      <c r="O66" s="13"/>
      <c r="P66" s="13"/>
      <c r="Q66" s="13"/>
      <c r="R66" s="13"/>
      <c r="S66" s="13"/>
      <c r="T66" s="13"/>
    </row>
    <row r="67" spans="2:21">
      <c r="B67" s="31"/>
      <c r="C67" s="41" t="s">
        <v>469</v>
      </c>
      <c r="D67" s="13"/>
      <c r="E67" s="13"/>
      <c r="F67" s="13"/>
      <c r="G67" s="13"/>
      <c r="H67" s="13"/>
      <c r="I67" s="13"/>
      <c r="J67" s="14"/>
      <c r="N67" s="13"/>
      <c r="O67" s="13"/>
      <c r="P67" s="13"/>
      <c r="Q67" s="13"/>
      <c r="R67" s="13"/>
      <c r="S67" s="13"/>
      <c r="T67" s="13"/>
    </row>
    <row r="68" spans="2:21">
      <c r="B68" s="31"/>
      <c r="C68" s="44"/>
      <c r="D68" s="44" t="s">
        <v>6</v>
      </c>
      <c r="E68" s="44" t="s">
        <v>298</v>
      </c>
      <c r="F68" s="44" t="s">
        <v>18</v>
      </c>
      <c r="G68" s="13"/>
      <c r="H68" s="13"/>
      <c r="I68" s="13"/>
      <c r="J68" s="14"/>
      <c r="N68" s="13"/>
      <c r="O68" s="13"/>
      <c r="P68" s="13"/>
      <c r="Q68" s="13"/>
      <c r="R68" s="13"/>
      <c r="S68" s="13"/>
      <c r="T68" s="13"/>
    </row>
    <row r="69" spans="2:21">
      <c r="B69" s="31"/>
      <c r="C69" s="44" t="s">
        <v>12</v>
      </c>
      <c r="D69" s="44" t="s">
        <v>6</v>
      </c>
      <c r="E69" s="44"/>
      <c r="F69" s="44"/>
      <c r="G69" s="13"/>
      <c r="H69" s="13"/>
      <c r="I69" s="13"/>
      <c r="J69" s="14"/>
    </row>
    <row r="70" spans="2:21">
      <c r="B70" s="31"/>
      <c r="C70" s="39" t="s">
        <v>24</v>
      </c>
      <c r="D70" s="40">
        <v>23958</v>
      </c>
      <c r="E70" s="40">
        <v>198603</v>
      </c>
      <c r="F70" s="40">
        <v>222561</v>
      </c>
      <c r="G70" s="13"/>
      <c r="H70" s="13"/>
      <c r="I70" s="13"/>
      <c r="J70" s="14"/>
    </row>
    <row r="71" spans="2:21">
      <c r="B71" s="31"/>
      <c r="C71" s="39" t="s">
        <v>465</v>
      </c>
      <c r="D71" s="40">
        <v>5257</v>
      </c>
      <c r="E71" s="40">
        <v>251707</v>
      </c>
      <c r="F71" s="40">
        <v>256964</v>
      </c>
      <c r="G71" s="13"/>
      <c r="H71" s="13"/>
      <c r="I71" s="13"/>
      <c r="J71" s="14"/>
    </row>
    <row r="72" spans="2:21">
      <c r="B72" s="31"/>
      <c r="C72" s="39" t="s">
        <v>25</v>
      </c>
      <c r="D72" s="40">
        <v>100360</v>
      </c>
      <c r="E72" s="40">
        <v>240042</v>
      </c>
      <c r="F72" s="40">
        <v>340402</v>
      </c>
      <c r="G72" s="13"/>
      <c r="H72" s="13"/>
      <c r="I72" s="13"/>
      <c r="J72" s="14"/>
    </row>
    <row r="73" spans="2:21">
      <c r="B73" s="31"/>
      <c r="C73" s="39" t="s">
        <v>466</v>
      </c>
      <c r="D73" s="40">
        <v>295</v>
      </c>
      <c r="E73" s="40">
        <v>100</v>
      </c>
      <c r="F73" s="40">
        <v>395</v>
      </c>
      <c r="G73" s="13"/>
      <c r="H73" s="13"/>
      <c r="I73" s="13"/>
      <c r="J73" s="14"/>
    </row>
    <row r="74" spans="2:21">
      <c r="B74" s="31"/>
      <c r="C74" s="39" t="s">
        <v>26</v>
      </c>
      <c r="D74" s="40">
        <v>188985</v>
      </c>
      <c r="E74" s="40">
        <v>1697351.9</v>
      </c>
      <c r="F74" s="40">
        <v>1886336.9</v>
      </c>
      <c r="G74" s="13"/>
      <c r="H74" s="13"/>
      <c r="I74" s="13"/>
      <c r="J74" s="14"/>
    </row>
    <row r="75" spans="2:21">
      <c r="B75" s="31"/>
      <c r="C75" s="39" t="s">
        <v>95</v>
      </c>
      <c r="D75" s="40">
        <v>4.5</v>
      </c>
      <c r="E75" s="40">
        <v>278.26</v>
      </c>
      <c r="F75" s="40">
        <v>282.76</v>
      </c>
      <c r="G75" s="13"/>
      <c r="H75" s="13"/>
      <c r="I75" s="13"/>
      <c r="J75" s="14"/>
    </row>
    <row r="76" spans="2:21">
      <c r="B76" s="31"/>
      <c r="C76" s="39" t="s">
        <v>107</v>
      </c>
      <c r="D76" s="40">
        <v>70</v>
      </c>
      <c r="E76" s="40">
        <v>200</v>
      </c>
      <c r="F76" s="40">
        <v>270</v>
      </c>
      <c r="G76" s="13"/>
      <c r="H76" s="13"/>
      <c r="I76" s="13"/>
      <c r="J76" s="14"/>
    </row>
    <row r="77" spans="2:21">
      <c r="B77" s="31"/>
      <c r="C77" s="39" t="s">
        <v>467</v>
      </c>
      <c r="D77" s="40"/>
      <c r="E77" s="40"/>
      <c r="F77" s="40"/>
      <c r="G77" s="13"/>
      <c r="H77" s="13"/>
      <c r="I77" s="13"/>
      <c r="J77" s="14"/>
    </row>
    <row r="78" spans="2:21">
      <c r="B78" s="31"/>
      <c r="C78" s="39" t="s">
        <v>464</v>
      </c>
      <c r="D78" s="40">
        <v>155</v>
      </c>
      <c r="E78" s="40">
        <v>3276</v>
      </c>
      <c r="F78" s="40">
        <v>3431</v>
      </c>
      <c r="G78" s="13"/>
      <c r="H78" s="13"/>
      <c r="I78" s="13"/>
      <c r="J78" s="14"/>
    </row>
    <row r="79" spans="2:21">
      <c r="B79" s="31"/>
      <c r="C79" s="45" t="s">
        <v>18</v>
      </c>
      <c r="D79" s="99">
        <v>319084.5</v>
      </c>
      <c r="E79" s="99">
        <v>2391558.1599999997</v>
      </c>
      <c r="F79" s="99">
        <v>2710642.6599999997</v>
      </c>
      <c r="G79" s="13"/>
      <c r="H79" s="13"/>
      <c r="I79" s="13"/>
      <c r="J79" s="14"/>
    </row>
    <row r="80" spans="2:21">
      <c r="B80" s="31"/>
      <c r="C80" s="45" t="s">
        <v>470</v>
      </c>
      <c r="D80" s="98">
        <f>D79/$F$79</f>
        <v>0.11771544243312397</v>
      </c>
      <c r="E80" s="98">
        <f>E79/$F$79</f>
        <v>0.88228455756687607</v>
      </c>
      <c r="F80" s="98">
        <f>F79/$F$79</f>
        <v>1</v>
      </c>
      <c r="G80" s="13"/>
      <c r="H80" s="13"/>
      <c r="I80" s="13"/>
      <c r="J80" s="14"/>
    </row>
    <row r="81" spans="2:10">
      <c r="B81" s="31"/>
      <c r="C81" s="13"/>
      <c r="D81" s="13"/>
      <c r="E81" s="13"/>
      <c r="F81" s="13"/>
      <c r="G81" s="13"/>
      <c r="H81" s="13"/>
      <c r="I81" s="13"/>
      <c r="J81" s="14"/>
    </row>
    <row r="82" spans="2:10">
      <c r="B82" s="31"/>
      <c r="C82" s="13" t="s">
        <v>471</v>
      </c>
      <c r="D82" s="13"/>
      <c r="E82" s="49"/>
      <c r="F82" s="49"/>
      <c r="G82" s="49"/>
      <c r="H82" s="49"/>
      <c r="I82" s="49"/>
      <c r="J82" s="14"/>
    </row>
    <row r="83" spans="2:10">
      <c r="B83" s="31"/>
      <c r="C83" s="44" t="s">
        <v>12</v>
      </c>
      <c r="D83" s="44" t="s">
        <v>461</v>
      </c>
      <c r="E83" s="44" t="s">
        <v>107</v>
      </c>
      <c r="F83" s="44" t="s">
        <v>462</v>
      </c>
      <c r="G83" s="44" t="s">
        <v>463</v>
      </c>
      <c r="H83" s="44" t="s">
        <v>464</v>
      </c>
      <c r="I83" s="44" t="s">
        <v>18</v>
      </c>
      <c r="J83" s="14"/>
    </row>
    <row r="84" spans="2:10">
      <c r="B84" s="31"/>
      <c r="C84" s="50" t="s">
        <v>24</v>
      </c>
      <c r="D84" s="51">
        <v>20657</v>
      </c>
      <c r="E84" s="51">
        <v>650</v>
      </c>
      <c r="F84" s="51">
        <v>2369</v>
      </c>
      <c r="G84" s="51">
        <v>212</v>
      </c>
      <c r="H84" s="51">
        <v>70</v>
      </c>
      <c r="I84" s="51">
        <v>23958</v>
      </c>
      <c r="J84" s="14"/>
    </row>
    <row r="85" spans="2:10">
      <c r="B85" s="31"/>
      <c r="C85" s="50" t="s">
        <v>465</v>
      </c>
      <c r="D85" s="51">
        <v>52</v>
      </c>
      <c r="E85" s="51"/>
      <c r="F85" s="51">
        <v>5205</v>
      </c>
      <c r="G85" s="51"/>
      <c r="H85" s="51"/>
      <c r="I85" s="51">
        <v>5257</v>
      </c>
      <c r="J85" s="14"/>
    </row>
    <row r="86" spans="2:10">
      <c r="B86" s="31"/>
      <c r="C86" s="50" t="s">
        <v>25</v>
      </c>
      <c r="D86" s="51">
        <v>60812</v>
      </c>
      <c r="E86" s="51">
        <v>430</v>
      </c>
      <c r="F86" s="51">
        <v>36766</v>
      </c>
      <c r="G86" s="51">
        <v>72</v>
      </c>
      <c r="H86" s="51">
        <v>2280</v>
      </c>
      <c r="I86" s="51">
        <v>100360</v>
      </c>
      <c r="J86" s="14"/>
    </row>
    <row r="87" spans="2:10">
      <c r="B87" s="31"/>
      <c r="C87" s="50" t="s">
        <v>466</v>
      </c>
      <c r="D87" s="51">
        <v>50</v>
      </c>
      <c r="E87" s="51">
        <v>175</v>
      </c>
      <c r="F87" s="51"/>
      <c r="G87" s="51"/>
      <c r="H87" s="51">
        <v>70</v>
      </c>
      <c r="I87" s="51">
        <v>295</v>
      </c>
      <c r="J87" s="14"/>
    </row>
    <row r="88" spans="2:10">
      <c r="B88" s="31"/>
      <c r="C88" s="50" t="s">
        <v>26</v>
      </c>
      <c r="D88" s="51">
        <v>156743</v>
      </c>
      <c r="E88" s="51"/>
      <c r="F88" s="51"/>
      <c r="G88" s="51">
        <v>32032</v>
      </c>
      <c r="H88" s="51">
        <v>210</v>
      </c>
      <c r="I88" s="51">
        <v>188985</v>
      </c>
      <c r="J88" s="14"/>
    </row>
    <row r="89" spans="2:10">
      <c r="B89" s="31"/>
      <c r="C89" s="50" t="s">
        <v>95</v>
      </c>
      <c r="D89" s="51"/>
      <c r="E89" s="51"/>
      <c r="F89" s="51"/>
      <c r="G89" s="51">
        <v>4.5</v>
      </c>
      <c r="H89" s="51"/>
      <c r="I89" s="51">
        <v>4.5</v>
      </c>
      <c r="J89" s="14"/>
    </row>
    <row r="90" spans="2:10">
      <c r="B90" s="31"/>
      <c r="C90" s="50" t="s">
        <v>107</v>
      </c>
      <c r="D90" s="51"/>
      <c r="E90" s="51"/>
      <c r="F90" s="51"/>
      <c r="G90" s="51"/>
      <c r="H90" s="51">
        <v>70</v>
      </c>
      <c r="I90" s="51">
        <v>70</v>
      </c>
      <c r="J90" s="14"/>
    </row>
    <row r="91" spans="2:10">
      <c r="B91" s="31"/>
      <c r="C91" s="50" t="s">
        <v>467</v>
      </c>
      <c r="D91" s="51"/>
      <c r="E91" s="51"/>
      <c r="F91" s="51"/>
      <c r="G91" s="51"/>
      <c r="H91" s="51"/>
      <c r="I91" s="51"/>
      <c r="J91" s="14"/>
    </row>
    <row r="92" spans="2:10">
      <c r="B92" s="31"/>
      <c r="C92" s="50" t="s">
        <v>464</v>
      </c>
      <c r="D92" s="51">
        <v>35</v>
      </c>
      <c r="E92" s="51"/>
      <c r="F92" s="51"/>
      <c r="G92" s="51"/>
      <c r="H92" s="51">
        <v>120</v>
      </c>
      <c r="I92" s="51">
        <v>155</v>
      </c>
      <c r="J92" s="14"/>
    </row>
    <row r="93" spans="2:10">
      <c r="B93" s="31"/>
      <c r="C93" s="45" t="s">
        <v>18</v>
      </c>
      <c r="D93" s="46">
        <v>238349</v>
      </c>
      <c r="E93" s="46">
        <v>1255</v>
      </c>
      <c r="F93" s="46">
        <v>44340</v>
      </c>
      <c r="G93" s="46">
        <v>32320.5</v>
      </c>
      <c r="H93" s="46">
        <v>2820</v>
      </c>
      <c r="I93" s="46">
        <v>319084.5</v>
      </c>
      <c r="J93" s="14"/>
    </row>
    <row r="94" spans="2:10">
      <c r="B94" s="31"/>
      <c r="C94" s="13"/>
      <c r="D94" s="13"/>
      <c r="E94" s="13"/>
      <c r="F94" s="13"/>
      <c r="G94" s="13"/>
      <c r="H94" s="13"/>
      <c r="I94" s="13"/>
      <c r="J94" s="14"/>
    </row>
    <row r="95" spans="2:10">
      <c r="B95" s="31"/>
      <c r="C95" s="50" t="s">
        <v>472</v>
      </c>
      <c r="D95" s="13"/>
      <c r="E95" s="13"/>
      <c r="F95" s="13"/>
      <c r="G95" s="13"/>
      <c r="H95" s="13"/>
      <c r="I95" s="13"/>
      <c r="J95" s="14"/>
    </row>
    <row r="96" spans="2:10">
      <c r="B96" s="31"/>
      <c r="C96" s="44" t="s">
        <v>12</v>
      </c>
      <c r="D96" s="44" t="s">
        <v>461</v>
      </c>
      <c r="E96" s="44" t="s">
        <v>107</v>
      </c>
      <c r="F96" s="44" t="s">
        <v>462</v>
      </c>
      <c r="G96" s="44" t="s">
        <v>463</v>
      </c>
      <c r="H96" s="44" t="s">
        <v>464</v>
      </c>
      <c r="I96" s="44" t="s">
        <v>18</v>
      </c>
      <c r="J96" s="14"/>
    </row>
    <row r="97" spans="2:10">
      <c r="B97" s="31"/>
      <c r="C97" s="50" t="s">
        <v>24</v>
      </c>
      <c r="D97" s="49">
        <f t="shared" ref="D97:I106" si="4">D84/$I$93</f>
        <v>6.4738337336974996E-2</v>
      </c>
      <c r="E97" s="49">
        <f t="shared" si="4"/>
        <v>2.0370779527053178E-3</v>
      </c>
      <c r="F97" s="49">
        <f t="shared" si="4"/>
        <v>7.424365646090612E-3</v>
      </c>
      <c r="G97" s="49">
        <f t="shared" si="4"/>
        <v>6.6440080919004212E-4</v>
      </c>
      <c r="H97" s="49">
        <f t="shared" si="4"/>
        <v>2.1937762567595732E-4</v>
      </c>
      <c r="I97" s="49">
        <f t="shared" si="4"/>
        <v>7.5083559370636932E-2</v>
      </c>
      <c r="J97" s="14"/>
    </row>
    <row r="98" spans="2:10">
      <c r="B98" s="31"/>
      <c r="C98" s="50" t="s">
        <v>465</v>
      </c>
      <c r="D98" s="49">
        <f t="shared" si="4"/>
        <v>1.6296623621642542E-4</v>
      </c>
      <c r="E98" s="49">
        <f t="shared" si="4"/>
        <v>0</v>
      </c>
      <c r="F98" s="49">
        <f t="shared" si="4"/>
        <v>1.6312293452047967E-2</v>
      </c>
      <c r="G98" s="49">
        <f t="shared" si="4"/>
        <v>0</v>
      </c>
      <c r="H98" s="49">
        <f t="shared" si="4"/>
        <v>0</v>
      </c>
      <c r="I98" s="49">
        <f t="shared" si="4"/>
        <v>1.6475259688264392E-2</v>
      </c>
      <c r="J98" s="14"/>
    </row>
    <row r="99" spans="2:10">
      <c r="B99" s="31"/>
      <c r="C99" s="50" t="s">
        <v>25</v>
      </c>
      <c r="D99" s="49">
        <f t="shared" si="4"/>
        <v>0.19058274532294736</v>
      </c>
      <c r="E99" s="49">
        <f t="shared" si="4"/>
        <v>1.3476054148665948E-3</v>
      </c>
      <c r="F99" s="49">
        <f t="shared" si="4"/>
        <v>0.11522339693717495</v>
      </c>
      <c r="G99" s="49">
        <f t="shared" si="4"/>
        <v>2.2564555783812751E-4</v>
      </c>
      <c r="H99" s="49">
        <f t="shared" si="4"/>
        <v>7.1454426648740379E-3</v>
      </c>
      <c r="I99" s="49">
        <f t="shared" si="4"/>
        <v>0.31452483589770108</v>
      </c>
      <c r="J99" s="14"/>
    </row>
    <row r="100" spans="2:10">
      <c r="B100" s="31"/>
      <c r="C100" s="50" t="s">
        <v>466</v>
      </c>
      <c r="D100" s="49">
        <f t="shared" si="4"/>
        <v>1.5669830405425523E-4</v>
      </c>
      <c r="E100" s="49">
        <f t="shared" si="4"/>
        <v>5.4844406418989324E-4</v>
      </c>
      <c r="F100" s="49">
        <f t="shared" si="4"/>
        <v>0</v>
      </c>
      <c r="G100" s="49">
        <f t="shared" si="4"/>
        <v>0</v>
      </c>
      <c r="H100" s="49">
        <f t="shared" si="4"/>
        <v>2.1937762567595732E-4</v>
      </c>
      <c r="I100" s="49">
        <f t="shared" si="4"/>
        <v>9.2451999392010578E-4</v>
      </c>
      <c r="J100" s="14"/>
    </row>
    <row r="101" spans="2:10">
      <c r="B101" s="31"/>
      <c r="C101" s="50" t="s">
        <v>26</v>
      </c>
      <c r="D101" s="49">
        <f t="shared" si="4"/>
        <v>0.4912272454475225</v>
      </c>
      <c r="E101" s="49">
        <f t="shared" si="4"/>
        <v>0</v>
      </c>
      <c r="F101" s="49">
        <f t="shared" si="4"/>
        <v>0</v>
      </c>
      <c r="G101" s="49">
        <f t="shared" si="4"/>
        <v>0.10038720150931807</v>
      </c>
      <c r="H101" s="49">
        <f t="shared" si="4"/>
        <v>6.5813287702787195E-4</v>
      </c>
      <c r="I101" s="49">
        <f t="shared" si="4"/>
        <v>0.5922725798338685</v>
      </c>
      <c r="J101" s="14"/>
    </row>
    <row r="102" spans="2:10">
      <c r="B102" s="31"/>
      <c r="C102" s="50" t="s">
        <v>95</v>
      </c>
      <c r="D102" s="49">
        <f t="shared" si="4"/>
        <v>0</v>
      </c>
      <c r="E102" s="49">
        <f t="shared" si="4"/>
        <v>0</v>
      </c>
      <c r="F102" s="49">
        <f t="shared" si="4"/>
        <v>0</v>
      </c>
      <c r="G102" s="49">
        <f t="shared" si="4"/>
        <v>1.4102847364882969E-5</v>
      </c>
      <c r="H102" s="49">
        <f t="shared" si="4"/>
        <v>0</v>
      </c>
      <c r="I102" s="49">
        <f t="shared" si="4"/>
        <v>1.4102847364882969E-5</v>
      </c>
      <c r="J102" s="14"/>
    </row>
    <row r="103" spans="2:10">
      <c r="B103" s="31"/>
      <c r="C103" s="50" t="s">
        <v>107</v>
      </c>
      <c r="D103" s="49">
        <f t="shared" si="4"/>
        <v>0</v>
      </c>
      <c r="E103" s="49">
        <f t="shared" si="4"/>
        <v>0</v>
      </c>
      <c r="F103" s="49">
        <f t="shared" si="4"/>
        <v>0</v>
      </c>
      <c r="G103" s="49">
        <f t="shared" si="4"/>
        <v>0</v>
      </c>
      <c r="H103" s="49">
        <f t="shared" si="4"/>
        <v>2.1937762567595732E-4</v>
      </c>
      <c r="I103" s="49">
        <f t="shared" si="4"/>
        <v>2.1937762567595732E-4</v>
      </c>
      <c r="J103" s="14"/>
    </row>
    <row r="104" spans="2:10">
      <c r="B104" s="31"/>
      <c r="C104" s="50" t="s">
        <v>467</v>
      </c>
      <c r="D104" s="49">
        <f t="shared" si="4"/>
        <v>0</v>
      </c>
      <c r="E104" s="49">
        <f t="shared" si="4"/>
        <v>0</v>
      </c>
      <c r="F104" s="49">
        <f t="shared" si="4"/>
        <v>0</v>
      </c>
      <c r="G104" s="49">
        <f t="shared" si="4"/>
        <v>0</v>
      </c>
      <c r="H104" s="49">
        <f t="shared" si="4"/>
        <v>0</v>
      </c>
      <c r="I104" s="49">
        <f t="shared" si="4"/>
        <v>0</v>
      </c>
      <c r="J104" s="14"/>
    </row>
    <row r="105" spans="2:10">
      <c r="B105" s="31"/>
      <c r="C105" s="50" t="s">
        <v>464</v>
      </c>
      <c r="D105" s="49">
        <f t="shared" si="4"/>
        <v>1.0968881283797866E-4</v>
      </c>
      <c r="E105" s="49">
        <f t="shared" si="4"/>
        <v>0</v>
      </c>
      <c r="F105" s="49">
        <f t="shared" si="4"/>
        <v>0</v>
      </c>
      <c r="G105" s="49">
        <f t="shared" si="4"/>
        <v>0</v>
      </c>
      <c r="H105" s="49">
        <f t="shared" si="4"/>
        <v>3.7607592973021254E-4</v>
      </c>
      <c r="I105" s="49">
        <f t="shared" si="4"/>
        <v>4.857647425681912E-4</v>
      </c>
      <c r="J105" s="14"/>
    </row>
    <row r="106" spans="2:10">
      <c r="B106" s="31"/>
      <c r="C106" s="45" t="s">
        <v>18</v>
      </c>
      <c r="D106" s="98">
        <f t="shared" si="4"/>
        <v>0.74697768146055354</v>
      </c>
      <c r="E106" s="98">
        <f t="shared" si="4"/>
        <v>3.9331274317618058E-3</v>
      </c>
      <c r="F106" s="98">
        <f t="shared" si="4"/>
        <v>0.13896005603531353</v>
      </c>
      <c r="G106" s="98">
        <f t="shared" si="4"/>
        <v>0.10129135072371112</v>
      </c>
      <c r="H106" s="98">
        <f t="shared" si="4"/>
        <v>8.8377843486599945E-3</v>
      </c>
      <c r="I106" s="98">
        <f t="shared" si="4"/>
        <v>1</v>
      </c>
      <c r="J106" s="14"/>
    </row>
    <row r="107" spans="2:10">
      <c r="B107" s="31"/>
      <c r="C107" s="13"/>
      <c r="D107" s="13"/>
      <c r="E107" s="13"/>
      <c r="F107" s="13"/>
      <c r="G107" s="13"/>
      <c r="H107" s="13"/>
      <c r="I107" s="13"/>
      <c r="J107" s="14"/>
    </row>
    <row r="108" spans="2:10">
      <c r="B108" s="31"/>
      <c r="C108" s="13"/>
      <c r="D108" s="13"/>
      <c r="E108" s="13"/>
      <c r="F108" s="13"/>
      <c r="G108" s="13"/>
      <c r="H108" s="13"/>
      <c r="I108" s="13"/>
      <c r="J108" s="14"/>
    </row>
    <row r="109" spans="2:10">
      <c r="B109" s="31"/>
      <c r="C109" s="259" t="s">
        <v>473</v>
      </c>
      <c r="D109" s="13"/>
      <c r="E109" s="13"/>
      <c r="F109" s="13"/>
      <c r="G109" s="13"/>
      <c r="H109" s="13"/>
      <c r="I109" s="13"/>
      <c r="J109" s="14"/>
    </row>
    <row r="110" spans="2:10">
      <c r="B110" s="31"/>
      <c r="C110" s="24"/>
      <c r="D110" s="24" t="s">
        <v>474</v>
      </c>
      <c r="E110" s="24"/>
      <c r="F110" s="260"/>
      <c r="G110" s="13"/>
      <c r="H110" s="13"/>
      <c r="I110" s="13"/>
      <c r="J110" s="14"/>
    </row>
    <row r="111" spans="2:10" ht="15.75" thickBot="1">
      <c r="B111" s="31"/>
      <c r="C111" s="64" t="s">
        <v>12</v>
      </c>
      <c r="D111" s="64" t="s">
        <v>475</v>
      </c>
      <c r="E111" s="64" t="s">
        <v>476</v>
      </c>
      <c r="F111" s="247" t="s">
        <v>477</v>
      </c>
      <c r="G111" s="13"/>
      <c r="H111" s="13"/>
      <c r="I111" s="13"/>
      <c r="J111" s="14"/>
    </row>
    <row r="112" spans="2:10" ht="15.75" thickTop="1">
      <c r="B112" s="31"/>
      <c r="C112" s="248" t="s">
        <v>24</v>
      </c>
      <c r="D112" s="249">
        <v>198603</v>
      </c>
      <c r="E112" s="249">
        <v>11644</v>
      </c>
      <c r="F112" s="250">
        <f>D112/E112</f>
        <v>17.056252147028513</v>
      </c>
      <c r="G112" s="13"/>
      <c r="H112" s="13"/>
      <c r="I112" s="13"/>
      <c r="J112" s="14"/>
    </row>
    <row r="113" spans="2:10">
      <c r="B113" s="31"/>
      <c r="C113" s="251" t="s">
        <v>461</v>
      </c>
      <c r="D113" s="252">
        <v>180628</v>
      </c>
      <c r="E113" s="252">
        <v>10555</v>
      </c>
      <c r="F113" s="253">
        <f>D113/E113</f>
        <v>17.113027001421127</v>
      </c>
      <c r="G113" s="13"/>
      <c r="H113" s="13"/>
      <c r="I113" s="13"/>
      <c r="J113" s="14"/>
    </row>
    <row r="114" spans="2:10">
      <c r="B114" s="31"/>
      <c r="C114" s="254" t="s">
        <v>462</v>
      </c>
      <c r="D114" s="249">
        <v>15708</v>
      </c>
      <c r="E114" s="249">
        <v>905</v>
      </c>
      <c r="F114" s="250">
        <f t="shared" ref="F114:F143" si="5">D114/E114</f>
        <v>17.356906077348068</v>
      </c>
      <c r="G114" s="13"/>
      <c r="H114" s="13"/>
      <c r="I114" s="13"/>
      <c r="J114" s="14"/>
    </row>
    <row r="115" spans="2:10">
      <c r="B115" s="31"/>
      <c r="C115" s="251" t="s">
        <v>463</v>
      </c>
      <c r="D115" s="252">
        <v>1472</v>
      </c>
      <c r="E115" s="252">
        <v>132</v>
      </c>
      <c r="F115" s="253">
        <f t="shared" si="5"/>
        <v>11.151515151515152</v>
      </c>
      <c r="G115" s="13"/>
      <c r="H115" s="13"/>
      <c r="I115" s="13"/>
      <c r="J115" s="14"/>
    </row>
    <row r="116" spans="2:10">
      <c r="B116" s="31"/>
      <c r="C116" s="254" t="s">
        <v>464</v>
      </c>
      <c r="D116" s="249">
        <v>795</v>
      </c>
      <c r="E116" s="249">
        <v>52</v>
      </c>
      <c r="F116" s="250">
        <f t="shared" si="5"/>
        <v>15.288461538461538</v>
      </c>
      <c r="G116" s="13"/>
      <c r="H116" s="13"/>
      <c r="I116" s="13"/>
      <c r="J116" s="14"/>
    </row>
    <row r="117" spans="2:10">
      <c r="B117" s="31"/>
      <c r="C117" s="255" t="s">
        <v>465</v>
      </c>
      <c r="D117" s="252">
        <v>251707</v>
      </c>
      <c r="E117" s="252">
        <v>7099</v>
      </c>
      <c r="F117" s="253">
        <f t="shared" si="5"/>
        <v>35.456684040005634</v>
      </c>
      <c r="G117" s="13"/>
      <c r="H117" s="13"/>
      <c r="I117" s="13"/>
      <c r="J117" s="14"/>
    </row>
    <row r="118" spans="2:10">
      <c r="B118" s="31"/>
      <c r="C118" s="254" t="s">
        <v>461</v>
      </c>
      <c r="D118" s="249">
        <v>1407</v>
      </c>
      <c r="E118" s="249">
        <v>49</v>
      </c>
      <c r="F118" s="250">
        <f t="shared" si="5"/>
        <v>28.714285714285715</v>
      </c>
      <c r="G118" s="13"/>
      <c r="H118" s="13"/>
      <c r="I118" s="13"/>
      <c r="J118" s="14"/>
    </row>
    <row r="119" spans="2:10">
      <c r="B119" s="31"/>
      <c r="C119" s="251" t="s">
        <v>462</v>
      </c>
      <c r="D119" s="252">
        <v>250240</v>
      </c>
      <c r="E119" s="252">
        <v>7048</v>
      </c>
      <c r="F119" s="253">
        <f t="shared" si="5"/>
        <v>35.505107832009081</v>
      </c>
      <c r="G119" s="13"/>
      <c r="H119" s="13"/>
      <c r="I119" s="13"/>
      <c r="J119" s="14"/>
    </row>
    <row r="120" spans="2:10">
      <c r="B120" s="31"/>
      <c r="C120" s="254" t="s">
        <v>464</v>
      </c>
      <c r="D120" s="249">
        <v>60</v>
      </c>
      <c r="E120" s="249">
        <v>2</v>
      </c>
      <c r="F120" s="250">
        <f t="shared" si="5"/>
        <v>30</v>
      </c>
      <c r="G120" s="13"/>
      <c r="H120" s="13"/>
      <c r="I120" s="13"/>
      <c r="J120" s="14"/>
    </row>
    <row r="121" spans="2:10">
      <c r="B121" s="31"/>
      <c r="C121" s="255" t="s">
        <v>25</v>
      </c>
      <c r="D121" s="252">
        <v>240042</v>
      </c>
      <c r="E121" s="252">
        <v>3534</v>
      </c>
      <c r="F121" s="253">
        <f t="shared" si="5"/>
        <v>67.923599320882857</v>
      </c>
      <c r="G121" s="13"/>
      <c r="H121" s="13"/>
      <c r="I121" s="13"/>
      <c r="J121" s="14"/>
    </row>
    <row r="122" spans="2:10">
      <c r="B122" s="31"/>
      <c r="C122" s="254" t="s">
        <v>461</v>
      </c>
      <c r="D122" s="249">
        <v>79798</v>
      </c>
      <c r="E122" s="249">
        <v>1261</v>
      </c>
      <c r="F122" s="250">
        <f t="shared" si="5"/>
        <v>63.281522601110233</v>
      </c>
      <c r="G122" s="13"/>
      <c r="H122" s="13"/>
      <c r="I122" s="13"/>
      <c r="J122" s="14"/>
    </row>
    <row r="123" spans="2:10">
      <c r="B123" s="31"/>
      <c r="C123" s="251" t="s">
        <v>107</v>
      </c>
      <c r="D123" s="252">
        <v>2070</v>
      </c>
      <c r="E123" s="252">
        <v>25</v>
      </c>
      <c r="F123" s="253">
        <f t="shared" si="5"/>
        <v>82.8</v>
      </c>
      <c r="G123" s="13"/>
      <c r="H123" s="13"/>
      <c r="I123" s="13"/>
      <c r="J123" s="14"/>
    </row>
    <row r="124" spans="2:10">
      <c r="B124" s="31"/>
      <c r="C124" s="254" t="s">
        <v>462</v>
      </c>
      <c r="D124" s="249">
        <v>154259</v>
      </c>
      <c r="E124" s="249">
        <v>2194</v>
      </c>
      <c r="F124" s="250">
        <f t="shared" si="5"/>
        <v>70.309480401093893</v>
      </c>
      <c r="G124" s="13"/>
      <c r="H124" s="13"/>
      <c r="I124" s="13"/>
      <c r="J124" s="14"/>
    </row>
    <row r="125" spans="2:10">
      <c r="B125" s="31"/>
      <c r="C125" s="251" t="s">
        <v>463</v>
      </c>
      <c r="D125" s="252">
        <v>3315</v>
      </c>
      <c r="E125" s="252">
        <v>46</v>
      </c>
      <c r="F125" s="253">
        <f t="shared" si="5"/>
        <v>72.065217391304344</v>
      </c>
      <c r="G125" s="13"/>
      <c r="H125" s="13"/>
      <c r="I125" s="13"/>
      <c r="J125" s="14"/>
    </row>
    <row r="126" spans="2:10">
      <c r="B126" s="31"/>
      <c r="C126" s="254" t="s">
        <v>464</v>
      </c>
      <c r="D126" s="249">
        <v>600</v>
      </c>
      <c r="E126" s="249">
        <v>8</v>
      </c>
      <c r="F126" s="250">
        <f t="shared" si="5"/>
        <v>75</v>
      </c>
      <c r="G126" s="13"/>
      <c r="H126" s="13"/>
      <c r="I126" s="13"/>
      <c r="J126" s="14"/>
    </row>
    <row r="127" spans="2:10">
      <c r="B127" s="31"/>
      <c r="C127" s="255" t="s">
        <v>466</v>
      </c>
      <c r="D127" s="252">
        <v>100</v>
      </c>
      <c r="E127" s="252">
        <v>2</v>
      </c>
      <c r="F127" s="253">
        <f t="shared" si="5"/>
        <v>50</v>
      </c>
      <c r="G127" s="13"/>
      <c r="H127" s="13"/>
      <c r="I127" s="13"/>
      <c r="J127" s="14"/>
    </row>
    <row r="128" spans="2:10">
      <c r="B128" s="31"/>
      <c r="C128" s="254" t="s">
        <v>107</v>
      </c>
      <c r="D128" s="249">
        <v>100</v>
      </c>
      <c r="E128" s="249">
        <v>2</v>
      </c>
      <c r="F128" s="250">
        <f t="shared" si="5"/>
        <v>50</v>
      </c>
      <c r="G128" s="13"/>
      <c r="H128" s="13"/>
      <c r="I128" s="13"/>
      <c r="J128" s="14"/>
    </row>
    <row r="129" spans="2:10">
      <c r="B129" s="31"/>
      <c r="C129" s="255" t="s">
        <v>26</v>
      </c>
      <c r="D129" s="252">
        <v>1697351.9</v>
      </c>
      <c r="E129" s="252">
        <v>29731</v>
      </c>
      <c r="F129" s="253">
        <f t="shared" si="5"/>
        <v>57.090306414180482</v>
      </c>
      <c r="G129" s="13"/>
      <c r="H129" s="13"/>
      <c r="I129" s="13"/>
      <c r="J129" s="14"/>
    </row>
    <row r="130" spans="2:10">
      <c r="B130" s="31"/>
      <c r="C130" s="254" t="s">
        <v>461</v>
      </c>
      <c r="D130" s="249">
        <v>1490611</v>
      </c>
      <c r="E130" s="249">
        <v>24257</v>
      </c>
      <c r="F130" s="250">
        <f t="shared" si="5"/>
        <v>61.450756482664801</v>
      </c>
      <c r="G130" s="13"/>
      <c r="H130" s="13"/>
      <c r="I130" s="13"/>
      <c r="J130" s="14"/>
    </row>
    <row r="131" spans="2:10">
      <c r="B131" s="31"/>
      <c r="C131" s="251" t="s">
        <v>107</v>
      </c>
      <c r="D131" s="252">
        <v>912</v>
      </c>
      <c r="E131" s="252">
        <v>7</v>
      </c>
      <c r="F131" s="253">
        <f t="shared" si="5"/>
        <v>130.28571428571428</v>
      </c>
      <c r="G131" s="13"/>
      <c r="H131" s="13"/>
      <c r="I131" s="13"/>
      <c r="J131" s="14"/>
    </row>
    <row r="132" spans="2:10">
      <c r="B132" s="31"/>
      <c r="C132" s="254" t="s">
        <v>463</v>
      </c>
      <c r="D132" s="249">
        <v>201144.4</v>
      </c>
      <c r="E132" s="249">
        <v>5376</v>
      </c>
      <c r="F132" s="250">
        <f t="shared" si="5"/>
        <v>37.415252976190473</v>
      </c>
      <c r="G132" s="13"/>
      <c r="H132" s="13"/>
      <c r="I132" s="13"/>
      <c r="J132" s="14"/>
    </row>
    <row r="133" spans="2:10">
      <c r="B133" s="31"/>
      <c r="C133" s="251" t="s">
        <v>464</v>
      </c>
      <c r="D133" s="252">
        <v>4684.5</v>
      </c>
      <c r="E133" s="252">
        <v>91</v>
      </c>
      <c r="F133" s="253">
        <f t="shared" si="5"/>
        <v>51.478021978021978</v>
      </c>
      <c r="G133" s="13"/>
      <c r="H133" s="13"/>
      <c r="I133" s="13"/>
      <c r="J133" s="14"/>
    </row>
    <row r="134" spans="2:10">
      <c r="B134" s="31"/>
      <c r="C134" s="248" t="s">
        <v>95</v>
      </c>
      <c r="D134" s="249">
        <v>278.26</v>
      </c>
      <c r="E134" s="249">
        <v>43</v>
      </c>
      <c r="F134" s="250">
        <f t="shared" si="5"/>
        <v>6.4711627906976741</v>
      </c>
      <c r="G134" s="13"/>
      <c r="H134" s="13"/>
      <c r="I134" s="13"/>
      <c r="J134" s="14"/>
    </row>
    <row r="135" spans="2:10">
      <c r="B135" s="31"/>
      <c r="C135" s="251" t="s">
        <v>461</v>
      </c>
      <c r="D135" s="252">
        <v>51.3</v>
      </c>
      <c r="E135" s="252">
        <v>7</v>
      </c>
      <c r="F135" s="253">
        <f t="shared" si="5"/>
        <v>7.3285714285714283</v>
      </c>
      <c r="G135" s="13"/>
      <c r="H135" s="13"/>
      <c r="I135" s="13"/>
      <c r="J135" s="14"/>
    </row>
    <row r="136" spans="2:10">
      <c r="B136" s="31"/>
      <c r="C136" s="254" t="s">
        <v>107</v>
      </c>
      <c r="D136" s="249">
        <v>0.46</v>
      </c>
      <c r="E136" s="249">
        <v>1</v>
      </c>
      <c r="F136" s="250">
        <f t="shared" si="5"/>
        <v>0.46</v>
      </c>
      <c r="G136" s="13"/>
      <c r="H136" s="13"/>
      <c r="I136" s="13"/>
      <c r="J136" s="14"/>
    </row>
    <row r="137" spans="2:10">
      <c r="B137" s="31"/>
      <c r="C137" s="251" t="s">
        <v>462</v>
      </c>
      <c r="D137" s="252">
        <v>193</v>
      </c>
      <c r="E137" s="252">
        <v>25</v>
      </c>
      <c r="F137" s="253">
        <f t="shared" si="5"/>
        <v>7.72</v>
      </c>
      <c r="G137" s="13"/>
      <c r="H137" s="13"/>
      <c r="I137" s="13"/>
      <c r="J137" s="14"/>
    </row>
    <row r="138" spans="2:10">
      <c r="B138" s="31"/>
      <c r="C138" s="254" t="s">
        <v>463</v>
      </c>
      <c r="D138" s="249">
        <v>33.5</v>
      </c>
      <c r="E138" s="249">
        <v>10</v>
      </c>
      <c r="F138" s="250">
        <f t="shared" si="5"/>
        <v>3.35</v>
      </c>
      <c r="G138" s="13"/>
      <c r="H138" s="13"/>
      <c r="I138" s="13"/>
      <c r="J138" s="14"/>
    </row>
    <row r="139" spans="2:10">
      <c r="B139" s="31"/>
      <c r="C139" s="255" t="s">
        <v>107</v>
      </c>
      <c r="D139" s="252">
        <v>200</v>
      </c>
      <c r="E139" s="252">
        <v>2</v>
      </c>
      <c r="F139" s="253">
        <f t="shared" si="5"/>
        <v>100</v>
      </c>
      <c r="G139" s="13"/>
      <c r="H139" s="13"/>
      <c r="I139" s="13"/>
      <c r="J139" s="14"/>
    </row>
    <row r="140" spans="2:10">
      <c r="B140" s="31"/>
      <c r="C140" s="254" t="s">
        <v>462</v>
      </c>
      <c r="D140" s="249">
        <v>200</v>
      </c>
      <c r="E140" s="249">
        <v>2</v>
      </c>
      <c r="F140" s="250">
        <f t="shared" si="5"/>
        <v>100</v>
      </c>
      <c r="G140" s="13"/>
      <c r="H140" s="13"/>
      <c r="I140" s="13"/>
      <c r="J140" s="14"/>
    </row>
    <row r="141" spans="2:10">
      <c r="B141" s="31"/>
      <c r="C141" s="255" t="s">
        <v>464</v>
      </c>
      <c r="D141" s="252">
        <v>3276</v>
      </c>
      <c r="E141" s="252">
        <v>30</v>
      </c>
      <c r="F141" s="253">
        <f t="shared" si="5"/>
        <v>109.2</v>
      </c>
      <c r="G141" s="13"/>
      <c r="H141" s="13"/>
      <c r="I141" s="13"/>
      <c r="J141" s="14"/>
    </row>
    <row r="142" spans="2:10">
      <c r="B142" s="31"/>
      <c r="C142" s="254" t="s">
        <v>461</v>
      </c>
      <c r="D142" s="249">
        <v>2701</v>
      </c>
      <c r="E142" s="249">
        <v>23</v>
      </c>
      <c r="F142" s="250">
        <f t="shared" si="5"/>
        <v>117.43478260869566</v>
      </c>
      <c r="G142" s="13"/>
      <c r="H142" s="13"/>
      <c r="I142" s="13"/>
      <c r="J142" s="14"/>
    </row>
    <row r="143" spans="2:10">
      <c r="B143" s="31"/>
      <c r="C143" s="251" t="s">
        <v>464</v>
      </c>
      <c r="D143" s="252">
        <v>575</v>
      </c>
      <c r="E143" s="252">
        <v>7</v>
      </c>
      <c r="F143" s="261">
        <f t="shared" si="5"/>
        <v>82.142857142857139</v>
      </c>
      <c r="G143" s="13"/>
      <c r="H143" s="13"/>
      <c r="I143" s="13"/>
      <c r="J143" s="14"/>
    </row>
    <row r="144" spans="2:10">
      <c r="B144" s="31"/>
      <c r="C144" s="256" t="s">
        <v>18</v>
      </c>
      <c r="D144" s="257">
        <v>2391558.1599999997</v>
      </c>
      <c r="E144" s="257">
        <v>52085</v>
      </c>
      <c r="F144" s="258"/>
      <c r="G144" s="13"/>
      <c r="H144" s="13"/>
      <c r="I144" s="13"/>
      <c r="J144" s="14"/>
    </row>
    <row r="145" spans="2:10">
      <c r="B145" s="31"/>
      <c r="C145" s="13"/>
      <c r="D145" s="13"/>
      <c r="E145" s="13"/>
      <c r="F145" s="13"/>
      <c r="G145" s="13"/>
      <c r="H145" s="13"/>
      <c r="I145" s="13"/>
      <c r="J145" s="14"/>
    </row>
    <row r="146" spans="2:10" ht="15.75" thickBot="1">
      <c r="B146" s="15"/>
      <c r="C146" s="16"/>
      <c r="D146" s="16"/>
      <c r="E146" s="16"/>
      <c r="F146" s="16"/>
      <c r="G146" s="16"/>
      <c r="H146" s="16"/>
      <c r="I146" s="16"/>
      <c r="J146" s="17"/>
    </row>
    <row r="154" spans="2:10">
      <c r="C154" t="s">
        <v>478</v>
      </c>
    </row>
    <row r="155" spans="2:10">
      <c r="C155" t="s">
        <v>479</v>
      </c>
      <c r="D155" s="8">
        <v>0.26</v>
      </c>
    </row>
    <row r="207" spans="3:5" ht="15.75" thickBot="1"/>
    <row r="208" spans="3:5" ht="15.75" thickBot="1">
      <c r="C208" s="294" t="s">
        <v>480</v>
      </c>
      <c r="D208" s="295" t="s">
        <v>481</v>
      </c>
      <c r="E208" s="295" t="s">
        <v>482</v>
      </c>
    </row>
    <row r="209" spans="3:5" ht="150.75" thickBot="1">
      <c r="C209" s="363" t="s">
        <v>311</v>
      </c>
      <c r="D209" s="296" t="s">
        <v>483</v>
      </c>
      <c r="E209" s="296" t="s">
        <v>484</v>
      </c>
    </row>
    <row r="210" spans="3:5" ht="75.75" thickBot="1">
      <c r="C210" s="363" t="s">
        <v>302</v>
      </c>
      <c r="D210" s="296" t="s">
        <v>485</v>
      </c>
      <c r="E210" s="296" t="s">
        <v>486</v>
      </c>
    </row>
    <row r="211" spans="3:5" ht="45.75" thickBot="1">
      <c r="C211" s="363" t="s">
        <v>487</v>
      </c>
      <c r="D211" s="296" t="s">
        <v>308</v>
      </c>
      <c r="E211" s="296" t="s">
        <v>486</v>
      </c>
    </row>
    <row r="212" spans="3:5" ht="60.75" thickBot="1">
      <c r="C212" s="363" t="s">
        <v>488</v>
      </c>
      <c r="D212" s="296" t="s">
        <v>315</v>
      </c>
      <c r="E212" s="296" t="s">
        <v>489</v>
      </c>
    </row>
    <row r="213" spans="3:5" ht="75.75" thickBot="1">
      <c r="C213" s="363" t="s">
        <v>490</v>
      </c>
      <c r="D213" s="296" t="s">
        <v>491</v>
      </c>
      <c r="E213" s="296" t="s">
        <v>492</v>
      </c>
    </row>
    <row r="214" spans="3:5" ht="75.75" thickBot="1">
      <c r="C214" s="363" t="s">
        <v>493</v>
      </c>
      <c r="D214" s="296" t="s">
        <v>494</v>
      </c>
      <c r="E214" s="296"/>
    </row>
    <row r="215" spans="3:5" ht="60.75" thickBot="1">
      <c r="C215" s="363" t="s">
        <v>495</v>
      </c>
      <c r="D215" s="296" t="s">
        <v>340</v>
      </c>
      <c r="E215" s="296"/>
    </row>
    <row r="216" spans="3:5" ht="60">
      <c r="C216" s="870" t="s">
        <v>496</v>
      </c>
      <c r="D216" s="283" t="s">
        <v>497</v>
      </c>
      <c r="E216" s="870"/>
    </row>
    <row r="217" spans="3:5" ht="105.75" thickBot="1">
      <c r="C217" s="871"/>
      <c r="D217" s="296" t="s">
        <v>498</v>
      </c>
      <c r="E217" s="871"/>
    </row>
  </sheetData>
  <sheetProtection password="CD9A" sheet="1" objects="1" scenarios="1"/>
  <customSheetViews>
    <customSheetView guid="{A8BE391E-BE5F-48EE-9984-3EE3CF1986D2}" state="hidden">
      <selection activeCell="B14" sqref="B14"/>
      <pageMargins left="0" right="0" top="0" bottom="0" header="0" footer="0"/>
    </customSheetView>
  </customSheetViews>
  <mergeCells count="3">
    <mergeCell ref="B31:E31"/>
    <mergeCell ref="C216:C217"/>
    <mergeCell ref="E216:E217"/>
  </mergeCells>
  <conditionalFormatting sqref="D56:H64">
    <cfRule type="top10" dxfId="8" priority="2" rank="6"/>
  </conditionalFormatting>
  <conditionalFormatting sqref="D97:H105">
    <cfRule type="top10" dxfId="7" priority="1" rank="5"/>
  </conditionalFormatting>
  <hyperlinks>
    <hyperlink ref="R1" r:id="rId1"/>
    <hyperlink ref="B4" r:id="rId2"/>
    <hyperlink ref="M1" r:id="rId3"/>
  </hyperlinks>
  <pageMargins left="0.7" right="0.7" top="0.75" bottom="0.75" header="0.3" footer="0.3"/>
  <pageSetup orientation="portrait"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5703d617-a42b-4e9d-9688-8be752aeef0b">Final Draft 2014 Workbook HiddenLocked</Comment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28C9F42F9648C4CA64448BF01577C44" ma:contentTypeVersion="1" ma:contentTypeDescription="Create a new document." ma:contentTypeScope="" ma:versionID="e25627c05540f9126f4739c1ef3b63f5">
  <xsd:schema xmlns:xsd="http://www.w3.org/2001/XMLSchema" xmlns:xs="http://www.w3.org/2001/XMLSchema" xmlns:p="http://schemas.microsoft.com/office/2006/metadata/properties" xmlns:ns2="5703d617-a42b-4e9d-9688-8be752aeef0b" targetNamespace="http://schemas.microsoft.com/office/2006/metadata/properties" ma:root="true" ma:fieldsID="9798730cf8254a2a98162bca48a19b14" ns2:_="">
    <xsd:import namespace="5703d617-a42b-4e9d-9688-8be752aeef0b"/>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03d617-a42b-4e9d-9688-8be752aeef0b"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989CD5-4D5D-46F0-B519-46AF2F8190F9}">
  <ds:schemaRefs>
    <ds:schemaRef ds:uri="http://schemas.openxmlformats.org/package/2006/metadata/core-properties"/>
    <ds:schemaRef ds:uri="http://purl.org/dc/elements/1.1/"/>
    <ds:schemaRef ds:uri="http://purl.org/dc/terms/"/>
    <ds:schemaRef ds:uri="http://purl.org/dc/dcmitype/"/>
    <ds:schemaRef ds:uri="http://www.w3.org/XML/1998/namespace"/>
    <ds:schemaRef ds:uri="http://schemas.microsoft.com/office/2006/metadata/properties"/>
    <ds:schemaRef ds:uri="http://schemas.microsoft.com/office/2006/documentManagement/types"/>
    <ds:schemaRef ds:uri="5703d617-a42b-4e9d-9688-8be752aeef0b"/>
    <ds:schemaRef ds:uri="http://schemas.microsoft.com/office/infopath/2007/PartnerControls"/>
  </ds:schemaRefs>
</ds:datastoreItem>
</file>

<file path=customXml/itemProps2.xml><?xml version="1.0" encoding="utf-8"?>
<ds:datastoreItem xmlns:ds="http://schemas.openxmlformats.org/officeDocument/2006/customXml" ds:itemID="{96D93EEC-A90A-41AF-B136-58E4E3F4E4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03d617-a42b-4e9d-9688-8be752aeef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16EE3C-03D5-4918-937A-01B18A545B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CoverSheet</vt:lpstr>
      <vt:lpstr>Market Solutions</vt:lpstr>
      <vt:lpstr>Summary-Residential</vt:lpstr>
      <vt:lpstr>Summary-NonResInterior</vt:lpstr>
      <vt:lpstr>Summary-NonResExterior</vt:lpstr>
      <vt:lpstr>Summary-Custom</vt:lpstr>
      <vt:lpstr>MarketSolutions_4customreports</vt:lpstr>
      <vt:lpstr>Ref-Savings Calculations</vt:lpstr>
      <vt:lpstr>Ref-ResSources</vt:lpstr>
      <vt:lpstr>Ref-2013CLASSsaturations</vt:lpstr>
      <vt:lpstr>Ref-ComSources</vt:lpstr>
      <vt:lpstr>Ref-2013CSSsaturationsINT</vt:lpstr>
      <vt:lpstr>Ref-ExteriorSources</vt:lpstr>
      <vt:lpstr>Ref-2013CSSsaturationsEXT</vt:lpstr>
      <vt:lpstr>Ref-BaselineControls</vt:lpstr>
      <vt:lpstr>Ref-AgricultureSources</vt:lpstr>
      <vt:lpstr>Ref-Codes &amp; Standards</vt:lpstr>
      <vt:lpstr>Ref-DOE</vt:lpstr>
      <vt:lpstr>Ref-ComHOU</vt:lpstr>
      <vt:lpstr>Applicability</vt:lpstr>
      <vt:lpstr>ControlShare</vt:lpstr>
      <vt:lpstr>'Ref-Codes &amp; Standards'!lighting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2014 Lighting Solutions Workbook</dc:title>
  <dc:creator>Raymond Haija</dc:creator>
  <cp:lastModifiedBy>Sahar Abbaszadeh</cp:lastModifiedBy>
  <dcterms:created xsi:type="dcterms:W3CDTF">2011-08-08T21:55:34Z</dcterms:created>
  <dcterms:modified xsi:type="dcterms:W3CDTF">2014-12-23T21:35:02Z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0x010100528C9F42F9648C4CA64448BF01577C44</vt:lpwstr>
  </property>
</Properties>
</file>