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GE\Aggregator\Aggregator 2014\Models\Ex Post Protocol Tables\"/>
    </mc:Choice>
  </mc:AlternateContent>
  <bookViews>
    <workbookView xWindow="0" yWindow="75" windowWidth="19035" windowHeight="11760"/>
  </bookViews>
  <sheets>
    <sheet name="Table" sheetId="4" r:id="rId1"/>
    <sheet name="Lookups" sheetId="2" state="hidden" r:id="rId2"/>
    <sheet name="Data" sheetId="1" state="hidden" r:id="rId3"/>
  </sheets>
  <externalReferences>
    <externalReference r:id="rId4"/>
    <externalReference r:id="rId5"/>
  </externalReferences>
  <definedNames>
    <definedName name="_xlnm._FilterDatabase" localSheetId="2" hidden="1">Data!$A$1:$FV$16720</definedName>
    <definedName name="agg_list">Lookups!$O$4:$O$9</definedName>
    <definedName name="Called">Table!$G$3</definedName>
    <definedName name="_xlnm.Criteria">Lookups!$B$3:$D$4</definedName>
    <definedName name="data">Data!$A$1:$FX$30904</definedName>
    <definedName name="date">Table!$B$5</definedName>
    <definedName name="date_list">Lookups!$K$4:$K$18</definedName>
    <definedName name="date_temp">[1]Table!$B$5</definedName>
    <definedName name="dual_enrol">Table!$B$11</definedName>
    <definedName name="dual_enrol_list">Lookups!$Q$4:$Q$6</definedName>
    <definedName name="Fillin">Lookups!$D$11</definedName>
    <definedName name="ind_grp">[2]Table!$B$7</definedName>
    <definedName name="lca">Table!$B$7</definedName>
    <definedName name="lca_list">Lookups!$L$4</definedName>
    <definedName name="notice">Table!$B$8</definedName>
    <definedName name="notice_list">Lookups!$M$4:$M$6</definedName>
    <definedName name="notice_temp">[1]Table!$B$11</definedName>
    <definedName name="pass">Lookups!$D$8</definedName>
    <definedName name="_xlnm.Print_Area" localSheetId="0">Table!$A$2:$N$35</definedName>
    <definedName name="Result_type">Table!$B$4</definedName>
    <definedName name="Result_type_list">Lookups!$J$4:$J$5</definedName>
    <definedName name="table_for_PGE_CBP_expost_public" localSheetId="2">Data!$A$1:$FT$46</definedName>
  </definedNames>
  <calcPr calcId="152511"/>
</workbook>
</file>

<file path=xl/calcChain.xml><?xml version="1.0" encoding="utf-8"?>
<calcChain xmlns="http://schemas.openxmlformats.org/spreadsheetml/2006/main">
  <c r="Z42" i="2" l="1"/>
  <c r="B11" i="4" l="1"/>
  <c r="Z43" i="2" l="1"/>
  <c r="AD42" i="2"/>
  <c r="AC42" i="2"/>
  <c r="F66" i="2" l="1"/>
  <c r="A66" i="2"/>
  <c r="F65" i="2"/>
  <c r="A65" i="2"/>
  <c r="F64" i="2"/>
  <c r="A64" i="2"/>
  <c r="F63" i="2"/>
  <c r="A63" i="2"/>
  <c r="F62" i="2"/>
  <c r="A62" i="2"/>
  <c r="F61" i="2"/>
  <c r="A61" i="2"/>
  <c r="F60" i="2"/>
  <c r="A60" i="2"/>
  <c r="F59" i="2"/>
  <c r="A59" i="2"/>
  <c r="F58" i="2"/>
  <c r="A58" i="2"/>
  <c r="F57" i="2"/>
  <c r="A57" i="2"/>
  <c r="F56" i="2"/>
  <c r="A56" i="2"/>
  <c r="F55" i="2"/>
  <c r="A55" i="2"/>
  <c r="F54" i="2"/>
  <c r="A54" i="2"/>
  <c r="F53" i="2"/>
  <c r="A53" i="2"/>
  <c r="F52" i="2"/>
  <c r="A52" i="2"/>
  <c r="F51" i="2"/>
  <c r="A51" i="2"/>
  <c r="F50" i="2"/>
  <c r="A50" i="2"/>
  <c r="F49" i="2"/>
  <c r="A49" i="2"/>
  <c r="F48" i="2"/>
  <c r="A48" i="2"/>
  <c r="F47" i="2"/>
  <c r="A47" i="2"/>
  <c r="F46" i="2"/>
  <c r="A46" i="2"/>
  <c r="F45" i="2"/>
  <c r="A45" i="2"/>
  <c r="F44" i="2"/>
  <c r="A44" i="2"/>
  <c r="F43" i="2"/>
  <c r="A43" i="2"/>
  <c r="F42" i="2"/>
  <c r="A42" i="2"/>
  <c r="F41" i="2"/>
  <c r="A41" i="2"/>
  <c r="F40" i="2"/>
  <c r="A40" i="2"/>
  <c r="F39" i="2"/>
  <c r="A39" i="2"/>
  <c r="F38" i="2"/>
  <c r="A38" i="2"/>
  <c r="F37" i="2"/>
  <c r="A37" i="2"/>
  <c r="F36" i="2"/>
  <c r="A36" i="2"/>
  <c r="F35" i="2"/>
  <c r="A35" i="2"/>
  <c r="F34" i="2"/>
  <c r="A34" i="2"/>
  <c r="F33" i="2"/>
  <c r="A33" i="2"/>
  <c r="F32" i="2"/>
  <c r="A32" i="2"/>
  <c r="F31" i="2"/>
  <c r="A31" i="2"/>
  <c r="F30" i="2"/>
  <c r="A30" i="2"/>
  <c r="F29" i="2"/>
  <c r="A29" i="2"/>
  <c r="F28" i="2"/>
  <c r="A28" i="2"/>
  <c r="F27" i="2"/>
  <c r="A27" i="2"/>
  <c r="F26" i="2"/>
  <c r="A26" i="2"/>
  <c r="F25" i="2"/>
  <c r="A25" i="2"/>
  <c r="F24" i="2"/>
  <c r="A24" i="2"/>
  <c r="F23" i="2"/>
  <c r="A23" i="2"/>
  <c r="F22" i="2"/>
  <c r="A22" i="2"/>
  <c r="H32" i="4" l="1"/>
  <c r="G32" i="4"/>
  <c r="G5" i="4"/>
  <c r="J3" i="4" l="1"/>
  <c r="K22" i="2" l="1"/>
  <c r="I23" i="2"/>
  <c r="K23" i="2" s="1"/>
  <c r="F32" i="4"/>
  <c r="S22" i="2" l="1"/>
  <c r="I24" i="2"/>
  <c r="K24" i="2" s="1"/>
  <c r="D4" i="2"/>
  <c r="C4" i="2"/>
  <c r="B4" i="2"/>
  <c r="J32" i="4"/>
  <c r="J6" i="4"/>
  <c r="H5" i="4"/>
  <c r="F5" i="4"/>
  <c r="A1" i="4"/>
  <c r="D8" i="2" l="1"/>
  <c r="M22" i="2"/>
  <c r="R22" i="2"/>
  <c r="O22" i="2"/>
  <c r="U22" i="2"/>
  <c r="Q22" i="2"/>
  <c r="T22" i="2"/>
  <c r="N22" i="2"/>
  <c r="P22" i="2"/>
  <c r="L22" i="2"/>
  <c r="U23" i="2"/>
  <c r="M23" i="2"/>
  <c r="R23" i="2"/>
  <c r="T23" i="2"/>
  <c r="L23" i="2"/>
  <c r="S23" i="2"/>
  <c r="O23" i="2"/>
  <c r="N23" i="2"/>
  <c r="P23" i="2"/>
  <c r="Q23" i="2"/>
  <c r="I25" i="2"/>
  <c r="K25" i="2" s="1"/>
  <c r="G2" i="4" l="1"/>
  <c r="G3" i="4"/>
  <c r="F8" i="4"/>
  <c r="P24" i="2"/>
  <c r="N24" i="2"/>
  <c r="O24" i="2"/>
  <c r="M24" i="2"/>
  <c r="R24" i="2"/>
  <c r="Q24" i="2"/>
  <c r="U24" i="2"/>
  <c r="T24" i="2"/>
  <c r="S24" i="2"/>
  <c r="L24" i="2"/>
  <c r="I26" i="2"/>
  <c r="K26" i="2" s="1"/>
  <c r="I31" i="4"/>
  <c r="J45" i="2" s="1"/>
  <c r="J30" i="4"/>
  <c r="K29" i="4"/>
  <c r="M27" i="4"/>
  <c r="N26" i="4"/>
  <c r="F26" i="4"/>
  <c r="H24" i="4"/>
  <c r="I23" i="4"/>
  <c r="J37" i="2" s="1"/>
  <c r="J22" i="4"/>
  <c r="K21" i="4"/>
  <c r="M19" i="4"/>
  <c r="N18" i="4"/>
  <c r="F18" i="4"/>
  <c r="H16" i="4"/>
  <c r="L16" i="4" s="1"/>
  <c r="I15" i="4"/>
  <c r="J29" i="2" s="1"/>
  <c r="J14" i="4"/>
  <c r="K13" i="4"/>
  <c r="M11" i="4"/>
  <c r="N10" i="4"/>
  <c r="F10" i="4"/>
  <c r="H8" i="4"/>
  <c r="H31" i="4"/>
  <c r="L31" i="4" s="1"/>
  <c r="I30" i="4"/>
  <c r="J44" i="2" s="1"/>
  <c r="J29" i="4"/>
  <c r="K28" i="4"/>
  <c r="M26" i="4"/>
  <c r="N25" i="4"/>
  <c r="F25" i="4"/>
  <c r="H23" i="4"/>
  <c r="I22" i="4"/>
  <c r="J36" i="2" s="1"/>
  <c r="J21" i="4"/>
  <c r="K20" i="4"/>
  <c r="M18" i="4"/>
  <c r="N17" i="4"/>
  <c r="F17" i="4"/>
  <c r="H15" i="4"/>
  <c r="L15" i="4" s="1"/>
  <c r="I14" i="4"/>
  <c r="J28" i="2" s="1"/>
  <c r="J13" i="4"/>
  <c r="K12" i="4"/>
  <c r="M10" i="4"/>
  <c r="N9" i="4"/>
  <c r="F9" i="4"/>
  <c r="F31" i="4"/>
  <c r="H29" i="4"/>
  <c r="L29" i="4" s="1"/>
  <c r="J27" i="4"/>
  <c r="K26" i="4"/>
  <c r="N23" i="4"/>
  <c r="H21" i="4"/>
  <c r="K18" i="4"/>
  <c r="M16" i="4"/>
  <c r="N15" i="4"/>
  <c r="H13" i="4"/>
  <c r="L13" i="4" s="1"/>
  <c r="I12" i="4"/>
  <c r="J26" i="2" s="1"/>
  <c r="K10" i="4"/>
  <c r="M8" i="4"/>
  <c r="H30" i="4"/>
  <c r="L30" i="4" s="1"/>
  <c r="I29" i="4"/>
  <c r="J43" i="2" s="1"/>
  <c r="J28" i="4"/>
  <c r="K27" i="4"/>
  <c r="M25" i="4"/>
  <c r="N24" i="4"/>
  <c r="F24" i="4"/>
  <c r="H22" i="4"/>
  <c r="I21" i="4"/>
  <c r="J35" i="2" s="1"/>
  <c r="J20" i="4"/>
  <c r="K19" i="4"/>
  <c r="M17" i="4"/>
  <c r="N16" i="4"/>
  <c r="F16" i="4"/>
  <c r="H14" i="4"/>
  <c r="L14" i="4" s="1"/>
  <c r="I13" i="4"/>
  <c r="J27" i="2" s="1"/>
  <c r="J12" i="4"/>
  <c r="K11" i="4"/>
  <c r="M9" i="4"/>
  <c r="N8" i="4"/>
  <c r="N31" i="4"/>
  <c r="I28" i="4"/>
  <c r="J42" i="2" s="1"/>
  <c r="M24" i="4"/>
  <c r="F23" i="4"/>
  <c r="I20" i="4"/>
  <c r="J34" i="2" s="1"/>
  <c r="J19" i="4"/>
  <c r="F15" i="4"/>
  <c r="J11" i="4"/>
  <c r="M31" i="4"/>
  <c r="N30" i="4"/>
  <c r="F30" i="4"/>
  <c r="H28" i="4"/>
  <c r="L28" i="4" s="1"/>
  <c r="I27" i="4"/>
  <c r="J41" i="2" s="1"/>
  <c r="J26" i="4"/>
  <c r="K25" i="4"/>
  <c r="M23" i="4"/>
  <c r="N22" i="4"/>
  <c r="F22" i="4"/>
  <c r="H20" i="4"/>
  <c r="L20" i="4" s="1"/>
  <c r="I19" i="4"/>
  <c r="J33" i="2" s="1"/>
  <c r="J18" i="4"/>
  <c r="K17" i="4"/>
  <c r="M15" i="4"/>
  <c r="N14" i="4"/>
  <c r="F14" i="4"/>
  <c r="H12" i="4"/>
  <c r="L12" i="4" s="1"/>
  <c r="I11" i="4"/>
  <c r="J25" i="2" s="1"/>
  <c r="J10" i="4"/>
  <c r="K9" i="4"/>
  <c r="J16" i="4"/>
  <c r="N11" i="4"/>
  <c r="K30" i="4"/>
  <c r="F28" i="4"/>
  <c r="J25" i="4"/>
  <c r="J23" i="4"/>
  <c r="I18" i="4"/>
  <c r="J32" i="2" s="1"/>
  <c r="H11" i="4"/>
  <c r="L11" i="4" s="1"/>
  <c r="N27" i="4"/>
  <c r="M20" i="4"/>
  <c r="M29" i="4"/>
  <c r="H27" i="4"/>
  <c r="L27" i="4" s="1"/>
  <c r="H25" i="4"/>
  <c r="L25" i="4" s="1"/>
  <c r="K15" i="4"/>
  <c r="F13" i="4"/>
  <c r="F11" i="4"/>
  <c r="J8" i="4"/>
  <c r="K24" i="4"/>
  <c r="K22" i="4"/>
  <c r="F20" i="4"/>
  <c r="J17" i="4"/>
  <c r="J15" i="4"/>
  <c r="N12" i="4"/>
  <c r="I10" i="4"/>
  <c r="J24" i="2" s="1"/>
  <c r="I8" i="4"/>
  <c r="J22" i="2" s="1"/>
  <c r="I34" i="4" s="1"/>
  <c r="K31" i="4"/>
  <c r="F29" i="4"/>
  <c r="F27" i="4"/>
  <c r="J24" i="4"/>
  <c r="N21" i="4"/>
  <c r="N19" i="4"/>
  <c r="I17" i="4"/>
  <c r="J31" i="2" s="1"/>
  <c r="M14" i="4"/>
  <c r="M12" i="4"/>
  <c r="H10" i="4"/>
  <c r="L10" i="4" s="1"/>
  <c r="N20" i="4"/>
  <c r="M13" i="4"/>
  <c r="H9" i="4"/>
  <c r="L9" i="4" s="1"/>
  <c r="N29" i="4"/>
  <c r="M22" i="4"/>
  <c r="K8" i="4"/>
  <c r="J31" i="4"/>
  <c r="N28" i="4"/>
  <c r="I26" i="4"/>
  <c r="J40" i="2" s="1"/>
  <c r="I24" i="4"/>
  <c r="J38" i="2" s="1"/>
  <c r="M21" i="4"/>
  <c r="H19" i="4"/>
  <c r="L19" i="4" s="1"/>
  <c r="H17" i="4"/>
  <c r="L17" i="4" s="1"/>
  <c r="M30" i="4"/>
  <c r="M28" i="4"/>
  <c r="H26" i="4"/>
  <c r="L26" i="4" s="1"/>
  <c r="K16" i="4"/>
  <c r="K14" i="4"/>
  <c r="F12" i="4"/>
  <c r="J9" i="4"/>
  <c r="K23" i="4"/>
  <c r="F21" i="4"/>
  <c r="F19" i="4"/>
  <c r="N13" i="4"/>
  <c r="I9" i="4"/>
  <c r="J23" i="2" s="1"/>
  <c r="I16" i="4"/>
  <c r="J30" i="2" s="1"/>
  <c r="I25" i="4"/>
  <c r="J39" i="2" s="1"/>
  <c r="H18" i="4"/>
  <c r="L18" i="4" s="1"/>
  <c r="F34" i="4" l="1"/>
  <c r="G11" i="4"/>
  <c r="H34" i="4"/>
  <c r="I27" i="2"/>
  <c r="K27" i="2" s="1"/>
  <c r="S25" i="2"/>
  <c r="Q25" i="2"/>
  <c r="R25" i="2"/>
  <c r="P25" i="2"/>
  <c r="U25" i="2"/>
  <c r="M25" i="2"/>
  <c r="T25" i="2"/>
  <c r="L25" i="2"/>
  <c r="N25" i="2"/>
  <c r="O25" i="2"/>
  <c r="L21" i="4"/>
  <c r="G21" i="4"/>
  <c r="G14" i="4"/>
  <c r="G31" i="4"/>
  <c r="G25" i="4"/>
  <c r="G13" i="4"/>
  <c r="G22" i="4"/>
  <c r="G10" i="4"/>
  <c r="G17" i="4"/>
  <c r="G12" i="4"/>
  <c r="G28" i="4"/>
  <c r="G29" i="4"/>
  <c r="G30" i="4"/>
  <c r="G26" i="4"/>
  <c r="G20" i="4"/>
  <c r="G9" i="4"/>
  <c r="G15" i="4"/>
  <c r="G18" i="4"/>
  <c r="G27" i="4"/>
  <c r="L24" i="4"/>
  <c r="L22" i="4"/>
  <c r="L8" i="4"/>
  <c r="G19" i="4"/>
  <c r="G23" i="4"/>
  <c r="G8" i="4"/>
  <c r="G16" i="4"/>
  <c r="G24" i="4"/>
  <c r="L23" i="4"/>
  <c r="G34" i="4" l="1"/>
  <c r="N26" i="2"/>
  <c r="T26" i="2"/>
  <c r="S26" i="2"/>
  <c r="U26" i="2"/>
  <c r="M26" i="2"/>
  <c r="L26" i="2"/>
  <c r="P26" i="2"/>
  <c r="O26" i="2"/>
  <c r="R26" i="2"/>
  <c r="Q26" i="2"/>
  <c r="I28" i="2"/>
  <c r="K28" i="2" s="1"/>
  <c r="Q27" i="2" l="1"/>
  <c r="O27" i="2"/>
  <c r="P27" i="2"/>
  <c r="N27" i="2"/>
  <c r="S27" i="2"/>
  <c r="R27" i="2"/>
  <c r="U27" i="2"/>
  <c r="M27" i="2"/>
  <c r="L27" i="2"/>
  <c r="T27" i="2"/>
  <c r="I29" i="2"/>
  <c r="K29" i="2" s="1"/>
  <c r="I30" i="2" l="1"/>
  <c r="K30" i="2" s="1"/>
  <c r="T28" i="2"/>
  <c r="L28" i="2"/>
  <c r="S28" i="2"/>
  <c r="R28" i="2"/>
  <c r="Q28" i="2"/>
  <c r="N28" i="2"/>
  <c r="U28" i="2"/>
  <c r="M28" i="2"/>
  <c r="P28" i="2"/>
  <c r="O28" i="2"/>
  <c r="I31" i="2" l="1"/>
  <c r="K31" i="2" s="1"/>
  <c r="O29" i="2"/>
  <c r="U29" i="2"/>
  <c r="N29" i="2"/>
  <c r="M29" i="2"/>
  <c r="L29" i="2"/>
  <c r="Q29" i="2"/>
  <c r="P29" i="2"/>
  <c r="T29" i="2"/>
  <c r="R29" i="2"/>
  <c r="S29" i="2"/>
  <c r="I32" i="2" l="1"/>
  <c r="K32" i="2" s="1"/>
  <c r="R30" i="2"/>
  <c r="Q30" i="2"/>
  <c r="P30" i="2"/>
  <c r="O30" i="2"/>
  <c r="T30" i="2"/>
  <c r="L30" i="2"/>
  <c r="S30" i="2"/>
  <c r="U30" i="2"/>
  <c r="N30" i="2"/>
  <c r="M30" i="2"/>
  <c r="I33" i="2" l="1"/>
  <c r="K33" i="2" s="1"/>
  <c r="U31" i="2"/>
  <c r="M31" i="2"/>
  <c r="T31" i="2"/>
  <c r="L31" i="2"/>
  <c r="S31" i="2"/>
  <c r="R31" i="2"/>
  <c r="O31" i="2"/>
  <c r="N31" i="2"/>
  <c r="P31" i="2"/>
  <c r="Q31" i="2"/>
  <c r="I34" i="2" l="1"/>
  <c r="K34" i="2" s="1"/>
  <c r="P32" i="2"/>
  <c r="M32" i="2"/>
  <c r="O32" i="2"/>
  <c r="N32" i="2"/>
  <c r="U32" i="2"/>
  <c r="R32" i="2"/>
  <c r="Q32" i="2"/>
  <c r="T32" i="2"/>
  <c r="S32" i="2"/>
  <c r="L32" i="2"/>
  <c r="I35" i="2" l="1"/>
  <c r="K35" i="2" s="1"/>
  <c r="S33" i="2"/>
  <c r="P33" i="2"/>
  <c r="R33" i="2"/>
  <c r="Q33" i="2"/>
  <c r="U33" i="2"/>
  <c r="M33" i="2"/>
  <c r="T33" i="2"/>
  <c r="L33" i="2"/>
  <c r="N33" i="2"/>
  <c r="O33" i="2"/>
  <c r="N34" i="2" l="1"/>
  <c r="U34" i="2"/>
  <c r="M34" i="2"/>
  <c r="T34" i="2"/>
  <c r="L34" i="2"/>
  <c r="S34" i="2"/>
  <c r="P34" i="2"/>
  <c r="O34" i="2"/>
  <c r="R34" i="2"/>
  <c r="Q34" i="2"/>
  <c r="I36" i="2"/>
  <c r="K36" i="2" s="1"/>
  <c r="Q35" i="2" l="1"/>
  <c r="N35" i="2"/>
  <c r="P35" i="2"/>
  <c r="O35" i="2"/>
  <c r="S35" i="2"/>
  <c r="R35" i="2"/>
  <c r="U35" i="2"/>
  <c r="M35" i="2"/>
  <c r="L35" i="2"/>
  <c r="T35" i="2"/>
  <c r="I37" i="2"/>
  <c r="K37" i="2" s="1"/>
  <c r="T36" i="2" l="1"/>
  <c r="L36" i="2"/>
  <c r="S36" i="2"/>
  <c r="R36" i="2"/>
  <c r="N36" i="2"/>
  <c r="U36" i="2"/>
  <c r="M36" i="2"/>
  <c r="Q36" i="2"/>
  <c r="P36" i="2"/>
  <c r="O36" i="2"/>
  <c r="I38" i="2"/>
  <c r="K38" i="2" l="1"/>
  <c r="U38" i="2" s="1"/>
  <c r="O37" i="2"/>
  <c r="T37" i="2"/>
  <c r="L37" i="2"/>
  <c r="N37" i="2"/>
  <c r="U37" i="2"/>
  <c r="M37" i="2"/>
  <c r="Q37" i="2"/>
  <c r="P37" i="2"/>
  <c r="R37" i="2"/>
  <c r="S37" i="2"/>
  <c r="I39" i="2"/>
  <c r="K39" i="2" s="1"/>
  <c r="I40" i="2" l="1"/>
  <c r="K40" i="2" s="1"/>
  <c r="R38" i="2"/>
  <c r="O38" i="2"/>
  <c r="Q38" i="2"/>
  <c r="P38" i="2"/>
  <c r="T38" i="2"/>
  <c r="L38" i="2"/>
  <c r="S38" i="2"/>
  <c r="N38" i="2"/>
  <c r="M38" i="2"/>
  <c r="I41" i="2" l="1"/>
  <c r="K41" i="2" s="1"/>
  <c r="U39" i="2"/>
  <c r="M39" i="2"/>
  <c r="R39" i="2"/>
  <c r="T39" i="2"/>
  <c r="L39" i="2"/>
  <c r="S39" i="2"/>
  <c r="O39" i="2"/>
  <c r="N39" i="2"/>
  <c r="P39" i="2"/>
  <c r="Q39" i="2"/>
  <c r="P40" i="2" l="1"/>
  <c r="U40" i="2"/>
  <c r="O40" i="2"/>
  <c r="N40" i="2"/>
  <c r="M40" i="2"/>
  <c r="R40" i="2"/>
  <c r="Q40" i="2"/>
  <c r="T40" i="2"/>
  <c r="S40" i="2"/>
  <c r="L40" i="2"/>
  <c r="I42" i="2"/>
  <c r="K42" i="2" s="1"/>
  <c r="S41" i="2" l="1"/>
  <c r="R41" i="2"/>
  <c r="Q41" i="2"/>
  <c r="P41" i="2"/>
  <c r="U41" i="2"/>
  <c r="M41" i="2"/>
  <c r="T41" i="2"/>
  <c r="L41" i="2"/>
  <c r="N41" i="2"/>
  <c r="O41" i="2"/>
  <c r="I43" i="2"/>
  <c r="K43" i="2" s="1"/>
  <c r="I44" i="2" l="1"/>
  <c r="K44" i="2" s="1"/>
  <c r="N42" i="2"/>
  <c r="S42" i="2"/>
  <c r="U42" i="2"/>
  <c r="M42" i="2"/>
  <c r="T42" i="2"/>
  <c r="L42" i="2"/>
  <c r="P42" i="2"/>
  <c r="O42" i="2"/>
  <c r="R42" i="2"/>
  <c r="Q42" i="2"/>
  <c r="Q43" i="2" l="1"/>
  <c r="P43" i="2"/>
  <c r="O43" i="2"/>
  <c r="N43" i="2"/>
  <c r="S43" i="2"/>
  <c r="R43" i="2"/>
  <c r="U43" i="2"/>
  <c r="M43" i="2"/>
  <c r="L43" i="2"/>
  <c r="T43" i="2"/>
  <c r="I45" i="2"/>
  <c r="K45" i="2" s="1"/>
  <c r="O45" i="2" l="1"/>
  <c r="N45" i="2"/>
  <c r="U45" i="2"/>
  <c r="M45" i="2"/>
  <c r="T45" i="2"/>
  <c r="L45" i="2"/>
  <c r="Q45" i="2"/>
  <c r="P45" i="2"/>
  <c r="R45" i="2"/>
  <c r="S45" i="2"/>
  <c r="T44" i="2"/>
  <c r="L44" i="2"/>
  <c r="S44" i="2"/>
  <c r="R44" i="2"/>
  <c r="Q44" i="2"/>
  <c r="N44" i="2"/>
  <c r="U44" i="2"/>
  <c r="M44" i="2"/>
  <c r="P44" i="2"/>
  <c r="O44" i="2"/>
  <c r="U46" i="2" l="1"/>
  <c r="L46" i="2"/>
  <c r="F35" i="4" s="1"/>
  <c r="O46" i="2"/>
  <c r="I35" i="4" s="1"/>
  <c r="M46" i="2"/>
  <c r="G35" i="4" s="1"/>
  <c r="N46" i="2"/>
  <c r="H35" i="4" s="1"/>
  <c r="AD46" i="2" l="1"/>
  <c r="M35" i="4" s="1"/>
  <c r="AB46" i="2"/>
  <c r="K35" i="4" s="1"/>
  <c r="AE46" i="2"/>
  <c r="N35" i="4" s="1"/>
  <c r="AA46" i="2"/>
  <c r="J35" i="4" s="1"/>
  <c r="AC46" i="2"/>
  <c r="L35" i="4" s="1"/>
  <c r="H36" i="4"/>
  <c r="R46" i="2"/>
  <c r="T46" i="2"/>
  <c r="S46" i="2"/>
  <c r="Q46" i="2"/>
  <c r="P46" i="2"/>
</calcChain>
</file>

<file path=xl/connections.xml><?xml version="1.0" encoding="utf-8"?>
<connections xmlns="http://schemas.openxmlformats.org/spreadsheetml/2006/main">
  <connection id="1" name="table_for_PGE CBP_expost_public" type="6" refreshedVersion="5" background="1" saveData="1">
    <textPr codePage="437" sourceFile="P:\PGE\Aggregator\Aggregator 2013\Models\SDGE\CBP\table_for_SDGE CBP_expost_public.tx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<sst xmlns="http://schemas.openxmlformats.org/spreadsheetml/2006/main" count="478" uniqueCount="251">
  <si>
    <t>LCA</t>
  </si>
  <si>
    <t>All</t>
  </si>
  <si>
    <t>Typical Event Day</t>
  </si>
  <si>
    <t>Aggregate Impact</t>
  </si>
  <si>
    <t>Hour Ending</t>
  </si>
  <si>
    <t>10th%ile</t>
  </si>
  <si>
    <t>30th%ile</t>
  </si>
  <si>
    <t>50th%ile</t>
  </si>
  <si>
    <t>70th%ile</t>
  </si>
  <si>
    <t>90th%ile</t>
  </si>
  <si>
    <t>DR Program:</t>
  </si>
  <si>
    <t>10th</t>
  </si>
  <si>
    <t>30th</t>
  </si>
  <si>
    <t>50th</t>
  </si>
  <si>
    <t>70th</t>
  </si>
  <si>
    <t>90th</t>
  </si>
  <si>
    <t>Daily</t>
  </si>
  <si>
    <t>n/a</t>
  </si>
  <si>
    <t>Local Capacity Area:</t>
  </si>
  <si>
    <t>Utility:</t>
  </si>
  <si>
    <t>Type of Results:</t>
  </si>
  <si>
    <t>PCTILE10_hr1</t>
  </si>
  <si>
    <t>PCTILE10_hr2</t>
  </si>
  <si>
    <t>PCTILE10_hr3</t>
  </si>
  <si>
    <t>PCTILE10_hr4</t>
  </si>
  <si>
    <t>PCTILE10_hr5</t>
  </si>
  <si>
    <t>PCTILE10_hr6</t>
  </si>
  <si>
    <t>PCTILE10_hr7</t>
  </si>
  <si>
    <t>PCTILE10_hr8</t>
  </si>
  <si>
    <t>PCTILE10_hr9</t>
  </si>
  <si>
    <t>PCTILE10_hr10</t>
  </si>
  <si>
    <t>PCTILE10_hr11</t>
  </si>
  <si>
    <t>PCTILE10_hr12</t>
  </si>
  <si>
    <t>PCTILE10_hr13</t>
  </si>
  <si>
    <t>PCTILE10_hr14</t>
  </si>
  <si>
    <t>PCTILE10_hr15</t>
  </si>
  <si>
    <t>PCTILE10_hr16</t>
  </si>
  <si>
    <t>PCTILE10_hr17</t>
  </si>
  <si>
    <t>PCTILE10_hr18</t>
  </si>
  <si>
    <t>PCTILE10_hr19</t>
  </si>
  <si>
    <t>PCTILE10_hr20</t>
  </si>
  <si>
    <t>PCTILE10_hr21</t>
  </si>
  <si>
    <t>PCTILE10_hr22</t>
  </si>
  <si>
    <t>PCTILE10_hr23</t>
  </si>
  <si>
    <t>PCTILE10_hr24</t>
  </si>
  <si>
    <t>PCTILE30_hr1</t>
  </si>
  <si>
    <t>PCTILE30_hr2</t>
  </si>
  <si>
    <t>PCTILE30_hr3</t>
  </si>
  <si>
    <t>PCTILE30_hr4</t>
  </si>
  <si>
    <t>PCTILE30_hr5</t>
  </si>
  <si>
    <t>PCTILE30_hr6</t>
  </si>
  <si>
    <t>PCTILE30_hr7</t>
  </si>
  <si>
    <t>PCTILE30_hr8</t>
  </si>
  <si>
    <t>PCTILE30_hr9</t>
  </si>
  <si>
    <t>PCTILE30_hr10</t>
  </si>
  <si>
    <t>PCTILE30_hr11</t>
  </si>
  <si>
    <t>PCTILE30_hr12</t>
  </si>
  <si>
    <t>PCTILE30_hr13</t>
  </si>
  <si>
    <t>PCTILE30_hr14</t>
  </si>
  <si>
    <t>PCTILE30_hr15</t>
  </si>
  <si>
    <t>PCTILE30_hr16</t>
  </si>
  <si>
    <t>PCTILE30_hr17</t>
  </si>
  <si>
    <t>PCTILE30_hr18</t>
  </si>
  <si>
    <t>PCTILE30_hr19</t>
  </si>
  <si>
    <t>PCTILE30_hr20</t>
  </si>
  <si>
    <t>PCTILE30_hr21</t>
  </si>
  <si>
    <t>PCTILE30_hr22</t>
  </si>
  <si>
    <t>PCTILE30_hr23</t>
  </si>
  <si>
    <t>PCTILE30_hr24</t>
  </si>
  <si>
    <t>PCTILE50_hr1</t>
  </si>
  <si>
    <t>PCTILE50_hr2</t>
  </si>
  <si>
    <t>PCTILE50_hr3</t>
  </si>
  <si>
    <t>PCTILE50_hr4</t>
  </si>
  <si>
    <t>PCTILE50_hr5</t>
  </si>
  <si>
    <t>PCTILE50_hr6</t>
  </si>
  <si>
    <t>PCTILE50_hr7</t>
  </si>
  <si>
    <t>PCTILE50_hr8</t>
  </si>
  <si>
    <t>PCTILE50_hr9</t>
  </si>
  <si>
    <t>PCTILE50_hr10</t>
  </si>
  <si>
    <t>PCTILE50_hr11</t>
  </si>
  <si>
    <t>PCTILE50_hr12</t>
  </si>
  <si>
    <t>PCTILE50_hr13</t>
  </si>
  <si>
    <t>PCTILE50_hr14</t>
  </si>
  <si>
    <t>PCTILE50_hr15</t>
  </si>
  <si>
    <t>PCTILE50_hr16</t>
  </si>
  <si>
    <t>PCTILE50_hr17</t>
  </si>
  <si>
    <t>PCTILE50_hr18</t>
  </si>
  <si>
    <t>PCTILE50_hr19</t>
  </si>
  <si>
    <t>PCTILE50_hr20</t>
  </si>
  <si>
    <t>PCTILE50_hr21</t>
  </si>
  <si>
    <t>PCTILE50_hr22</t>
  </si>
  <si>
    <t>PCTILE50_hr23</t>
  </si>
  <si>
    <t>PCTILE50_hr24</t>
  </si>
  <si>
    <t>PCTILE70_hr1</t>
  </si>
  <si>
    <t>PCTILE70_hr2</t>
  </si>
  <si>
    <t>PCTILE70_hr3</t>
  </si>
  <si>
    <t>PCTILE70_hr4</t>
  </si>
  <si>
    <t>PCTILE70_hr5</t>
  </si>
  <si>
    <t>PCTILE70_hr6</t>
  </si>
  <si>
    <t>PCTILE70_hr7</t>
  </si>
  <si>
    <t>PCTILE70_hr8</t>
  </si>
  <si>
    <t>PCTILE70_hr9</t>
  </si>
  <si>
    <t>PCTILE70_hr10</t>
  </si>
  <si>
    <t>PCTILE70_hr11</t>
  </si>
  <si>
    <t>PCTILE70_hr12</t>
  </si>
  <si>
    <t>PCTILE70_hr13</t>
  </si>
  <si>
    <t>PCTILE70_hr14</t>
  </si>
  <si>
    <t>PCTILE70_hr15</t>
  </si>
  <si>
    <t>PCTILE70_hr16</t>
  </si>
  <si>
    <t>PCTILE70_hr17</t>
  </si>
  <si>
    <t>PCTILE70_hr18</t>
  </si>
  <si>
    <t>PCTILE70_hr19</t>
  </si>
  <si>
    <t>PCTILE70_hr20</t>
  </si>
  <si>
    <t>PCTILE70_hr21</t>
  </si>
  <si>
    <t>PCTILE70_hr22</t>
  </si>
  <si>
    <t>PCTILE70_hr23</t>
  </si>
  <si>
    <t>PCTILE70_hr24</t>
  </si>
  <si>
    <t>PCTILE90_hr1</t>
  </si>
  <si>
    <t>PCTILE90_hr2</t>
  </si>
  <si>
    <t>PCTILE90_hr3</t>
  </si>
  <si>
    <t>PCTILE90_hr4</t>
  </si>
  <si>
    <t>PCTILE90_hr5</t>
  </si>
  <si>
    <t>PCTILE90_hr6</t>
  </si>
  <si>
    <t>PCTILE90_hr7</t>
  </si>
  <si>
    <t>PCTILE90_hr8</t>
  </si>
  <si>
    <t>PCTILE90_hr9</t>
  </si>
  <si>
    <t>PCTILE90_hr10</t>
  </si>
  <si>
    <t>PCTILE90_hr11</t>
  </si>
  <si>
    <t>PCTILE90_hr12</t>
  </si>
  <si>
    <t>PCTILE90_hr13</t>
  </si>
  <si>
    <t>PCTILE90_hr14</t>
  </si>
  <si>
    <t>PCTILE90_hr15</t>
  </si>
  <si>
    <t>PCTILE90_hr16</t>
  </si>
  <si>
    <t>PCTILE90_hr17</t>
  </si>
  <si>
    <t>PCTILE90_hr18</t>
  </si>
  <si>
    <t>PCTILE90_hr19</t>
  </si>
  <si>
    <t>PCTILE90_hr20</t>
  </si>
  <si>
    <t>PCTILE90_hr21</t>
  </si>
  <si>
    <t>PCTILE90_hr22</t>
  </si>
  <si>
    <t>PCTILE90_hr23</t>
  </si>
  <si>
    <t>PCTILE90_hr24</t>
  </si>
  <si>
    <t>temp_hr1</t>
  </si>
  <si>
    <t>temp_hr2</t>
  </si>
  <si>
    <t>temp_hr3</t>
  </si>
  <si>
    <t>temp_hr4</t>
  </si>
  <si>
    <t>temp_hr5</t>
  </si>
  <si>
    <t>temp_hr6</t>
  </si>
  <si>
    <t>temp_hr7</t>
  </si>
  <si>
    <t>temp_hr8</t>
  </si>
  <si>
    <t>temp_hr9</t>
  </si>
  <si>
    <t>temp_hr10</t>
  </si>
  <si>
    <t>temp_hr11</t>
  </si>
  <si>
    <t>temp_hr12</t>
  </si>
  <si>
    <t>temp_hr13</t>
  </si>
  <si>
    <t>temp_hr14</t>
  </si>
  <si>
    <t>temp_hr15</t>
  </si>
  <si>
    <t>temp_hr16</t>
  </si>
  <si>
    <t>temp_hr17</t>
  </si>
  <si>
    <t>temp_hr18</t>
  </si>
  <si>
    <t>temp_hr19</t>
  </si>
  <si>
    <t>temp_hr20</t>
  </si>
  <si>
    <t>temp_hr21</t>
  </si>
  <si>
    <t>temp_hr22</t>
  </si>
  <si>
    <t>temp_hr23</t>
  </si>
  <si>
    <t>temp_hr24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</si>
  <si>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</si>
  <si>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Ref_hr1</t>
  </si>
  <si>
    <t>Ref_hr2</t>
  </si>
  <si>
    <t>Ref_hr3</t>
  </si>
  <si>
    <t>Ref_hr4</t>
  </si>
  <si>
    <t>Ref_hr5</t>
  </si>
  <si>
    <t>Ref_hr6</t>
  </si>
  <si>
    <t>Ref_hr7</t>
  </si>
  <si>
    <t>Ref_hr8</t>
  </si>
  <si>
    <t>Ref_hr9</t>
  </si>
  <si>
    <t>Ref_hr10</t>
  </si>
  <si>
    <t>Ref_hr11</t>
  </si>
  <si>
    <t>Ref_hr12</t>
  </si>
  <si>
    <t>Ref_hr13</t>
  </si>
  <si>
    <t>Ref_hr14</t>
  </si>
  <si>
    <t>Ref_hr15</t>
  </si>
  <si>
    <t>Ref_hr16</t>
  </si>
  <si>
    <t>Ref_hr17</t>
  </si>
  <si>
    <t>Ref_hr18</t>
  </si>
  <si>
    <t>Ref_hr19</t>
  </si>
  <si>
    <t>Ref_hr20</t>
  </si>
  <si>
    <t>Ref_hr21</t>
  </si>
  <si>
    <t>Ref_hr22</t>
  </si>
  <si>
    <t>Ref_hr23</t>
  </si>
  <si>
    <t>Ref_hr24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</si>
  <si>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</si>
  <si>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</si>
  <si>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Notice</t>
  </si>
  <si>
    <t>Notice Group:</t>
  </si>
  <si>
    <t>lca</t>
  </si>
  <si>
    <t>notice</t>
  </si>
  <si>
    <t>date</t>
  </si>
  <si>
    <t>called</t>
  </si>
  <si>
    <t>nominated</t>
  </si>
  <si>
    <t>Number of Accounts Called for Indicated Event:</t>
  </si>
  <si>
    <t>Number of Accounts Nominated in Month of Event:</t>
  </si>
  <si>
    <t>Date</t>
  </si>
  <si>
    <t>Results Type</t>
  </si>
  <si>
    <t>Average per Called Customer</t>
  </si>
  <si>
    <t>maxscaleshare</t>
  </si>
  <si>
    <t>_pass</t>
  </si>
  <si>
    <t>customers</t>
  </si>
  <si>
    <t>Pass</t>
  </si>
  <si>
    <t>product</t>
  </si>
  <si>
    <t>evt_start</t>
  </si>
  <si>
    <t>evt_end</t>
  </si>
  <si>
    <t>By Period:</t>
  </si>
  <si>
    <t>Event Hours</t>
  </si>
  <si>
    <t>Event Hours:</t>
  </si>
  <si>
    <t>hours</t>
  </si>
  <si>
    <t>avg ref</t>
  </si>
  <si>
    <t>avg obs</t>
  </si>
  <si>
    <t>avg LI</t>
  </si>
  <si>
    <t>avg 10</t>
  </si>
  <si>
    <t>avg30</t>
  </si>
  <si>
    <t>avg50</t>
  </si>
  <si>
    <t>avg70</t>
  </si>
  <si>
    <t>avg90</t>
  </si>
  <si>
    <t>Event flag</t>
  </si>
  <si>
    <t>CDH</t>
  </si>
  <si>
    <t>std dev</t>
  </si>
  <si>
    <t>Capacity Bidding Program (CBP)</t>
  </si>
  <si>
    <t>DA 1-4 Hour</t>
  </si>
  <si>
    <t>DO 1-4 Hour</t>
  </si>
  <si>
    <t>DO 2-6 Hour</t>
  </si>
  <si>
    <t>San Diego Gas &amp; Electric</t>
  </si>
  <si>
    <t>Event Day:</t>
  </si>
  <si>
    <t>41760</t>
  </si>
  <si>
    <t>41773</t>
  </si>
  <si>
    <t>41774</t>
  </si>
  <si>
    <t>41850</t>
  </si>
  <si>
    <t>41851</t>
  </si>
  <si>
    <t>41852</t>
  </si>
  <si>
    <t>41855</t>
  </si>
  <si>
    <t>41878</t>
  </si>
  <si>
    <t>41879</t>
  </si>
  <si>
    <t>41893</t>
  </si>
  <si>
    <t>41894</t>
  </si>
  <si>
    <t>41897</t>
  </si>
  <si>
    <t>41898</t>
  </si>
  <si>
    <t>41899</t>
  </si>
  <si>
    <t>Average Event Hour % Load Impact:</t>
  </si>
  <si>
    <t>_se_evt</t>
  </si>
  <si>
    <t>DO All</t>
  </si>
  <si>
    <t>Active SD</t>
  </si>
  <si>
    <t>Use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</si>
</sst>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[$-409]mmmm\ d\,\ yyyy;@"/>
    <numFmt numFmtId="166" formatCode="0.0%"/>
    <numFmt numFmtId="167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Franklin Gothic Demi Cond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  <font>
      <sz val="10"/>
      <name val="Franklin Gothic Demi Cond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9"/>
      </top>
      <bottom/>
      <diagonal/>
    </border>
    <border>
      <left style="medium">
        <color indexed="56"/>
      </left>
      <right style="medium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wrapText="1" indent="1"/>
    </xf>
    <xf numFmtId="0" fontId="10" fillId="2" borderId="3" xfId="0" applyFont="1" applyFill="1" applyBorder="1" applyAlignment="1">
      <alignment horizontal="right" wrapText="1" indent="1"/>
    </xf>
    <xf numFmtId="49" fontId="9" fillId="0" borderId="0" xfId="0" applyNumberFormat="1" applyFont="1" applyBorder="1" applyAlignment="1">
      <alignment horizontal="left" wrapText="1"/>
    </xf>
    <xf numFmtId="0" fontId="8" fillId="0" borderId="0" xfId="0" applyFont="1"/>
    <xf numFmtId="0" fontId="12" fillId="0" borderId="0" xfId="0" applyFont="1" applyBorder="1" applyAlignment="1">
      <alignment horizontal="left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0" borderId="0" xfId="0" applyFont="1" applyFill="1" applyBorder="1"/>
    <xf numFmtId="0" fontId="13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3" fontId="0" fillId="0" borderId="0" xfId="0" applyNumberFormat="1"/>
    <xf numFmtId="0" fontId="15" fillId="2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quotePrefix="1" applyFont="1" applyFill="1" applyBorder="1" applyAlignment="1">
      <alignment horizontal="left"/>
    </xf>
    <xf numFmtId="0" fontId="0" fillId="0" borderId="0" xfId="0" applyFill="1" applyBorder="1"/>
    <xf numFmtId="15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2" borderId="10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0" fillId="0" borderId="0" xfId="0" applyBorder="1"/>
    <xf numFmtId="49" fontId="9" fillId="0" borderId="1" xfId="0" quotePrefix="1" applyNumberFormat="1" applyFont="1" applyFill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3" fontId="0" fillId="0" borderId="18" xfId="0" applyNumberFormat="1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1" fillId="0" borderId="0" xfId="0" applyFont="1"/>
    <xf numFmtId="0" fontId="1" fillId="0" borderId="0" xfId="0" quotePrefix="1" applyFont="1" applyFill="1" applyBorder="1" applyAlignment="1">
      <alignment horizontal="left"/>
    </xf>
    <xf numFmtId="0" fontId="14" fillId="0" borderId="0" xfId="0" applyFont="1"/>
    <xf numFmtId="164" fontId="4" fillId="0" borderId="0" xfId="0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67" fontId="0" fillId="0" borderId="0" xfId="0" applyNumberFormat="1"/>
    <xf numFmtId="0" fontId="8" fillId="0" borderId="0" xfId="0" applyFont="1" applyFill="1" applyAlignment="1">
      <alignment horizontal="left" vertical="center"/>
    </xf>
    <xf numFmtId="164" fontId="11" fillId="0" borderId="2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Continuous"/>
    </xf>
    <xf numFmtId="0" fontId="5" fillId="2" borderId="14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18" fillId="0" borderId="0" xfId="0" applyFont="1" applyAlignment="1">
      <alignment horizontal="center"/>
    </xf>
    <xf numFmtId="11" fontId="0" fillId="0" borderId="0" xfId="0" applyNumberFormat="1"/>
    <xf numFmtId="15" fontId="0" fillId="0" borderId="0" xfId="0" applyNumberFormat="1"/>
    <xf numFmtId="0" fontId="0" fillId="0" borderId="0" xfId="0" quotePrefix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0" fontId="0" fillId="3" borderId="0" xfId="0" applyFill="1"/>
    <xf numFmtId="0" fontId="17" fillId="0" borderId="0" xfId="0" quotePrefix="1" applyFont="1" applyFill="1" applyBorder="1" applyAlignment="1">
      <alignment horizontal="left"/>
    </xf>
    <xf numFmtId="164" fontId="11" fillId="0" borderId="22" xfId="0" applyNumberFormat="1" applyFont="1" applyBorder="1" applyAlignment="1">
      <alignment horizontal="center"/>
    </xf>
    <xf numFmtId="14" fontId="0" fillId="0" borderId="0" xfId="0" applyNumberFormat="1"/>
    <xf numFmtId="164" fontId="4" fillId="0" borderId="0" xfId="0" applyNumberFormat="1" applyFont="1" applyAlignment="1">
      <alignment horizontal="right"/>
    </xf>
    <xf numFmtId="166" fontId="4" fillId="0" borderId="0" xfId="1" applyNumberFormat="1" applyFont="1"/>
    <xf numFmtId="164" fontId="11" fillId="0" borderId="8" xfId="0" applyNumberFormat="1" applyFont="1" applyBorder="1" applyAlignment="1">
      <alignment horizontal="center"/>
    </xf>
    <xf numFmtId="2" fontId="5" fillId="2" borderId="5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19" xfId="0" quotePrefix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6">
    <dxf>
      <fill>
        <patternFill>
          <bgColor theme="3" tint="0.79998168889431442"/>
        </patternFill>
      </fill>
    </dxf>
    <dxf>
      <fill>
        <patternFill>
          <bgColor indexed="43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(MWh/hour)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20.245323181152344</c:v>
                </c:pt>
                <c:pt idx="1">
                  <c:v>20.009372711181641</c:v>
                </c:pt>
                <c:pt idx="2">
                  <c:v>20.00506591796875</c:v>
                </c:pt>
                <c:pt idx="3">
                  <c:v>20.408344268798828</c:v>
                </c:pt>
                <c:pt idx="4">
                  <c:v>22.62109375</c:v>
                </c:pt>
                <c:pt idx="5">
                  <c:v>26.700786590576172</c:v>
                </c:pt>
                <c:pt idx="6">
                  <c:v>30.089263916015625</c:v>
                </c:pt>
                <c:pt idx="7">
                  <c:v>34.347991943359375</c:v>
                </c:pt>
                <c:pt idx="8">
                  <c:v>38.874774932861328</c:v>
                </c:pt>
                <c:pt idx="9">
                  <c:v>42.641986846923828</c:v>
                </c:pt>
                <c:pt idx="10">
                  <c:v>45.519863128662109</c:v>
                </c:pt>
                <c:pt idx="11">
                  <c:v>46.757511138916016</c:v>
                </c:pt>
                <c:pt idx="12">
                  <c:v>46.602809906005859</c:v>
                </c:pt>
                <c:pt idx="13">
                  <c:v>46.477020263671875</c:v>
                </c:pt>
                <c:pt idx="14">
                  <c:v>45.584159851074219</c:v>
                </c:pt>
                <c:pt idx="15">
                  <c:v>44.838123321533203</c:v>
                </c:pt>
                <c:pt idx="16">
                  <c:v>43.0684814453125</c:v>
                </c:pt>
                <c:pt idx="17">
                  <c:v>40.490001678466797</c:v>
                </c:pt>
                <c:pt idx="18">
                  <c:v>33.025859832763672</c:v>
                </c:pt>
                <c:pt idx="19">
                  <c:v>30.571950912475586</c:v>
                </c:pt>
                <c:pt idx="20">
                  <c:v>29.425949096679688</c:v>
                </c:pt>
                <c:pt idx="21">
                  <c:v>25.352449417114258</c:v>
                </c:pt>
                <c:pt idx="22">
                  <c:v>22.488252639770508</c:v>
                </c:pt>
                <c:pt idx="23">
                  <c:v>21.102155685424805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Observed Event Day Load (MWh/hour)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21.089182555675507</c:v>
                </c:pt>
                <c:pt idx="1">
                  <c:v>20.72651618719101</c:v>
                </c:pt>
                <c:pt idx="2">
                  <c:v>20.346497237682343</c:v>
                </c:pt>
                <c:pt idx="3">
                  <c:v>20.969481229782104</c:v>
                </c:pt>
                <c:pt idx="4">
                  <c:v>23.234011173248291</c:v>
                </c:pt>
                <c:pt idx="5">
                  <c:v>26.785957150161266</c:v>
                </c:pt>
                <c:pt idx="6">
                  <c:v>29.927904635667801</c:v>
                </c:pt>
                <c:pt idx="7">
                  <c:v>34.335205342620611</c:v>
                </c:pt>
                <c:pt idx="8">
                  <c:v>38.455467879772186</c:v>
                </c:pt>
                <c:pt idx="9">
                  <c:v>42.433423966169357</c:v>
                </c:pt>
                <c:pt idx="10">
                  <c:v>45.119796395301819</c:v>
                </c:pt>
                <c:pt idx="11">
                  <c:v>44.912937045097351</c:v>
                </c:pt>
                <c:pt idx="12">
                  <c:v>44.756526708602905</c:v>
                </c:pt>
                <c:pt idx="13">
                  <c:v>43.825000286102295</c:v>
                </c:pt>
                <c:pt idx="14">
                  <c:v>38.85601282119751</c:v>
                </c:pt>
                <c:pt idx="15">
                  <c:v>33.825761795043945</c:v>
                </c:pt>
                <c:pt idx="16">
                  <c:v>32.205408096313477</c:v>
                </c:pt>
                <c:pt idx="17">
                  <c:v>30.326237678527832</c:v>
                </c:pt>
                <c:pt idx="18">
                  <c:v>25.48640775680542</c:v>
                </c:pt>
                <c:pt idx="19">
                  <c:v>27.778283357620239</c:v>
                </c:pt>
                <c:pt idx="20">
                  <c:v>29.870506435632706</c:v>
                </c:pt>
                <c:pt idx="21">
                  <c:v>26.038899719715118</c:v>
                </c:pt>
                <c:pt idx="22">
                  <c:v>23.542957782745361</c:v>
                </c:pt>
                <c:pt idx="23">
                  <c:v>22.268682837486267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275536"/>
        <c:axId val="562276096"/>
      </c:scatterChart>
      <c:valAx>
        <c:axId val="562275536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62276096"/>
        <c:crosses val="autoZero"/>
        <c:crossBetween val="midCat"/>
        <c:majorUnit val="1"/>
      </c:valAx>
      <c:valAx>
        <c:axId val="5622760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622755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77196328719781"/>
          <c:y val="2.3985964520392398E-2"/>
          <c:w val="0.64753574281475679"/>
          <c:h val="8.3028610785353951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661147</xdr:colOff>
      <xdr:row>35</xdr:row>
      <xdr:rowOff>0</xdr:rowOff>
    </xdr:to>
    <xdr:graphicFrame macro="">
      <xdr:nvGraphicFramePr>
        <xdr:cNvPr id="1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E/Aggregator/Aggregator%202013/Models/Ex%20Post%20Protocol%20Tables/PGE%20CBP%20Ex%20Post%20Protocol%20Table%20Generator%202013%20PRIVATE%20Test%20Feat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DGE%20CBP%20Ex%20Post%20Protocol%20Table%20Generator%202014%20PRIV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Lookups"/>
      <sheetName val="Data"/>
    </sheetNames>
    <sheetDataSet>
      <sheetData sheetId="0">
        <row r="5">
          <cell r="B5">
            <v>41432</v>
          </cell>
        </row>
        <row r="11">
          <cell r="B11" t="str">
            <v>Day-Of 1-4 Hours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Lookups"/>
      <sheetName val="Data"/>
    </sheetNames>
    <sheetDataSet>
      <sheetData sheetId="0">
        <row r="7">
          <cell r="B7" t="str">
            <v>All</v>
          </cell>
        </row>
      </sheetData>
      <sheetData sheetId="1" refreshError="1"/>
      <sheetData sheetId="2" refreshError="1"/>
    </sheetDataSet>
  </externalBook>
</externalLink>
</file>

<file path=xl/queryTables/queryTable1.xml><?xml version="1.0" encoding="utf-8"?>
<queryTable xmlns="http://schemas.openxmlformats.org/spreadsheetml/2006/main" name="table_for_PGE CBP_expost_public" growShrinkType="overwriteClea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="85" zoomScaleNormal="85" workbookViewId="0"/>
  </sheetViews>
  <sheetFormatPr defaultRowHeight="12.75" x14ac:dyDescent="0.2"/>
  <cols>
    <col min="1" max="1" width="27" bestFit="1" customWidth="1"/>
    <col min="2" max="2" width="31.5703125" customWidth="1"/>
    <col min="3" max="3" width="24" customWidth="1"/>
    <col min="4" max="4" width="10.28515625" customWidth="1"/>
    <col min="5" max="5" width="17.85546875" customWidth="1"/>
    <col min="6" max="6" width="16.140625" customWidth="1"/>
    <col min="7" max="7" width="13.28515625" customWidth="1"/>
    <col min="8" max="8" width="13" customWidth="1"/>
    <col min="9" max="9" width="15.5703125" customWidth="1"/>
    <col min="10" max="14" width="11.42578125" customWidth="1"/>
    <col min="16" max="16" width="9.140625" customWidth="1"/>
  </cols>
  <sheetData>
    <row r="1" spans="1:17" ht="17.25" customHeight="1" thickBot="1" x14ac:dyDescent="0.3">
      <c r="A1" s="2" t="str">
        <f>IF(COUNTIF(B7:B8,"All")&lt;1,"Two-way tabulations not available.  Select 'All' in at least one of two cells.","")</f>
        <v/>
      </c>
      <c r="B1" s="2"/>
      <c r="C1" s="2"/>
      <c r="I1" s="3"/>
      <c r="J1" s="3"/>
      <c r="K1" s="46"/>
      <c r="L1" s="48"/>
    </row>
    <row r="2" spans="1:17" ht="17.25" customHeight="1" thickTop="1" thickBot="1" x14ac:dyDescent="0.3">
      <c r="A2" s="38" t="s">
        <v>19</v>
      </c>
      <c r="B2" s="7" t="s">
        <v>230</v>
      </c>
      <c r="C2" s="5"/>
      <c r="D2" s="5"/>
      <c r="F2" s="4" t="s">
        <v>200</v>
      </c>
      <c r="G2" s="40">
        <f>IF(pass=0,"n/a",DGET(data,"nominated",_xlnm.Criteria))</f>
        <v>163.4</v>
      </c>
      <c r="I2" s="45"/>
      <c r="J2" s="3"/>
      <c r="K2" s="46"/>
      <c r="L2" s="48"/>
    </row>
    <row r="3" spans="1:17" ht="17.25" customHeight="1" thickTop="1" thickBot="1" x14ac:dyDescent="0.3">
      <c r="A3" s="39" t="s">
        <v>10</v>
      </c>
      <c r="B3" s="35" t="s">
        <v>226</v>
      </c>
      <c r="C3" s="5"/>
      <c r="D3" s="5"/>
      <c r="F3" s="4" t="s">
        <v>199</v>
      </c>
      <c r="G3" s="40">
        <f>IF(pass=0,"n/a",DGET(data,"called",_xlnm.Criteria))</f>
        <v>163.4</v>
      </c>
      <c r="I3" s="63" t="s">
        <v>213</v>
      </c>
      <c r="J3" s="64" t="str">
        <f>IF(ISNA(VLOOKUP(date&amp;notice,Lookups!$A$22:$F$66,6,FALSE)),"n/a",VLOOKUP(date&amp;notice,Lookups!$A$22:$F$66,6,FALSE))</f>
        <v>Hours Ending 16 to 19</v>
      </c>
      <c r="K3" s="47"/>
    </row>
    <row r="4" spans="1:17" ht="17.25" customHeight="1" thickBot="1" x14ac:dyDescent="0.25">
      <c r="A4" s="38" t="s">
        <v>20</v>
      </c>
      <c r="B4" s="7" t="s">
        <v>3</v>
      </c>
      <c r="C4" s="5"/>
      <c r="D4" s="5"/>
    </row>
    <row r="5" spans="1:17" ht="17.25" customHeight="1" thickBot="1" x14ac:dyDescent="0.3">
      <c r="A5" s="38" t="s">
        <v>231</v>
      </c>
      <c r="B5" s="13" t="s">
        <v>2</v>
      </c>
      <c r="C5" s="5"/>
      <c r="D5" s="5"/>
      <c r="E5" s="75" t="s">
        <v>4</v>
      </c>
      <c r="F5" s="75" t="str">
        <f>"Estimated Reference Load ("&amp;IF(Result_type="Aggregate impact","MWh","kWh")&amp;"/hour)"</f>
        <v>Estimated Reference Load (MWh/hour)</v>
      </c>
      <c r="G5" s="75" t="str">
        <f>"Observed Event Day Load ("&amp;IF(Result_type="Aggregate Impact","MWh/hour)","kWh/hour)")</f>
        <v>Observed Event Day Load (MWh/hour)</v>
      </c>
      <c r="H5" s="75" t="str">
        <f>"Estimated Load Impact ("&amp;IF(Result_type="Aggregate Impact","MWh/hour)","kWh/hour)")</f>
        <v>Estimated Load Impact (MWh/hour)</v>
      </c>
      <c r="I5" s="78" t="s">
        <v>165</v>
      </c>
      <c r="J5" s="31"/>
      <c r="K5" s="32"/>
      <c r="L5" s="32"/>
      <c r="M5" s="32"/>
      <c r="N5" s="33"/>
    </row>
    <row r="6" spans="1:17" ht="17.25" customHeight="1" thickBot="1" x14ac:dyDescent="0.35">
      <c r="C6" s="5"/>
      <c r="D6" s="5"/>
      <c r="E6" s="76"/>
      <c r="F6" s="76"/>
      <c r="G6" s="76"/>
      <c r="H6" s="76"/>
      <c r="I6" s="76"/>
      <c r="J6" s="53" t="str">
        <f>"Uncertainty Adjusted Impact ("&amp;IF(Result_type="Aggregate Impact","MWh/hr)- Percentiles","kWh/hr)- Percentiles")</f>
        <v>Uncertainty Adjusted Impact (MWh/hr)- Percentiles</v>
      </c>
      <c r="K6" s="54"/>
      <c r="L6" s="54"/>
      <c r="M6" s="54"/>
      <c r="N6" s="55"/>
    </row>
    <row r="7" spans="1:17" ht="39" customHeight="1" thickBot="1" x14ac:dyDescent="0.25">
      <c r="A7" s="39" t="s">
        <v>18</v>
      </c>
      <c r="B7" s="36" t="s">
        <v>1</v>
      </c>
      <c r="C7" s="5"/>
      <c r="D7" s="5"/>
      <c r="E7" s="77"/>
      <c r="F7" s="77"/>
      <c r="G7" s="77"/>
      <c r="H7" s="77"/>
      <c r="I7" s="77"/>
      <c r="J7" s="8" t="s">
        <v>5</v>
      </c>
      <c r="K7" s="8" t="s">
        <v>6</v>
      </c>
      <c r="L7" s="8" t="s">
        <v>7</v>
      </c>
      <c r="M7" s="8" t="s">
        <v>8</v>
      </c>
      <c r="N7" s="9" t="s">
        <v>9</v>
      </c>
    </row>
    <row r="8" spans="1:17" ht="17.25" customHeight="1" thickBot="1" x14ac:dyDescent="0.25">
      <c r="A8" s="51" t="s">
        <v>193</v>
      </c>
      <c r="B8" s="13" t="s">
        <v>227</v>
      </c>
      <c r="C8" s="10"/>
      <c r="D8" s="10"/>
      <c r="E8" s="37">
        <v>1</v>
      </c>
      <c r="F8" s="52">
        <f>IF(Called=0,"n/a",DGET(data,"Ref_hr1",_xlnm.Criteria)/IF(Result_type="Aggregate Impact",1,Called/1000))</f>
        <v>20.245323181152344</v>
      </c>
      <c r="G8" s="52">
        <f t="shared" ref="G8:G31" si="0">IF(Called=0,"n/a",F8-H8)</f>
        <v>21.089182555675507</v>
      </c>
      <c r="H8" s="52">
        <f>IF(Called=0,"n/a",DGET(data,"Pctile50_hr1",_xlnm.Criteria)/IF(Result_type="Aggregate Impact",1,Called/1000))</f>
        <v>-0.84385937452316284</v>
      </c>
      <c r="I8" s="52">
        <f>IF(Called=0,"n/a",DGET(data,"Temp_hr1",_xlnm.Criteria))</f>
        <v>71.370361328125</v>
      </c>
      <c r="J8" s="52">
        <f>IF(Called=0,"n/a",DGET(data,"Pctile10_hr1",_xlnm.Criteria)/IF(Result_type="Aggregate Impact",1,Called/1000))</f>
        <v>-2.2227158546447754</v>
      </c>
      <c r="K8" s="52">
        <f>IF(Called=0,"n/a",DGET(data,"Pctile30_hr1",_xlnm.Criteria)/IF(Result_type="Aggregate Impact",1,Called/1000))</f>
        <v>-1.408076286315918</v>
      </c>
      <c r="L8" s="52">
        <f>H8</f>
        <v>-0.84385937452316284</v>
      </c>
      <c r="M8" s="52">
        <f>IF(Called=0,"n/a",DGET(data,"Pctile70_hr1",_xlnm.Criteria)/IF(Result_type="Aggregate Impact",1,Called/1000))</f>
        <v>-0.27964243292808533</v>
      </c>
      <c r="N8" s="52">
        <f>IF(Called=0,"n/a",DGET(data,"Pctile90_hr1",_xlnm.Criteria)/IF(Result_type="Aggregate Impact",1,Called/1000))</f>
        <v>0.53499716520309448</v>
      </c>
      <c r="Q8" s="41"/>
    </row>
    <row r="9" spans="1:17" ht="17.25" customHeight="1" x14ac:dyDescent="0.2">
      <c r="C9" s="12"/>
      <c r="D9" s="12"/>
      <c r="E9" s="37">
        <v>2</v>
      </c>
      <c r="F9" s="52">
        <f>IF(Called=0,"n/a",DGET(data,"Ref_hr2",_xlnm.Criteria)/IF(Result_type="Aggregate Impact",1,Called/1000))</f>
        <v>20.009372711181641</v>
      </c>
      <c r="G9" s="52">
        <f t="shared" si="0"/>
        <v>20.72651618719101</v>
      </c>
      <c r="H9" s="52">
        <f>IF(Called=0,"n/a",DGET(data,"Pctile50_hr2",_xlnm.Criteria)/IF(Result_type="Aggregate Impact",1,Called/1000))</f>
        <v>-0.7171434760093689</v>
      </c>
      <c r="I9" s="52">
        <f>IF(Called=0,"n/a",DGET(data,"Temp_hr2",_xlnm.Criteria))</f>
        <v>70.506034851074219</v>
      </c>
      <c r="J9" s="52">
        <f>IF(Called=0,"n/a",DGET(data,"Pctile10_hr2",_xlnm.Criteria)/IF(Result_type="Aggregate Impact",1,Called/1000))</f>
        <v>-2.02768874168396</v>
      </c>
      <c r="K9" s="52">
        <f>IF(Called=0,"n/a",DGET(data,"Pctile30_hr2",_xlnm.Criteria)/IF(Result_type="Aggregate Impact",1,Called/1000))</f>
        <v>-1.2534079551696777</v>
      </c>
      <c r="L9" s="52">
        <f t="shared" ref="L9:L31" si="1">H9</f>
        <v>-0.7171434760093689</v>
      </c>
      <c r="M9" s="52">
        <f>IF(Called=0,"n/a",DGET(data,"Pctile70_hr2",_xlnm.Criteria)/IF(Result_type="Aggregate Impact",1,Called/1000))</f>
        <v>-0.18087898194789886</v>
      </c>
      <c r="N9" s="52">
        <f>IF(Called=0,"n/a",DGET(data,"Pctile90_hr2",_xlnm.Criteria)/IF(Result_type="Aggregate Impact",1,Called/1000))</f>
        <v>0.59340178966522217</v>
      </c>
      <c r="Q9" s="41"/>
    </row>
    <row r="10" spans="1:17" ht="17.25" customHeight="1" x14ac:dyDescent="0.2">
      <c r="C10" s="14"/>
      <c r="D10" s="14"/>
      <c r="E10" s="37">
        <v>3</v>
      </c>
      <c r="F10" s="52">
        <f>IF(Called=0,"n/a",DGET(data,"Ref_hr3",_xlnm.Criteria)/IF(Result_type="Aggregate Impact",1,Called/1000))</f>
        <v>20.00506591796875</v>
      </c>
      <c r="G10" s="52">
        <f t="shared" si="0"/>
        <v>20.346497237682343</v>
      </c>
      <c r="H10" s="52">
        <f>IF(Called=0,"n/a",DGET(data,"Pctile50_hr3",_xlnm.Criteria)/IF(Result_type="Aggregate Impact",1,Called/1000))</f>
        <v>-0.34143131971359253</v>
      </c>
      <c r="I10" s="52">
        <f>IF(Called=0,"n/a",DGET(data,"Temp_hr3",_xlnm.Criteria))</f>
        <v>69.436004638671875</v>
      </c>
      <c r="J10" s="52">
        <f>IF(Called=0,"n/a",DGET(data,"Pctile10_hr3",_xlnm.Criteria)/IF(Result_type="Aggregate Impact",1,Called/1000))</f>
        <v>-1.649512767791748</v>
      </c>
      <c r="K10" s="52">
        <f>IF(Called=0,"n/a",DGET(data,"Pctile30_hr3",_xlnm.Criteria)/IF(Result_type="Aggregate Impact",1,Called/1000))</f>
        <v>-0.87668764591217041</v>
      </c>
      <c r="L10" s="52">
        <f t="shared" si="1"/>
        <v>-0.34143131971359253</v>
      </c>
      <c r="M10" s="52">
        <f>IF(Called=0,"n/a",DGET(data,"Pctile70_hr3",_xlnm.Criteria)/IF(Result_type="Aggregate Impact",1,Called/1000))</f>
        <v>0.19382502138614655</v>
      </c>
      <c r="N10" s="52">
        <f>IF(Called=0,"n/a",DGET(data,"Pctile90_hr3",_xlnm.Criteria)/IF(Result_type="Aggregate Impact",1,Called/1000))</f>
        <v>0.96665018796920776</v>
      </c>
      <c r="Q10" s="41"/>
    </row>
    <row r="11" spans="1:17" ht="17.25" customHeight="1" x14ac:dyDescent="0.2">
      <c r="B11" s="58" t="str">
        <f>IF(pass=0,"Results are confidential for the selected LCA",IF(Called=0,"Results are not available for the selected LCA",""))</f>
        <v/>
      </c>
      <c r="C11" s="15"/>
      <c r="D11" s="15"/>
      <c r="E11" s="37">
        <v>4</v>
      </c>
      <c r="F11" s="52">
        <f>IF(Called=0,"n/a",DGET(data,"Ref_hr4",_xlnm.Criteria)/IF(Result_type="Aggregate Impact",1,Called/1000))</f>
        <v>20.408344268798828</v>
      </c>
      <c r="G11" s="52">
        <f t="shared" si="0"/>
        <v>20.969481229782104</v>
      </c>
      <c r="H11" s="52">
        <f>IF(Called=0,"n/a",DGET(data,"Pctile50_hr4",_xlnm.Criteria)/IF(Result_type="Aggregate Impact",1,Called/1000))</f>
        <v>-0.56113696098327637</v>
      </c>
      <c r="I11" s="52">
        <f>IF(Called=0,"n/a",DGET(data,"Temp_hr4",_xlnm.Criteria))</f>
        <v>69.536239624023437</v>
      </c>
      <c r="J11" s="52">
        <f>IF(Called=0,"n/a",DGET(data,"Pctile10_hr4",_xlnm.Criteria)/IF(Result_type="Aggregate Impact",1,Called/1000))</f>
        <v>-1.8550060987472534</v>
      </c>
      <c r="K11" s="52">
        <f>IF(Called=0,"n/a",DGET(data,"Pctile30_hr4",_xlnm.Criteria)/IF(Result_type="Aggregate Impact",1,Called/1000))</f>
        <v>-1.0905777215957642</v>
      </c>
      <c r="L11" s="52">
        <f t="shared" si="1"/>
        <v>-0.56113696098327637</v>
      </c>
      <c r="M11" s="52">
        <f>IF(Called=0,"n/a",DGET(data,"Pctile70_hr4",_xlnm.Criteria)/IF(Result_type="Aggregate Impact",1,Called/1000))</f>
        <v>-3.1696178019046783E-2</v>
      </c>
      <c r="N11" s="52">
        <f>IF(Called=0,"n/a",DGET(data,"Pctile90_hr4",_xlnm.Criteria)/IF(Result_type="Aggregate Impact",1,Called/1000))</f>
        <v>0.73273223638534546</v>
      </c>
      <c r="Q11" s="41"/>
    </row>
    <row r="12" spans="1:17" ht="17.25" customHeight="1" x14ac:dyDescent="0.2">
      <c r="C12" s="15"/>
      <c r="D12" s="15"/>
      <c r="E12" s="37">
        <v>5</v>
      </c>
      <c r="F12" s="52">
        <f>IF(Called=0,"n/a",DGET(data,"Ref_hr5",_xlnm.Criteria)/IF(Result_type="Aggregate Impact",1,Called/1000))</f>
        <v>22.62109375</v>
      </c>
      <c r="G12" s="52">
        <f t="shared" si="0"/>
        <v>23.234011173248291</v>
      </c>
      <c r="H12" s="52">
        <f>IF(Called=0,"n/a",DGET(data,"Pctile50_hr5",_xlnm.Criteria)/IF(Result_type="Aggregate Impact",1,Called/1000))</f>
        <v>-0.61291742324829102</v>
      </c>
      <c r="I12" s="52">
        <f>IF(Called=0,"n/a",DGET(data,"Temp_hr5",_xlnm.Criteria))</f>
        <v>69.281150817871094</v>
      </c>
      <c r="J12" s="52">
        <f>IF(Called=0,"n/a",DGET(data,"Pctile10_hr5",_xlnm.Criteria)/IF(Result_type="Aggregate Impact",1,Called/1000))</f>
        <v>-1.9972310066223145</v>
      </c>
      <c r="K12" s="52">
        <f>IF(Called=0,"n/a",DGET(data,"Pctile30_hr5",_xlnm.Criteria)/IF(Result_type="Aggregate Impact",1,Called/1000))</f>
        <v>-1.1793673038482666</v>
      </c>
      <c r="L12" s="52">
        <f t="shared" si="1"/>
        <v>-0.61291742324829102</v>
      </c>
      <c r="M12" s="52">
        <f>IF(Called=0,"n/a",DGET(data,"Pctile70_hr5",_xlnm.Criteria)/IF(Result_type="Aggregate Impact",1,Called/1000))</f>
        <v>-4.6467512845993042E-2</v>
      </c>
      <c r="N12" s="52">
        <f>IF(Called=0,"n/a",DGET(data,"Pctile90_hr5",_xlnm.Criteria)/IF(Result_type="Aggregate Impact",1,Called/1000))</f>
        <v>0.77139616012573242</v>
      </c>
      <c r="Q12" s="41"/>
    </row>
    <row r="13" spans="1:17" ht="17.25" customHeight="1" x14ac:dyDescent="0.2">
      <c r="D13" s="5"/>
      <c r="E13" s="37">
        <v>6</v>
      </c>
      <c r="F13" s="52">
        <f>IF(Called=0,"n/a",DGET(data,"Ref_hr6",_xlnm.Criteria)/IF(Result_type="Aggregate Impact",1,Called/1000))</f>
        <v>26.700786590576172</v>
      </c>
      <c r="G13" s="52">
        <f t="shared" si="0"/>
        <v>26.785957150161266</v>
      </c>
      <c r="H13" s="52">
        <f>IF(Called=0,"n/a",DGET(data,"Pctile50_hr6",_xlnm.Criteria)/IF(Result_type="Aggregate Impact",1,Called/1000))</f>
        <v>-8.5170559585094452E-2</v>
      </c>
      <c r="I13" s="52">
        <f>IF(Called=0,"n/a",DGET(data,"Temp_hr6",_xlnm.Criteria))</f>
        <v>68.690025329589844</v>
      </c>
      <c r="J13" s="52">
        <f>IF(Called=0,"n/a",DGET(data,"Pctile10_hr6",_xlnm.Criteria)/IF(Result_type="Aggregate Impact",1,Called/1000))</f>
        <v>-1.4641568660736084</v>
      </c>
      <c r="K13" s="52">
        <f>IF(Called=0,"n/a",DGET(data,"Pctile30_hr6",_xlnm.Criteria)/IF(Result_type="Aggregate Impact",1,Called/1000))</f>
        <v>-0.64944058656692505</v>
      </c>
      <c r="L13" s="52">
        <f t="shared" si="1"/>
        <v>-8.5170559585094452E-2</v>
      </c>
      <c r="M13" s="52">
        <f>IF(Called=0,"n/a",DGET(data,"Pctile70_hr6",_xlnm.Criteria)/IF(Result_type="Aggregate Impact",1,Called/1000))</f>
        <v>0.47909945249557495</v>
      </c>
      <c r="N13" s="52">
        <f>IF(Called=0,"n/a",DGET(data,"Pctile90_hr6",_xlnm.Criteria)/IF(Result_type="Aggregate Impact",1,Called/1000))</f>
        <v>1.2938157320022583</v>
      </c>
      <c r="Q13" s="41"/>
    </row>
    <row r="14" spans="1:17" ht="16.5" x14ac:dyDescent="0.2">
      <c r="D14" s="5"/>
      <c r="E14" s="37">
        <v>7</v>
      </c>
      <c r="F14" s="52">
        <f>IF(Called=0,"n/a",DGET(data,"Ref_hr7",_xlnm.Criteria)/IF(Result_type="Aggregate Impact",1,Called/1000))</f>
        <v>30.089263916015625</v>
      </c>
      <c r="G14" s="52">
        <f t="shared" si="0"/>
        <v>29.927904635667801</v>
      </c>
      <c r="H14" s="52">
        <f>IF(Called=0,"n/a",DGET(data,"Pctile50_hr7",_xlnm.Criteria)/IF(Result_type="Aggregate Impact",1,Called/1000))</f>
        <v>0.1613592803478241</v>
      </c>
      <c r="I14" s="52">
        <f>IF(Called=0,"n/a",DGET(data,"Temp_hr7",_xlnm.Criteria))</f>
        <v>70.444137573242188</v>
      </c>
      <c r="J14" s="52">
        <f>IF(Called=0,"n/a",DGET(data,"Pctile10_hr7",_xlnm.Criteria)/IF(Result_type="Aggregate Impact",1,Called/1000))</f>
        <v>-1.2017791271209717</v>
      </c>
      <c r="K14" s="52">
        <f>IF(Called=0,"n/a",DGET(data,"Pctile30_hr7",_xlnm.Criteria)/IF(Result_type="Aggregate Impact",1,Called/1000))</f>
        <v>-0.39642590284347534</v>
      </c>
      <c r="L14" s="52">
        <f t="shared" si="1"/>
        <v>0.1613592803478241</v>
      </c>
      <c r="M14" s="52">
        <f>IF(Called=0,"n/a",DGET(data,"Pctile70_hr7",_xlnm.Criteria)/IF(Result_type="Aggregate Impact",1,Called/1000))</f>
        <v>0.71914446353912354</v>
      </c>
      <c r="N14" s="52">
        <f>IF(Called=0,"n/a",DGET(data,"Pctile90_hr7",_xlnm.Criteria)/IF(Result_type="Aggregate Impact",1,Called/1000))</f>
        <v>1.5244976282119751</v>
      </c>
      <c r="Q14" s="41"/>
    </row>
    <row r="15" spans="1:17" ht="16.5" x14ac:dyDescent="0.2">
      <c r="A15" s="16"/>
      <c r="C15" s="5"/>
      <c r="D15" s="5"/>
      <c r="E15" s="37">
        <v>8</v>
      </c>
      <c r="F15" s="52">
        <f>IF(Called=0,"n/a",DGET(data,"Ref_hr8",_xlnm.Criteria)/IF(Result_type="Aggregate Impact",1,Called/1000))</f>
        <v>34.347991943359375</v>
      </c>
      <c r="G15" s="52">
        <f t="shared" si="0"/>
        <v>34.335205342620611</v>
      </c>
      <c r="H15" s="52">
        <f>IF(Called=0,"n/a",DGET(data,"Pctile50_hr8",_xlnm.Criteria)/IF(Result_type="Aggregate Impact",1,Called/1000))</f>
        <v>1.2786600738763809E-2</v>
      </c>
      <c r="I15" s="52">
        <f>IF(Called=0,"n/a",DGET(data,"Temp_hr8",_xlnm.Criteria))</f>
        <v>75.638961791992188</v>
      </c>
      <c r="J15" s="52">
        <f>IF(Called=0,"n/a",DGET(data,"Pctile10_hr8",_xlnm.Criteria)/IF(Result_type="Aggregate Impact",1,Called/1000))</f>
        <v>-1.4141618013381958</v>
      </c>
      <c r="K15" s="52">
        <f>IF(Called=0,"n/a",DGET(data,"Pctile30_hr8",_xlnm.Criteria)/IF(Result_type="Aggregate Impact",1,Called/1000))</f>
        <v>-0.5711091160774231</v>
      </c>
      <c r="L15" s="52">
        <f t="shared" si="1"/>
        <v>1.2786600738763809E-2</v>
      </c>
      <c r="M15" s="52">
        <f>IF(Called=0,"n/a",DGET(data,"Pctile70_hr8",_xlnm.Criteria)/IF(Result_type="Aggregate Impact",1,Called/1000))</f>
        <v>0.59668231010437012</v>
      </c>
      <c r="N15" s="52">
        <f>IF(Called=0,"n/a",DGET(data,"Pctile90_hr8",_xlnm.Criteria)/IF(Result_type="Aggregate Impact",1,Called/1000))</f>
        <v>1.439734935760498</v>
      </c>
      <c r="Q15" s="41"/>
    </row>
    <row r="16" spans="1:17" ht="16.5" x14ac:dyDescent="0.2">
      <c r="C16" s="5"/>
      <c r="D16" s="5"/>
      <c r="E16" s="37">
        <v>9</v>
      </c>
      <c r="F16" s="52">
        <f>IF(Called=0,"n/a",DGET(data,"Ref_hr9",_xlnm.Criteria)/IF(Result_type="Aggregate Impact",1,Called/1000))</f>
        <v>38.874774932861328</v>
      </c>
      <c r="G16" s="52">
        <f t="shared" si="0"/>
        <v>38.455467879772186</v>
      </c>
      <c r="H16" s="52">
        <f>IF(Called=0,"n/a",DGET(data,"Pctile50_hr9",_xlnm.Criteria)/IF(Result_type="Aggregate Impact",1,Called/1000))</f>
        <v>0.41930705308914185</v>
      </c>
      <c r="I16" s="52">
        <f>IF(Called=0,"n/a",DGET(data,"Temp_hr9",_xlnm.Criteria))</f>
        <v>81.800552368164063</v>
      </c>
      <c r="J16" s="52">
        <f>IF(Called=0,"n/a",DGET(data,"Pctile10_hr9",_xlnm.Criteria)/IF(Result_type="Aggregate Impact",1,Called/1000))</f>
        <v>-1.0456961393356323</v>
      </c>
      <c r="K16" s="52">
        <f>IF(Called=0,"n/a",DGET(data,"Pctile30_hr9",_xlnm.Criteria)/IF(Result_type="Aggregate Impact",1,Called/1000))</f>
        <v>-0.18016037344932556</v>
      </c>
      <c r="L16" s="52">
        <f t="shared" si="1"/>
        <v>0.41930705308914185</v>
      </c>
      <c r="M16" s="52">
        <f>IF(Called=0,"n/a",DGET(data,"Pctile70_hr9",_xlnm.Criteria)/IF(Result_type="Aggregate Impact",1,Called/1000))</f>
        <v>1.0187745094299316</v>
      </c>
      <c r="N16" s="52">
        <f>IF(Called=0,"n/a",DGET(data,"Pctile90_hr9",_xlnm.Criteria)/IF(Result_type="Aggregate Impact",1,Called/1000))</f>
        <v>1.884310245513916</v>
      </c>
      <c r="Q16" s="41"/>
    </row>
    <row r="17" spans="3:23" ht="16.5" x14ac:dyDescent="0.2">
      <c r="C17" s="5"/>
      <c r="D17" s="5"/>
      <c r="E17" s="37">
        <v>10</v>
      </c>
      <c r="F17" s="52">
        <f>IF(Called=0,"n/a",DGET(data,"Ref_hr10",_xlnm.Criteria)/IF(Result_type="Aggregate Impact",1,Called/1000))</f>
        <v>42.641986846923828</v>
      </c>
      <c r="G17" s="52">
        <f t="shared" si="0"/>
        <v>42.433423966169357</v>
      </c>
      <c r="H17" s="52">
        <f>IF(Called=0,"n/a",DGET(data,"Pctile50_hr10",_xlnm.Criteria)/IF(Result_type="Aggregate Impact",1,Called/1000))</f>
        <v>0.20856288075447083</v>
      </c>
      <c r="I17" s="52">
        <f>IF(Called=0,"n/a",DGET(data,"Temp_hr10",_xlnm.Criteria))</f>
        <v>85.955314636230469</v>
      </c>
      <c r="J17" s="52">
        <f>IF(Called=0,"n/a",DGET(data,"Pctile10_hr10",_xlnm.Criteria)/IF(Result_type="Aggregate Impact",1,Called/1000))</f>
        <v>-1.378548264503479</v>
      </c>
      <c r="K17" s="52">
        <f>IF(Called=0,"n/a",DGET(data,"Pctile30_hr10",_xlnm.Criteria)/IF(Result_type="Aggregate Impact",1,Called/1000))</f>
        <v>-0.44087013602256775</v>
      </c>
      <c r="L17" s="52">
        <f t="shared" si="1"/>
        <v>0.20856288075447083</v>
      </c>
      <c r="M17" s="52">
        <f>IF(Called=0,"n/a",DGET(data,"Pctile70_hr10",_xlnm.Criteria)/IF(Result_type="Aggregate Impact",1,Called/1000))</f>
        <v>0.85799592733383179</v>
      </c>
      <c r="N17" s="52">
        <f>IF(Called=0,"n/a",DGET(data,"Pctile90_hr10",_xlnm.Criteria)/IF(Result_type="Aggregate Impact",1,Called/1000))</f>
        <v>1.7956740856170654</v>
      </c>
      <c r="Q17" s="41"/>
    </row>
    <row r="18" spans="3:23" ht="16.5" x14ac:dyDescent="0.2">
      <c r="C18" s="5"/>
      <c r="D18" s="5"/>
      <c r="E18" s="37">
        <v>11</v>
      </c>
      <c r="F18" s="52">
        <f>IF(Called=0,"n/a",DGET(data,"Ref_hr11",_xlnm.Criteria)/IF(Result_type="Aggregate Impact",1,Called/1000))</f>
        <v>45.519863128662109</v>
      </c>
      <c r="G18" s="52">
        <f t="shared" si="0"/>
        <v>45.119796395301819</v>
      </c>
      <c r="H18" s="52">
        <f>IF(Called=0,"n/a",DGET(data,"Pctile50_hr11",_xlnm.Criteria)/IF(Result_type="Aggregate Impact",1,Called/1000))</f>
        <v>0.40006673336029053</v>
      </c>
      <c r="I18" s="52">
        <f>IF(Called=0,"n/a",DGET(data,"Temp_hr11",_xlnm.Criteria))</f>
        <v>88.248893737792969</v>
      </c>
      <c r="J18" s="52">
        <f>IF(Called=0,"n/a",DGET(data,"Pctile10_hr11",_xlnm.Criteria)/IF(Result_type="Aggregate Impact",1,Called/1000))</f>
        <v>-1.2348595857620239</v>
      </c>
      <c r="K18" s="52">
        <f>IF(Called=0,"n/a",DGET(data,"Pctile30_hr11",_xlnm.Criteria)/IF(Result_type="Aggregate Impact",1,Called/1000))</f>
        <v>-0.26893186569213867</v>
      </c>
      <c r="L18" s="52">
        <f t="shared" si="1"/>
        <v>0.40006673336029053</v>
      </c>
      <c r="M18" s="52">
        <f>IF(Called=0,"n/a",DGET(data,"Pctile70_hr11",_xlnm.Criteria)/IF(Result_type="Aggregate Impact",1,Called/1000))</f>
        <v>1.0690653324127197</v>
      </c>
      <c r="N18" s="52">
        <f>IF(Called=0,"n/a",DGET(data,"Pctile90_hr11",_xlnm.Criteria)/IF(Result_type="Aggregate Impact",1,Called/1000))</f>
        <v>2.0349931716918945</v>
      </c>
      <c r="Q18" s="41"/>
      <c r="S18" s="41"/>
      <c r="T18" s="41"/>
      <c r="U18" s="41"/>
      <c r="V18" s="41"/>
      <c r="W18" s="41"/>
    </row>
    <row r="19" spans="3:23" ht="16.5" x14ac:dyDescent="0.2">
      <c r="C19" s="5"/>
      <c r="D19" s="5"/>
      <c r="E19" s="37">
        <v>12</v>
      </c>
      <c r="F19" s="52">
        <f>IF(Called=0,"n/a",DGET(data,"Ref_hr12",_xlnm.Criteria)/IF(Result_type="Aggregate Impact",1,Called/1000))</f>
        <v>46.757511138916016</v>
      </c>
      <c r="G19" s="52">
        <f t="shared" si="0"/>
        <v>44.912937045097351</v>
      </c>
      <c r="H19" s="52">
        <f>IF(Called=0,"n/a",DGET(data,"Pctile50_hr12",_xlnm.Criteria)/IF(Result_type="Aggregate Impact",1,Called/1000))</f>
        <v>1.8445740938186646</v>
      </c>
      <c r="I19" s="52">
        <f>IF(Called=0,"n/a",DGET(data,"Temp_hr12",_xlnm.Criteria))</f>
        <v>89.359970092773438</v>
      </c>
      <c r="J19" s="52">
        <f>IF(Called=0,"n/a",DGET(data,"Pctile10_hr12",_xlnm.Criteria)/IF(Result_type="Aggregate Impact",1,Called/1000))</f>
        <v>0.19745863974094391</v>
      </c>
      <c r="K19" s="52">
        <f>IF(Called=0,"n/a",DGET(data,"Pctile30_hr12",_xlnm.Criteria)/IF(Result_type="Aggregate Impact",1,Called/1000))</f>
        <v>1.1705877780914307</v>
      </c>
      <c r="L19" s="52">
        <f t="shared" si="1"/>
        <v>1.8445740938186646</v>
      </c>
      <c r="M19" s="52">
        <f>IF(Called=0,"n/a",DGET(data,"Pctile70_hr12",_xlnm.Criteria)/IF(Result_type="Aggregate Impact",1,Called/1000))</f>
        <v>2.5185604095458984</v>
      </c>
      <c r="N19" s="52">
        <f>IF(Called=0,"n/a",DGET(data,"Pctile90_hr12",_xlnm.Criteria)/IF(Result_type="Aggregate Impact",1,Called/1000))</f>
        <v>3.4916894435882568</v>
      </c>
      <c r="Q19" s="41"/>
      <c r="S19" s="41"/>
      <c r="T19" s="41"/>
      <c r="U19" s="41"/>
      <c r="V19" s="41"/>
      <c r="W19" s="41"/>
    </row>
    <row r="20" spans="3:23" ht="16.5" x14ac:dyDescent="0.2">
      <c r="C20" s="5"/>
      <c r="D20" s="5"/>
      <c r="E20" s="37">
        <v>13</v>
      </c>
      <c r="F20" s="52">
        <f>IF(Called=0,"n/a",DGET(data,"Ref_hr13",_xlnm.Criteria)/IF(Result_type="Aggregate Impact",1,Called/1000))</f>
        <v>46.602809906005859</v>
      </c>
      <c r="G20" s="52">
        <f t="shared" si="0"/>
        <v>44.756526708602905</v>
      </c>
      <c r="H20" s="52">
        <f>IF(Called=0,"n/a",DGET(data,"Pctile50_hr13",_xlnm.Criteria)/IF(Result_type="Aggregate Impact",1,Called/1000))</f>
        <v>1.8462831974029541</v>
      </c>
      <c r="I20" s="52">
        <f>IF(Called=0,"n/a",DGET(data,"Temp_hr13",_xlnm.Criteria))</f>
        <v>89.138832092285156</v>
      </c>
      <c r="J20" s="52">
        <f>IF(Called=0,"n/a",DGET(data,"Pctile10_hr13",_xlnm.Criteria)/IF(Result_type="Aggregate Impact",1,Called/1000))</f>
        <v>0.24440744519233704</v>
      </c>
      <c r="K20" s="52">
        <f>IF(Called=0,"n/a",DGET(data,"Pctile30_hr13",_xlnm.Criteria)/IF(Result_type="Aggregate Impact",1,Called/1000))</f>
        <v>1.1908086538314819</v>
      </c>
      <c r="L20" s="52">
        <f t="shared" si="1"/>
        <v>1.8462831974029541</v>
      </c>
      <c r="M20" s="52">
        <f>IF(Called=0,"n/a",DGET(data,"Pctile70_hr13",_xlnm.Criteria)/IF(Result_type="Aggregate Impact",1,Called/1000))</f>
        <v>2.5017578601837158</v>
      </c>
      <c r="N20" s="52">
        <f>IF(Called=0,"n/a",DGET(data,"Pctile90_hr13",_xlnm.Criteria)/IF(Result_type="Aggregate Impact",1,Called/1000))</f>
        <v>3.4481589794158936</v>
      </c>
      <c r="Q20" s="41"/>
      <c r="S20" s="41"/>
      <c r="T20" s="41"/>
      <c r="U20" s="41"/>
      <c r="V20" s="41"/>
      <c r="W20" s="41"/>
    </row>
    <row r="21" spans="3:23" ht="16.5" x14ac:dyDescent="0.2">
      <c r="C21" s="5"/>
      <c r="D21" s="5"/>
      <c r="E21" s="37">
        <v>14</v>
      </c>
      <c r="F21" s="52">
        <f>IF(Called=0,"n/a",DGET(data,"Ref_hr14",_xlnm.Criteria)/IF(Result_type="Aggregate Impact",1,Called/1000))</f>
        <v>46.477020263671875</v>
      </c>
      <c r="G21" s="52">
        <f t="shared" si="0"/>
        <v>43.825000286102295</v>
      </c>
      <c r="H21" s="52">
        <f>IF(Called=0,"n/a",DGET(data,"Pctile50_hr14",_xlnm.Criteria)/IF(Result_type="Aggregate Impact",1,Called/1000))</f>
        <v>2.6520199775695801</v>
      </c>
      <c r="I21" s="52">
        <f>IF(Called=0,"n/a",DGET(data,"Temp_hr14",_xlnm.Criteria))</f>
        <v>89.214088439941406</v>
      </c>
      <c r="J21" s="52">
        <f>IF(Called=0,"n/a",DGET(data,"Pctile10_hr14",_xlnm.Criteria)/IF(Result_type="Aggregate Impact",1,Called/1000))</f>
        <v>1.0275332927703857</v>
      </c>
      <c r="K21" s="52">
        <f>IF(Called=0,"n/a",DGET(data,"Pctile30_hr14",_xlnm.Criteria)/IF(Result_type="Aggregate Impact",1,Called/1000))</f>
        <v>1.9872931241989136</v>
      </c>
      <c r="L21" s="52">
        <f t="shared" si="1"/>
        <v>2.6520199775695801</v>
      </c>
      <c r="M21" s="52">
        <f>IF(Called=0,"n/a",DGET(data,"Pctile70_hr14",_xlnm.Criteria)/IF(Result_type="Aggregate Impact",1,Called/1000))</f>
        <v>3.316746711730957</v>
      </c>
      <c r="N21" s="52">
        <f>IF(Called=0,"n/a",DGET(data,"Pctile90_hr14",_xlnm.Criteria)/IF(Result_type="Aggregate Impact",1,Called/1000))</f>
        <v>4.2765069007873535</v>
      </c>
      <c r="Q21" s="41"/>
      <c r="S21" s="41"/>
      <c r="T21" s="41"/>
      <c r="U21" s="41"/>
      <c r="V21" s="41"/>
      <c r="W21" s="41"/>
    </row>
    <row r="22" spans="3:23" ht="16.5" x14ac:dyDescent="0.2">
      <c r="C22" s="5"/>
      <c r="D22" s="5"/>
      <c r="E22" s="37">
        <v>15</v>
      </c>
      <c r="F22" s="52">
        <f>IF(Called=0,"n/a",DGET(data,"Ref_hr15",_xlnm.Criteria)/IF(Result_type="Aggregate Impact",1,Called/1000))</f>
        <v>45.584159851074219</v>
      </c>
      <c r="G22" s="52">
        <f t="shared" si="0"/>
        <v>38.85601282119751</v>
      </c>
      <c r="H22" s="52">
        <f>IF(Called=0,"n/a",DGET(data,"Pctile50_hr15",_xlnm.Criteria)/IF(Result_type="Aggregate Impact",1,Called/1000))</f>
        <v>6.728147029876709</v>
      </c>
      <c r="I22" s="52">
        <f>IF(Called=0,"n/a",DGET(data,"Temp_hr15",_xlnm.Criteria))</f>
        <v>89.733871459960938</v>
      </c>
      <c r="J22" s="52">
        <f>IF(Called=0,"n/a",DGET(data,"Pctile10_hr15",_xlnm.Criteria)/IF(Result_type="Aggregate Impact",1,Called/1000))</f>
        <v>5.1982855796813965</v>
      </c>
      <c r="K22" s="52">
        <f>IF(Called=0,"n/a",DGET(data,"Pctile30_hr15",_xlnm.Criteria)/IF(Result_type="Aggregate Impact",1,Called/1000))</f>
        <v>6.1021404266357422</v>
      </c>
      <c r="L22" s="52">
        <f t="shared" si="1"/>
        <v>6.728147029876709</v>
      </c>
      <c r="M22" s="52">
        <f>IF(Called=0,"n/a",DGET(data,"Pctile70_hr15",_xlnm.Criteria)/IF(Result_type="Aggregate Impact",1,Called/1000))</f>
        <v>7.3541536331176758</v>
      </c>
      <c r="N22" s="52">
        <f>IF(Called=0,"n/a",DGET(data,"Pctile90_hr15",_xlnm.Criteria)/IF(Result_type="Aggregate Impact",1,Called/1000))</f>
        <v>8.2580080032348633</v>
      </c>
      <c r="Q22" s="41"/>
      <c r="S22" s="41"/>
      <c r="T22" s="41"/>
      <c r="U22" s="41"/>
      <c r="V22" s="41"/>
      <c r="W22" s="41"/>
    </row>
    <row r="23" spans="3:23" ht="16.5" x14ac:dyDescent="0.2">
      <c r="C23" s="5"/>
      <c r="D23" s="5"/>
      <c r="E23" s="37">
        <v>16</v>
      </c>
      <c r="F23" s="52">
        <f>IF(Called=0,"n/a",DGET(data,"Ref_hr16",_xlnm.Criteria)/IF(Result_type="Aggregate Impact",1,Called/1000))</f>
        <v>44.838123321533203</v>
      </c>
      <c r="G23" s="52">
        <f t="shared" si="0"/>
        <v>33.825761795043945</v>
      </c>
      <c r="H23" s="52">
        <f>IF(Called=0,"n/a",DGET(data,"Pctile50_hr16",_xlnm.Criteria)/IF(Result_type="Aggregate Impact",1,Called/1000))</f>
        <v>11.012361526489258</v>
      </c>
      <c r="I23" s="52">
        <f>IF(Called=0,"n/a",DGET(data,"Temp_hr16",_xlnm.Criteria))</f>
        <v>89.578819274902344</v>
      </c>
      <c r="J23" s="52">
        <f>IF(Called=0,"n/a",DGET(data,"Pctile10_hr16",_xlnm.Criteria)/IF(Result_type="Aggregate Impact",1,Called/1000))</f>
        <v>9.4402894973754883</v>
      </c>
      <c r="K23" s="52">
        <f>IF(Called=0,"n/a",DGET(data,"Pctile30_hr16",_xlnm.Criteria)/IF(Result_type="Aggregate Impact",1,Called/1000))</f>
        <v>10.369082450866699</v>
      </c>
      <c r="L23" s="52">
        <f t="shared" si="1"/>
        <v>11.012361526489258</v>
      </c>
      <c r="M23" s="52">
        <f>IF(Called=0,"n/a",DGET(data,"Pctile70_hr16",_xlnm.Criteria)/IF(Result_type="Aggregate Impact",1,Called/1000))</f>
        <v>11.655640602111816</v>
      </c>
      <c r="N23" s="52">
        <f>IF(Called=0,"n/a",DGET(data,"Pctile90_hr16",_xlnm.Criteria)/IF(Result_type="Aggregate Impact",1,Called/1000))</f>
        <v>12.584433555603027</v>
      </c>
      <c r="Q23" s="41"/>
      <c r="S23" s="41"/>
      <c r="T23" s="41"/>
      <c r="U23" s="41"/>
      <c r="V23" s="41"/>
      <c r="W23" s="41"/>
    </row>
    <row r="24" spans="3:23" ht="16.5" x14ac:dyDescent="0.2">
      <c r="C24" s="5"/>
      <c r="D24" s="5"/>
      <c r="E24" s="37">
        <v>17</v>
      </c>
      <c r="F24" s="52">
        <f>IF(Called=0,"n/a",DGET(data,"Ref_hr17",_xlnm.Criteria)/IF(Result_type="Aggregate Impact",1,Called/1000))</f>
        <v>43.0684814453125</v>
      </c>
      <c r="G24" s="52">
        <f t="shared" si="0"/>
        <v>32.205408096313477</v>
      </c>
      <c r="H24" s="52">
        <f>IF(Called=0,"n/a",DGET(data,"Pctile50_hr17",_xlnm.Criteria)/IF(Result_type="Aggregate Impact",1,Called/1000))</f>
        <v>10.863073348999023</v>
      </c>
      <c r="I24" s="52">
        <f>IF(Called=0,"n/a",DGET(data,"Temp_hr17",_xlnm.Criteria))</f>
        <v>88.015426635742188</v>
      </c>
      <c r="J24" s="52">
        <f>IF(Called=0,"n/a",DGET(data,"Pctile10_hr17",_xlnm.Criteria)/IF(Result_type="Aggregate Impact",1,Called/1000))</f>
        <v>9.3523674011230469</v>
      </c>
      <c r="K24" s="52">
        <f>IF(Called=0,"n/a",DGET(data,"Pctile30_hr17",_xlnm.Criteria)/IF(Result_type="Aggregate Impact",1,Called/1000))</f>
        <v>10.244904518127441</v>
      </c>
      <c r="L24" s="52">
        <f t="shared" si="1"/>
        <v>10.863073348999023</v>
      </c>
      <c r="M24" s="52">
        <f>IF(Called=0,"n/a",DGET(data,"Pctile70_hr17",_xlnm.Criteria)/IF(Result_type="Aggregate Impact",1,Called/1000))</f>
        <v>11.481242179870605</v>
      </c>
      <c r="N24" s="52">
        <f>IF(Called=0,"n/a",DGET(data,"Pctile90_hr17",_xlnm.Criteria)/IF(Result_type="Aggregate Impact",1,Called/1000))</f>
        <v>12.373779296875</v>
      </c>
      <c r="Q24" s="41"/>
      <c r="S24" s="41"/>
      <c r="T24" s="41"/>
      <c r="U24" s="41"/>
      <c r="V24" s="41"/>
      <c r="W24" s="41"/>
    </row>
    <row r="25" spans="3:23" ht="16.5" x14ac:dyDescent="0.2">
      <c r="C25" s="5"/>
      <c r="D25" s="5"/>
      <c r="E25" s="37">
        <v>18</v>
      </c>
      <c r="F25" s="52">
        <f>IF(Called=0,"n/a",DGET(data,"Ref_hr18",_xlnm.Criteria)/IF(Result_type="Aggregate Impact",1,Called/1000))</f>
        <v>40.490001678466797</v>
      </c>
      <c r="G25" s="52">
        <f t="shared" si="0"/>
        <v>30.326237678527832</v>
      </c>
      <c r="H25" s="52">
        <f>IF(Called=0,"n/a",DGET(data,"Pctile50_hr18",_xlnm.Criteria)/IF(Result_type="Aggregate Impact",1,Called/1000))</f>
        <v>10.163763999938965</v>
      </c>
      <c r="I25" s="52">
        <f>IF(Called=0,"n/a",DGET(data,"Temp_hr18",_xlnm.Criteria))</f>
        <v>85.498054504394531</v>
      </c>
      <c r="J25" s="52">
        <f>IF(Called=0,"n/a",DGET(data,"Pctile10_hr18",_xlnm.Criteria)/IF(Result_type="Aggregate Impact",1,Called/1000))</f>
        <v>8.6661262512207031</v>
      </c>
      <c r="K25" s="52">
        <f>IF(Called=0,"n/a",DGET(data,"Pctile30_hr18",_xlnm.Criteria)/IF(Result_type="Aggregate Impact",1,Called/1000))</f>
        <v>9.5509424209594727</v>
      </c>
      <c r="L25" s="52">
        <f t="shared" si="1"/>
        <v>10.163763999938965</v>
      </c>
      <c r="M25" s="52">
        <f>IF(Called=0,"n/a",DGET(data,"Pctile70_hr18",_xlnm.Criteria)/IF(Result_type="Aggregate Impact",1,Called/1000))</f>
        <v>10.776585578918457</v>
      </c>
      <c r="N25" s="52">
        <f>IF(Called=0,"n/a",DGET(data,"Pctile90_hr18",_xlnm.Criteria)/IF(Result_type="Aggregate Impact",1,Called/1000))</f>
        <v>11.661401748657227</v>
      </c>
      <c r="Q25" s="41"/>
      <c r="S25" s="41"/>
      <c r="T25" s="41"/>
      <c r="U25" s="41"/>
      <c r="V25" s="41"/>
      <c r="W25" s="41"/>
    </row>
    <row r="26" spans="3:23" ht="16.5" x14ac:dyDescent="0.2">
      <c r="C26" s="5"/>
      <c r="D26" s="5"/>
      <c r="E26" s="37">
        <v>19</v>
      </c>
      <c r="F26" s="52">
        <f>IF(Called=0,"n/a",DGET(data,"Ref_hr19",_xlnm.Criteria)/IF(Result_type="Aggregate Impact",1,Called/1000))</f>
        <v>33.025859832763672</v>
      </c>
      <c r="G26" s="52">
        <f t="shared" si="0"/>
        <v>25.48640775680542</v>
      </c>
      <c r="H26" s="52">
        <f>IF(Called=0,"n/a",DGET(data,"Pctile50_hr19",_xlnm.Criteria)/IF(Result_type="Aggregate Impact",1,Called/1000))</f>
        <v>7.539452075958252</v>
      </c>
      <c r="I26" s="52">
        <f>IF(Called=0,"n/a",DGET(data,"Temp_hr19",_xlnm.Criteria))</f>
        <v>82.77532958984375</v>
      </c>
      <c r="J26" s="52">
        <f>IF(Called=0,"n/a",DGET(data,"Pctile10_hr19",_xlnm.Criteria)/IF(Result_type="Aggregate Impact",1,Called/1000))</f>
        <v>6.0429840087890625</v>
      </c>
      <c r="K26" s="52">
        <f>IF(Called=0,"n/a",DGET(data,"Pctile30_hr19",_xlnm.Criteria)/IF(Result_type="Aggregate Impact",1,Called/1000))</f>
        <v>6.9271097183227539</v>
      </c>
      <c r="L26" s="52">
        <f t="shared" si="1"/>
        <v>7.539452075958252</v>
      </c>
      <c r="M26" s="52">
        <f>IF(Called=0,"n/a",DGET(data,"Pctile70_hr19",_xlnm.Criteria)/IF(Result_type="Aggregate Impact",1,Called/1000))</f>
        <v>8.15179443359375</v>
      </c>
      <c r="N26" s="52">
        <f>IF(Called=0,"n/a",DGET(data,"Pctile90_hr19",_xlnm.Criteria)/IF(Result_type="Aggregate Impact",1,Called/1000))</f>
        <v>9.0359201431274414</v>
      </c>
      <c r="Q26" s="41"/>
      <c r="S26" s="41"/>
      <c r="T26" s="41"/>
      <c r="U26" s="41"/>
      <c r="V26" s="41"/>
      <c r="W26" s="41"/>
    </row>
    <row r="27" spans="3:23" ht="16.5" x14ac:dyDescent="0.2">
      <c r="C27" s="5"/>
      <c r="D27" s="5"/>
      <c r="E27" s="37">
        <v>20</v>
      </c>
      <c r="F27" s="52">
        <f>IF(Called=0,"n/a",DGET(data,"Ref_hr20",_xlnm.Criteria)/IF(Result_type="Aggregate Impact",1,Called/1000))</f>
        <v>30.571950912475586</v>
      </c>
      <c r="G27" s="52">
        <f t="shared" si="0"/>
        <v>27.778283357620239</v>
      </c>
      <c r="H27" s="52">
        <f>IF(Called=0,"n/a",DGET(data,"Pctile50_hr20",_xlnm.Criteria)/IF(Result_type="Aggregate Impact",1,Called/1000))</f>
        <v>2.7936675548553467</v>
      </c>
      <c r="I27" s="52">
        <f>IF(Called=0,"n/a",DGET(data,"Temp_hr20",_xlnm.Criteria))</f>
        <v>79.789772033691406</v>
      </c>
      <c r="J27" s="52">
        <f>IF(Called=0,"n/a",DGET(data,"Pctile10_hr20",_xlnm.Criteria)/IF(Result_type="Aggregate Impact",1,Called/1000))</f>
        <v>1.3289788961410522</v>
      </c>
      <c r="K27" s="52">
        <f>IF(Called=0,"n/a",DGET(data,"Pctile30_hr20",_xlnm.Criteria)/IF(Result_type="Aggregate Impact",1,Called/1000))</f>
        <v>2.194328784942627</v>
      </c>
      <c r="L27" s="52">
        <f t="shared" si="1"/>
        <v>2.7936675548553467</v>
      </c>
      <c r="M27" s="52">
        <f>IF(Called=0,"n/a",DGET(data,"Pctile70_hr20",_xlnm.Criteria)/IF(Result_type="Aggregate Impact",1,Called/1000))</f>
        <v>3.3930063247680664</v>
      </c>
      <c r="N27" s="52">
        <f>IF(Called=0,"n/a",DGET(data,"Pctile90_hr20",_xlnm.Criteria)/IF(Result_type="Aggregate Impact",1,Called/1000))</f>
        <v>4.2583560943603516</v>
      </c>
      <c r="Q27" s="41"/>
      <c r="S27" s="41"/>
      <c r="T27" s="41"/>
      <c r="U27" s="41"/>
      <c r="V27" s="41"/>
      <c r="W27" s="41"/>
    </row>
    <row r="28" spans="3:23" ht="16.5" x14ac:dyDescent="0.2">
      <c r="C28" s="5"/>
      <c r="D28" s="5"/>
      <c r="E28" s="37">
        <v>21</v>
      </c>
      <c r="F28" s="52">
        <f>IF(Called=0,"n/a",DGET(data,"Ref_hr21",_xlnm.Criteria)/IF(Result_type="Aggregate Impact",1,Called/1000))</f>
        <v>29.425949096679688</v>
      </c>
      <c r="G28" s="52">
        <f t="shared" si="0"/>
        <v>29.870506435632706</v>
      </c>
      <c r="H28" s="52">
        <f>IF(Called=0,"n/a",DGET(data,"Pctile50_hr21",_xlnm.Criteria)/IF(Result_type="Aggregate Impact",1,Called/1000))</f>
        <v>-0.44455733895301819</v>
      </c>
      <c r="I28" s="52">
        <f>IF(Called=0,"n/a",DGET(data,"Temp_hr21",_xlnm.Criteria))</f>
        <v>77.730079650878906</v>
      </c>
      <c r="J28" s="52">
        <f>IF(Called=0,"n/a",DGET(data,"Pctile10_hr21",_xlnm.Criteria)/IF(Result_type="Aggregate Impact",1,Called/1000))</f>
        <v>-1.9177381992340088</v>
      </c>
      <c r="K28" s="52">
        <f>IF(Called=0,"n/a",DGET(data,"Pctile30_hr21",_xlnm.Criteria)/IF(Result_type="Aggregate Impact",1,Called/1000))</f>
        <v>-1.0473710298538208</v>
      </c>
      <c r="L28" s="52">
        <f t="shared" si="1"/>
        <v>-0.44455733895301819</v>
      </c>
      <c r="M28" s="52">
        <f>IF(Called=0,"n/a",DGET(data,"Pctile70_hr21",_xlnm.Criteria)/IF(Result_type="Aggregate Impact",1,Called/1000))</f>
        <v>0.15825630724430084</v>
      </c>
      <c r="N28" s="52">
        <f>IF(Called=0,"n/a",DGET(data,"Pctile90_hr21",_xlnm.Criteria)/IF(Result_type="Aggregate Impact",1,Called/1000))</f>
        <v>1.0286234617233276</v>
      </c>
      <c r="Q28" s="41"/>
      <c r="S28" s="41"/>
      <c r="T28" s="41"/>
      <c r="U28" s="41"/>
      <c r="V28" s="41"/>
      <c r="W28" s="41"/>
    </row>
    <row r="29" spans="3:23" ht="16.5" x14ac:dyDescent="0.2">
      <c r="C29" s="5"/>
      <c r="D29" s="5"/>
      <c r="E29" s="37">
        <v>22</v>
      </c>
      <c r="F29" s="52">
        <f>IF(Called=0,"n/a",DGET(data,"Ref_hr22",_xlnm.Criteria)/IF(Result_type="Aggregate Impact",1,Called/1000))</f>
        <v>25.352449417114258</v>
      </c>
      <c r="G29" s="52">
        <f t="shared" si="0"/>
        <v>26.038899719715118</v>
      </c>
      <c r="H29" s="52">
        <f>IF(Called=0,"n/a",DGET(data,"Pctile50_hr22",_xlnm.Criteria)/IF(Result_type="Aggregate Impact",1,Called/1000))</f>
        <v>-0.6864503026008606</v>
      </c>
      <c r="I29" s="52">
        <f>IF(Called=0,"n/a",DGET(data,"Temp_hr22",_xlnm.Criteria))</f>
        <v>76.054420471191406</v>
      </c>
      <c r="J29" s="52">
        <f>IF(Called=0,"n/a",DGET(data,"Pctile10_hr22",_xlnm.Criteria)/IF(Result_type="Aggregate Impact",1,Called/1000))</f>
        <v>-2.127875804901123</v>
      </c>
      <c r="K29" s="52">
        <f>IF(Called=0,"n/a",DGET(data,"Pctile30_hr22",_xlnm.Criteria)/IF(Result_type="Aggregate Impact",1,Called/1000))</f>
        <v>-1.2762699127197266</v>
      </c>
      <c r="L29" s="52">
        <f t="shared" si="1"/>
        <v>-0.6864503026008606</v>
      </c>
      <c r="M29" s="52">
        <f>IF(Called=0,"n/a",DGET(data,"Pctile70_hr22",_xlnm.Criteria)/IF(Result_type="Aggregate Impact",1,Called/1000))</f>
        <v>-9.6630692481994629E-2</v>
      </c>
      <c r="N29" s="52">
        <f>IF(Called=0,"n/a",DGET(data,"Pctile90_hr22",_xlnm.Criteria)/IF(Result_type="Aggregate Impact",1,Called/1000))</f>
        <v>0.75497514009475708</v>
      </c>
      <c r="Q29" s="41"/>
    </row>
    <row r="30" spans="3:23" ht="16.5" x14ac:dyDescent="0.2">
      <c r="C30" s="5"/>
      <c r="D30" s="5"/>
      <c r="E30" s="37">
        <v>23</v>
      </c>
      <c r="F30" s="52">
        <f>IF(Called=0,"n/a",DGET(data,"Ref_hr23",_xlnm.Criteria)/IF(Result_type="Aggregate Impact",1,Called/1000))</f>
        <v>22.488252639770508</v>
      </c>
      <c r="G30" s="52">
        <f t="shared" si="0"/>
        <v>23.542957782745361</v>
      </c>
      <c r="H30" s="52">
        <f>IF(Called=0,"n/a",DGET(data,"Pctile50_hr23",_xlnm.Criteria)/IF(Result_type="Aggregate Impact",1,Called/1000))</f>
        <v>-1.0547051429748535</v>
      </c>
      <c r="I30" s="52">
        <f>IF(Called=0,"n/a",DGET(data,"Temp_hr23",_xlnm.Criteria))</f>
        <v>73.858612060546875</v>
      </c>
      <c r="J30" s="52">
        <f>IF(Called=0,"n/a",DGET(data,"Pctile10_hr23",_xlnm.Criteria)/IF(Result_type="Aggregate Impact",1,Called/1000))</f>
        <v>-2.4216341972351074</v>
      </c>
      <c r="K30" s="52">
        <f>IF(Called=0,"n/a",DGET(data,"Pctile30_hr23",_xlnm.Criteria)/IF(Result_type="Aggregate Impact",1,Called/1000))</f>
        <v>-1.6140414476394653</v>
      </c>
      <c r="L30" s="52">
        <f t="shared" si="1"/>
        <v>-1.0547051429748535</v>
      </c>
      <c r="M30" s="52">
        <f>IF(Called=0,"n/a",DGET(data,"Pctile70_hr23",_xlnm.Criteria)/IF(Result_type="Aggregate Impact",1,Called/1000))</f>
        <v>-0.49536880850791931</v>
      </c>
      <c r="N30" s="52">
        <f>IF(Called=0,"n/a",DGET(data,"Pctile90_hr23",_xlnm.Criteria)/IF(Result_type="Aggregate Impact",1,Called/1000))</f>
        <v>0.31222400069236755</v>
      </c>
      <c r="Q30" s="41"/>
    </row>
    <row r="31" spans="3:23" ht="16.5" x14ac:dyDescent="0.2">
      <c r="C31" s="5"/>
      <c r="D31" s="5"/>
      <c r="E31" s="37">
        <v>24</v>
      </c>
      <c r="F31" s="52">
        <f>IF(Called=0,"n/a",DGET(data,"Ref_hr24",_xlnm.Criteria)/IF(Result_type="Aggregate Impact",1,Called/1000))</f>
        <v>21.102155685424805</v>
      </c>
      <c r="G31" s="52">
        <f t="shared" si="0"/>
        <v>22.268682837486267</v>
      </c>
      <c r="H31" s="52">
        <f>IF(Called=0,"n/a",DGET(data,"Pctile50_hr24",_xlnm.Criteria)/IF(Result_type="Aggregate Impact",1,Called/1000))</f>
        <v>-1.1665271520614624</v>
      </c>
      <c r="I31" s="52">
        <f>IF(Called=0,"n/a",DGET(data,"Temp_hr24",_xlnm.Criteria))</f>
        <v>72.390106201171875</v>
      </c>
      <c r="J31" s="52">
        <f>IF(Called=0,"n/a",DGET(data,"Pctile10_hr24",_xlnm.Criteria)/IF(Result_type="Aggregate Impact",1,Called/1000))</f>
        <v>-2.5419723987579346</v>
      </c>
      <c r="K31" s="52">
        <f>IF(Called=0,"n/a",DGET(data,"Pctile30_hr24",_xlnm.Criteria)/IF(Result_type="Aggregate Impact",1,Called/1000))</f>
        <v>-1.7293481826782227</v>
      </c>
      <c r="L31" s="52">
        <f t="shared" si="1"/>
        <v>-1.1665271520614624</v>
      </c>
      <c r="M31" s="52">
        <f>IF(Called=0,"n/a",DGET(data,"Pctile70_hr24",_xlnm.Criteria)/IF(Result_type="Aggregate Impact",1,Called/1000))</f>
        <v>-0.60370606184005737</v>
      </c>
      <c r="N31" s="52">
        <f>IF(Called=0,"n/a",DGET(data,"Pctile90_hr24",_xlnm.Criteria)/IF(Result_type="Aggregate Impact",1,Called/1000))</f>
        <v>0.20891815423965454</v>
      </c>
      <c r="Q31" s="41"/>
    </row>
    <row r="32" spans="3:23" ht="49.5" customHeight="1" thickBot="1" x14ac:dyDescent="0.35">
      <c r="C32" s="5"/>
      <c r="D32" s="5"/>
      <c r="E32" s="17"/>
      <c r="F32" s="72" t="str">
        <f>"Estimated Reference
Energy Use
("&amp;IF(Result_type="Aggregate Impact","MWh)","kWh)")</f>
        <v>Estimated Reference
Energy Use
(MWh)</v>
      </c>
      <c r="G32" s="72" t="str">
        <f>"Observed 
Event Day Energy Use ("&amp;IF(Result_type="Aggregate Impact","MWh)","kWh)")</f>
        <v>Observed 
Event Day Energy Use (MWh)</v>
      </c>
      <c r="H32" s="72" t="str">
        <f>"Estimated 
Change in Energy Use ("&amp;IF(Result_type="Aggregate Impact","MWh)","kWh)")</f>
        <v>Estimated 
Change in Energy Use (MWh)</v>
      </c>
      <c r="I32" s="74" t="s">
        <v>190</v>
      </c>
      <c r="J32" s="56" t="str">
        <f>"Uncertainty Adjusted Impact ("&amp;IF(Result_type="Aggregate Impact","MWh/hour) - Percentiles","kWh/hour) - Percentiles")</f>
        <v>Uncertainty Adjusted Impact (MWh/hour) - Percentiles</v>
      </c>
      <c r="K32" s="56"/>
      <c r="L32" s="56"/>
      <c r="M32" s="56"/>
      <c r="N32" s="57"/>
    </row>
    <row r="33" spans="3:17" ht="16.5" x14ac:dyDescent="0.3">
      <c r="C33" s="5"/>
      <c r="D33" s="5"/>
      <c r="E33" s="62" t="s">
        <v>211</v>
      </c>
      <c r="F33" s="73"/>
      <c r="G33" s="73"/>
      <c r="H33" s="73"/>
      <c r="I33" s="73"/>
      <c r="J33" s="18" t="s">
        <v>11</v>
      </c>
      <c r="K33" s="18" t="s">
        <v>12</v>
      </c>
      <c r="L33" s="18" t="s">
        <v>13</v>
      </c>
      <c r="M33" s="18" t="s">
        <v>14</v>
      </c>
      <c r="N33" s="19" t="s">
        <v>15</v>
      </c>
    </row>
    <row r="34" spans="3:17" ht="17.25" thickBot="1" x14ac:dyDescent="0.35">
      <c r="C34" s="5"/>
      <c r="D34" s="5"/>
      <c r="E34" s="20" t="s">
        <v>16</v>
      </c>
      <c r="F34" s="21">
        <f>IF(Called=0,"n/a",SUM(F8:F31))</f>
        <v>797.24859237670898</v>
      </c>
      <c r="G34" s="22">
        <f>IF(Called=0,"n/a",SUM(G8:G31))</f>
        <v>747.11706607416272</v>
      </c>
      <c r="H34" s="22">
        <f>IF(Called=0,"n/a",SUM(H8:H31))</f>
        <v>50.131526302546263</v>
      </c>
      <c r="I34" s="23">
        <f>IF(Called=0,"n/a",SUM(Lookups!J22:J45))</f>
        <v>143.53238677978516</v>
      </c>
      <c r="J34" s="23" t="s">
        <v>17</v>
      </c>
      <c r="K34" s="23" t="s">
        <v>17</v>
      </c>
      <c r="L34" s="23" t="s">
        <v>17</v>
      </c>
      <c r="M34" s="23" t="s">
        <v>17</v>
      </c>
      <c r="N34" s="67" t="s">
        <v>17</v>
      </c>
    </row>
    <row r="35" spans="3:17" ht="17.25" thickBot="1" x14ac:dyDescent="0.35">
      <c r="E35" s="20" t="s">
        <v>212</v>
      </c>
      <c r="F35" s="71">
        <f>IF(Called=0,"n/a",Lookups!L46)</f>
        <v>40.355616569519043</v>
      </c>
      <c r="G35" s="23">
        <f>IF(Called=0,"n/a",Lookups!M46)</f>
        <v>30.460953831672668</v>
      </c>
      <c r="H35" s="23">
        <f>IF(Called=0,"n/a",Lookups!N46)</f>
        <v>9.8946627378463745</v>
      </c>
      <c r="I35" s="23">
        <f>IF(Called=0,"n/a",Lookups!O46)</f>
        <v>45.867630004882813</v>
      </c>
      <c r="J35" s="23">
        <f>IF(Called=0,"n/a",Lookups!AA46)</f>
        <v>9.4981659339305047</v>
      </c>
      <c r="K35" s="23">
        <f>IF(Called=0,"n/a",Lookups!AB46)</f>
        <v>9.7324194595806084</v>
      </c>
      <c r="L35" s="23">
        <f>IF(Called=0,"n/a",Lookups!AC46)</f>
        <v>9.8946627378463745</v>
      </c>
      <c r="M35" s="23">
        <f>IF(Called=0,"n/a",Lookups!AD46)</f>
        <v>10.056906016112141</v>
      </c>
      <c r="N35" s="67">
        <f>IF(Called=0,"n/a",Lookups!AE46)</f>
        <v>10.291159541762244</v>
      </c>
      <c r="Q35" s="50"/>
    </row>
    <row r="36" spans="3:17" ht="15" x14ac:dyDescent="0.25">
      <c r="E36" s="24"/>
      <c r="F36" s="41"/>
      <c r="G36" s="69" t="s">
        <v>246</v>
      </c>
      <c r="H36" s="70">
        <f>IF(Called=0,"n/a",H35/F35)</f>
        <v>0.24518675661419337</v>
      </c>
      <c r="I36" s="41"/>
    </row>
    <row r="37" spans="3:17" x14ac:dyDescent="0.2">
      <c r="E37" s="24"/>
      <c r="F37" s="41"/>
      <c r="G37" s="41"/>
      <c r="H37" s="41"/>
      <c r="I37" s="42"/>
    </row>
    <row r="38" spans="3:17" x14ac:dyDescent="0.2">
      <c r="E38" s="24"/>
      <c r="F38" s="41"/>
      <c r="G38" s="41"/>
      <c r="H38" s="41"/>
      <c r="I38" s="41"/>
    </row>
    <row r="40" spans="3:17" x14ac:dyDescent="0.2">
      <c r="E40" s="24"/>
      <c r="F40" s="41"/>
      <c r="G40" s="41"/>
      <c r="H40" s="41"/>
      <c r="I40" s="42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2" type="noConversion"/>
  <conditionalFormatting sqref="A1:B1">
    <cfRule type="expression" dxfId="5" priority="45" stopIfTrue="1">
      <formula>$A$1&lt;&gt;""</formula>
    </cfRule>
  </conditionalFormatting>
  <conditionalFormatting sqref="C2">
    <cfRule type="expression" dxfId="4" priority="37">
      <formula>size_lca_flag=1</formula>
    </cfRule>
  </conditionalFormatting>
  <conditionalFormatting sqref="B7">
    <cfRule type="expression" dxfId="3" priority="27">
      <formula>Two_way_tab_flag=1</formula>
    </cfRule>
    <cfRule type="expression" dxfId="2" priority="28">
      <formula>size_lca_flag=1</formula>
    </cfRule>
  </conditionalFormatting>
  <conditionalFormatting sqref="C1">
    <cfRule type="expression" dxfId="1" priority="26" stopIfTrue="1">
      <formula>$A$1&lt;&gt;""</formula>
    </cfRule>
  </conditionalFormatting>
  <dataValidations count="4">
    <dataValidation type="list" allowBlank="1" showInputMessage="1" showErrorMessage="1" sqref="B7">
      <formula1>lca_list</formula1>
    </dataValidation>
    <dataValidation type="list" allowBlank="1" showInputMessage="1" showErrorMessage="1" sqref="B5">
      <formula1>date_list</formula1>
    </dataValidation>
    <dataValidation type="list" allowBlank="1" showInputMessage="1" showErrorMessage="1" sqref="B4">
      <formula1>Result_type_list</formula1>
    </dataValidation>
    <dataValidation type="list" allowBlank="1" showInputMessage="1" showErrorMessage="1" sqref="B8">
      <formula1>notice_list</formula1>
    </dataValidation>
  </dataValidations>
  <pageMargins left="0.75" right="0.75" top="1" bottom="1" header="0.5" footer="0.5"/>
  <pageSetup scale="54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id="{6677BB90-E7F0-4BA8-BD1A-FBF638B0022C}">
            <xm:f>AND($E8&gt;=VLOOKUP(date&amp;notice,Lookups!$A$22:$E$66,4,FALSE),$E8&lt;=VLOOKUP(date&amp;notice,Lookups!$A$22:$E$66,5,FALSE))</xm:f>
            <x14:dxf>
              <fill>
                <patternFill>
                  <bgColor theme="3" tint="0.79998168889431442"/>
                </patternFill>
              </fill>
            </x14:dxf>
          </x14:cfRule>
          <xm:sqref>E8:N31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opLeftCell="M10" workbookViewId="0">
      <selection activeCell="AA46" sqref="AA46:AE46"/>
    </sheetView>
  </sheetViews>
  <sheetFormatPr defaultRowHeight="12.75" x14ac:dyDescent="0.2"/>
  <cols>
    <col min="1" max="1" width="16.85546875" customWidth="1"/>
    <col min="2" max="2" width="9.7109375" bestFit="1" customWidth="1"/>
    <col min="3" max="3" width="24.140625" bestFit="1" customWidth="1"/>
    <col min="4" max="4" width="17.140625" bestFit="1" customWidth="1"/>
    <col min="5" max="5" width="9.5703125" bestFit="1" customWidth="1"/>
    <col min="6" max="6" width="8.85546875" bestFit="1" customWidth="1"/>
    <col min="7" max="7" width="5.5703125" bestFit="1" customWidth="1"/>
    <col min="8" max="8" width="10.85546875" bestFit="1" customWidth="1"/>
    <col min="10" max="10" width="25.5703125" bestFit="1" customWidth="1"/>
    <col min="11" max="11" width="16" bestFit="1" customWidth="1"/>
    <col min="12" max="12" width="31" bestFit="1" customWidth="1"/>
    <col min="13" max="13" width="15.5703125" bestFit="1" customWidth="1"/>
    <col min="14" max="14" width="16.42578125" bestFit="1" customWidth="1"/>
    <col min="15" max="15" width="31.42578125" bestFit="1" customWidth="1"/>
    <col min="16" max="16" width="10.140625" bestFit="1" customWidth="1"/>
    <col min="17" max="17" width="13.42578125" bestFit="1" customWidth="1"/>
  </cols>
  <sheetData>
    <row r="1" spans="1:26" x14ac:dyDescent="0.2">
      <c r="G1" s="1"/>
      <c r="H1" s="1"/>
      <c r="X1" t="s">
        <v>196</v>
      </c>
      <c r="Y1" s="43" t="s">
        <v>195</v>
      </c>
      <c r="Z1" t="s">
        <v>247</v>
      </c>
    </row>
    <row r="2" spans="1:26" x14ac:dyDescent="0.2">
      <c r="X2" s="60">
        <v>41760</v>
      </c>
      <c r="Y2" t="s">
        <v>227</v>
      </c>
      <c r="Z2">
        <v>0.28636080000000003</v>
      </c>
    </row>
    <row r="3" spans="1:26" ht="15" x14ac:dyDescent="0.25">
      <c r="A3" s="26"/>
      <c r="B3" s="25" t="s">
        <v>201</v>
      </c>
      <c r="C3" s="25" t="s">
        <v>0</v>
      </c>
      <c r="D3" s="25" t="s">
        <v>192</v>
      </c>
      <c r="J3" s="2" t="s">
        <v>202</v>
      </c>
      <c r="K3" s="11" t="s">
        <v>201</v>
      </c>
      <c r="L3" s="11" t="s">
        <v>0</v>
      </c>
      <c r="M3" s="11" t="s">
        <v>192</v>
      </c>
      <c r="O3" s="11"/>
      <c r="Q3" s="11"/>
      <c r="X3" s="60">
        <v>41773</v>
      </c>
      <c r="Y3" t="s">
        <v>227</v>
      </c>
      <c r="Z3">
        <v>0.34403040000000001</v>
      </c>
    </row>
    <row r="4" spans="1:26" x14ac:dyDescent="0.2">
      <c r="A4" s="28"/>
      <c r="B4" t="str">
        <f>date</f>
        <v>Typical Event Day</v>
      </c>
      <c r="C4" s="5" t="str">
        <f>lca</f>
        <v>All</v>
      </c>
      <c r="D4" s="5" t="str">
        <f>notice</f>
        <v>DA 1-4 Hour</v>
      </c>
      <c r="J4" t="s">
        <v>3</v>
      </c>
      <c r="K4" s="68">
        <v>41760</v>
      </c>
      <c r="L4" t="s">
        <v>1</v>
      </c>
      <c r="M4" t="s">
        <v>227</v>
      </c>
      <c r="Q4" s="43"/>
      <c r="X4" s="60">
        <v>41774</v>
      </c>
      <c r="Y4" t="s">
        <v>227</v>
      </c>
      <c r="Z4">
        <v>0.39302359999999997</v>
      </c>
    </row>
    <row r="5" spans="1:26" ht="13.5" x14ac:dyDescent="0.25">
      <c r="A5" s="26"/>
      <c r="B5" s="26"/>
      <c r="C5" s="26"/>
      <c r="D5" s="26"/>
      <c r="E5" s="26"/>
      <c r="F5" s="26"/>
      <c r="G5" s="27"/>
      <c r="H5" s="27"/>
      <c r="J5" s="1" t="s">
        <v>203</v>
      </c>
      <c r="K5" s="68">
        <v>41773</v>
      </c>
      <c r="M5" t="s">
        <v>228</v>
      </c>
      <c r="Q5" s="43"/>
      <c r="X5" s="60">
        <v>41850</v>
      </c>
      <c r="Y5" t="s">
        <v>227</v>
      </c>
      <c r="Z5">
        <v>0.25376559999999998</v>
      </c>
    </row>
    <row r="6" spans="1:26" x14ac:dyDescent="0.2">
      <c r="A6" s="28"/>
      <c r="B6" s="28"/>
      <c r="C6" s="29"/>
      <c r="D6" s="30"/>
      <c r="E6" s="28"/>
      <c r="F6" s="30"/>
      <c r="G6" s="30"/>
      <c r="H6" s="30"/>
      <c r="K6" s="68">
        <v>41774</v>
      </c>
      <c r="L6" s="1"/>
      <c r="M6" t="s">
        <v>229</v>
      </c>
      <c r="Q6" s="43"/>
      <c r="X6" s="60">
        <v>41851</v>
      </c>
      <c r="Y6" t="s">
        <v>227</v>
      </c>
      <c r="Z6">
        <v>0.2264089</v>
      </c>
    </row>
    <row r="7" spans="1:26" ht="13.5" x14ac:dyDescent="0.25">
      <c r="A7" s="26"/>
      <c r="K7" s="68">
        <v>41850</v>
      </c>
      <c r="M7" s="44"/>
      <c r="X7" s="60">
        <v>41852</v>
      </c>
      <c r="Y7" t="s">
        <v>227</v>
      </c>
      <c r="Z7">
        <v>0.30931989999999998</v>
      </c>
    </row>
    <row r="8" spans="1:26" ht="13.5" x14ac:dyDescent="0.25">
      <c r="A8" s="27"/>
      <c r="C8" t="s">
        <v>207</v>
      </c>
      <c r="D8">
        <f>DGET(data,"_pass",_xlnm.Criteria)</f>
        <v>1</v>
      </c>
      <c r="K8" s="68">
        <v>41851</v>
      </c>
      <c r="M8" s="34"/>
      <c r="X8" s="60">
        <v>41855</v>
      </c>
      <c r="Y8" t="s">
        <v>227</v>
      </c>
      <c r="Z8">
        <v>0.232705</v>
      </c>
    </row>
    <row r="9" spans="1:26" x14ac:dyDescent="0.2">
      <c r="A9" s="30"/>
      <c r="K9" s="68">
        <v>41852</v>
      </c>
      <c r="M9" s="34"/>
      <c r="X9" s="60">
        <v>41878</v>
      </c>
      <c r="Y9" t="s">
        <v>227</v>
      </c>
      <c r="Z9">
        <v>0.31632080000000001</v>
      </c>
    </row>
    <row r="10" spans="1:26" ht="13.5" x14ac:dyDescent="0.25">
      <c r="A10" s="27"/>
      <c r="K10" s="68">
        <v>41855</v>
      </c>
      <c r="M10" s="34"/>
      <c r="X10" s="60">
        <v>41879</v>
      </c>
      <c r="Y10" t="s">
        <v>227</v>
      </c>
      <c r="Z10">
        <v>0.32022830000000002</v>
      </c>
    </row>
    <row r="11" spans="1:26" x14ac:dyDescent="0.2">
      <c r="A11" s="30"/>
      <c r="C11" s="43"/>
      <c r="K11" s="68">
        <v>41878</v>
      </c>
      <c r="M11" s="34"/>
      <c r="X11" s="60">
        <v>41893</v>
      </c>
      <c r="Y11" t="s">
        <v>227</v>
      </c>
      <c r="Z11">
        <v>0.2306539</v>
      </c>
    </row>
    <row r="12" spans="1:26" ht="13.5" x14ac:dyDescent="0.25">
      <c r="A12" s="27"/>
      <c r="K12" s="68">
        <v>41879</v>
      </c>
      <c r="X12" s="60">
        <v>41894</v>
      </c>
      <c r="Y12" t="s">
        <v>227</v>
      </c>
      <c r="Z12">
        <v>0.35934349999999998</v>
      </c>
    </row>
    <row r="13" spans="1:26" ht="13.5" x14ac:dyDescent="0.25">
      <c r="A13" s="27"/>
      <c r="K13" s="68">
        <v>41893</v>
      </c>
      <c r="X13" s="60">
        <v>41897</v>
      </c>
      <c r="Y13" t="s">
        <v>227</v>
      </c>
      <c r="Z13">
        <v>0.44827220000000001</v>
      </c>
    </row>
    <row r="14" spans="1:26" ht="13.5" x14ac:dyDescent="0.25">
      <c r="A14" s="27"/>
      <c r="K14" s="68">
        <v>41894</v>
      </c>
      <c r="X14" s="60">
        <v>41898</v>
      </c>
      <c r="Y14" t="s">
        <v>227</v>
      </c>
      <c r="Z14">
        <v>0.25748490000000002</v>
      </c>
    </row>
    <row r="15" spans="1:26" ht="13.5" x14ac:dyDescent="0.25">
      <c r="A15" s="27"/>
      <c r="K15" s="68">
        <v>41897</v>
      </c>
      <c r="X15" s="60">
        <v>41899</v>
      </c>
      <c r="Y15" t="s">
        <v>227</v>
      </c>
      <c r="Z15">
        <v>0.30899700000000002</v>
      </c>
    </row>
    <row r="16" spans="1:26" ht="13.5" x14ac:dyDescent="0.25">
      <c r="A16" s="27"/>
      <c r="K16" s="68">
        <v>41898</v>
      </c>
      <c r="X16" s="60">
        <v>41773</v>
      </c>
      <c r="Y16" t="s">
        <v>228</v>
      </c>
      <c r="Z16">
        <v>0.13744509999999999</v>
      </c>
    </row>
    <row r="17" spans="1:26" ht="13.5" x14ac:dyDescent="0.25">
      <c r="A17" s="27"/>
      <c r="K17" s="68">
        <v>41899</v>
      </c>
      <c r="X17" s="60">
        <v>41774</v>
      </c>
      <c r="Y17" t="s">
        <v>228</v>
      </c>
      <c r="Z17">
        <v>0.11170339999999999</v>
      </c>
    </row>
    <row r="18" spans="1:26" x14ac:dyDescent="0.2">
      <c r="H18" s="43"/>
      <c r="I18" s="43"/>
      <c r="J18" s="43"/>
      <c r="K18" t="s">
        <v>2</v>
      </c>
      <c r="X18" s="60">
        <v>41893</v>
      </c>
      <c r="Y18" t="s">
        <v>228</v>
      </c>
      <c r="Z18">
        <v>0.1016262</v>
      </c>
    </row>
    <row r="19" spans="1:26" x14ac:dyDescent="0.2">
      <c r="X19" s="60">
        <v>41894</v>
      </c>
      <c r="Y19" t="s">
        <v>228</v>
      </c>
      <c r="Z19">
        <v>8.9127999999999999E-2</v>
      </c>
    </row>
    <row r="20" spans="1:26" x14ac:dyDescent="0.2">
      <c r="X20" s="60">
        <v>41897</v>
      </c>
      <c r="Y20" t="s">
        <v>228</v>
      </c>
      <c r="Z20">
        <v>0.1007822</v>
      </c>
    </row>
    <row r="21" spans="1:26" ht="13.5" x14ac:dyDescent="0.25">
      <c r="B21" t="s">
        <v>196</v>
      </c>
      <c r="C21" t="s">
        <v>208</v>
      </c>
      <c r="D21" t="s">
        <v>209</v>
      </c>
      <c r="E21" t="s">
        <v>210</v>
      </c>
      <c r="F21" s="43" t="s">
        <v>214</v>
      </c>
      <c r="G21" s="66"/>
      <c r="J21" s="49" t="s">
        <v>191</v>
      </c>
      <c r="K21" s="43" t="s">
        <v>223</v>
      </c>
      <c r="L21" s="43" t="s">
        <v>215</v>
      </c>
      <c r="M21" s="43" t="s">
        <v>216</v>
      </c>
      <c r="N21" s="43" t="s">
        <v>217</v>
      </c>
      <c r="O21" s="43" t="s">
        <v>224</v>
      </c>
      <c r="P21" s="43" t="s">
        <v>218</v>
      </c>
      <c r="Q21" s="43" t="s">
        <v>219</v>
      </c>
      <c r="R21" s="43" t="s">
        <v>220</v>
      </c>
      <c r="S21" s="43" t="s">
        <v>221</v>
      </c>
      <c r="T21" s="43" t="s">
        <v>222</v>
      </c>
      <c r="U21" s="43" t="s">
        <v>225</v>
      </c>
      <c r="X21" s="60">
        <v>41898</v>
      </c>
      <c r="Y21" t="s">
        <v>228</v>
      </c>
      <c r="Z21">
        <v>0.1054985</v>
      </c>
    </row>
    <row r="22" spans="1:26" x14ac:dyDescent="0.2">
      <c r="A22" t="str">
        <f>B22&amp;C22</f>
        <v>41760DA 1-4 Hour</v>
      </c>
      <c r="B22" s="60">
        <v>41760</v>
      </c>
      <c r="C22" t="s">
        <v>227</v>
      </c>
      <c r="D22">
        <v>15</v>
      </c>
      <c r="E22">
        <v>18</v>
      </c>
      <c r="F22" t="str">
        <f t="shared" ref="F22:F66" si="0">IF(D22="","","Hours Ending "&amp;D22&amp;" to "&amp;E22)</f>
        <v>Hours Ending 15 to 18</v>
      </c>
      <c r="G22" s="30"/>
      <c r="I22">
        <v>1</v>
      </c>
      <c r="J22" s="50">
        <f>MAX(0,Table!I8-75)</f>
        <v>0</v>
      </c>
      <c r="K22" t="str">
        <f t="shared" ref="K22:K45" si="1">IF(AND(I22&gt;=VLOOKUP(date&amp;notice,$A$22:$D$66,4,FALSE),I22&lt;=VLOOKUP(date&amp;notice,$A$22:$E$66,5,FALSE)),1,"")</f>
        <v/>
      </c>
      <c r="L22" s="6" t="str">
        <f>IF($K22=1,Table!F8,"")</f>
        <v/>
      </c>
      <c r="M22" s="6" t="str">
        <f>IF($K22=1,Table!G8,"")</f>
        <v/>
      </c>
      <c r="N22" s="6" t="str">
        <f>IF($K22=1,Table!H8,"")</f>
        <v/>
      </c>
      <c r="O22" s="6" t="str">
        <f t="shared" ref="O22:O45" si="2">IF($K22=1,J22,"")</f>
        <v/>
      </c>
      <c r="P22" s="6" t="str">
        <f>IF($K22=1,Table!J8,"")</f>
        <v/>
      </c>
      <c r="Q22" s="6" t="str">
        <f>IF($K22=1,Table!K8,"")</f>
        <v/>
      </c>
      <c r="R22" s="6" t="str">
        <f>IF($K22=1,Table!L8,"")</f>
        <v/>
      </c>
      <c r="S22" s="6" t="str">
        <f>IF($K22=1,Table!M8,"")</f>
        <v/>
      </c>
      <c r="T22" s="6" t="str">
        <f>IF($K22=1,Table!N8,"")</f>
        <v/>
      </c>
      <c r="U22" s="41" t="str">
        <f>IF(K22=1,((Table!K8-Table!L8)/NORMSINV(0.3))^2,"")</f>
        <v/>
      </c>
      <c r="X22" s="60">
        <v>41899</v>
      </c>
      <c r="Y22" t="s">
        <v>228</v>
      </c>
      <c r="Z22">
        <v>0.10065109999999999</v>
      </c>
    </row>
    <row r="23" spans="1:26" ht="13.5" x14ac:dyDescent="0.25">
      <c r="A23" t="str">
        <f t="shared" ref="A23:A63" si="3">B23&amp;C23</f>
        <v>41773DA 1-4 Hour</v>
      </c>
      <c r="B23" s="60">
        <v>41773</v>
      </c>
      <c r="C23" t="s">
        <v>227</v>
      </c>
      <c r="D23">
        <v>16</v>
      </c>
      <c r="E23">
        <v>19</v>
      </c>
      <c r="F23" t="str">
        <f t="shared" si="0"/>
        <v>Hours Ending 16 to 19</v>
      </c>
      <c r="G23" s="27"/>
      <c r="I23">
        <f>I22+1</f>
        <v>2</v>
      </c>
      <c r="J23" s="50">
        <f>MAX(0,Table!I9-75)</f>
        <v>0</v>
      </c>
      <c r="K23" t="str">
        <f t="shared" si="1"/>
        <v/>
      </c>
      <c r="L23" s="6" t="str">
        <f>IF($K23=1,Table!F9,"")</f>
        <v/>
      </c>
      <c r="M23" s="6" t="str">
        <f>IF($K23=1,Table!G9,"")</f>
        <v/>
      </c>
      <c r="N23" s="6" t="str">
        <f>IF($K23=1,Table!H9,"")</f>
        <v/>
      </c>
      <c r="O23" s="6" t="str">
        <f t="shared" si="2"/>
        <v/>
      </c>
      <c r="P23" s="6" t="str">
        <f>IF($K23=1,Table!J9,"")</f>
        <v/>
      </c>
      <c r="Q23" s="6" t="str">
        <f>IF($K23=1,Table!K9,"")</f>
        <v/>
      </c>
      <c r="R23" s="6" t="str">
        <f>IF($K23=1,Table!L9,"")</f>
        <v/>
      </c>
      <c r="S23" s="6" t="str">
        <f>IF($K23=1,Table!M9,"")</f>
        <v/>
      </c>
      <c r="T23" s="6" t="str">
        <f>IF($K23=1,Table!N9,"")</f>
        <v/>
      </c>
      <c r="U23" s="41" t="str">
        <f>IF(K23=1,((Table!K9-Table!L9)/NORMSINV(0.3))^2,"")</f>
        <v/>
      </c>
      <c r="X23" s="60">
        <v>41773</v>
      </c>
      <c r="Y23" t="s">
        <v>229</v>
      </c>
      <c r="Z23">
        <v>0.25532359999999998</v>
      </c>
    </row>
    <row r="24" spans="1:26" x14ac:dyDescent="0.2">
      <c r="A24" t="str">
        <f t="shared" si="3"/>
        <v>41774DA 1-4 Hour</v>
      </c>
      <c r="B24" s="60">
        <v>41774</v>
      </c>
      <c r="C24" t="s">
        <v>227</v>
      </c>
      <c r="D24">
        <v>16</v>
      </c>
      <c r="E24">
        <v>19</v>
      </c>
      <c r="F24" t="str">
        <f t="shared" si="0"/>
        <v>Hours Ending 16 to 19</v>
      </c>
      <c r="G24" s="30"/>
      <c r="I24">
        <f t="shared" ref="I24:I45" si="4">I23+1</f>
        <v>3</v>
      </c>
      <c r="J24" s="50">
        <f>MAX(0,Table!I10-75)</f>
        <v>0</v>
      </c>
      <c r="K24" t="str">
        <f t="shared" si="1"/>
        <v/>
      </c>
      <c r="L24" s="6" t="str">
        <f>IF($K24=1,Table!F10,"")</f>
        <v/>
      </c>
      <c r="M24" s="6" t="str">
        <f>IF($K24=1,Table!G10,"")</f>
        <v/>
      </c>
      <c r="N24" s="6" t="str">
        <f>IF($K24=1,Table!H10,"")</f>
        <v/>
      </c>
      <c r="O24" s="6" t="str">
        <f t="shared" si="2"/>
        <v/>
      </c>
      <c r="P24" s="6" t="str">
        <f>IF($K24=1,Table!J10,"")</f>
        <v/>
      </c>
      <c r="Q24" s="6" t="str">
        <f>IF($K24=1,Table!K10,"")</f>
        <v/>
      </c>
      <c r="R24" s="6" t="str">
        <f>IF($K24=1,Table!L10,"")</f>
        <v/>
      </c>
      <c r="S24" s="6" t="str">
        <f>IF($K24=1,Table!M10,"")</f>
        <v/>
      </c>
      <c r="T24" s="6" t="str">
        <f>IF($K24=1,Table!N10,"")</f>
        <v/>
      </c>
      <c r="U24" s="41" t="str">
        <f>IF(K24=1,((Table!K10-Table!L10)/NORMSINV(0.3))^2,"")</f>
        <v/>
      </c>
      <c r="X24" s="60">
        <v>41774</v>
      </c>
      <c r="Y24" t="s">
        <v>229</v>
      </c>
      <c r="Z24">
        <v>6.5920599999999996E-2</v>
      </c>
    </row>
    <row r="25" spans="1:26" ht="13.5" x14ac:dyDescent="0.25">
      <c r="A25" t="str">
        <f t="shared" si="3"/>
        <v>41850DA 1-4 Hour</v>
      </c>
      <c r="B25" s="60">
        <v>41850</v>
      </c>
      <c r="C25" t="s">
        <v>227</v>
      </c>
      <c r="D25">
        <v>16</v>
      </c>
      <c r="E25">
        <v>19</v>
      </c>
      <c r="F25" t="str">
        <f t="shared" si="0"/>
        <v>Hours Ending 16 to 19</v>
      </c>
      <c r="G25" s="27"/>
      <c r="I25">
        <f t="shared" si="4"/>
        <v>4</v>
      </c>
      <c r="J25" s="50">
        <f>MAX(0,Table!I11-75)</f>
        <v>0</v>
      </c>
      <c r="K25" t="str">
        <f t="shared" si="1"/>
        <v/>
      </c>
      <c r="L25" s="6" t="str">
        <f>IF($K25=1,Table!F11,"")</f>
        <v/>
      </c>
      <c r="M25" s="6" t="str">
        <f>IF($K25=1,Table!G11,"")</f>
        <v/>
      </c>
      <c r="N25" s="6" t="str">
        <f>IF($K25=1,Table!H11,"")</f>
        <v/>
      </c>
      <c r="O25" s="6" t="str">
        <f t="shared" si="2"/>
        <v/>
      </c>
      <c r="P25" s="6" t="str">
        <f>IF($K25=1,Table!J11,"")</f>
        <v/>
      </c>
      <c r="Q25" s="6" t="str">
        <f>IF($K25=1,Table!K11,"")</f>
        <v/>
      </c>
      <c r="R25" s="6" t="str">
        <f>IF($K25=1,Table!L11,"")</f>
        <v/>
      </c>
      <c r="S25" s="6" t="str">
        <f>IF($K25=1,Table!M11,"")</f>
        <v/>
      </c>
      <c r="T25" s="6" t="str">
        <f>IF($K25=1,Table!N11,"")</f>
        <v/>
      </c>
      <c r="U25" s="41" t="str">
        <f>IF(K25=1,((Table!K11-Table!L11)/NORMSINV(0.3))^2,"")</f>
        <v/>
      </c>
      <c r="X25" s="60">
        <v>41893</v>
      </c>
      <c r="Y25" t="s">
        <v>229</v>
      </c>
      <c r="Z25">
        <v>4.0491699999999999E-2</v>
      </c>
    </row>
    <row r="26" spans="1:26" x14ac:dyDescent="0.2">
      <c r="A26" t="str">
        <f t="shared" si="3"/>
        <v>41851DA 1-4 Hour</v>
      </c>
      <c r="B26" s="60">
        <v>41851</v>
      </c>
      <c r="C26" t="s">
        <v>227</v>
      </c>
      <c r="D26">
        <v>15</v>
      </c>
      <c r="E26">
        <v>18</v>
      </c>
      <c r="F26" t="str">
        <f t="shared" si="0"/>
        <v>Hours Ending 15 to 18</v>
      </c>
      <c r="G26" s="30"/>
      <c r="I26">
        <f t="shared" si="4"/>
        <v>5</v>
      </c>
      <c r="J26" s="50">
        <f>MAX(0,Table!I12-75)</f>
        <v>0</v>
      </c>
      <c r="K26" t="str">
        <f t="shared" si="1"/>
        <v/>
      </c>
      <c r="L26" s="6" t="str">
        <f>IF($K26=1,Table!F12,"")</f>
        <v/>
      </c>
      <c r="M26" s="6" t="str">
        <f>IF($K26=1,Table!G12,"")</f>
        <v/>
      </c>
      <c r="N26" s="6" t="str">
        <f>IF($K26=1,Table!H12,"")</f>
        <v/>
      </c>
      <c r="O26" s="6" t="str">
        <f t="shared" si="2"/>
        <v/>
      </c>
      <c r="P26" s="6" t="str">
        <f>IF($K26=1,Table!J12,"")</f>
        <v/>
      </c>
      <c r="Q26" s="6" t="str">
        <f>IF($K26=1,Table!K12,"")</f>
        <v/>
      </c>
      <c r="R26" s="6" t="str">
        <f>IF($K26=1,Table!L12,"")</f>
        <v/>
      </c>
      <c r="S26" s="6" t="str">
        <f>IF($K26=1,Table!M12,"")</f>
        <v/>
      </c>
      <c r="T26" s="6" t="str">
        <f>IF($K26=1,Table!N12,"")</f>
        <v/>
      </c>
      <c r="U26" s="41" t="str">
        <f>IF(K26=1,((Table!K12-Table!L12)/NORMSINV(0.3))^2,"")</f>
        <v/>
      </c>
      <c r="X26" s="60">
        <v>41894</v>
      </c>
      <c r="Y26" t="s">
        <v>229</v>
      </c>
      <c r="Z26">
        <v>3.51075E-2</v>
      </c>
    </row>
    <row r="27" spans="1:26" ht="13.5" x14ac:dyDescent="0.25">
      <c r="A27" t="str">
        <f t="shared" si="3"/>
        <v>41852DA 1-4 Hour</v>
      </c>
      <c r="B27" s="60">
        <v>41852</v>
      </c>
      <c r="C27" t="s">
        <v>227</v>
      </c>
      <c r="D27">
        <v>15</v>
      </c>
      <c r="E27">
        <v>18</v>
      </c>
      <c r="F27" t="str">
        <f t="shared" si="0"/>
        <v>Hours Ending 15 to 18</v>
      </c>
      <c r="G27" s="27"/>
      <c r="I27">
        <f t="shared" si="4"/>
        <v>6</v>
      </c>
      <c r="J27" s="50">
        <f>MAX(0,Table!I13-75)</f>
        <v>0</v>
      </c>
      <c r="K27" t="str">
        <f t="shared" si="1"/>
        <v/>
      </c>
      <c r="L27" s="6" t="str">
        <f>IF($K27=1,Table!F13,"")</f>
        <v/>
      </c>
      <c r="M27" s="6" t="str">
        <f>IF($K27=1,Table!G13,"")</f>
        <v/>
      </c>
      <c r="N27" s="6" t="str">
        <f>IF($K27=1,Table!H13,"")</f>
        <v/>
      </c>
      <c r="O27" s="6" t="str">
        <f t="shared" si="2"/>
        <v/>
      </c>
      <c r="P27" s="6" t="str">
        <f>IF($K27=1,Table!J13,"")</f>
        <v/>
      </c>
      <c r="Q27" s="6" t="str">
        <f>IF($K27=1,Table!K13,"")</f>
        <v/>
      </c>
      <c r="R27" s="6" t="str">
        <f>IF($K27=1,Table!L13,"")</f>
        <v/>
      </c>
      <c r="S27" s="6" t="str">
        <f>IF($K27=1,Table!M13,"")</f>
        <v/>
      </c>
      <c r="T27" s="6" t="str">
        <f>IF($K27=1,Table!N13,"")</f>
        <v/>
      </c>
      <c r="U27" s="41" t="str">
        <f>IF(K27=1,((Table!K13-Table!L13)/NORMSINV(0.3))^2,"")</f>
        <v/>
      </c>
      <c r="X27" s="60">
        <v>41897</v>
      </c>
      <c r="Y27" t="s">
        <v>229</v>
      </c>
      <c r="Z27">
        <v>4.6270699999999998E-2</v>
      </c>
    </row>
    <row r="28" spans="1:26" x14ac:dyDescent="0.2">
      <c r="A28" t="str">
        <f t="shared" si="3"/>
        <v>41855DA 1-4 Hour</v>
      </c>
      <c r="B28" s="60">
        <v>41855</v>
      </c>
      <c r="C28" t="s">
        <v>227</v>
      </c>
      <c r="D28">
        <v>16</v>
      </c>
      <c r="E28">
        <v>19</v>
      </c>
      <c r="F28" t="str">
        <f t="shared" si="0"/>
        <v>Hours Ending 16 to 19</v>
      </c>
      <c r="G28" s="30"/>
      <c r="I28">
        <f t="shared" si="4"/>
        <v>7</v>
      </c>
      <c r="J28" s="50">
        <f>MAX(0,Table!I14-75)</f>
        <v>0</v>
      </c>
      <c r="K28" t="str">
        <f t="shared" si="1"/>
        <v/>
      </c>
      <c r="L28" s="6" t="str">
        <f>IF($K28=1,Table!F14,"")</f>
        <v/>
      </c>
      <c r="M28" s="6" t="str">
        <f>IF($K28=1,Table!G14,"")</f>
        <v/>
      </c>
      <c r="N28" s="6" t="str">
        <f>IF($K28=1,Table!H14,"")</f>
        <v/>
      </c>
      <c r="O28" s="6" t="str">
        <f t="shared" si="2"/>
        <v/>
      </c>
      <c r="P28" s="6" t="str">
        <f>IF($K28=1,Table!J14,"")</f>
        <v/>
      </c>
      <c r="Q28" s="6" t="str">
        <f>IF($K28=1,Table!K14,"")</f>
        <v/>
      </c>
      <c r="R28" s="6" t="str">
        <f>IF($K28=1,Table!L14,"")</f>
        <v/>
      </c>
      <c r="S28" s="6" t="str">
        <f>IF($K28=1,Table!M14,"")</f>
        <v/>
      </c>
      <c r="T28" s="6" t="str">
        <f>IF($K28=1,Table!N14,"")</f>
        <v/>
      </c>
      <c r="U28" s="41" t="str">
        <f>IF(K28=1,((Table!K14-Table!L14)/NORMSINV(0.3))^2,"")</f>
        <v/>
      </c>
      <c r="X28" s="60">
        <v>41898</v>
      </c>
      <c r="Y28" t="s">
        <v>229</v>
      </c>
      <c r="Z28">
        <v>7.2171600000000002E-2</v>
      </c>
    </row>
    <row r="29" spans="1:26" ht="13.5" x14ac:dyDescent="0.25">
      <c r="A29" t="str">
        <f t="shared" si="3"/>
        <v>41878DA 1-4 Hour</v>
      </c>
      <c r="B29" s="60">
        <v>41878</v>
      </c>
      <c r="C29" t="s">
        <v>227</v>
      </c>
      <c r="D29">
        <v>16</v>
      </c>
      <c r="E29">
        <v>19</v>
      </c>
      <c r="F29" t="str">
        <f t="shared" si="0"/>
        <v>Hours Ending 16 to 19</v>
      </c>
      <c r="G29" s="27"/>
      <c r="I29">
        <f t="shared" si="4"/>
        <v>8</v>
      </c>
      <c r="J29" s="50">
        <f>MAX(0,Table!I15-75)</f>
        <v>0.6389617919921875</v>
      </c>
      <c r="K29" t="str">
        <f t="shared" si="1"/>
        <v/>
      </c>
      <c r="L29" s="6" t="str">
        <f>IF($K29=1,Table!F15,"")</f>
        <v/>
      </c>
      <c r="M29" s="6" t="str">
        <f>IF($K29=1,Table!G15,"")</f>
        <v/>
      </c>
      <c r="N29" s="6" t="str">
        <f>IF($K29=1,Table!H15,"")</f>
        <v/>
      </c>
      <c r="O29" s="6" t="str">
        <f t="shared" si="2"/>
        <v/>
      </c>
      <c r="P29" s="6" t="str">
        <f>IF($K29=1,Table!J15,"")</f>
        <v/>
      </c>
      <c r="Q29" s="6" t="str">
        <f>IF($K29=1,Table!K15,"")</f>
        <v/>
      </c>
      <c r="R29" s="6" t="str">
        <f>IF($K29=1,Table!L15,"")</f>
        <v/>
      </c>
      <c r="S29" s="6" t="str">
        <f>IF($K29=1,Table!M15,"")</f>
        <v/>
      </c>
      <c r="T29" s="6" t="str">
        <f>IF($K29=1,Table!N15,"")</f>
        <v/>
      </c>
      <c r="U29" s="41" t="str">
        <f>IF(K29=1,((Table!K15-Table!L15)/NORMSINV(0.3))^2,"")</f>
        <v/>
      </c>
      <c r="X29" s="60">
        <v>41899</v>
      </c>
      <c r="Y29" t="s">
        <v>229</v>
      </c>
      <c r="Z29">
        <v>5.6462499999999999E-2</v>
      </c>
    </row>
    <row r="30" spans="1:26" x14ac:dyDescent="0.2">
      <c r="A30" t="str">
        <f t="shared" si="3"/>
        <v>41879DA 1-4 Hour</v>
      </c>
      <c r="B30" s="60">
        <v>41879</v>
      </c>
      <c r="C30" t="s">
        <v>227</v>
      </c>
      <c r="D30">
        <v>16</v>
      </c>
      <c r="E30">
        <v>19</v>
      </c>
      <c r="F30" t="str">
        <f t="shared" si="0"/>
        <v>Hours Ending 16 to 19</v>
      </c>
      <c r="G30" s="30"/>
      <c r="I30">
        <f t="shared" si="4"/>
        <v>9</v>
      </c>
      <c r="J30" s="50">
        <f>MAX(0,Table!I16-75)</f>
        <v>6.8005523681640625</v>
      </c>
      <c r="K30" t="str">
        <f t="shared" si="1"/>
        <v/>
      </c>
      <c r="L30" s="6" t="str">
        <f>IF($K30=1,Table!F16,"")</f>
        <v/>
      </c>
      <c r="M30" s="6" t="str">
        <f>IF($K30=1,Table!G16,"")</f>
        <v/>
      </c>
      <c r="N30" s="6" t="str">
        <f>IF($K30=1,Table!H16,"")</f>
        <v/>
      </c>
      <c r="O30" s="6" t="str">
        <f t="shared" si="2"/>
        <v/>
      </c>
      <c r="P30" s="6" t="str">
        <f>IF($K30=1,Table!J16,"")</f>
        <v/>
      </c>
      <c r="Q30" s="6" t="str">
        <f>IF($K30=1,Table!K16,"")</f>
        <v/>
      </c>
      <c r="R30" s="6" t="str">
        <f>IF($K30=1,Table!L16,"")</f>
        <v/>
      </c>
      <c r="S30" s="6" t="str">
        <f>IF($K30=1,Table!M16,"")</f>
        <v/>
      </c>
      <c r="T30" s="6" t="str">
        <f>IF($K30=1,Table!N16,"")</f>
        <v/>
      </c>
      <c r="U30" s="41" t="str">
        <f>IF(K30=1,((Table!K16-Table!L16)/NORMSINV(0.3))^2,"")</f>
        <v/>
      </c>
      <c r="X30" s="60">
        <v>41773</v>
      </c>
      <c r="Y30" t="s">
        <v>248</v>
      </c>
      <c r="Z30">
        <v>0.28996775032918742</v>
      </c>
    </row>
    <row r="31" spans="1:26" ht="13.5" x14ac:dyDescent="0.25">
      <c r="A31" t="str">
        <f t="shared" si="3"/>
        <v>41893DA 1-4 Hour</v>
      </c>
      <c r="B31" s="60">
        <v>41893</v>
      </c>
      <c r="C31" t="s">
        <v>227</v>
      </c>
      <c r="D31">
        <v>16</v>
      </c>
      <c r="E31">
        <v>19</v>
      </c>
      <c r="F31" t="str">
        <f t="shared" si="0"/>
        <v>Hours Ending 16 to 19</v>
      </c>
      <c r="G31" s="27"/>
      <c r="H31" s="30"/>
      <c r="I31">
        <f t="shared" si="4"/>
        <v>10</v>
      </c>
      <c r="J31" s="50">
        <f>MAX(0,Table!I17-75)</f>
        <v>10.955314636230469</v>
      </c>
      <c r="K31" t="str">
        <f t="shared" si="1"/>
        <v/>
      </c>
      <c r="L31" s="6" t="str">
        <f>IF($K31=1,Table!F17,"")</f>
        <v/>
      </c>
      <c r="M31" s="6" t="str">
        <f>IF($K31=1,Table!G17,"")</f>
        <v/>
      </c>
      <c r="N31" s="6" t="str">
        <f>IF($K31=1,Table!H17,"")</f>
        <v/>
      </c>
      <c r="O31" s="6" t="str">
        <f t="shared" si="2"/>
        <v/>
      </c>
      <c r="P31" s="6" t="str">
        <f>IF($K31=1,Table!J17,"")</f>
        <v/>
      </c>
      <c r="Q31" s="6" t="str">
        <f>IF($K31=1,Table!K17,"")</f>
        <v/>
      </c>
      <c r="R31" s="6" t="str">
        <f>IF($K31=1,Table!L17,"")</f>
        <v/>
      </c>
      <c r="S31" s="6" t="str">
        <f>IF($K31=1,Table!M17,"")</f>
        <v/>
      </c>
      <c r="T31" s="6" t="str">
        <f>IF($K31=1,Table!N17,"")</f>
        <v/>
      </c>
      <c r="U31" s="41" t="str">
        <f>IF(K31=1,((Table!K17-Table!L17)/NORMSINV(0.3))^2,"")</f>
        <v/>
      </c>
      <c r="X31" s="60">
        <v>41774</v>
      </c>
      <c r="Y31" t="s">
        <v>248</v>
      </c>
      <c r="Z31">
        <v>0.12970418295459865</v>
      </c>
    </row>
    <row r="32" spans="1:26" ht="13.5" x14ac:dyDescent="0.25">
      <c r="A32" t="str">
        <f t="shared" si="3"/>
        <v>41894DA 1-4 Hour</v>
      </c>
      <c r="B32" s="60">
        <v>41894</v>
      </c>
      <c r="C32" t="s">
        <v>227</v>
      </c>
      <c r="D32">
        <v>16</v>
      </c>
      <c r="E32">
        <v>19</v>
      </c>
      <c r="F32" t="str">
        <f t="shared" si="0"/>
        <v>Hours Ending 16 to 19</v>
      </c>
      <c r="G32" s="30"/>
      <c r="H32" s="27"/>
      <c r="I32">
        <f t="shared" si="4"/>
        <v>11</v>
      </c>
      <c r="J32" s="50">
        <f>MAX(0,Table!I18-75)</f>
        <v>13.248893737792969</v>
      </c>
      <c r="K32" t="str">
        <f t="shared" si="1"/>
        <v/>
      </c>
      <c r="L32" s="6" t="str">
        <f>IF($K32=1,Table!F18,"")</f>
        <v/>
      </c>
      <c r="M32" s="6" t="str">
        <f>IF($K32=1,Table!G18,"")</f>
        <v/>
      </c>
      <c r="N32" s="6" t="str">
        <f>IF($K32=1,Table!H18,"")</f>
        <v/>
      </c>
      <c r="O32" s="6" t="str">
        <f t="shared" si="2"/>
        <v/>
      </c>
      <c r="P32" s="6" t="str">
        <f>IF($K32=1,Table!J18,"")</f>
        <v/>
      </c>
      <c r="Q32" s="6" t="str">
        <f>IF($K32=1,Table!K18,"")</f>
        <v/>
      </c>
      <c r="R32" s="6" t="str">
        <f>IF($K32=1,Table!L18,"")</f>
        <v/>
      </c>
      <c r="S32" s="6" t="str">
        <f>IF($K32=1,Table!M18,"")</f>
        <v/>
      </c>
      <c r="T32" s="6" t="str">
        <f>IF($K32=1,Table!N18,"")</f>
        <v/>
      </c>
      <c r="U32" s="41" t="str">
        <f>IF(K32=1,((Table!K18-Table!L18)/NORMSINV(0.3))^2,"")</f>
        <v/>
      </c>
      <c r="X32" s="60">
        <v>41893</v>
      </c>
      <c r="Y32" t="s">
        <v>248</v>
      </c>
      <c r="Z32">
        <v>0.10939589706808021</v>
      </c>
    </row>
    <row r="33" spans="1:31" ht="13.5" x14ac:dyDescent="0.25">
      <c r="A33" t="str">
        <f t="shared" si="3"/>
        <v>41897DA 1-4 Hour</v>
      </c>
      <c r="B33" s="60">
        <v>41897</v>
      </c>
      <c r="C33" t="s">
        <v>227</v>
      </c>
      <c r="D33">
        <v>16</v>
      </c>
      <c r="E33">
        <v>19</v>
      </c>
      <c r="F33" t="str">
        <f t="shared" si="0"/>
        <v>Hours Ending 16 to 19</v>
      </c>
      <c r="G33" s="27"/>
      <c r="H33" s="30"/>
      <c r="I33">
        <f t="shared" si="4"/>
        <v>12</v>
      </c>
      <c r="J33" s="50">
        <f>MAX(0,Table!I19-75)</f>
        <v>14.359970092773438</v>
      </c>
      <c r="K33" t="str">
        <f t="shared" si="1"/>
        <v/>
      </c>
      <c r="L33" s="6" t="str">
        <f>IF($K33=1,Table!F19,"")</f>
        <v/>
      </c>
      <c r="M33" s="6" t="str">
        <f>IF($K33=1,Table!G19,"")</f>
        <v/>
      </c>
      <c r="N33" s="6" t="str">
        <f>IF($K33=1,Table!H19,"")</f>
        <v/>
      </c>
      <c r="O33" s="6" t="str">
        <f t="shared" si="2"/>
        <v/>
      </c>
      <c r="P33" s="6" t="str">
        <f>IF($K33=1,Table!J19,"")</f>
        <v/>
      </c>
      <c r="Q33" s="6" t="str">
        <f>IF($K33=1,Table!K19,"")</f>
        <v/>
      </c>
      <c r="R33" s="6" t="str">
        <f>IF($K33=1,Table!L19,"")</f>
        <v/>
      </c>
      <c r="S33" s="6" t="str">
        <f>IF($K33=1,Table!M19,"")</f>
        <v/>
      </c>
      <c r="T33" s="6" t="str">
        <f>IF($K33=1,Table!N19,"")</f>
        <v/>
      </c>
      <c r="U33" s="41" t="str">
        <f>IF(K33=1,((Table!K19-Table!L19)/NORMSINV(0.3))^2,"")</f>
        <v/>
      </c>
      <c r="X33" s="60">
        <v>41894</v>
      </c>
      <c r="Y33" t="s">
        <v>248</v>
      </c>
      <c r="Z33">
        <v>9.579319882042775E-2</v>
      </c>
    </row>
    <row r="34" spans="1:31" x14ac:dyDescent="0.2">
      <c r="A34" t="str">
        <f t="shared" si="3"/>
        <v>41898DA 1-4 Hour</v>
      </c>
      <c r="B34" s="60">
        <v>41898</v>
      </c>
      <c r="C34" t="s">
        <v>227</v>
      </c>
      <c r="D34">
        <v>15</v>
      </c>
      <c r="E34">
        <v>18</v>
      </c>
      <c r="F34" t="str">
        <f t="shared" si="0"/>
        <v>Hours Ending 15 to 18</v>
      </c>
      <c r="G34" s="30"/>
      <c r="H34" s="6"/>
      <c r="I34">
        <f t="shared" si="4"/>
        <v>13</v>
      </c>
      <c r="J34" s="50">
        <f>MAX(0,Table!I20-75)</f>
        <v>14.138832092285156</v>
      </c>
      <c r="K34" t="str">
        <f t="shared" si="1"/>
        <v/>
      </c>
      <c r="L34" s="6" t="str">
        <f>IF($K34=1,Table!F20,"")</f>
        <v/>
      </c>
      <c r="M34" s="6" t="str">
        <f>IF($K34=1,Table!G20,"")</f>
        <v/>
      </c>
      <c r="N34" s="6" t="str">
        <f>IF($K34=1,Table!H20,"")</f>
        <v/>
      </c>
      <c r="O34" s="6" t="str">
        <f t="shared" si="2"/>
        <v/>
      </c>
      <c r="P34" s="6" t="str">
        <f>IF($K34=1,Table!J20,"")</f>
        <v/>
      </c>
      <c r="Q34" s="6" t="str">
        <f>IF($K34=1,Table!K20,"")</f>
        <v/>
      </c>
      <c r="R34" s="6" t="str">
        <f>IF($K34=1,Table!L20,"")</f>
        <v/>
      </c>
      <c r="S34" s="6" t="str">
        <f>IF($K34=1,Table!M20,"")</f>
        <v/>
      </c>
      <c r="T34" s="6" t="str">
        <f>IF($K34=1,Table!N20,"")</f>
        <v/>
      </c>
      <c r="U34" s="41" t="str">
        <f>IF(K34=1,((Table!K20-Table!L20)/NORMSINV(0.3))^2,"")</f>
        <v/>
      </c>
      <c r="X34" s="60">
        <v>41897</v>
      </c>
      <c r="Y34" t="s">
        <v>248</v>
      </c>
      <c r="Z34">
        <v>0.11089648107730921</v>
      </c>
    </row>
    <row r="35" spans="1:31" ht="13.5" x14ac:dyDescent="0.25">
      <c r="A35" t="str">
        <f t="shared" si="3"/>
        <v>41899DA 1-4 Hour</v>
      </c>
      <c r="B35" s="60">
        <v>41899</v>
      </c>
      <c r="C35" t="s">
        <v>227</v>
      </c>
      <c r="D35">
        <v>15</v>
      </c>
      <c r="E35">
        <v>18</v>
      </c>
      <c r="F35" t="str">
        <f t="shared" si="0"/>
        <v>Hours Ending 15 to 18</v>
      </c>
      <c r="G35" s="27"/>
      <c r="H35" s="6"/>
      <c r="I35">
        <f t="shared" si="4"/>
        <v>14</v>
      </c>
      <c r="J35" s="50">
        <f>MAX(0,Table!I21-75)</f>
        <v>14.214088439941406</v>
      </c>
      <c r="K35" t="str">
        <f t="shared" si="1"/>
        <v/>
      </c>
      <c r="L35" s="6" t="str">
        <f>IF($K35=1,Table!F21,"")</f>
        <v/>
      </c>
      <c r="M35" s="6" t="str">
        <f>IF($K35=1,Table!G21,"")</f>
        <v/>
      </c>
      <c r="N35" s="6" t="str">
        <f>IF($K35=1,Table!H21,"")</f>
        <v/>
      </c>
      <c r="O35" s="6" t="str">
        <f t="shared" si="2"/>
        <v/>
      </c>
      <c r="P35" s="6" t="str">
        <f>IF($K35=1,Table!J21,"")</f>
        <v/>
      </c>
      <c r="Q35" s="6" t="str">
        <f>IF($K35=1,Table!K21,"")</f>
        <v/>
      </c>
      <c r="R35" s="6" t="str">
        <f>IF($K35=1,Table!L21,"")</f>
        <v/>
      </c>
      <c r="S35" s="6" t="str">
        <f>IF($K35=1,Table!M21,"")</f>
        <v/>
      </c>
      <c r="T35" s="6" t="str">
        <f>IF($K35=1,Table!N21,"")</f>
        <v/>
      </c>
      <c r="U35" s="41" t="str">
        <f>IF(K35=1,((Table!K21-Table!L21)/NORMSINV(0.3))^2,"")</f>
        <v/>
      </c>
      <c r="X35" s="60">
        <v>41898</v>
      </c>
      <c r="Y35" t="s">
        <v>248</v>
      </c>
      <c r="Z35">
        <v>0.12782282014104523</v>
      </c>
    </row>
    <row r="36" spans="1:31" x14ac:dyDescent="0.2">
      <c r="A36" t="str">
        <f t="shared" si="3"/>
        <v>41760DO 1-4 Hour</v>
      </c>
      <c r="B36" s="60">
        <v>41760</v>
      </c>
      <c r="C36" t="s">
        <v>228</v>
      </c>
      <c r="F36" t="str">
        <f t="shared" si="0"/>
        <v/>
      </c>
      <c r="G36" s="30"/>
      <c r="H36" s="6"/>
      <c r="I36">
        <f t="shared" si="4"/>
        <v>15</v>
      </c>
      <c r="J36" s="50">
        <f>MAX(0,Table!I22-75)</f>
        <v>14.733871459960937</v>
      </c>
      <c r="K36" t="str">
        <f t="shared" si="1"/>
        <v/>
      </c>
      <c r="L36" s="6" t="str">
        <f>IF($K36=1,Table!F22,"")</f>
        <v/>
      </c>
      <c r="M36" s="6" t="str">
        <f>IF($K36=1,Table!G22,"")</f>
        <v/>
      </c>
      <c r="N36" s="6" t="str">
        <f>IF($K36=1,Table!H22,"")</f>
        <v/>
      </c>
      <c r="O36" s="6" t="str">
        <f t="shared" si="2"/>
        <v/>
      </c>
      <c r="P36" s="6" t="str">
        <f>IF($K36=1,Table!J22,"")</f>
        <v/>
      </c>
      <c r="Q36" s="6" t="str">
        <f>IF($K36=1,Table!K22,"")</f>
        <v/>
      </c>
      <c r="R36" s="6" t="str">
        <f>IF($K36=1,Table!L22,"")</f>
        <v/>
      </c>
      <c r="S36" s="6" t="str">
        <f>IF($K36=1,Table!M22,"")</f>
        <v/>
      </c>
      <c r="T36" s="6" t="str">
        <f>IF($K36=1,Table!N22,"")</f>
        <v/>
      </c>
      <c r="U36" s="41" t="str">
        <f>IF(K36=1,((Table!K22-Table!L22)/NORMSINV(0.3))^2,"")</f>
        <v/>
      </c>
      <c r="X36" s="60">
        <v>41899</v>
      </c>
      <c r="Y36" t="s">
        <v>248</v>
      </c>
      <c r="Z36">
        <v>0.11540648958121895</v>
      </c>
    </row>
    <row r="37" spans="1:31" x14ac:dyDescent="0.2">
      <c r="A37" t="str">
        <f t="shared" si="3"/>
        <v>41773DO 1-4 Hour</v>
      </c>
      <c r="B37" s="60">
        <v>41773</v>
      </c>
      <c r="C37" t="s">
        <v>228</v>
      </c>
      <c r="D37">
        <v>16</v>
      </c>
      <c r="E37">
        <v>19</v>
      </c>
      <c r="F37" t="str">
        <f t="shared" si="0"/>
        <v>Hours Ending 16 to 19</v>
      </c>
      <c r="G37" s="6"/>
      <c r="H37" s="6"/>
      <c r="I37">
        <f t="shared" si="4"/>
        <v>16</v>
      </c>
      <c r="J37" s="50">
        <f>MAX(0,Table!I23-75)</f>
        <v>14.578819274902344</v>
      </c>
      <c r="K37">
        <f t="shared" si="1"/>
        <v>1</v>
      </c>
      <c r="L37" s="6">
        <f>IF($K37=1,Table!F23,"")</f>
        <v>44.838123321533203</v>
      </c>
      <c r="M37" s="6">
        <f>IF($K37=1,Table!G23,"")</f>
        <v>33.825761795043945</v>
      </c>
      <c r="N37" s="6">
        <f>IF($K37=1,Table!H23,"")</f>
        <v>11.012361526489258</v>
      </c>
      <c r="O37" s="6">
        <f t="shared" si="2"/>
        <v>14.578819274902344</v>
      </c>
      <c r="P37" s="6">
        <f>IF($K37=1,Table!J23,"")</f>
        <v>9.4402894973754883</v>
      </c>
      <c r="Q37" s="6">
        <f>IF($K37=1,Table!K23,"")</f>
        <v>10.369082450866699</v>
      </c>
      <c r="R37" s="6">
        <f>IF($K37=1,Table!L23,"")</f>
        <v>11.012361526489258</v>
      </c>
      <c r="S37" s="6">
        <f>IF($K37=1,Table!M23,"")</f>
        <v>11.655640602111816</v>
      </c>
      <c r="T37" s="6">
        <f>IF($K37=1,Table!N23,"")</f>
        <v>12.584433555603027</v>
      </c>
      <c r="U37" s="41">
        <f>IF(K37=1,((Table!K23-Table!L23)/NORMSINV(0.3))^2,"")</f>
        <v>1.5047786987078144</v>
      </c>
      <c r="X37" s="43" t="s">
        <v>2</v>
      </c>
      <c r="Y37" t="s">
        <v>227</v>
      </c>
      <c r="Z37">
        <v>0.3093881</v>
      </c>
    </row>
    <row r="38" spans="1:31" x14ac:dyDescent="0.2">
      <c r="A38" t="str">
        <f t="shared" si="3"/>
        <v>41774DO 1-4 Hour</v>
      </c>
      <c r="B38" s="60">
        <v>41774</v>
      </c>
      <c r="C38" t="s">
        <v>228</v>
      </c>
      <c r="D38">
        <v>16</v>
      </c>
      <c r="E38">
        <v>19</v>
      </c>
      <c r="F38" t="str">
        <f t="shared" si="0"/>
        <v>Hours Ending 16 to 19</v>
      </c>
      <c r="G38" s="6"/>
      <c r="H38" s="6"/>
      <c r="I38">
        <f t="shared" si="4"/>
        <v>17</v>
      </c>
      <c r="J38" s="50">
        <f>MAX(0,Table!I24-75)</f>
        <v>13.015426635742188</v>
      </c>
      <c r="K38">
        <f t="shared" si="1"/>
        <v>1</v>
      </c>
      <c r="L38" s="6">
        <f>IF($K38=1,Table!F24,"")</f>
        <v>43.0684814453125</v>
      </c>
      <c r="M38" s="6">
        <f>IF($K38=1,Table!G24,"")</f>
        <v>32.205408096313477</v>
      </c>
      <c r="N38" s="6">
        <f>IF($K38=1,Table!H24,"")</f>
        <v>10.863073348999023</v>
      </c>
      <c r="O38" s="6">
        <f t="shared" si="2"/>
        <v>13.015426635742188</v>
      </c>
      <c r="P38" s="6">
        <f>IF($K38=1,Table!J24,"")</f>
        <v>9.3523674011230469</v>
      </c>
      <c r="Q38" s="6">
        <f>IF($K38=1,Table!K24,"")</f>
        <v>10.244904518127441</v>
      </c>
      <c r="R38" s="6">
        <f>IF($K38=1,Table!L24,"")</f>
        <v>10.863073348999023</v>
      </c>
      <c r="S38" s="6">
        <f>IF($K38=1,Table!M24,"")</f>
        <v>11.481242179870605</v>
      </c>
      <c r="T38" s="6">
        <f>IF($K38=1,Table!N24,"")</f>
        <v>12.373779296875</v>
      </c>
      <c r="U38" s="41">
        <f>IF(K38=1,((Table!K24-Table!L24)/NORMSINV(0.3))^2,"")</f>
        <v>1.3895941961958806</v>
      </c>
      <c r="X38" s="43" t="s">
        <v>2</v>
      </c>
      <c r="Y38" t="s">
        <v>228</v>
      </c>
      <c r="Z38">
        <v>0.1227728</v>
      </c>
    </row>
    <row r="39" spans="1:31" x14ac:dyDescent="0.2">
      <c r="A39" t="str">
        <f t="shared" si="3"/>
        <v>41850DO 1-4 Hour</v>
      </c>
      <c r="B39" s="60">
        <v>41850</v>
      </c>
      <c r="C39" t="s">
        <v>228</v>
      </c>
      <c r="F39" t="str">
        <f t="shared" si="0"/>
        <v/>
      </c>
      <c r="G39" s="6"/>
      <c r="I39">
        <f t="shared" si="4"/>
        <v>18</v>
      </c>
      <c r="J39" s="50">
        <f>MAX(0,Table!I25-75)</f>
        <v>10.498054504394531</v>
      </c>
      <c r="K39">
        <f t="shared" si="1"/>
        <v>1</v>
      </c>
      <c r="L39" s="6">
        <f>IF($K39=1,Table!F25,"")</f>
        <v>40.490001678466797</v>
      </c>
      <c r="M39" s="6">
        <f>IF($K39=1,Table!G25,"")</f>
        <v>30.326237678527832</v>
      </c>
      <c r="N39" s="6">
        <f>IF($K39=1,Table!H25,"")</f>
        <v>10.163763999938965</v>
      </c>
      <c r="O39" s="6">
        <f t="shared" si="2"/>
        <v>10.498054504394531</v>
      </c>
      <c r="P39" s="6">
        <f>IF($K39=1,Table!J25,"")</f>
        <v>8.6661262512207031</v>
      </c>
      <c r="Q39" s="6">
        <f>IF($K39=1,Table!K25,"")</f>
        <v>9.5509424209594727</v>
      </c>
      <c r="R39" s="6">
        <f>IF($K39=1,Table!L25,"")</f>
        <v>10.163763999938965</v>
      </c>
      <c r="S39" s="6">
        <f>IF($K39=1,Table!M25,"")</f>
        <v>10.776585578918457</v>
      </c>
      <c r="T39" s="6">
        <f>IF($K39=1,Table!N25,"")</f>
        <v>11.661401748657227</v>
      </c>
      <c r="U39" s="41">
        <f>IF(K39=1,((Table!K25-Table!L25)/NORMSINV(0.3))^2,"")</f>
        <v>1.3656577816799069</v>
      </c>
      <c r="X39" s="43" t="s">
        <v>2</v>
      </c>
      <c r="Y39" t="s">
        <v>229</v>
      </c>
      <c r="Z39">
        <v>6.8195400000000003E-2</v>
      </c>
    </row>
    <row r="40" spans="1:31" x14ac:dyDescent="0.2">
      <c r="A40" t="str">
        <f t="shared" si="3"/>
        <v>41851DO 1-4 Hour</v>
      </c>
      <c r="B40" s="60">
        <v>41851</v>
      </c>
      <c r="C40" t="s">
        <v>228</v>
      </c>
      <c r="F40" t="str">
        <f t="shared" si="0"/>
        <v/>
      </c>
      <c r="G40" s="6"/>
      <c r="I40">
        <f t="shared" si="4"/>
        <v>19</v>
      </c>
      <c r="J40" s="50">
        <f>MAX(0,Table!I26-75)</f>
        <v>7.77532958984375</v>
      </c>
      <c r="K40">
        <f t="shared" si="1"/>
        <v>1</v>
      </c>
      <c r="L40" s="6">
        <f>IF($K40=1,Table!F26,"")</f>
        <v>33.025859832763672</v>
      </c>
      <c r="M40" s="6">
        <f>IF($K40=1,Table!G26,"")</f>
        <v>25.48640775680542</v>
      </c>
      <c r="N40" s="6">
        <f>IF($K40=1,Table!H26,"")</f>
        <v>7.539452075958252</v>
      </c>
      <c r="O40" s="6">
        <f t="shared" si="2"/>
        <v>7.77532958984375</v>
      </c>
      <c r="P40" s="6">
        <f>IF($K40=1,Table!J26,"")</f>
        <v>6.0429840087890625</v>
      </c>
      <c r="Q40" s="6">
        <f>IF($K40=1,Table!K26,"")</f>
        <v>6.9271097183227539</v>
      </c>
      <c r="R40" s="6">
        <f>IF($K40=1,Table!L26,"")</f>
        <v>7.539452075958252</v>
      </c>
      <c r="S40" s="6">
        <f>IF($K40=1,Table!M26,"")</f>
        <v>8.15179443359375</v>
      </c>
      <c r="T40" s="6">
        <f>IF($K40=1,Table!N26,"")</f>
        <v>9.0359201431274414</v>
      </c>
      <c r="U40" s="41">
        <f>IF(K40=1,((Table!K26-Table!L26)/NORMSINV(0.3))^2,"")</f>
        <v>1.3635227508915655</v>
      </c>
      <c r="X40" s="43" t="s">
        <v>2</v>
      </c>
      <c r="Y40" s="43" t="s">
        <v>248</v>
      </c>
      <c r="Z40">
        <v>0.1404413507518352</v>
      </c>
    </row>
    <row r="41" spans="1:31" x14ac:dyDescent="0.2">
      <c r="A41" t="str">
        <f t="shared" si="3"/>
        <v>41852DO 1-4 Hour</v>
      </c>
      <c r="B41" s="60">
        <v>41852</v>
      </c>
      <c r="C41" t="s">
        <v>228</v>
      </c>
      <c r="F41" t="str">
        <f t="shared" si="0"/>
        <v/>
      </c>
      <c r="G41" s="6"/>
      <c r="I41">
        <f t="shared" si="4"/>
        <v>20</v>
      </c>
      <c r="J41" s="50">
        <f>MAX(0,Table!I27-75)</f>
        <v>4.7897720336914062</v>
      </c>
      <c r="K41" t="str">
        <f t="shared" si="1"/>
        <v/>
      </c>
      <c r="L41" s="6" t="str">
        <f>IF($K41=1,Table!F27,"")</f>
        <v/>
      </c>
      <c r="M41" s="6" t="str">
        <f>IF($K41=1,Table!G27,"")</f>
        <v/>
      </c>
      <c r="N41" s="6" t="str">
        <f>IF($K41=1,Table!H27,"")</f>
        <v/>
      </c>
      <c r="O41" s="6" t="str">
        <f t="shared" si="2"/>
        <v/>
      </c>
      <c r="P41" s="6" t="str">
        <f>IF($K41=1,Table!J27,"")</f>
        <v/>
      </c>
      <c r="Q41" s="6" t="str">
        <f>IF($K41=1,Table!K27,"")</f>
        <v/>
      </c>
      <c r="R41" s="6" t="str">
        <f>IF($K41=1,Table!L27,"")</f>
        <v/>
      </c>
      <c r="S41" s="6" t="str">
        <f>IF($K41=1,Table!M27,"")</f>
        <v/>
      </c>
      <c r="T41" s="6" t="str">
        <f>IF($K41=1,Table!N27,"")</f>
        <v/>
      </c>
      <c r="U41" s="41" t="str">
        <f>IF(K41=1,((Table!K27-Table!L27)/NORMSINV(0.3))^2,"")</f>
        <v/>
      </c>
      <c r="AC41" s="43" t="s">
        <v>196</v>
      </c>
      <c r="AD41" s="43" t="s">
        <v>195</v>
      </c>
    </row>
    <row r="42" spans="1:31" x14ac:dyDescent="0.2">
      <c r="A42" t="str">
        <f t="shared" si="3"/>
        <v>41855DO 1-4 Hour</v>
      </c>
      <c r="B42" s="60">
        <v>41855</v>
      </c>
      <c r="C42" t="s">
        <v>228</v>
      </c>
      <c r="F42" t="str">
        <f t="shared" si="0"/>
        <v/>
      </c>
      <c r="I42">
        <f t="shared" si="4"/>
        <v>21</v>
      </c>
      <c r="J42" s="50">
        <f>MAX(0,Table!I28-75)</f>
        <v>2.7300796508789062</v>
      </c>
      <c r="K42" t="str">
        <f t="shared" si="1"/>
        <v/>
      </c>
      <c r="L42" s="6" t="str">
        <f>IF($K42=1,Table!F28,"")</f>
        <v/>
      </c>
      <c r="M42" s="6" t="str">
        <f>IF($K42=1,Table!G28,"")</f>
        <v/>
      </c>
      <c r="N42" s="6" t="str">
        <f>IF($K42=1,Table!H28,"")</f>
        <v/>
      </c>
      <c r="O42" s="6" t="str">
        <f t="shared" si="2"/>
        <v/>
      </c>
      <c r="P42" s="6" t="str">
        <f>IF($K42=1,Table!J28,"")</f>
        <v/>
      </c>
      <c r="Q42" s="6" t="str">
        <f>IF($K42=1,Table!K28,"")</f>
        <v/>
      </c>
      <c r="R42" s="6" t="str">
        <f>IF($K42=1,Table!L28,"")</f>
        <v/>
      </c>
      <c r="S42" s="6" t="str">
        <f>IF($K42=1,Table!M28,"")</f>
        <v/>
      </c>
      <c r="T42" s="6" t="str">
        <f>IF($K42=1,Table!N28,"")</f>
        <v/>
      </c>
      <c r="U42" s="41" t="str">
        <f>IF(K42=1,((Table!K28-Table!L28)/NORMSINV(0.3))^2,"")</f>
        <v/>
      </c>
      <c r="Y42" s="43" t="s">
        <v>249</v>
      </c>
      <c r="Z42">
        <f>DGET(X1:Z40,"_se_evt",AC41:AD42)/IF(Result_type="Aggregate Impact",1,Called/1000)</f>
        <v>0.3093881</v>
      </c>
      <c r="AC42" t="str">
        <f>date</f>
        <v>Typical Event Day</v>
      </c>
      <c r="AD42" t="str">
        <f>notice</f>
        <v>DA 1-4 Hour</v>
      </c>
    </row>
    <row r="43" spans="1:31" x14ac:dyDescent="0.2">
      <c r="A43" t="str">
        <f t="shared" si="3"/>
        <v>41878DO 1-4 Hour</v>
      </c>
      <c r="B43" s="60">
        <v>41878</v>
      </c>
      <c r="C43" t="s">
        <v>228</v>
      </c>
      <c r="F43" t="str">
        <f t="shared" si="0"/>
        <v/>
      </c>
      <c r="I43">
        <f t="shared" si="4"/>
        <v>22</v>
      </c>
      <c r="J43" s="50">
        <f>MAX(0,Table!I29-75)</f>
        <v>1.0544204711914063</v>
      </c>
      <c r="K43" t="str">
        <f t="shared" si="1"/>
        <v/>
      </c>
      <c r="L43" s="6" t="str">
        <f>IF($K43=1,Table!F29,"")</f>
        <v/>
      </c>
      <c r="M43" s="6" t="str">
        <f>IF($K43=1,Table!G29,"")</f>
        <v/>
      </c>
      <c r="N43" s="6" t="str">
        <f>IF($K43=1,Table!H29,"")</f>
        <v/>
      </c>
      <c r="O43" s="6" t="str">
        <f t="shared" si="2"/>
        <v/>
      </c>
      <c r="P43" s="6" t="str">
        <f>IF($K43=1,Table!J29,"")</f>
        <v/>
      </c>
      <c r="Q43" s="6" t="str">
        <f>IF($K43=1,Table!K29,"")</f>
        <v/>
      </c>
      <c r="R43" s="6" t="str">
        <f>IF($K43=1,Table!L29,"")</f>
        <v/>
      </c>
      <c r="S43" s="6" t="str">
        <f>IF($K43=1,Table!M29,"")</f>
        <v/>
      </c>
      <c r="T43" s="6" t="str">
        <f>IF($K43=1,Table!N29,"")</f>
        <v/>
      </c>
      <c r="U43" s="41" t="str">
        <f>IF(K43=1,((Table!K29-Table!L29)/NORMSINV(0.3))^2,"")</f>
        <v/>
      </c>
      <c r="Y43" s="43" t="s">
        <v>250</v>
      </c>
      <c r="Z43">
        <f>IF(AND(lca="All"),1,0)</f>
        <v>1</v>
      </c>
    </row>
    <row r="44" spans="1:31" x14ac:dyDescent="0.2">
      <c r="A44" t="str">
        <f t="shared" si="3"/>
        <v>41879DO 1-4 Hour</v>
      </c>
      <c r="B44" s="60">
        <v>41879</v>
      </c>
      <c r="C44" t="s">
        <v>228</v>
      </c>
      <c r="F44" t="str">
        <f t="shared" si="0"/>
        <v/>
      </c>
      <c r="I44">
        <f t="shared" si="4"/>
        <v>23</v>
      </c>
      <c r="J44" s="50">
        <f>MAX(0,Table!I30-75)</f>
        <v>0</v>
      </c>
      <c r="K44" t="str">
        <f t="shared" si="1"/>
        <v/>
      </c>
      <c r="L44" s="6" t="str">
        <f>IF($K44=1,Table!F30,"")</f>
        <v/>
      </c>
      <c r="M44" s="6" t="str">
        <f>IF($K44=1,Table!G30,"")</f>
        <v/>
      </c>
      <c r="N44" s="6" t="str">
        <f>IF($K44=1,Table!H30,"")</f>
        <v/>
      </c>
      <c r="O44" s="6" t="str">
        <f t="shared" si="2"/>
        <v/>
      </c>
      <c r="P44" s="6" t="str">
        <f>IF($K44=1,Table!J30,"")</f>
        <v/>
      </c>
      <c r="Q44" s="6" t="str">
        <f>IF($K44=1,Table!K30,"")</f>
        <v/>
      </c>
      <c r="R44" s="6" t="str">
        <f>IF($K44=1,Table!L30,"")</f>
        <v/>
      </c>
      <c r="S44" s="6" t="str">
        <f>IF($K44=1,Table!M30,"")</f>
        <v/>
      </c>
      <c r="T44" s="6" t="str">
        <f>IF($K44=1,Table!N30,"")</f>
        <v/>
      </c>
      <c r="U44" s="41" t="str">
        <f>IF(K44=1,((Table!K30-Table!L30)/NORMSINV(0.3))^2,"")</f>
        <v/>
      </c>
    </row>
    <row r="45" spans="1:31" x14ac:dyDescent="0.2">
      <c r="A45" t="str">
        <f t="shared" si="3"/>
        <v>41893DO 1-4 Hour</v>
      </c>
      <c r="B45" s="60">
        <v>41893</v>
      </c>
      <c r="C45" t="s">
        <v>228</v>
      </c>
      <c r="D45">
        <v>16</v>
      </c>
      <c r="E45">
        <v>19</v>
      </c>
      <c r="F45" t="str">
        <f t="shared" si="0"/>
        <v>Hours Ending 16 to 19</v>
      </c>
      <c r="I45">
        <f t="shared" si="4"/>
        <v>24</v>
      </c>
      <c r="J45" s="50">
        <f>MAX(0,Table!I31-75)</f>
        <v>0</v>
      </c>
      <c r="K45" t="str">
        <f t="shared" si="1"/>
        <v/>
      </c>
      <c r="L45" s="6" t="str">
        <f>IF($K45=1,Table!F31,"")</f>
        <v/>
      </c>
      <c r="M45" s="6" t="str">
        <f>IF($K45=1,Table!G31,"")</f>
        <v/>
      </c>
      <c r="N45" s="6" t="str">
        <f>IF($K45=1,Table!H31,"")</f>
        <v/>
      </c>
      <c r="O45" s="6" t="str">
        <f t="shared" si="2"/>
        <v/>
      </c>
      <c r="P45" s="6" t="str">
        <f>IF($K45=1,Table!J31,"")</f>
        <v/>
      </c>
      <c r="Q45" s="6" t="str">
        <f>IF($K45=1,Table!K31,"")</f>
        <v/>
      </c>
      <c r="R45" s="6" t="str">
        <f>IF($K45=1,Table!L31,"")</f>
        <v/>
      </c>
      <c r="S45" s="6" t="str">
        <f>IF($K45=1,Table!M31,"")</f>
        <v/>
      </c>
      <c r="T45" s="6" t="str">
        <f>IF($K45=1,Table!N31,"")</f>
        <v/>
      </c>
      <c r="U45" s="41" t="str">
        <f>IF(K45=1,((Table!K31-Table!L31)/NORMSINV(0.3))^2,"")</f>
        <v/>
      </c>
      <c r="AA45">
        <v>0.1</v>
      </c>
      <c r="AB45">
        <v>0.3</v>
      </c>
      <c r="AC45">
        <v>0.5</v>
      </c>
      <c r="AD45">
        <v>0.7</v>
      </c>
      <c r="AE45">
        <v>0.9</v>
      </c>
    </row>
    <row r="46" spans="1:31" x14ac:dyDescent="0.2">
      <c r="A46" t="str">
        <f t="shared" si="3"/>
        <v>41894DO 1-4 Hour</v>
      </c>
      <c r="B46" s="60">
        <v>41894</v>
      </c>
      <c r="C46" t="s">
        <v>228</v>
      </c>
      <c r="D46">
        <v>16</v>
      </c>
      <c r="E46">
        <v>19</v>
      </c>
      <c r="F46" t="str">
        <f t="shared" si="0"/>
        <v>Hours Ending 16 to 19</v>
      </c>
      <c r="J46" s="50"/>
      <c r="L46">
        <f>AVERAGE(L22:L45)</f>
        <v>40.355616569519043</v>
      </c>
      <c r="M46">
        <f>AVERAGE(M22:M45)</f>
        <v>30.460953831672668</v>
      </c>
      <c r="N46">
        <f>AVERAGE(N22:N45)</f>
        <v>9.8946627378463745</v>
      </c>
      <c r="O46" s="6">
        <f>SUM(O22:O45)</f>
        <v>45.867630004882813</v>
      </c>
      <c r="P46">
        <f>NORMINV(0.1,$N46,$U46)</f>
        <v>9.1348938473477048</v>
      </c>
      <c r="Q46">
        <f>NORMINV(0.3,$N46,$U46)</f>
        <v>9.5837714663368967</v>
      </c>
      <c r="R46">
        <f>NORMINV(0.5,$N46,$U46)</f>
        <v>9.8946627378463745</v>
      </c>
      <c r="S46">
        <f>NORMINV(0.7,$N46,$U46)</f>
        <v>10.205554009355852</v>
      </c>
      <c r="T46">
        <f>NORMINV(0.9,$N46,$U46)</f>
        <v>10.654431628345044</v>
      </c>
      <c r="U46" s="50">
        <f>SQRT((1/SUM(K22:K45)^2*SUM(U22:U45)))</f>
        <v>0.59285081531292338</v>
      </c>
      <c r="AA46" s="50">
        <f>IF($Z$43=0,"n/a",NORMINV(AA45,Table!$H$35,Lookups!$Z$42))</f>
        <v>9.4981659339305047</v>
      </c>
      <c r="AB46" s="50">
        <f>IF($Z$43=0,"n/a",NORMINV(AB45,Table!$H$35,Lookups!$Z$42))</f>
        <v>9.7324194595806084</v>
      </c>
      <c r="AC46" s="50">
        <f>IF($Z$43=0,"n/a",NORMINV(AC45,Table!$H$35,Lookups!$Z$42))</f>
        <v>9.8946627378463745</v>
      </c>
      <c r="AD46" s="50">
        <f>IF($Z$43=0,"n/a",NORMINV(AD45,Table!$H$35,Lookups!$Z$42))</f>
        <v>10.056906016112141</v>
      </c>
      <c r="AE46" s="50">
        <f>IF($Z$43=0,"n/a",NORMINV(AE45,Table!$H$35,Lookups!$Z$42))</f>
        <v>10.291159541762244</v>
      </c>
    </row>
    <row r="47" spans="1:31" x14ac:dyDescent="0.2">
      <c r="A47" t="str">
        <f t="shared" si="3"/>
        <v>41897DO 1-4 Hour</v>
      </c>
      <c r="B47" s="60">
        <v>41897</v>
      </c>
      <c r="C47" t="s">
        <v>228</v>
      </c>
      <c r="D47">
        <v>16</v>
      </c>
      <c r="E47">
        <v>19</v>
      </c>
      <c r="F47" t="str">
        <f t="shared" si="0"/>
        <v>Hours Ending 16 to 19</v>
      </c>
      <c r="J47" s="50"/>
      <c r="L47" s="6"/>
      <c r="M47" s="6"/>
      <c r="N47" s="6"/>
      <c r="O47" s="6"/>
      <c r="P47" s="6"/>
      <c r="Q47" s="6"/>
      <c r="R47" s="6"/>
      <c r="S47" s="6"/>
      <c r="T47" s="6"/>
      <c r="U47" s="41"/>
    </row>
    <row r="48" spans="1:31" x14ac:dyDescent="0.2">
      <c r="A48" t="str">
        <f t="shared" si="3"/>
        <v>41898DO 1-4 Hour</v>
      </c>
      <c r="B48" s="60">
        <v>41898</v>
      </c>
      <c r="C48" t="s">
        <v>228</v>
      </c>
      <c r="D48">
        <v>16</v>
      </c>
      <c r="E48">
        <v>19</v>
      </c>
      <c r="F48" t="str">
        <f t="shared" si="0"/>
        <v>Hours Ending 16 to 19</v>
      </c>
      <c r="J48" s="50"/>
      <c r="L48" s="6"/>
      <c r="M48" s="6"/>
      <c r="N48" s="6"/>
      <c r="O48" s="6"/>
      <c r="P48" s="6"/>
      <c r="Q48" s="6"/>
      <c r="R48" s="6"/>
      <c r="S48" s="6"/>
      <c r="T48" s="6"/>
      <c r="U48" s="41"/>
    </row>
    <row r="49" spans="1:21" x14ac:dyDescent="0.2">
      <c r="A49" t="str">
        <f t="shared" si="3"/>
        <v>41899DO 1-4 Hour</v>
      </c>
      <c r="B49" s="60">
        <v>41899</v>
      </c>
      <c r="C49" t="s">
        <v>228</v>
      </c>
      <c r="D49">
        <v>16</v>
      </c>
      <c r="E49">
        <v>19</v>
      </c>
      <c r="F49" t="str">
        <f t="shared" si="0"/>
        <v>Hours Ending 16 to 19</v>
      </c>
      <c r="J49" s="50"/>
      <c r="L49" s="6"/>
      <c r="M49" s="6"/>
      <c r="N49" s="6"/>
      <c r="O49" s="6"/>
      <c r="P49" s="6"/>
      <c r="Q49" s="6"/>
      <c r="R49" s="6"/>
      <c r="S49" s="6"/>
      <c r="T49" s="6"/>
      <c r="U49" s="41"/>
    </row>
    <row r="50" spans="1:21" x14ac:dyDescent="0.2">
      <c r="A50" t="str">
        <f t="shared" si="3"/>
        <v>41760DO 2-6 Hour</v>
      </c>
      <c r="B50" s="60">
        <v>41760</v>
      </c>
      <c r="C50" t="s">
        <v>229</v>
      </c>
      <c r="F50" t="str">
        <f t="shared" si="0"/>
        <v/>
      </c>
      <c r="J50" s="50"/>
      <c r="L50" s="6"/>
      <c r="M50" s="6"/>
      <c r="N50" s="6"/>
      <c r="O50" s="6"/>
      <c r="P50" s="6"/>
      <c r="Q50" s="6"/>
      <c r="R50" s="6"/>
      <c r="S50" s="6"/>
      <c r="T50" s="6"/>
      <c r="U50" s="41"/>
    </row>
    <row r="51" spans="1:21" x14ac:dyDescent="0.2">
      <c r="A51" t="str">
        <f t="shared" si="3"/>
        <v>41773DO 2-6 Hour</v>
      </c>
      <c r="B51" s="60">
        <v>41773</v>
      </c>
      <c r="C51" t="s">
        <v>229</v>
      </c>
      <c r="D51">
        <v>16</v>
      </c>
      <c r="E51">
        <v>19</v>
      </c>
      <c r="F51" t="str">
        <f t="shared" si="0"/>
        <v>Hours Ending 16 to 19</v>
      </c>
      <c r="J51" s="50"/>
      <c r="L51" s="6"/>
      <c r="M51" s="6"/>
      <c r="N51" s="6"/>
      <c r="O51" s="6"/>
      <c r="P51" s="6"/>
      <c r="Q51" s="6"/>
      <c r="R51" s="6"/>
      <c r="S51" s="6"/>
      <c r="T51" s="6"/>
      <c r="U51" s="41"/>
    </row>
    <row r="52" spans="1:21" x14ac:dyDescent="0.2">
      <c r="A52" t="str">
        <f t="shared" si="3"/>
        <v>41774DO 2-6 Hour</v>
      </c>
      <c r="B52" s="60">
        <v>41774</v>
      </c>
      <c r="C52" t="s">
        <v>229</v>
      </c>
      <c r="D52">
        <v>16</v>
      </c>
      <c r="E52">
        <v>19</v>
      </c>
      <c r="F52" t="str">
        <f t="shared" si="0"/>
        <v>Hours Ending 16 to 19</v>
      </c>
      <c r="J52" s="50"/>
      <c r="L52" s="6"/>
      <c r="M52" s="6"/>
      <c r="N52" s="6"/>
      <c r="O52" s="6"/>
      <c r="P52" s="6"/>
      <c r="Q52" s="6"/>
      <c r="R52" s="6"/>
      <c r="S52" s="6"/>
      <c r="T52" s="6"/>
      <c r="U52" s="41"/>
    </row>
    <row r="53" spans="1:21" x14ac:dyDescent="0.2">
      <c r="A53" t="str">
        <f t="shared" si="3"/>
        <v>41850DO 2-6 Hour</v>
      </c>
      <c r="B53" s="60">
        <v>41850</v>
      </c>
      <c r="C53" t="s">
        <v>229</v>
      </c>
      <c r="F53" t="str">
        <f t="shared" si="0"/>
        <v/>
      </c>
      <c r="J53" s="50"/>
      <c r="L53" s="6"/>
      <c r="M53" s="6"/>
      <c r="N53" s="6"/>
      <c r="O53" s="6"/>
      <c r="P53" s="6"/>
      <c r="Q53" s="6"/>
      <c r="R53" s="6"/>
      <c r="S53" s="6"/>
      <c r="T53" s="6"/>
      <c r="U53" s="41"/>
    </row>
    <row r="54" spans="1:21" x14ac:dyDescent="0.2">
      <c r="A54" t="str">
        <f t="shared" si="3"/>
        <v>41851DO 2-6 Hour</v>
      </c>
      <c r="B54" s="60">
        <v>41851</v>
      </c>
      <c r="C54" t="s">
        <v>229</v>
      </c>
      <c r="F54" t="str">
        <f t="shared" si="0"/>
        <v/>
      </c>
      <c r="J54" s="50"/>
      <c r="L54" s="6"/>
      <c r="M54" s="6"/>
      <c r="N54" s="6"/>
      <c r="O54" s="6"/>
      <c r="P54" s="6"/>
      <c r="Q54" s="6"/>
      <c r="R54" s="6"/>
      <c r="S54" s="6"/>
      <c r="T54" s="6"/>
      <c r="U54" s="41"/>
    </row>
    <row r="55" spans="1:21" x14ac:dyDescent="0.2">
      <c r="A55" t="str">
        <f t="shared" si="3"/>
        <v>41852DO 2-6 Hour</v>
      </c>
      <c r="B55" s="60">
        <v>41852</v>
      </c>
      <c r="C55" t="s">
        <v>229</v>
      </c>
      <c r="F55" t="str">
        <f t="shared" si="0"/>
        <v/>
      </c>
      <c r="J55" s="50"/>
      <c r="L55" s="6"/>
      <c r="M55" s="6"/>
      <c r="N55" s="6"/>
      <c r="O55" s="6"/>
      <c r="P55" s="6"/>
      <c r="Q55" s="6"/>
      <c r="R55" s="6"/>
      <c r="S55" s="6"/>
      <c r="T55" s="6"/>
      <c r="U55" s="41"/>
    </row>
    <row r="56" spans="1:21" x14ac:dyDescent="0.2">
      <c r="A56" t="str">
        <f t="shared" si="3"/>
        <v>41855DO 2-6 Hour</v>
      </c>
      <c r="B56" s="60">
        <v>41855</v>
      </c>
      <c r="C56" t="s">
        <v>229</v>
      </c>
      <c r="F56" t="str">
        <f t="shared" si="0"/>
        <v/>
      </c>
      <c r="J56" s="50"/>
      <c r="L56" s="6"/>
      <c r="M56" s="6"/>
      <c r="N56" s="6"/>
      <c r="O56" s="6"/>
      <c r="P56" s="6"/>
      <c r="Q56" s="6"/>
      <c r="R56" s="6"/>
      <c r="S56" s="6"/>
      <c r="T56" s="6"/>
      <c r="U56" s="41"/>
    </row>
    <row r="57" spans="1:21" x14ac:dyDescent="0.2">
      <c r="A57" t="str">
        <f t="shared" si="3"/>
        <v>41878DO 2-6 Hour</v>
      </c>
      <c r="B57" s="60">
        <v>41878</v>
      </c>
      <c r="C57" t="s">
        <v>229</v>
      </c>
      <c r="F57" t="str">
        <f t="shared" si="0"/>
        <v/>
      </c>
      <c r="J57" s="50"/>
      <c r="L57" s="6"/>
      <c r="M57" s="6"/>
      <c r="N57" s="6"/>
      <c r="O57" s="6"/>
      <c r="P57" s="6"/>
      <c r="Q57" s="6"/>
      <c r="R57" s="6"/>
      <c r="S57" s="6"/>
      <c r="T57" s="6"/>
      <c r="U57" s="41"/>
    </row>
    <row r="58" spans="1:21" x14ac:dyDescent="0.2">
      <c r="A58" t="str">
        <f t="shared" si="3"/>
        <v>41879DO 2-6 Hour</v>
      </c>
      <c r="B58" s="60">
        <v>41879</v>
      </c>
      <c r="C58" t="s">
        <v>229</v>
      </c>
      <c r="F58" t="str">
        <f t="shared" si="0"/>
        <v/>
      </c>
      <c r="J58" s="50"/>
      <c r="L58" s="6"/>
      <c r="M58" s="6"/>
      <c r="N58" s="6"/>
      <c r="O58" s="6"/>
      <c r="P58" s="6"/>
      <c r="Q58" s="6"/>
      <c r="R58" s="6"/>
      <c r="S58" s="6"/>
      <c r="T58" s="6"/>
      <c r="U58" s="41"/>
    </row>
    <row r="59" spans="1:21" x14ac:dyDescent="0.2">
      <c r="A59" t="str">
        <f t="shared" si="3"/>
        <v>41893DO 2-6 Hour</v>
      </c>
      <c r="B59" s="60">
        <v>41893</v>
      </c>
      <c r="C59" t="s">
        <v>229</v>
      </c>
      <c r="D59">
        <v>16</v>
      </c>
      <c r="E59">
        <v>19</v>
      </c>
      <c r="F59" t="str">
        <f t="shared" si="0"/>
        <v>Hours Ending 16 to 19</v>
      </c>
      <c r="J59" s="50"/>
      <c r="L59" s="6"/>
      <c r="M59" s="6"/>
      <c r="N59" s="6"/>
      <c r="O59" s="6"/>
      <c r="P59" s="6"/>
      <c r="Q59" s="6"/>
      <c r="R59" s="6"/>
      <c r="S59" s="6"/>
      <c r="T59" s="6"/>
      <c r="U59" s="41"/>
    </row>
    <row r="60" spans="1:21" x14ac:dyDescent="0.2">
      <c r="A60" t="str">
        <f t="shared" si="3"/>
        <v>41894DO 2-6 Hour</v>
      </c>
      <c r="B60" s="60">
        <v>41894</v>
      </c>
      <c r="C60" t="s">
        <v>229</v>
      </c>
      <c r="D60">
        <v>16</v>
      </c>
      <c r="E60">
        <v>19</v>
      </c>
      <c r="F60" t="str">
        <f t="shared" si="0"/>
        <v>Hours Ending 16 to 19</v>
      </c>
      <c r="J60" s="50"/>
      <c r="L60" s="6"/>
      <c r="M60" s="6"/>
      <c r="N60" s="6"/>
      <c r="O60" s="6"/>
      <c r="P60" s="6"/>
      <c r="Q60" s="6"/>
      <c r="R60" s="6"/>
      <c r="S60" s="6"/>
      <c r="T60" s="6"/>
      <c r="U60" s="41"/>
    </row>
    <row r="61" spans="1:21" x14ac:dyDescent="0.2">
      <c r="A61" t="str">
        <f t="shared" si="3"/>
        <v>41897DO 2-6 Hour</v>
      </c>
      <c r="B61" s="60">
        <v>41897</v>
      </c>
      <c r="C61" t="s">
        <v>229</v>
      </c>
      <c r="D61">
        <v>16</v>
      </c>
      <c r="E61">
        <v>19</v>
      </c>
      <c r="F61" t="str">
        <f t="shared" si="0"/>
        <v>Hours Ending 16 to 19</v>
      </c>
      <c r="J61" s="50"/>
      <c r="L61" s="6"/>
      <c r="M61" s="6"/>
      <c r="N61" s="6"/>
      <c r="O61" s="6"/>
      <c r="P61" s="6"/>
      <c r="Q61" s="6"/>
      <c r="R61" s="6"/>
      <c r="S61" s="6"/>
      <c r="T61" s="6"/>
      <c r="U61" s="41"/>
    </row>
    <row r="62" spans="1:21" x14ac:dyDescent="0.2">
      <c r="A62" t="str">
        <f t="shared" si="3"/>
        <v>41898DO 2-6 Hour</v>
      </c>
      <c r="B62" s="60">
        <v>41898</v>
      </c>
      <c r="C62" t="s">
        <v>229</v>
      </c>
      <c r="D62">
        <v>16</v>
      </c>
      <c r="E62">
        <v>19</v>
      </c>
      <c r="F62" t="str">
        <f t="shared" si="0"/>
        <v>Hours Ending 16 to 19</v>
      </c>
      <c r="J62" s="50"/>
      <c r="L62" s="6"/>
      <c r="M62" s="6"/>
      <c r="N62" s="6"/>
      <c r="O62" s="6"/>
      <c r="P62" s="6"/>
      <c r="Q62" s="6"/>
      <c r="R62" s="6"/>
      <c r="S62" s="6"/>
      <c r="T62" s="6"/>
      <c r="U62" s="41"/>
    </row>
    <row r="63" spans="1:21" x14ac:dyDescent="0.2">
      <c r="A63" t="str">
        <f t="shared" si="3"/>
        <v>41899DO 2-6 Hour</v>
      </c>
      <c r="B63" s="60">
        <v>41899</v>
      </c>
      <c r="C63" t="s">
        <v>229</v>
      </c>
      <c r="D63">
        <v>16</v>
      </c>
      <c r="E63">
        <v>19</v>
      </c>
      <c r="F63" t="str">
        <f t="shared" si="0"/>
        <v>Hours Ending 16 to 19</v>
      </c>
      <c r="J63" s="50"/>
      <c r="L63" s="6"/>
      <c r="M63" s="6"/>
      <c r="N63" s="6"/>
      <c r="O63" s="6"/>
      <c r="P63" s="6"/>
      <c r="Q63" s="6"/>
      <c r="R63" s="6"/>
      <c r="S63" s="6"/>
      <c r="T63" s="6"/>
      <c r="U63" s="41"/>
    </row>
    <row r="64" spans="1:21" x14ac:dyDescent="0.2">
      <c r="A64" t="str">
        <f>B64&amp;C64</f>
        <v>Typical Event DayDA 1-4 Hour</v>
      </c>
      <c r="B64" s="61" t="s">
        <v>2</v>
      </c>
      <c r="C64" t="s">
        <v>227</v>
      </c>
      <c r="D64">
        <v>16</v>
      </c>
      <c r="E64">
        <v>19</v>
      </c>
      <c r="F64" t="str">
        <f t="shared" si="0"/>
        <v>Hours Ending 16 to 19</v>
      </c>
      <c r="J64" s="50"/>
      <c r="L64" s="6"/>
      <c r="M64" s="6"/>
      <c r="N64" s="6"/>
      <c r="O64" s="6"/>
      <c r="P64" s="6"/>
      <c r="Q64" s="6"/>
      <c r="R64" s="6"/>
      <c r="S64" s="6"/>
      <c r="T64" s="6"/>
      <c r="U64" s="41"/>
    </row>
    <row r="65" spans="1:21" x14ac:dyDescent="0.2">
      <c r="A65" t="str">
        <f>B65&amp;C65</f>
        <v>Typical Event DayDO 1-4 Hour</v>
      </c>
      <c r="B65" s="61" t="s">
        <v>2</v>
      </c>
      <c r="C65" t="s">
        <v>228</v>
      </c>
      <c r="D65">
        <v>16</v>
      </c>
      <c r="E65">
        <v>19</v>
      </c>
      <c r="F65" t="str">
        <f t="shared" si="0"/>
        <v>Hours Ending 16 to 19</v>
      </c>
      <c r="J65" s="50"/>
      <c r="L65" s="6"/>
      <c r="M65" s="6"/>
      <c r="N65" s="6"/>
      <c r="O65" s="6"/>
      <c r="P65" s="6"/>
      <c r="Q65" s="6"/>
      <c r="R65" s="6"/>
      <c r="S65" s="6"/>
      <c r="T65" s="6"/>
      <c r="U65" s="41"/>
    </row>
    <row r="66" spans="1:21" x14ac:dyDescent="0.2">
      <c r="A66" t="str">
        <f>B66&amp;C66</f>
        <v>Typical Event DayDO 2-6 Hour</v>
      </c>
      <c r="B66" s="61" t="s">
        <v>2</v>
      </c>
      <c r="C66" t="s">
        <v>229</v>
      </c>
      <c r="D66">
        <v>16</v>
      </c>
      <c r="E66">
        <v>19</v>
      </c>
      <c r="F66" t="str">
        <f t="shared" si="0"/>
        <v>Hours Ending 16 to 19</v>
      </c>
      <c r="J66" s="50"/>
      <c r="L66" s="6"/>
      <c r="M66" s="6"/>
      <c r="N66" s="6"/>
      <c r="O66" s="6"/>
      <c r="P66" s="6"/>
      <c r="Q66" s="6"/>
      <c r="R66" s="6"/>
      <c r="S66" s="6"/>
      <c r="T66" s="6"/>
      <c r="U66" s="4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479"/>
  <sheetViews>
    <sheetView workbookViewId="0">
      <pane xSplit="7" ySplit="1" topLeftCell="H2" activePane="bottomRight" state="frozen"/>
      <selection activeCell="C42" sqref="C41:C64"/>
      <selection pane="topRight" activeCell="C42" sqref="C41:C64"/>
      <selection pane="bottomLeft" activeCell="C42" sqref="C41:C64"/>
      <selection pane="bottomRight"/>
    </sheetView>
  </sheetViews>
  <sheetFormatPr defaultRowHeight="12.75" x14ac:dyDescent="0.2"/>
  <cols>
    <col min="1" max="1" width="5.7109375" customWidth="1"/>
    <col min="2" max="2" width="11.28515625" customWidth="1"/>
    <col min="3" max="3" width="16" customWidth="1"/>
    <col min="4" max="4" width="9" customWidth="1"/>
    <col min="5" max="5" width="11.85546875" customWidth="1"/>
    <col min="6" max="14" width="9.5703125" customWidth="1"/>
    <col min="15" max="15" width="10.5703125" customWidth="1"/>
    <col min="16" max="29" width="10.5703125" bestFit="1" customWidth="1"/>
    <col min="30" max="38" width="15.140625" bestFit="1" customWidth="1"/>
    <col min="39" max="53" width="16.28515625" bestFit="1" customWidth="1"/>
    <col min="54" max="54" width="15.140625" customWidth="1"/>
    <col min="55" max="62" width="15.140625" bestFit="1" customWidth="1"/>
    <col min="63" max="77" width="16.28515625" bestFit="1" customWidth="1"/>
    <col min="78" max="78" width="15.140625" customWidth="1"/>
    <col min="79" max="86" width="15.140625" bestFit="1" customWidth="1"/>
    <col min="87" max="97" width="16.28515625" bestFit="1" customWidth="1"/>
    <col min="98" max="98" width="16.28515625" customWidth="1"/>
    <col min="99" max="101" width="16.28515625" bestFit="1" customWidth="1"/>
    <col min="102" max="102" width="15.140625" customWidth="1"/>
    <col min="103" max="110" width="15.140625" bestFit="1" customWidth="1"/>
    <col min="111" max="125" width="16.28515625" bestFit="1" customWidth="1"/>
    <col min="126" max="126" width="15.140625" customWidth="1"/>
    <col min="127" max="134" width="15.140625" bestFit="1" customWidth="1"/>
    <col min="135" max="149" width="16.28515625" bestFit="1" customWidth="1"/>
    <col min="150" max="157" width="11" customWidth="1"/>
    <col min="158" max="158" width="11" bestFit="1" customWidth="1"/>
    <col min="159" max="174" width="12" bestFit="1" customWidth="1"/>
    <col min="175" max="175" width="16" bestFit="1" customWidth="1"/>
    <col min="176" max="176" width="15.140625" bestFit="1" customWidth="1"/>
    <col min="177" max="177" width="12" bestFit="1" customWidth="1"/>
    <col min="178" max="178" width="16" bestFit="1" customWidth="1"/>
    <col min="179" max="181" width="10.140625" bestFit="1" customWidth="1"/>
  </cols>
  <sheetData>
    <row r="1" spans="1:176" x14ac:dyDescent="0.2">
      <c r="A1" s="65" t="s">
        <v>194</v>
      </c>
      <c r="B1" t="s">
        <v>195</v>
      </c>
      <c r="C1" t="s">
        <v>196</v>
      </c>
      <c r="D1" t="s">
        <v>197</v>
      </c>
      <c r="E1" t="s">
        <v>198</v>
      </c>
      <c r="F1" t="s">
        <v>166</v>
      </c>
      <c r="G1" t="s">
        <v>141</v>
      </c>
      <c r="H1" t="s">
        <v>21</v>
      </c>
      <c r="I1" t="s">
        <v>45</v>
      </c>
      <c r="J1" t="s">
        <v>69</v>
      </c>
      <c r="K1" t="s">
        <v>93</v>
      </c>
      <c r="L1" t="s">
        <v>117</v>
      </c>
      <c r="M1" t="s">
        <v>167</v>
      </c>
      <c r="N1" t="s">
        <v>142</v>
      </c>
      <c r="O1" t="s">
        <v>22</v>
      </c>
      <c r="P1" t="s">
        <v>46</v>
      </c>
      <c r="Q1" t="s">
        <v>70</v>
      </c>
      <c r="R1" t="s">
        <v>94</v>
      </c>
      <c r="S1" t="s">
        <v>118</v>
      </c>
      <c r="T1" t="s">
        <v>168</v>
      </c>
      <c r="U1" t="s">
        <v>143</v>
      </c>
      <c r="V1" t="s">
        <v>23</v>
      </c>
      <c r="W1" t="s">
        <v>47</v>
      </c>
      <c r="X1" t="s">
        <v>71</v>
      </c>
      <c r="Y1" t="s">
        <v>95</v>
      </c>
      <c r="Z1" t="s">
        <v>119</v>
      </c>
      <c r="AA1" t="s">
        <v>169</v>
      </c>
      <c r="AB1" t="s">
        <v>144</v>
      </c>
      <c r="AC1" t="s">
        <v>24</v>
      </c>
      <c r="AD1" t="s">
        <v>48</v>
      </c>
      <c r="AE1" t="s">
        <v>72</v>
      </c>
      <c r="AF1" t="s">
        <v>96</v>
      </c>
      <c r="AG1" t="s">
        <v>120</v>
      </c>
      <c r="AH1" t="s">
        <v>170</v>
      </c>
      <c r="AI1" t="s">
        <v>145</v>
      </c>
      <c r="AJ1" t="s">
        <v>25</v>
      </c>
      <c r="AK1" t="s">
        <v>49</v>
      </c>
      <c r="AL1" t="s">
        <v>73</v>
      </c>
      <c r="AM1" t="s">
        <v>97</v>
      </c>
      <c r="AN1" t="s">
        <v>121</v>
      </c>
      <c r="AO1" t="s">
        <v>171</v>
      </c>
      <c r="AP1" t="s">
        <v>146</v>
      </c>
      <c r="AQ1" t="s">
        <v>26</v>
      </c>
      <c r="AR1" t="s">
        <v>50</v>
      </c>
      <c r="AS1" t="s">
        <v>74</v>
      </c>
      <c r="AT1" t="s">
        <v>98</v>
      </c>
      <c r="AU1" t="s">
        <v>122</v>
      </c>
      <c r="AV1" t="s">
        <v>172</v>
      </c>
      <c r="AW1" t="s">
        <v>147</v>
      </c>
      <c r="AX1" t="s">
        <v>27</v>
      </c>
      <c r="AY1" t="s">
        <v>51</v>
      </c>
      <c r="AZ1" t="s">
        <v>75</v>
      </c>
      <c r="BA1" t="s">
        <v>99</v>
      </c>
      <c r="BB1" t="s">
        <v>123</v>
      </c>
      <c r="BC1" t="s">
        <v>173</v>
      </c>
      <c r="BD1" t="s">
        <v>148</v>
      </c>
      <c r="BE1" t="s">
        <v>28</v>
      </c>
      <c r="BF1" t="s">
        <v>52</v>
      </c>
      <c r="BG1" t="s">
        <v>76</v>
      </c>
      <c r="BH1" t="s">
        <v>100</v>
      </c>
      <c r="BI1" t="s">
        <v>124</v>
      </c>
      <c r="BJ1" t="s">
        <v>174</v>
      </c>
      <c r="BK1" t="s">
        <v>149</v>
      </c>
      <c r="BL1" t="s">
        <v>29</v>
      </c>
      <c r="BM1" t="s">
        <v>53</v>
      </c>
      <c r="BN1" t="s">
        <v>77</v>
      </c>
      <c r="BO1" t="s">
        <v>101</v>
      </c>
      <c r="BP1" t="s">
        <v>125</v>
      </c>
      <c r="BQ1" t="s">
        <v>175</v>
      </c>
      <c r="BR1" t="s">
        <v>150</v>
      </c>
      <c r="BS1" t="s">
        <v>30</v>
      </c>
      <c r="BT1" t="s">
        <v>54</v>
      </c>
      <c r="BU1" t="s">
        <v>78</v>
      </c>
      <c r="BV1" t="s">
        <v>102</v>
      </c>
      <c r="BW1" t="s">
        <v>126</v>
      </c>
      <c r="BX1" t="s">
        <v>176</v>
      </c>
      <c r="BY1" t="s">
        <v>151</v>
      </c>
      <c r="BZ1" t="s">
        <v>31</v>
      </c>
      <c r="CA1" t="s">
        <v>55</v>
      </c>
      <c r="CB1" t="s">
        <v>79</v>
      </c>
      <c r="CC1" t="s">
        <v>103</v>
      </c>
      <c r="CD1" t="s">
        <v>127</v>
      </c>
      <c r="CE1" t="s">
        <v>177</v>
      </c>
      <c r="CF1" t="s">
        <v>152</v>
      </c>
      <c r="CG1" t="s">
        <v>32</v>
      </c>
      <c r="CH1" t="s">
        <v>56</v>
      </c>
      <c r="CI1" t="s">
        <v>80</v>
      </c>
      <c r="CJ1" t="s">
        <v>104</v>
      </c>
      <c r="CK1" t="s">
        <v>128</v>
      </c>
      <c r="CL1" t="s">
        <v>178</v>
      </c>
      <c r="CM1" t="s">
        <v>153</v>
      </c>
      <c r="CN1" t="s">
        <v>33</v>
      </c>
      <c r="CO1" t="s">
        <v>57</v>
      </c>
      <c r="CP1" t="s">
        <v>81</v>
      </c>
      <c r="CQ1" t="s">
        <v>105</v>
      </c>
      <c r="CR1" t="s">
        <v>129</v>
      </c>
      <c r="CS1" t="s">
        <v>179</v>
      </c>
      <c r="CT1" t="s">
        <v>154</v>
      </c>
      <c r="CU1" t="s">
        <v>34</v>
      </c>
      <c r="CV1" t="s">
        <v>58</v>
      </c>
      <c r="CW1" t="s">
        <v>82</v>
      </c>
      <c r="CX1" t="s">
        <v>106</v>
      </c>
      <c r="CY1" t="s">
        <v>130</v>
      </c>
      <c r="CZ1" t="s">
        <v>180</v>
      </c>
      <c r="DA1" t="s">
        <v>155</v>
      </c>
      <c r="DB1" t="s">
        <v>35</v>
      </c>
      <c r="DC1" t="s">
        <v>59</v>
      </c>
      <c r="DD1" t="s">
        <v>83</v>
      </c>
      <c r="DE1" t="s">
        <v>107</v>
      </c>
      <c r="DF1" t="s">
        <v>131</v>
      </c>
      <c r="DG1" t="s">
        <v>181</v>
      </c>
      <c r="DH1" t="s">
        <v>156</v>
      </c>
      <c r="DI1" t="s">
        <v>36</v>
      </c>
      <c r="DJ1" t="s">
        <v>60</v>
      </c>
      <c r="DK1" t="s">
        <v>84</v>
      </c>
      <c r="DL1" t="s">
        <v>108</v>
      </c>
      <c r="DM1" t="s">
        <v>132</v>
      </c>
      <c r="DN1" t="s">
        <v>182</v>
      </c>
      <c r="DO1" t="s">
        <v>157</v>
      </c>
      <c r="DP1" t="s">
        <v>37</v>
      </c>
      <c r="DQ1" t="s">
        <v>61</v>
      </c>
      <c r="DR1" t="s">
        <v>85</v>
      </c>
      <c r="DS1" t="s">
        <v>109</v>
      </c>
      <c r="DT1" t="s">
        <v>133</v>
      </c>
      <c r="DU1" t="s">
        <v>183</v>
      </c>
      <c r="DV1" t="s">
        <v>158</v>
      </c>
      <c r="DW1" t="s">
        <v>38</v>
      </c>
      <c r="DX1" t="s">
        <v>62</v>
      </c>
      <c r="DY1" t="s">
        <v>86</v>
      </c>
      <c r="DZ1" t="s">
        <v>110</v>
      </c>
      <c r="EA1" t="s">
        <v>134</v>
      </c>
      <c r="EB1" t="s">
        <v>184</v>
      </c>
      <c r="EC1" t="s">
        <v>159</v>
      </c>
      <c r="ED1" t="s">
        <v>39</v>
      </c>
      <c r="EE1" t="s">
        <v>63</v>
      </c>
      <c r="EF1" t="s">
        <v>87</v>
      </c>
      <c r="EG1" t="s">
        <v>111</v>
      </c>
      <c r="EH1" t="s">
        <v>135</v>
      </c>
      <c r="EI1" t="s">
        <v>185</v>
      </c>
      <c r="EJ1" t="s">
        <v>160</v>
      </c>
      <c r="EK1" t="s">
        <v>40</v>
      </c>
      <c r="EL1" t="s">
        <v>64</v>
      </c>
      <c r="EM1" t="s">
        <v>88</v>
      </c>
      <c r="EN1" t="s">
        <v>112</v>
      </c>
      <c r="EO1" t="s">
        <v>136</v>
      </c>
      <c r="EP1" t="s">
        <v>186</v>
      </c>
      <c r="EQ1" t="s">
        <v>161</v>
      </c>
      <c r="ER1" t="s">
        <v>41</v>
      </c>
      <c r="ES1" t="s">
        <v>65</v>
      </c>
      <c r="ET1" t="s">
        <v>89</v>
      </c>
      <c r="EU1" t="s">
        <v>113</v>
      </c>
      <c r="EV1" t="s">
        <v>137</v>
      </c>
      <c r="EW1" t="s">
        <v>187</v>
      </c>
      <c r="EX1" t="s">
        <v>162</v>
      </c>
      <c r="EY1" t="s">
        <v>42</v>
      </c>
      <c r="EZ1" t="s">
        <v>66</v>
      </c>
      <c r="FA1" t="s">
        <v>90</v>
      </c>
      <c r="FB1" t="s">
        <v>114</v>
      </c>
      <c r="FC1" t="s">
        <v>138</v>
      </c>
      <c r="FD1" t="s">
        <v>188</v>
      </c>
      <c r="FE1" t="s">
        <v>163</v>
      </c>
      <c r="FF1" t="s">
        <v>43</v>
      </c>
      <c r="FG1" t="s">
        <v>67</v>
      </c>
      <c r="FH1" t="s">
        <v>91</v>
      </c>
      <c r="FI1" t="s">
        <v>115</v>
      </c>
      <c r="FJ1" t="s">
        <v>139</v>
      </c>
      <c r="FK1" t="s">
        <v>189</v>
      </c>
      <c r="FL1" t="s">
        <v>164</v>
      </c>
      <c r="FM1" t="s">
        <v>44</v>
      </c>
      <c r="FN1" t="s">
        <v>68</v>
      </c>
      <c r="FO1" t="s">
        <v>92</v>
      </c>
      <c r="FP1" t="s">
        <v>116</v>
      </c>
      <c r="FQ1" t="s">
        <v>140</v>
      </c>
      <c r="FR1" t="s">
        <v>206</v>
      </c>
      <c r="FS1" t="s">
        <v>204</v>
      </c>
      <c r="FT1" t="s">
        <v>205</v>
      </c>
    </row>
    <row r="2" spans="1:176" x14ac:dyDescent="0.2">
      <c r="A2" t="s">
        <v>1</v>
      </c>
      <c r="B2" t="s">
        <v>227</v>
      </c>
      <c r="C2" t="s">
        <v>232</v>
      </c>
      <c r="D2">
        <v>161</v>
      </c>
      <c r="E2">
        <v>161</v>
      </c>
      <c r="F2">
        <v>18.445928573608398</v>
      </c>
      <c r="G2">
        <v>66.816490173339844</v>
      </c>
      <c r="H2">
        <v>-2.4203898906707764</v>
      </c>
      <c r="I2">
        <v>-1.4864116907119751</v>
      </c>
      <c r="J2">
        <v>-0.83954119682312012</v>
      </c>
      <c r="K2">
        <v>-0.19267071783542633</v>
      </c>
      <c r="L2">
        <v>0.74130749702453613</v>
      </c>
      <c r="M2">
        <v>17.266805648803711</v>
      </c>
      <c r="N2">
        <v>66.006439208984375</v>
      </c>
      <c r="O2">
        <v>-2.8720273971557617</v>
      </c>
      <c r="P2">
        <v>-2.080697774887085</v>
      </c>
      <c r="Q2">
        <v>-1.5326251983642578</v>
      </c>
      <c r="R2">
        <v>-0.98455268144607544</v>
      </c>
      <c r="S2">
        <v>-0.19322298467159271</v>
      </c>
      <c r="T2">
        <v>16.886795043945313</v>
      </c>
      <c r="U2">
        <v>64.364105224609375</v>
      </c>
      <c r="V2">
        <v>-2.1121530532836914</v>
      </c>
      <c r="W2">
        <v>-1.2504547834396362</v>
      </c>
      <c r="X2">
        <v>-0.65364515781402588</v>
      </c>
      <c r="Y2">
        <v>-5.6835547089576721E-2</v>
      </c>
      <c r="Z2">
        <v>0.80486273765563965</v>
      </c>
      <c r="AA2">
        <v>16.967649459838867</v>
      </c>
      <c r="AB2">
        <v>64.148681640625</v>
      </c>
      <c r="AC2">
        <v>-1.7034530639648438</v>
      </c>
      <c r="AD2">
        <v>-0.83906400203704834</v>
      </c>
      <c r="AE2">
        <v>-0.24039079248905182</v>
      </c>
      <c r="AF2">
        <v>0.3582824170589447</v>
      </c>
      <c r="AG2">
        <v>1.2226713895797729</v>
      </c>
      <c r="AH2">
        <v>18.748712539672852</v>
      </c>
      <c r="AI2">
        <v>66.562271118164063</v>
      </c>
      <c r="AJ2">
        <v>-1.6179436445236206</v>
      </c>
      <c r="AK2">
        <v>-0.71740126609802246</v>
      </c>
      <c r="AL2">
        <v>-9.3688406050205231E-2</v>
      </c>
      <c r="AM2">
        <v>0.53002446889877319</v>
      </c>
      <c r="AN2">
        <v>1.4305667877197266</v>
      </c>
      <c r="AO2">
        <v>22.053131103515625</v>
      </c>
      <c r="AP2">
        <v>66.312103271484375</v>
      </c>
      <c r="AQ2">
        <v>-2.5548660755157471</v>
      </c>
      <c r="AR2">
        <v>-1.6452680826187134</v>
      </c>
      <c r="AS2">
        <v>-1.0152832269668579</v>
      </c>
      <c r="AT2">
        <v>-0.38529837131500244</v>
      </c>
      <c r="AU2">
        <v>0.52429968118667603</v>
      </c>
      <c r="AV2">
        <v>26.198951721191406</v>
      </c>
      <c r="AW2">
        <v>72.05047607421875</v>
      </c>
      <c r="AX2">
        <v>-2.8675620555877686</v>
      </c>
      <c r="AY2">
        <v>-1.9743344783782959</v>
      </c>
      <c r="AZ2">
        <v>-1.3556878566741943</v>
      </c>
      <c r="BA2">
        <v>-0.737041175365448</v>
      </c>
      <c r="BB2">
        <v>0.15618635714054108</v>
      </c>
      <c r="BC2">
        <v>30.3609619140625</v>
      </c>
      <c r="BD2">
        <v>79.32598876953125</v>
      </c>
      <c r="BE2">
        <v>-2.4941623210906982</v>
      </c>
      <c r="BF2">
        <v>-1.5692914724349976</v>
      </c>
      <c r="BG2">
        <v>-0.92872875928878784</v>
      </c>
      <c r="BH2">
        <v>-0.28816601634025574</v>
      </c>
      <c r="BI2">
        <v>0.63670486211776733</v>
      </c>
      <c r="BJ2">
        <v>34.296421051025391</v>
      </c>
      <c r="BK2">
        <v>82.443183898925781</v>
      </c>
      <c r="BL2">
        <v>-2.2957556247711182</v>
      </c>
      <c r="BM2">
        <v>-1.3868123292922974</v>
      </c>
      <c r="BN2">
        <v>-0.75728094577789307</v>
      </c>
      <c r="BO2">
        <v>-0.12774956226348877</v>
      </c>
      <c r="BP2">
        <v>0.78119379281997681</v>
      </c>
      <c r="BQ2">
        <v>37.601703643798828</v>
      </c>
      <c r="BR2">
        <v>84.24737548828125</v>
      </c>
      <c r="BS2">
        <v>1.094247579574585</v>
      </c>
      <c r="BT2">
        <v>2.0595560073852539</v>
      </c>
      <c r="BU2">
        <v>2.7281255722045898</v>
      </c>
      <c r="BV2">
        <v>3.3966951370239258</v>
      </c>
      <c r="BW2">
        <v>4.3620038032531738</v>
      </c>
      <c r="BX2">
        <v>40.373611450195313</v>
      </c>
      <c r="BY2">
        <v>86.815193176269531</v>
      </c>
      <c r="BZ2">
        <v>2.5269558429718018</v>
      </c>
      <c r="CA2">
        <v>3.5225231647491455</v>
      </c>
      <c r="CB2">
        <v>4.2120499610900879</v>
      </c>
      <c r="CC2">
        <v>4.9015769958496094</v>
      </c>
      <c r="CD2">
        <v>5.8971438407897949</v>
      </c>
      <c r="CE2">
        <v>42.262775421142578</v>
      </c>
      <c r="CF2">
        <v>89.243370056152344</v>
      </c>
      <c r="CG2">
        <v>3.9393653869628906</v>
      </c>
      <c r="CH2">
        <v>4.9514145851135254</v>
      </c>
      <c r="CI2">
        <v>5.6523566246032715</v>
      </c>
      <c r="CJ2">
        <v>6.3532986640930176</v>
      </c>
      <c r="CK2">
        <v>7.3653478622436523</v>
      </c>
      <c r="CL2">
        <v>42.643135070800781</v>
      </c>
      <c r="CM2">
        <v>90.250900268554688</v>
      </c>
      <c r="CN2">
        <v>4.5088386535644531</v>
      </c>
      <c r="CO2">
        <v>5.4645977020263672</v>
      </c>
      <c r="CP2">
        <v>6.126554012298584</v>
      </c>
      <c r="CQ2">
        <v>6.7885103225708008</v>
      </c>
      <c r="CR2">
        <v>7.7442693710327148</v>
      </c>
      <c r="CS2">
        <v>41.892410278320313</v>
      </c>
      <c r="CT2">
        <v>91.549530029296875</v>
      </c>
      <c r="CU2">
        <v>5.9487905502319336</v>
      </c>
      <c r="CV2">
        <v>6.97845458984375</v>
      </c>
      <c r="CW2">
        <v>7.6915969848632812</v>
      </c>
      <c r="CX2">
        <v>8.4047393798828125</v>
      </c>
      <c r="CY2">
        <v>9.4344034194946289</v>
      </c>
      <c r="CZ2">
        <v>41.058162689208984</v>
      </c>
      <c r="DA2">
        <v>92.534507751464844</v>
      </c>
      <c r="DB2">
        <v>7.5685129165649414</v>
      </c>
      <c r="DC2">
        <v>8.5458030700683594</v>
      </c>
      <c r="DD2">
        <v>9.2226715087890625</v>
      </c>
      <c r="DE2">
        <v>9.8995399475097656</v>
      </c>
      <c r="DF2">
        <v>10.876830101013184</v>
      </c>
      <c r="DG2">
        <v>40.219417572021484</v>
      </c>
      <c r="DH2">
        <v>87.286247253417969</v>
      </c>
      <c r="DI2">
        <v>7.8505768775939941</v>
      </c>
      <c r="DJ2">
        <v>8.7698574066162109</v>
      </c>
      <c r="DK2">
        <v>9.4065475463867188</v>
      </c>
      <c r="DL2">
        <v>10.043237686157227</v>
      </c>
      <c r="DM2">
        <v>10.962518692016602</v>
      </c>
      <c r="DN2">
        <v>38.366733551025391</v>
      </c>
      <c r="DO2">
        <v>85.16259765625</v>
      </c>
      <c r="DP2">
        <v>8.0601119995117188</v>
      </c>
      <c r="DQ2">
        <v>8.9535770416259766</v>
      </c>
      <c r="DR2">
        <v>9.5723876953125</v>
      </c>
      <c r="DS2">
        <v>10.191198348999023</v>
      </c>
      <c r="DT2">
        <v>11.084663391113281</v>
      </c>
      <c r="DU2">
        <v>36.261928558349609</v>
      </c>
      <c r="DV2">
        <v>83.601371765136719</v>
      </c>
      <c r="DW2">
        <v>8.1247453689575195</v>
      </c>
      <c r="DX2">
        <v>9.0268125534057617</v>
      </c>
      <c r="DY2">
        <v>9.6515817642211914</v>
      </c>
      <c r="DZ2">
        <v>10.276350975036621</v>
      </c>
      <c r="EA2">
        <v>11.178418159484863</v>
      </c>
      <c r="EB2">
        <v>29.164175033569336</v>
      </c>
      <c r="EC2">
        <v>80.289649963378906</v>
      </c>
      <c r="ED2">
        <v>3.2433841228485107</v>
      </c>
      <c r="EE2">
        <v>4.1310062408447266</v>
      </c>
      <c r="EF2">
        <v>4.7457704544067383</v>
      </c>
      <c r="EG2">
        <v>5.36053466796875</v>
      </c>
      <c r="EH2">
        <v>6.2481565475463867</v>
      </c>
      <c r="EI2">
        <v>27.04109001159668</v>
      </c>
      <c r="EJ2">
        <v>77.373908996582031</v>
      </c>
      <c r="EK2">
        <v>-1.5331994295120239</v>
      </c>
      <c r="EL2">
        <v>-0.68253630399703979</v>
      </c>
      <c r="EM2">
        <v>-9.3369580805301666E-2</v>
      </c>
      <c r="EN2">
        <v>0.49579712748527527</v>
      </c>
      <c r="EO2">
        <v>1.3464603424072266</v>
      </c>
      <c r="EP2">
        <v>26.158714294433594</v>
      </c>
      <c r="EQ2">
        <v>74.941490173339844</v>
      </c>
      <c r="ER2">
        <v>-2.396082878112793</v>
      </c>
      <c r="ES2">
        <v>-1.5399085283279419</v>
      </c>
      <c r="ET2">
        <v>-0.94692486524581909</v>
      </c>
      <c r="EU2">
        <v>-0.35394120216369629</v>
      </c>
      <c r="EV2">
        <v>0.50223302841186523</v>
      </c>
      <c r="EW2">
        <v>22.932310104370117</v>
      </c>
      <c r="EX2">
        <v>72.237922668457031</v>
      </c>
      <c r="EY2">
        <v>-2.3426623344421387</v>
      </c>
      <c r="EZ2">
        <v>-1.5076477527618408</v>
      </c>
      <c r="FA2">
        <v>-0.92931914329528809</v>
      </c>
      <c r="FB2">
        <v>-0.35099056363105774</v>
      </c>
      <c r="FC2">
        <v>0.4840240478515625</v>
      </c>
      <c r="FD2">
        <v>20.212356567382813</v>
      </c>
      <c r="FE2">
        <v>70.197113037109375</v>
      </c>
      <c r="FF2">
        <v>-2.387338399887085</v>
      </c>
      <c r="FG2">
        <v>-1.5907816886901855</v>
      </c>
      <c r="FH2">
        <v>-1.0390889644622803</v>
      </c>
      <c r="FI2">
        <v>-0.48739621043205261</v>
      </c>
      <c r="FJ2">
        <v>0.30916047096252441</v>
      </c>
      <c r="FK2">
        <v>19.007114410400391</v>
      </c>
      <c r="FL2">
        <v>68.792259216308594</v>
      </c>
      <c r="FM2">
        <v>-1.6987717151641846</v>
      </c>
      <c r="FN2">
        <v>-0.88409411907196045</v>
      </c>
      <c r="FO2">
        <v>-0.3198508620262146</v>
      </c>
      <c r="FP2">
        <v>0.24439238011837006</v>
      </c>
      <c r="FQ2">
        <v>1.0590699911117554</v>
      </c>
      <c r="FR2">
        <v>161</v>
      </c>
      <c r="FS2">
        <v>9.2088833451271057E-2</v>
      </c>
      <c r="FT2">
        <v>1</v>
      </c>
    </row>
    <row r="3" spans="1:176" x14ac:dyDescent="0.2">
      <c r="A3" t="s">
        <v>1</v>
      </c>
      <c r="B3" t="s">
        <v>227</v>
      </c>
      <c r="C3" t="s">
        <v>233</v>
      </c>
      <c r="D3">
        <v>161</v>
      </c>
      <c r="E3">
        <v>161</v>
      </c>
      <c r="F3">
        <v>19.360176086425781</v>
      </c>
      <c r="G3">
        <v>71.276092529296875</v>
      </c>
      <c r="H3">
        <v>-1.5898202657699585</v>
      </c>
      <c r="I3">
        <v>-0.59615939855575562</v>
      </c>
      <c r="J3">
        <v>9.2047043144702911E-2</v>
      </c>
      <c r="K3">
        <v>0.78025352954864502</v>
      </c>
      <c r="L3">
        <v>1.7739143371582031</v>
      </c>
      <c r="M3">
        <v>18.633090972900391</v>
      </c>
      <c r="N3">
        <v>69.222236633300781</v>
      </c>
      <c r="O3">
        <v>-2.1702418327331543</v>
      </c>
      <c r="P3">
        <v>-1.2033885717391968</v>
      </c>
      <c r="Q3">
        <v>-0.53374892473220825</v>
      </c>
      <c r="R3">
        <v>0.13589069247245789</v>
      </c>
      <c r="S3">
        <v>1.1027439832687378</v>
      </c>
      <c r="T3">
        <v>18.448150634765625</v>
      </c>
      <c r="U3">
        <v>67.016693115234375</v>
      </c>
      <c r="V3">
        <v>-1.3999875783920288</v>
      </c>
      <c r="W3">
        <v>-0.45410513877868652</v>
      </c>
      <c r="X3">
        <v>0.20101018249988556</v>
      </c>
      <c r="Y3">
        <v>0.85612547397613525</v>
      </c>
      <c r="Z3">
        <v>1.8020079135894775</v>
      </c>
      <c r="AA3">
        <v>18.598974227905273</v>
      </c>
      <c r="AB3">
        <v>68.037887573242188</v>
      </c>
      <c r="AC3">
        <v>-1.3221126794815063</v>
      </c>
      <c r="AD3">
        <v>-0.37105533480644226</v>
      </c>
      <c r="AE3">
        <v>0.28764405846595764</v>
      </c>
      <c r="AF3">
        <v>0.94634342193603516</v>
      </c>
      <c r="AG3">
        <v>1.8974007368087769</v>
      </c>
      <c r="AH3">
        <v>20.232324600219727</v>
      </c>
      <c r="AI3">
        <v>67.615447998046875</v>
      </c>
      <c r="AJ3">
        <v>-1.7564587593078613</v>
      </c>
      <c r="AK3">
        <v>-0.7689475417137146</v>
      </c>
      <c r="AL3">
        <v>-8.5000291466712952E-2</v>
      </c>
      <c r="AM3">
        <v>0.59894692897796631</v>
      </c>
      <c r="AN3">
        <v>1.5864580869674683</v>
      </c>
      <c r="AO3">
        <v>23.289981842041016</v>
      </c>
      <c r="AP3">
        <v>68.217643737792969</v>
      </c>
      <c r="AQ3">
        <v>-1.3682005405426025</v>
      </c>
      <c r="AR3">
        <v>-0.37845715880393982</v>
      </c>
      <c r="AS3">
        <v>0.30703610181808472</v>
      </c>
      <c r="AT3">
        <v>0.99252939224243164</v>
      </c>
      <c r="AU3">
        <v>1.982272744178772</v>
      </c>
      <c r="AV3">
        <v>27.270771026611328</v>
      </c>
      <c r="AW3">
        <v>72.2388916015625</v>
      </c>
      <c r="AX3">
        <v>-1.1209903955459595</v>
      </c>
      <c r="AY3">
        <v>-0.16465486586093903</v>
      </c>
      <c r="AZ3">
        <v>0.49770024418830872</v>
      </c>
      <c r="BA3">
        <v>1.16005539894104</v>
      </c>
      <c r="BB3">
        <v>2.1163909435272217</v>
      </c>
      <c r="BC3">
        <v>31.138071060180664</v>
      </c>
      <c r="BD3">
        <v>77.075950622558594</v>
      </c>
      <c r="BE3">
        <v>-2.4150340557098389</v>
      </c>
      <c r="BF3">
        <v>-1.4573191404342651</v>
      </c>
      <c r="BG3">
        <v>-0.79400861263275146</v>
      </c>
      <c r="BH3">
        <v>-0.13069811463356018</v>
      </c>
      <c r="BI3">
        <v>0.82701689004898071</v>
      </c>
      <c r="BJ3">
        <v>35.298931121826172</v>
      </c>
      <c r="BK3">
        <v>84.215621948242188</v>
      </c>
      <c r="BL3">
        <v>-2.6551105976104736</v>
      </c>
      <c r="BM3">
        <v>-1.7242238521575928</v>
      </c>
      <c r="BN3">
        <v>-1.0794944763183594</v>
      </c>
      <c r="BO3">
        <v>-0.43476507067680359</v>
      </c>
      <c r="BP3">
        <v>0.49612176418304443</v>
      </c>
      <c r="BQ3">
        <v>38.537422180175781</v>
      </c>
      <c r="BR3">
        <v>87.292770385742187</v>
      </c>
      <c r="BS3">
        <v>-3.1012527942657471</v>
      </c>
      <c r="BT3">
        <v>-2.0755953788757324</v>
      </c>
      <c r="BU3">
        <v>-1.3652281761169434</v>
      </c>
      <c r="BV3">
        <v>-0.6548609733581543</v>
      </c>
      <c r="BW3">
        <v>0.37079650163650513</v>
      </c>
      <c r="BX3">
        <v>41.361988067626953</v>
      </c>
      <c r="BY3">
        <v>90.233512878417969</v>
      </c>
      <c r="BZ3">
        <v>-2.1129844188690186</v>
      </c>
      <c r="CA3">
        <v>-1.0571697950363159</v>
      </c>
      <c r="CB3">
        <v>-0.32591593265533447</v>
      </c>
      <c r="CC3">
        <v>0.40533795952796936</v>
      </c>
      <c r="CD3">
        <v>1.4611524343490601</v>
      </c>
      <c r="CE3">
        <v>42.810543060302734</v>
      </c>
      <c r="CF3">
        <v>91.263412475585937</v>
      </c>
      <c r="CG3">
        <v>5.0416626930236816</v>
      </c>
      <c r="CH3">
        <v>6.1086001396179199</v>
      </c>
      <c r="CI3">
        <v>6.8475580215454102</v>
      </c>
      <c r="CJ3">
        <v>7.5865159034729004</v>
      </c>
      <c r="CK3">
        <v>8.6534538269042969</v>
      </c>
      <c r="CL3">
        <v>42.835842132568359</v>
      </c>
      <c r="CM3">
        <v>92.452255249023437</v>
      </c>
      <c r="CN3">
        <v>7.5717282295227051</v>
      </c>
      <c r="CO3">
        <v>8.5716581344604492</v>
      </c>
      <c r="CP3">
        <v>9.2642059326171875</v>
      </c>
      <c r="CQ3">
        <v>9.9567537307739258</v>
      </c>
      <c r="CR3">
        <v>10.956684112548828</v>
      </c>
      <c r="CS3">
        <v>42.259963989257813</v>
      </c>
      <c r="CT3">
        <v>91.607353210449219</v>
      </c>
      <c r="CU3">
        <v>7.209075927734375</v>
      </c>
      <c r="CV3">
        <v>8.2287826538085937</v>
      </c>
      <c r="CW3">
        <v>8.935028076171875</v>
      </c>
      <c r="CX3">
        <v>9.6412734985351562</v>
      </c>
      <c r="CY3">
        <v>10.660980224609375</v>
      </c>
      <c r="CZ3">
        <v>41.588645935058594</v>
      </c>
      <c r="DA3">
        <v>91.669677734375</v>
      </c>
      <c r="DB3">
        <v>7.4554624557495117</v>
      </c>
      <c r="DC3">
        <v>8.4240140914916992</v>
      </c>
      <c r="DD3">
        <v>9.0948305130004883</v>
      </c>
      <c r="DE3">
        <v>9.7656469345092773</v>
      </c>
      <c r="DF3">
        <v>10.734198570251465</v>
      </c>
      <c r="DG3">
        <v>41.137691497802734</v>
      </c>
      <c r="DH3">
        <v>91.551811218261719</v>
      </c>
      <c r="DI3">
        <v>9.9397296905517578</v>
      </c>
      <c r="DJ3">
        <v>10.920245170593262</v>
      </c>
      <c r="DK3">
        <v>11.599347114562988</v>
      </c>
      <c r="DL3">
        <v>12.278449058532715</v>
      </c>
      <c r="DM3">
        <v>13.258964538574219</v>
      </c>
      <c r="DN3">
        <v>39.746505737304688</v>
      </c>
      <c r="DO3">
        <v>89.684165954589844</v>
      </c>
      <c r="DP3">
        <v>10.184901237487793</v>
      </c>
      <c r="DQ3">
        <v>11.114500999450684</v>
      </c>
      <c r="DR3">
        <v>11.758338928222656</v>
      </c>
      <c r="DS3">
        <v>12.402176856994629</v>
      </c>
      <c r="DT3">
        <v>13.33177661895752</v>
      </c>
      <c r="DU3">
        <v>37.510288238525391</v>
      </c>
      <c r="DV3">
        <v>87.443893432617188</v>
      </c>
      <c r="DW3">
        <v>9.4827785491943359</v>
      </c>
      <c r="DX3">
        <v>10.426393508911133</v>
      </c>
      <c r="DY3">
        <v>11.079938888549805</v>
      </c>
      <c r="DZ3">
        <v>11.733484268188477</v>
      </c>
      <c r="EA3">
        <v>12.677099227905273</v>
      </c>
      <c r="EB3">
        <v>30.338668823242188</v>
      </c>
      <c r="EC3">
        <v>86.390495300292969</v>
      </c>
      <c r="ED3">
        <v>6.7985382080078125</v>
      </c>
      <c r="EE3">
        <v>7.7519731521606445</v>
      </c>
      <c r="EF3">
        <v>8.4123191833496094</v>
      </c>
      <c r="EG3">
        <v>9.0726652145385742</v>
      </c>
      <c r="EH3">
        <v>10.026100158691406</v>
      </c>
      <c r="EI3">
        <v>28.09922981262207</v>
      </c>
      <c r="EJ3">
        <v>83.331626892089844</v>
      </c>
      <c r="EK3">
        <v>2.1577818393707275</v>
      </c>
      <c r="EL3">
        <v>3.0943832397460937</v>
      </c>
      <c r="EM3">
        <v>3.7430706024169922</v>
      </c>
      <c r="EN3">
        <v>4.3917579650878906</v>
      </c>
      <c r="EO3">
        <v>5.3283591270446777</v>
      </c>
      <c r="EP3">
        <v>26.960981369018555</v>
      </c>
      <c r="EQ3">
        <v>80.807357788085938</v>
      </c>
      <c r="ER3">
        <v>-2.2331528663635254</v>
      </c>
      <c r="ES3">
        <v>-1.2945280075073242</v>
      </c>
      <c r="ET3">
        <v>-0.64443933963775635</v>
      </c>
      <c r="EU3">
        <v>5.6493277661502361E-3</v>
      </c>
      <c r="EV3">
        <v>0.94427412748336792</v>
      </c>
      <c r="EW3">
        <v>22.800348281860352</v>
      </c>
      <c r="EX3">
        <v>79.60028076171875</v>
      </c>
      <c r="EY3">
        <v>-3.224109411239624</v>
      </c>
      <c r="EZ3">
        <v>-2.2897303104400635</v>
      </c>
      <c r="FA3">
        <v>-1.6425821781158447</v>
      </c>
      <c r="FB3">
        <v>-0.99543404579162598</v>
      </c>
      <c r="FC3">
        <v>-6.1054855585098267E-2</v>
      </c>
      <c r="FD3">
        <v>20.634639739990234</v>
      </c>
      <c r="FE3">
        <v>75.388702392578125</v>
      </c>
      <c r="FF3">
        <v>-3.4621179103851318</v>
      </c>
      <c r="FG3">
        <v>-2.6005558967590332</v>
      </c>
      <c r="FH3">
        <v>-2.0038409233093262</v>
      </c>
      <c r="FI3">
        <v>-1.4071258306503296</v>
      </c>
      <c r="FJ3">
        <v>-0.54556399583816528</v>
      </c>
      <c r="FK3">
        <v>19.378484725952148</v>
      </c>
      <c r="FL3">
        <v>71.934959411621094</v>
      </c>
      <c r="FM3">
        <v>-3.3985359668731689</v>
      </c>
      <c r="FN3">
        <v>-2.5523056983947754</v>
      </c>
      <c r="FO3">
        <v>-1.9662094116210938</v>
      </c>
      <c r="FP3">
        <v>-1.3801130056381226</v>
      </c>
      <c r="FQ3">
        <v>-0.53388297557830811</v>
      </c>
      <c r="FR3">
        <v>161</v>
      </c>
      <c r="FS3">
        <v>0.10569728165864944</v>
      </c>
      <c r="FT3">
        <v>1</v>
      </c>
    </row>
    <row r="4" spans="1:176" x14ac:dyDescent="0.2">
      <c r="A4" t="s">
        <v>1</v>
      </c>
      <c r="B4" t="s">
        <v>227</v>
      </c>
      <c r="C4" t="s">
        <v>234</v>
      </c>
      <c r="D4">
        <v>161</v>
      </c>
      <c r="E4">
        <v>161</v>
      </c>
      <c r="F4">
        <v>17.980775833129883</v>
      </c>
      <c r="G4">
        <v>69.52227783203125</v>
      </c>
      <c r="H4">
        <v>-3.4248294830322266</v>
      </c>
      <c r="I4">
        <v>-2.5645332336425781</v>
      </c>
      <c r="J4">
        <v>-1.9686946868896484</v>
      </c>
      <c r="K4">
        <v>-1.3728561401367187</v>
      </c>
      <c r="L4">
        <v>-0.51255983114242554</v>
      </c>
      <c r="M4">
        <v>17.191337585449219</v>
      </c>
      <c r="N4">
        <v>68.405899047851563</v>
      </c>
      <c r="O4">
        <v>-3.0994694232940674</v>
      </c>
      <c r="P4">
        <v>-2.2891223430633545</v>
      </c>
      <c r="Q4">
        <v>-1.7278783321380615</v>
      </c>
      <c r="R4">
        <v>-1.1666344404220581</v>
      </c>
      <c r="S4">
        <v>-0.35628733038902283</v>
      </c>
      <c r="T4">
        <v>16.658720016479492</v>
      </c>
      <c r="U4">
        <v>66.84490966796875</v>
      </c>
      <c r="V4">
        <v>-2.8493664264678955</v>
      </c>
      <c r="W4">
        <v>-2.0261716842651367</v>
      </c>
      <c r="X4">
        <v>-1.4560296535491943</v>
      </c>
      <c r="Y4">
        <v>-0.88588756322860718</v>
      </c>
      <c r="Z4">
        <v>-6.2692970037460327E-2</v>
      </c>
      <c r="AA4">
        <v>16.707983016967773</v>
      </c>
      <c r="AB4">
        <v>67.728874206542969</v>
      </c>
      <c r="AC4">
        <v>-3.4499523639678955</v>
      </c>
      <c r="AD4">
        <v>-2.6322062015533447</v>
      </c>
      <c r="AE4">
        <v>-2.0658376216888428</v>
      </c>
      <c r="AF4">
        <v>-1.4994691610336304</v>
      </c>
      <c r="AG4">
        <v>-0.68172293901443481</v>
      </c>
      <c r="AH4">
        <v>18.783884048461914</v>
      </c>
      <c r="AI4">
        <v>66.415443420410156</v>
      </c>
      <c r="AJ4">
        <v>-3.4493186473846436</v>
      </c>
      <c r="AK4">
        <v>-2.5786402225494385</v>
      </c>
      <c r="AL4">
        <v>-1.9756108522415161</v>
      </c>
      <c r="AM4">
        <v>-1.3725814819335937</v>
      </c>
      <c r="AN4">
        <v>-0.5019029974937439</v>
      </c>
      <c r="AO4">
        <v>22.152605056762695</v>
      </c>
      <c r="AP4">
        <v>65.58135986328125</v>
      </c>
      <c r="AQ4">
        <v>-2.4917259216308594</v>
      </c>
      <c r="AR4">
        <v>-1.6168860197067261</v>
      </c>
      <c r="AS4">
        <v>-1.0109744071960449</v>
      </c>
      <c r="AT4">
        <v>-0.40506285429000854</v>
      </c>
      <c r="AU4">
        <v>0.46977722644805908</v>
      </c>
      <c r="AV4">
        <v>25.903261184692383</v>
      </c>
      <c r="AW4">
        <v>70.509963989257813</v>
      </c>
      <c r="AX4">
        <v>-1.7213112115859985</v>
      </c>
      <c r="AY4">
        <v>-0.83187448978424072</v>
      </c>
      <c r="AZ4">
        <v>-0.21585334837436676</v>
      </c>
      <c r="BA4">
        <v>0.40016782283782959</v>
      </c>
      <c r="BB4">
        <v>1.2896045446395874</v>
      </c>
      <c r="BC4">
        <v>29.062536239624023</v>
      </c>
      <c r="BD4">
        <v>78.534683227539063</v>
      </c>
      <c r="BE4">
        <v>-1.5938063859939575</v>
      </c>
      <c r="BF4">
        <v>-0.65133589506149292</v>
      </c>
      <c r="BG4">
        <v>1.4163046143949032E-3</v>
      </c>
      <c r="BH4">
        <v>0.65416848659515381</v>
      </c>
      <c r="BI4">
        <v>1.5966389179229736</v>
      </c>
      <c r="BJ4">
        <v>32.072628021240234</v>
      </c>
      <c r="BK4">
        <v>86.619407653808594</v>
      </c>
      <c r="BL4">
        <v>1.1543096303939819</v>
      </c>
      <c r="BM4">
        <v>2.1276628971099854</v>
      </c>
      <c r="BN4">
        <v>2.8018045425415039</v>
      </c>
      <c r="BO4">
        <v>3.4759461879730225</v>
      </c>
      <c r="BP4">
        <v>4.4492993354797363</v>
      </c>
      <c r="BQ4">
        <v>35.694252014160156</v>
      </c>
      <c r="BR4">
        <v>92.797515869140625</v>
      </c>
      <c r="BS4">
        <v>1.1157615184783936</v>
      </c>
      <c r="BT4">
        <v>2.2040410041809082</v>
      </c>
      <c r="BU4">
        <v>2.957780122756958</v>
      </c>
      <c r="BV4">
        <v>3.7115192413330078</v>
      </c>
      <c r="BW4">
        <v>4.7997989654541016</v>
      </c>
      <c r="BX4">
        <v>38.606468200683594</v>
      </c>
      <c r="BY4">
        <v>95.1370849609375</v>
      </c>
      <c r="BZ4">
        <v>1.3217248916625977</v>
      </c>
      <c r="CA4">
        <v>2.399526834487915</v>
      </c>
      <c r="CB4">
        <v>3.1460092067718506</v>
      </c>
      <c r="CC4">
        <v>3.8924915790557861</v>
      </c>
      <c r="CD4">
        <v>4.9702935218811035</v>
      </c>
      <c r="CE4">
        <v>39.706436157226563</v>
      </c>
      <c r="CF4">
        <v>96.297416687011719</v>
      </c>
      <c r="CG4">
        <v>1.2467652559280396</v>
      </c>
      <c r="CH4">
        <v>2.3209526538848877</v>
      </c>
      <c r="CI4">
        <v>3.0649316310882568</v>
      </c>
      <c r="CJ4">
        <v>3.808910608291626</v>
      </c>
      <c r="CK4">
        <v>4.8830981254577637</v>
      </c>
      <c r="CL4">
        <v>39.854785919189453</v>
      </c>
      <c r="CM4">
        <v>95.267745971679688</v>
      </c>
      <c r="CN4">
        <v>1.0367574691772461</v>
      </c>
      <c r="CO4">
        <v>2.043407678604126</v>
      </c>
      <c r="CP4">
        <v>2.7406103610992432</v>
      </c>
      <c r="CQ4">
        <v>3.4378130435943604</v>
      </c>
      <c r="CR4">
        <v>4.4444632530212402</v>
      </c>
      <c r="CS4">
        <v>39.526626586914063</v>
      </c>
      <c r="CT4">
        <v>95.840644836425781</v>
      </c>
      <c r="CU4">
        <v>4.5443286895751953</v>
      </c>
      <c r="CV4">
        <v>5.5777430534362793</v>
      </c>
      <c r="CW4">
        <v>6.293482780456543</v>
      </c>
      <c r="CX4">
        <v>7.0092225074768066</v>
      </c>
      <c r="CY4">
        <v>8.0426368713378906</v>
      </c>
      <c r="CZ4">
        <v>38.878910064697266</v>
      </c>
      <c r="DA4">
        <v>95.828300476074219</v>
      </c>
      <c r="DB4">
        <v>5.2252135276794434</v>
      </c>
      <c r="DC4">
        <v>6.1789703369140625</v>
      </c>
      <c r="DD4">
        <v>6.8395390510559082</v>
      </c>
      <c r="DE4">
        <v>7.5001077651977539</v>
      </c>
      <c r="DF4">
        <v>8.4538640975952148</v>
      </c>
      <c r="DG4">
        <v>39.52801513671875</v>
      </c>
      <c r="DH4">
        <v>96.549995422363281</v>
      </c>
      <c r="DI4">
        <v>8.6822586059570312</v>
      </c>
      <c r="DJ4">
        <v>9.7504024505615234</v>
      </c>
      <c r="DK4">
        <v>10.490196228027344</v>
      </c>
      <c r="DL4">
        <v>11.229990005493164</v>
      </c>
      <c r="DM4">
        <v>12.298133850097656</v>
      </c>
      <c r="DN4">
        <v>38.951622009277344</v>
      </c>
      <c r="DO4">
        <v>94.233535766601562</v>
      </c>
      <c r="DP4">
        <v>9.3210992813110352</v>
      </c>
      <c r="DQ4">
        <v>10.331355094909668</v>
      </c>
      <c r="DR4">
        <v>11.031055450439453</v>
      </c>
      <c r="DS4">
        <v>11.730755805969238</v>
      </c>
      <c r="DT4">
        <v>12.741011619567871</v>
      </c>
      <c r="DU4">
        <v>37.255592346191406</v>
      </c>
      <c r="DV4">
        <v>90.051856994628906</v>
      </c>
      <c r="DW4">
        <v>8.4539289474487305</v>
      </c>
      <c r="DX4">
        <v>9.4570226669311523</v>
      </c>
      <c r="DY4">
        <v>10.151762962341309</v>
      </c>
      <c r="DZ4">
        <v>10.846503257751465</v>
      </c>
      <c r="EA4">
        <v>11.849596977233887</v>
      </c>
      <c r="EB4">
        <v>29.673555374145508</v>
      </c>
      <c r="EC4">
        <v>87.828208923339844</v>
      </c>
      <c r="ED4">
        <v>5.2753448486328125</v>
      </c>
      <c r="EE4">
        <v>6.2747831344604492</v>
      </c>
      <c r="EF4">
        <v>6.9669909477233887</v>
      </c>
      <c r="EG4">
        <v>7.6591987609863281</v>
      </c>
      <c r="EH4">
        <v>8.6586370468139648</v>
      </c>
      <c r="EI4">
        <v>27.205631256103516</v>
      </c>
      <c r="EJ4">
        <v>82.257255554199219</v>
      </c>
      <c r="EK4">
        <v>-0.32022175192832947</v>
      </c>
      <c r="EL4">
        <v>0.63936740159988403</v>
      </c>
      <c r="EM4">
        <v>1.3039759397506714</v>
      </c>
      <c r="EN4">
        <v>1.968584418296814</v>
      </c>
      <c r="EO4">
        <v>2.9281735420227051</v>
      </c>
      <c r="EP4">
        <v>26.351959228515625</v>
      </c>
      <c r="EQ4">
        <v>78.528923034667969</v>
      </c>
      <c r="ER4">
        <v>-4.6302528381347656</v>
      </c>
      <c r="ES4">
        <v>-3.6528096199035645</v>
      </c>
      <c r="ET4">
        <v>-2.9758355617523193</v>
      </c>
      <c r="EU4">
        <v>-2.2988615036010742</v>
      </c>
      <c r="EV4">
        <v>-1.3214185237884521</v>
      </c>
      <c r="EW4">
        <v>22.875009536743164</v>
      </c>
      <c r="EX4">
        <v>75.174362182617188</v>
      </c>
      <c r="EY4">
        <v>-3.8802547454833984</v>
      </c>
      <c r="EZ4">
        <v>-2.9522604942321777</v>
      </c>
      <c r="FA4">
        <v>-2.3095345497131348</v>
      </c>
      <c r="FB4">
        <v>-1.6668086051940918</v>
      </c>
      <c r="FC4">
        <v>-0.73881435394287109</v>
      </c>
      <c r="FD4">
        <v>20.038478851318359</v>
      </c>
      <c r="FE4">
        <v>72.152122497558594</v>
      </c>
      <c r="FF4">
        <v>-4.374420166015625</v>
      </c>
      <c r="FG4">
        <v>-3.4727268218994141</v>
      </c>
      <c r="FH4">
        <v>-2.8482170104980469</v>
      </c>
      <c r="FI4">
        <v>-2.2237071990966797</v>
      </c>
      <c r="FJ4">
        <v>-1.3220139741897583</v>
      </c>
      <c r="FK4">
        <v>18.965578079223633</v>
      </c>
      <c r="FL4">
        <v>70.785560607910156</v>
      </c>
      <c r="FM4">
        <v>-3.7712764739990234</v>
      </c>
      <c r="FN4">
        <v>-2.8731951713562012</v>
      </c>
      <c r="FO4">
        <v>-2.2511868476867676</v>
      </c>
      <c r="FP4">
        <v>-1.6291784048080444</v>
      </c>
      <c r="FQ4">
        <v>-0.73109710216522217</v>
      </c>
      <c r="FR4">
        <v>161</v>
      </c>
      <c r="FS4">
        <v>9.3731701374053955E-2</v>
      </c>
      <c r="FT4">
        <v>1</v>
      </c>
    </row>
    <row r="5" spans="1:176" x14ac:dyDescent="0.2">
      <c r="A5" t="s">
        <v>1</v>
      </c>
      <c r="B5" t="s">
        <v>227</v>
      </c>
      <c r="C5" t="s">
        <v>235</v>
      </c>
      <c r="D5">
        <v>162</v>
      </c>
      <c r="E5">
        <v>162</v>
      </c>
      <c r="F5">
        <v>22.959999084472656</v>
      </c>
      <c r="G5">
        <v>69.377212524414063</v>
      </c>
      <c r="H5">
        <v>-0.18168918788433075</v>
      </c>
      <c r="I5">
        <v>0.52041441202163696</v>
      </c>
      <c r="J5">
        <v>1.006689190864563</v>
      </c>
      <c r="K5">
        <v>1.4929640293121338</v>
      </c>
      <c r="L5">
        <v>2.1950676441192627</v>
      </c>
      <c r="M5">
        <v>22.614007949829102</v>
      </c>
      <c r="N5">
        <v>69.964569091796875</v>
      </c>
      <c r="O5">
        <v>-0.23917904496192932</v>
      </c>
      <c r="P5">
        <v>0.41271704435348511</v>
      </c>
      <c r="Q5">
        <v>0.86421829462051392</v>
      </c>
      <c r="R5">
        <v>1.3157194852828979</v>
      </c>
      <c r="S5">
        <v>1.9676156044006348</v>
      </c>
      <c r="T5">
        <v>22.785299301147461</v>
      </c>
      <c r="U5">
        <v>68.145248413085938</v>
      </c>
      <c r="V5">
        <v>0.5331234335899353</v>
      </c>
      <c r="W5">
        <v>1.1943656206130981</v>
      </c>
      <c r="X5">
        <v>1.6523399353027344</v>
      </c>
      <c r="Y5">
        <v>2.1103143692016602</v>
      </c>
      <c r="Z5">
        <v>2.7715563774108887</v>
      </c>
      <c r="AA5">
        <v>23.205221176147461</v>
      </c>
      <c r="AB5">
        <v>68.545097351074219</v>
      </c>
      <c r="AC5">
        <v>-0.70235580205917358</v>
      </c>
      <c r="AD5">
        <v>-5.4170120507478714E-2</v>
      </c>
      <c r="AE5">
        <v>0.39476132392883301</v>
      </c>
      <c r="AF5">
        <v>0.84369277954101563</v>
      </c>
      <c r="AG5">
        <v>1.4918785095214844</v>
      </c>
      <c r="AH5">
        <v>25.015756607055664</v>
      </c>
      <c r="AI5">
        <v>67.945541381835938</v>
      </c>
      <c r="AJ5">
        <v>-1.4418301582336426</v>
      </c>
      <c r="AK5">
        <v>-0.72424817085266113</v>
      </c>
      <c r="AL5">
        <v>-0.22725304961204529</v>
      </c>
      <c r="AM5">
        <v>0.26974204182624817</v>
      </c>
      <c r="AN5">
        <v>0.987324059009552</v>
      </c>
      <c r="AO5">
        <v>28.315858840942383</v>
      </c>
      <c r="AP5">
        <v>67.759010314941406</v>
      </c>
      <c r="AQ5">
        <v>-1.3700425624847412</v>
      </c>
      <c r="AR5">
        <v>-0.65485930442810059</v>
      </c>
      <c r="AS5">
        <v>-0.15952561795711517</v>
      </c>
      <c r="AT5">
        <v>0.33580809831619263</v>
      </c>
      <c r="AU5">
        <v>1.0509912967681885</v>
      </c>
      <c r="AV5">
        <v>31.242818832397461</v>
      </c>
      <c r="AW5">
        <v>69.700576782226563</v>
      </c>
      <c r="AX5">
        <v>-0.61806076765060425</v>
      </c>
      <c r="AY5">
        <v>4.8329383134841919E-2</v>
      </c>
      <c r="AZ5">
        <v>0.50986915826797485</v>
      </c>
      <c r="BA5">
        <v>0.97140896320343018</v>
      </c>
      <c r="BB5">
        <v>1.6377990245819092</v>
      </c>
      <c r="BC5">
        <v>34.619266510009766</v>
      </c>
      <c r="BD5">
        <v>73.398796081542969</v>
      </c>
      <c r="BE5">
        <v>-2.5246081352233887</v>
      </c>
      <c r="BF5">
        <v>-1.8171505928039551</v>
      </c>
      <c r="BG5">
        <v>-1.3271677494049072</v>
      </c>
      <c r="BH5">
        <v>-0.8371848464012146</v>
      </c>
      <c r="BI5">
        <v>-0.12972742319107056</v>
      </c>
      <c r="BJ5">
        <v>38.412284851074219</v>
      </c>
      <c r="BK5">
        <v>76.677947998046875</v>
      </c>
      <c r="BL5">
        <v>-3.5498390197753906</v>
      </c>
      <c r="BM5">
        <v>-2.8088057041168213</v>
      </c>
      <c r="BN5">
        <v>-2.2955684661865234</v>
      </c>
      <c r="BO5">
        <v>-1.782331109046936</v>
      </c>
      <c r="BP5">
        <v>-1.0412979125976563</v>
      </c>
      <c r="BQ5">
        <v>41.551837921142578</v>
      </c>
      <c r="BR5">
        <v>78.598548889160156</v>
      </c>
      <c r="BS5">
        <v>-2.2569513320922852</v>
      </c>
      <c r="BT5">
        <v>-1.4735902547836304</v>
      </c>
      <c r="BU5">
        <v>-0.93103682994842529</v>
      </c>
      <c r="BV5">
        <v>-0.38848334550857544</v>
      </c>
      <c r="BW5">
        <v>0.39487767219543457</v>
      </c>
      <c r="BX5">
        <v>43.774486541748047</v>
      </c>
      <c r="BY5">
        <v>81.085952758789063</v>
      </c>
      <c r="BZ5">
        <v>-3.8339169025421143</v>
      </c>
      <c r="CA5">
        <v>-2.9889330863952637</v>
      </c>
      <c r="CB5">
        <v>-2.4036998748779297</v>
      </c>
      <c r="CC5">
        <v>-1.8184666633605957</v>
      </c>
      <c r="CD5">
        <v>-0.97348290681838989</v>
      </c>
      <c r="CE5">
        <v>44.730712890625</v>
      </c>
      <c r="CF5">
        <v>82.852073669433594</v>
      </c>
      <c r="CG5">
        <v>-3.290107250213623</v>
      </c>
      <c r="CH5">
        <v>-2.4324727058410645</v>
      </c>
      <c r="CI5">
        <v>-1.8384777307510376</v>
      </c>
      <c r="CJ5">
        <v>-1.2444827556610107</v>
      </c>
      <c r="CK5">
        <v>-0.38684827089309692</v>
      </c>
      <c r="CL5">
        <v>44.737068176269531</v>
      </c>
      <c r="CM5">
        <v>83.322303771972656</v>
      </c>
      <c r="CN5">
        <v>-2.4782259464263916</v>
      </c>
      <c r="CO5">
        <v>-1.6452808380126953</v>
      </c>
      <c r="CP5">
        <v>-1.0683856010437012</v>
      </c>
      <c r="CQ5">
        <v>-0.49149033427238464</v>
      </c>
      <c r="CR5">
        <v>0.34145483374595642</v>
      </c>
      <c r="CS5">
        <v>44.598392486572266</v>
      </c>
      <c r="CT5">
        <v>83.554512023925781</v>
      </c>
      <c r="CU5">
        <v>-1.9792376756668091</v>
      </c>
      <c r="CV5">
        <v>-1.184256911277771</v>
      </c>
      <c r="CW5">
        <v>-0.6336556077003479</v>
      </c>
      <c r="CX5">
        <v>-8.3054348826408386E-2</v>
      </c>
      <c r="CY5">
        <v>0.71192640066146851</v>
      </c>
      <c r="CZ5">
        <v>44.379997253417969</v>
      </c>
      <c r="DA5">
        <v>84.02239990234375</v>
      </c>
      <c r="DB5">
        <v>4.9684720039367676</v>
      </c>
      <c r="DC5">
        <v>5.7361063957214355</v>
      </c>
      <c r="DD5">
        <v>6.2677674293518066</v>
      </c>
      <c r="DE5">
        <v>6.7994284629821777</v>
      </c>
      <c r="DF5">
        <v>7.5670628547668457</v>
      </c>
      <c r="DG5">
        <v>43.782634735107422</v>
      </c>
      <c r="DH5">
        <v>83.576286315917969</v>
      </c>
      <c r="DI5">
        <v>9.5529050827026367</v>
      </c>
      <c r="DJ5">
        <v>10.299378395080566</v>
      </c>
      <c r="DK5">
        <v>10.816383361816406</v>
      </c>
      <c r="DL5">
        <v>11.333388328552246</v>
      </c>
      <c r="DM5">
        <v>12.079861640930176</v>
      </c>
      <c r="DN5">
        <v>42.604831695556641</v>
      </c>
      <c r="DO5">
        <v>83.180938720703125</v>
      </c>
      <c r="DP5">
        <v>9.9787635803222656</v>
      </c>
      <c r="DQ5">
        <v>10.730581283569336</v>
      </c>
      <c r="DR5">
        <v>11.251287460327148</v>
      </c>
      <c r="DS5">
        <v>11.771993637084961</v>
      </c>
      <c r="DT5">
        <v>12.523811340332031</v>
      </c>
      <c r="DU5">
        <v>40.116294860839844</v>
      </c>
      <c r="DV5">
        <v>81.776771545410156</v>
      </c>
      <c r="DW5">
        <v>9.0510339736938477</v>
      </c>
      <c r="DX5">
        <v>9.8106603622436523</v>
      </c>
      <c r="DY5">
        <v>10.336775779724121</v>
      </c>
      <c r="DZ5">
        <v>10.86289119720459</v>
      </c>
      <c r="EA5">
        <v>11.622517585754395</v>
      </c>
      <c r="EB5">
        <v>33.268524169921875</v>
      </c>
      <c r="EC5">
        <v>79.488372802734375</v>
      </c>
      <c r="ED5">
        <v>7.6805386543273926</v>
      </c>
      <c r="EE5">
        <v>8.4476757049560547</v>
      </c>
      <c r="EF5">
        <v>8.9789924621582031</v>
      </c>
      <c r="EG5">
        <v>9.5103092193603516</v>
      </c>
      <c r="EH5">
        <v>10.277446746826172</v>
      </c>
      <c r="EI5">
        <v>30.877622604370117</v>
      </c>
      <c r="EJ5">
        <v>76.026023864746094</v>
      </c>
      <c r="EK5">
        <v>4.620356559753418</v>
      </c>
      <c r="EL5">
        <v>5.3853740692138672</v>
      </c>
      <c r="EM5">
        <v>5.9152231216430664</v>
      </c>
      <c r="EN5">
        <v>6.4450721740722656</v>
      </c>
      <c r="EO5">
        <v>7.2100896835327148</v>
      </c>
      <c r="EP5">
        <v>30.019399642944336</v>
      </c>
      <c r="EQ5">
        <v>73.107612609863281</v>
      </c>
      <c r="ER5">
        <v>0.22825998067855835</v>
      </c>
      <c r="ES5">
        <v>0.97996032238006592</v>
      </c>
      <c r="ET5">
        <v>1.500585675239563</v>
      </c>
      <c r="EU5">
        <v>2.0212111473083496</v>
      </c>
      <c r="EV5">
        <v>2.7729113101959229</v>
      </c>
      <c r="EW5">
        <v>26.355148315429688</v>
      </c>
      <c r="EX5">
        <v>72.608619689941406</v>
      </c>
      <c r="EY5">
        <v>0.16694195568561554</v>
      </c>
      <c r="EZ5">
        <v>0.89693313837051392</v>
      </c>
      <c r="FA5">
        <v>1.4025228023529053</v>
      </c>
      <c r="FB5">
        <v>1.9081125259399414</v>
      </c>
      <c r="FC5">
        <v>2.638103723526001</v>
      </c>
      <c r="FD5">
        <v>24.150186538696289</v>
      </c>
      <c r="FE5">
        <v>71.1832275390625</v>
      </c>
      <c r="FF5">
        <v>-0.38099050521850586</v>
      </c>
      <c r="FG5">
        <v>0.33600670099258423</v>
      </c>
      <c r="FH5">
        <v>0.83259677886962891</v>
      </c>
      <c r="FI5">
        <v>1.3291867971420288</v>
      </c>
      <c r="FJ5">
        <v>2.0461840629577637</v>
      </c>
      <c r="FK5">
        <v>23.072494506835938</v>
      </c>
      <c r="FL5">
        <v>70.732666015625</v>
      </c>
      <c r="FM5">
        <v>-0.77530628442764282</v>
      </c>
      <c r="FN5">
        <v>-6.8040512502193451E-2</v>
      </c>
      <c r="FO5">
        <v>0.42180958390235901</v>
      </c>
      <c r="FP5">
        <v>0.91165965795516968</v>
      </c>
      <c r="FQ5">
        <v>1.6189254522323608</v>
      </c>
      <c r="FR5">
        <v>162</v>
      </c>
      <c r="FS5">
        <v>0.13917289674282074</v>
      </c>
      <c r="FT5">
        <v>1</v>
      </c>
    </row>
    <row r="6" spans="1:176" x14ac:dyDescent="0.2">
      <c r="A6" t="s">
        <v>1</v>
      </c>
      <c r="B6" t="s">
        <v>227</v>
      </c>
      <c r="C6" t="s">
        <v>236</v>
      </c>
      <c r="D6">
        <v>162</v>
      </c>
      <c r="E6">
        <v>162</v>
      </c>
      <c r="F6">
        <v>21.096019744873047</v>
      </c>
      <c r="G6">
        <v>69.501953125</v>
      </c>
      <c r="H6">
        <v>-2.395707368850708</v>
      </c>
      <c r="I6">
        <v>-1.6980595588684082</v>
      </c>
      <c r="J6">
        <v>-1.214870810508728</v>
      </c>
      <c r="K6">
        <v>-0.73168206214904785</v>
      </c>
      <c r="L6">
        <v>-3.4034211188554764E-2</v>
      </c>
      <c r="M6">
        <v>20.439104080200195</v>
      </c>
      <c r="N6">
        <v>69.359153747558594</v>
      </c>
      <c r="O6">
        <v>-2.3033759593963623</v>
      </c>
      <c r="P6">
        <v>-1.689316987991333</v>
      </c>
      <c r="Q6">
        <v>-1.264021635055542</v>
      </c>
      <c r="R6">
        <v>-0.83872628211975098</v>
      </c>
      <c r="S6">
        <v>-0.22466728091239929</v>
      </c>
      <c r="T6">
        <v>20.234563827514648</v>
      </c>
      <c r="U6">
        <v>68.951026916503906</v>
      </c>
      <c r="V6">
        <v>-1.8320484161376953</v>
      </c>
      <c r="W6">
        <v>-1.1915198564529419</v>
      </c>
      <c r="X6">
        <v>-0.74789166450500488</v>
      </c>
      <c r="Y6">
        <v>-0.30426350235939026</v>
      </c>
      <c r="Z6">
        <v>0.33626508712768555</v>
      </c>
      <c r="AA6">
        <v>20.518735885620117</v>
      </c>
      <c r="AB6">
        <v>67.905654907226562</v>
      </c>
      <c r="AC6">
        <v>-2.4223489761352539</v>
      </c>
      <c r="AD6">
        <v>-1.7889194488525391</v>
      </c>
      <c r="AE6">
        <v>-1.3502081632614136</v>
      </c>
      <c r="AF6">
        <v>-0.91149687767028809</v>
      </c>
      <c r="AG6">
        <v>-0.27806746959686279</v>
      </c>
      <c r="AH6">
        <v>22.037771224975586</v>
      </c>
      <c r="AI6">
        <v>68.444648742675781</v>
      </c>
      <c r="AJ6">
        <v>-3.1268060207366943</v>
      </c>
      <c r="AK6">
        <v>-2.4467108249664307</v>
      </c>
      <c r="AL6">
        <v>-1.9756788015365601</v>
      </c>
      <c r="AM6">
        <v>-1.504646897315979</v>
      </c>
      <c r="AN6">
        <v>-0.82455164194107056</v>
      </c>
      <c r="AO6">
        <v>25.134096145629883</v>
      </c>
      <c r="AP6">
        <v>68.452919006347656</v>
      </c>
      <c r="AQ6">
        <v>-3.4492273330688477</v>
      </c>
      <c r="AR6">
        <v>-2.782787561416626</v>
      </c>
      <c r="AS6">
        <v>-2.3212134838104248</v>
      </c>
      <c r="AT6">
        <v>-1.8596394062042236</v>
      </c>
      <c r="AU6">
        <v>-1.1931997537612915</v>
      </c>
      <c r="AV6">
        <v>27.571470260620117</v>
      </c>
      <c r="AW6">
        <v>69.562942504882813</v>
      </c>
      <c r="AX6">
        <v>-1.8205952644348145</v>
      </c>
      <c r="AY6">
        <v>-1.1601661443710327</v>
      </c>
      <c r="AZ6">
        <v>-0.7027549147605896</v>
      </c>
      <c r="BA6">
        <v>-0.24534371495246887</v>
      </c>
      <c r="BB6">
        <v>0.41508540511131287</v>
      </c>
      <c r="BC6">
        <v>30.376630783081055</v>
      </c>
      <c r="BD6">
        <v>72.759208679199219</v>
      </c>
      <c r="BE6">
        <v>3.9536360651254654E-2</v>
      </c>
      <c r="BF6">
        <v>0.72004687786102295</v>
      </c>
      <c r="BG6">
        <v>1.19136643409729</v>
      </c>
      <c r="BH6">
        <v>1.6626859903335571</v>
      </c>
      <c r="BI6">
        <v>2.3431963920593262</v>
      </c>
      <c r="BJ6">
        <v>33.123149871826172</v>
      </c>
      <c r="BK6">
        <v>75.978736877441406</v>
      </c>
      <c r="BL6">
        <v>2.0073258876800537</v>
      </c>
      <c r="BM6">
        <v>2.778766393661499</v>
      </c>
      <c r="BN6">
        <v>3.3130636215209961</v>
      </c>
      <c r="BO6">
        <v>3.8473608493804932</v>
      </c>
      <c r="BP6">
        <v>4.6188015937805176</v>
      </c>
      <c r="BQ6">
        <v>36.101539611816406</v>
      </c>
      <c r="BR6">
        <v>80.113090515136719</v>
      </c>
      <c r="BS6">
        <v>1.8132038116455078</v>
      </c>
      <c r="BT6">
        <v>2.6137282848358154</v>
      </c>
      <c r="BU6">
        <v>3.1681690216064453</v>
      </c>
      <c r="BV6">
        <v>3.7226097583770752</v>
      </c>
      <c r="BW6">
        <v>4.5231342315673828</v>
      </c>
      <c r="BX6">
        <v>38.316501617431641</v>
      </c>
      <c r="BY6">
        <v>81.397499084472656</v>
      </c>
      <c r="BZ6">
        <v>1.0083879232406616</v>
      </c>
      <c r="CA6">
        <v>1.8425114154815674</v>
      </c>
      <c r="CB6">
        <v>2.4202227592468262</v>
      </c>
      <c r="CC6">
        <v>2.997934103012085</v>
      </c>
      <c r="CD6">
        <v>3.8320577144622803</v>
      </c>
      <c r="CE6">
        <v>39.091251373291016</v>
      </c>
      <c r="CF6">
        <v>83.052093505859375</v>
      </c>
      <c r="CG6">
        <v>-0.92726427316665649</v>
      </c>
      <c r="CH6">
        <v>-6.5340153872966766E-2</v>
      </c>
      <c r="CI6">
        <v>0.53162586688995361</v>
      </c>
      <c r="CJ6">
        <v>1.1285918951034546</v>
      </c>
      <c r="CK6">
        <v>1.9905159473419189</v>
      </c>
      <c r="CL6">
        <v>39.516132354736328</v>
      </c>
      <c r="CM6">
        <v>83.851112365722656</v>
      </c>
      <c r="CN6">
        <v>-1.279882550239563</v>
      </c>
      <c r="CO6">
        <v>-0.46427980065345764</v>
      </c>
      <c r="CP6">
        <v>0.10060420632362366</v>
      </c>
      <c r="CQ6">
        <v>0.66548824310302734</v>
      </c>
      <c r="CR6">
        <v>1.4810910224914551</v>
      </c>
      <c r="CS6">
        <v>39.927703857421875</v>
      </c>
      <c r="CT6">
        <v>85.918746948242188</v>
      </c>
      <c r="CU6">
        <v>1.7690942287445068</v>
      </c>
      <c r="CV6">
        <v>2.5981388092041016</v>
      </c>
      <c r="CW6">
        <v>3.1723325252532959</v>
      </c>
      <c r="CX6">
        <v>3.7465262413024902</v>
      </c>
      <c r="CY6">
        <v>4.5755710601806641</v>
      </c>
      <c r="CZ6">
        <v>39.375343322753906</v>
      </c>
      <c r="DA6">
        <v>84.988731384277344</v>
      </c>
      <c r="DB6">
        <v>5.2680788040161133</v>
      </c>
      <c r="DC6">
        <v>6.0438690185546875</v>
      </c>
      <c r="DD6">
        <v>6.5811786651611328</v>
      </c>
      <c r="DE6">
        <v>7.1184883117675781</v>
      </c>
      <c r="DF6">
        <v>7.8942785263061523</v>
      </c>
      <c r="DG6">
        <v>39.651912689208984</v>
      </c>
      <c r="DH6">
        <v>84.666305541992188</v>
      </c>
      <c r="DI6">
        <v>5.4602060317993164</v>
      </c>
      <c r="DJ6">
        <v>6.2103419303894043</v>
      </c>
      <c r="DK6">
        <v>6.7298836708068848</v>
      </c>
      <c r="DL6">
        <v>7.2494254112243652</v>
      </c>
      <c r="DM6">
        <v>7.9995613098144531</v>
      </c>
      <c r="DN6">
        <v>38.665531158447266</v>
      </c>
      <c r="DO6">
        <v>83.286735534667969</v>
      </c>
      <c r="DP6">
        <v>5.5775179862976074</v>
      </c>
      <c r="DQ6">
        <v>6.3221511840820313</v>
      </c>
      <c r="DR6">
        <v>6.8378820419311523</v>
      </c>
      <c r="DS6">
        <v>7.3536128997802734</v>
      </c>
      <c r="DT6">
        <v>8.0982456207275391</v>
      </c>
      <c r="DU6">
        <v>36.66973876953125</v>
      </c>
      <c r="DV6">
        <v>81.060890197753906</v>
      </c>
      <c r="DW6">
        <v>4.855492115020752</v>
      </c>
      <c r="DX6">
        <v>5.6513023376464844</v>
      </c>
      <c r="DY6">
        <v>6.2024779319763184</v>
      </c>
      <c r="DZ6">
        <v>6.7536535263061523</v>
      </c>
      <c r="EA6">
        <v>7.5494637489318848</v>
      </c>
      <c r="EB6">
        <v>30.031425476074219</v>
      </c>
      <c r="EC6">
        <v>77.592247009277344</v>
      </c>
      <c r="ED6">
        <v>0.2839851975440979</v>
      </c>
      <c r="EE6">
        <v>1.051327109336853</v>
      </c>
      <c r="EF6">
        <v>1.5827857255935669</v>
      </c>
      <c r="EG6">
        <v>2.1142444610595703</v>
      </c>
      <c r="EH6">
        <v>2.8815863132476807</v>
      </c>
      <c r="EI6">
        <v>27.966072082519531</v>
      </c>
      <c r="EJ6">
        <v>73.745651245117187</v>
      </c>
      <c r="EK6">
        <v>-2.6957881450653076</v>
      </c>
      <c r="EL6">
        <v>-1.9301389455795288</v>
      </c>
      <c r="EM6">
        <v>-1.3998526334762573</v>
      </c>
      <c r="EN6">
        <v>-0.86956638097763062</v>
      </c>
      <c r="EO6">
        <v>-0.103917196393013</v>
      </c>
      <c r="EP6">
        <v>27.333768844604492</v>
      </c>
      <c r="EQ6">
        <v>71.952735900878906</v>
      </c>
      <c r="ER6">
        <v>-2.5155038833618164</v>
      </c>
      <c r="ES6">
        <v>-1.7789095640182495</v>
      </c>
      <c r="ET6">
        <v>-1.2687466144561768</v>
      </c>
      <c r="EU6">
        <v>-0.758583664894104</v>
      </c>
      <c r="EV6">
        <v>-2.1989447996020317E-2</v>
      </c>
      <c r="EW6">
        <v>24.054544448852539</v>
      </c>
      <c r="EX6">
        <v>71.192825317382813</v>
      </c>
      <c r="EY6">
        <v>-3.5388565063476563</v>
      </c>
      <c r="EZ6">
        <v>-2.8055894374847412</v>
      </c>
      <c r="FA6">
        <v>-2.2977306842803955</v>
      </c>
      <c r="FB6">
        <v>-1.7898720502853394</v>
      </c>
      <c r="FC6">
        <v>-1.0566047430038452</v>
      </c>
      <c r="FD6">
        <v>21.89854621887207</v>
      </c>
      <c r="FE6">
        <v>69.792922973632813</v>
      </c>
      <c r="FF6">
        <v>-3.6482133865356445</v>
      </c>
      <c r="FG6">
        <v>-2.9369874000549316</v>
      </c>
      <c r="FH6">
        <v>-2.4443943500518799</v>
      </c>
      <c r="FI6">
        <v>-1.9518014192581177</v>
      </c>
      <c r="FJ6">
        <v>-1.2405753135681152</v>
      </c>
      <c r="FK6">
        <v>21.220668792724609</v>
      </c>
      <c r="FL6">
        <v>68.032073974609375</v>
      </c>
      <c r="FM6">
        <v>-1.8893889188766479</v>
      </c>
      <c r="FN6">
        <v>-1.1320278644561768</v>
      </c>
      <c r="FO6">
        <v>-0.60748183727264404</v>
      </c>
      <c r="FP6">
        <v>-8.293585479259491E-2</v>
      </c>
      <c r="FQ6">
        <v>0.67442524433135986</v>
      </c>
      <c r="FR6">
        <v>162</v>
      </c>
      <c r="FS6">
        <v>9.3978658318519592E-2</v>
      </c>
      <c r="FT6">
        <v>1</v>
      </c>
    </row>
    <row r="7" spans="1:176" x14ac:dyDescent="0.2">
      <c r="A7" t="s">
        <v>1</v>
      </c>
      <c r="B7" t="s">
        <v>227</v>
      </c>
      <c r="C7" t="s">
        <v>237</v>
      </c>
      <c r="D7">
        <v>161</v>
      </c>
      <c r="E7">
        <v>161</v>
      </c>
      <c r="F7">
        <v>22.299955368041992</v>
      </c>
      <c r="G7">
        <v>67.985107421875</v>
      </c>
      <c r="H7">
        <v>0.11525336652994156</v>
      </c>
      <c r="I7">
        <v>0.79216963052749634</v>
      </c>
      <c r="J7">
        <v>1.2609997987747192</v>
      </c>
      <c r="K7">
        <v>1.7298299074172974</v>
      </c>
      <c r="L7">
        <v>2.4067461490631104</v>
      </c>
      <c r="M7">
        <v>22.013261795043945</v>
      </c>
      <c r="N7">
        <v>68.111900329589844</v>
      </c>
      <c r="O7">
        <v>0.19317853450775146</v>
      </c>
      <c r="P7">
        <v>0.83639651536941528</v>
      </c>
      <c r="Q7">
        <v>1.2818872928619385</v>
      </c>
      <c r="R7">
        <v>1.7273781299591064</v>
      </c>
      <c r="S7">
        <v>2.370596170425415</v>
      </c>
      <c r="T7">
        <v>21.910974502563477</v>
      </c>
      <c r="U7">
        <v>67.747962951660156</v>
      </c>
      <c r="V7">
        <v>0.45370465517044067</v>
      </c>
      <c r="W7">
        <v>1.1035935878753662</v>
      </c>
      <c r="X7">
        <v>1.5537046194076538</v>
      </c>
      <c r="Y7">
        <v>2.0038156509399414</v>
      </c>
      <c r="Z7">
        <v>2.6537046432495117</v>
      </c>
      <c r="AA7">
        <v>22.210334777832031</v>
      </c>
      <c r="AB7">
        <v>66.865638732910156</v>
      </c>
      <c r="AC7">
        <v>4.4995332136750221E-3</v>
      </c>
      <c r="AD7">
        <v>0.65277272462844849</v>
      </c>
      <c r="AE7">
        <v>1.1017647981643677</v>
      </c>
      <c r="AF7">
        <v>1.5507568120956421</v>
      </c>
      <c r="AG7">
        <v>2.1990301609039307</v>
      </c>
      <c r="AH7">
        <v>23.626951217651367</v>
      </c>
      <c r="AI7">
        <v>66.981536865234375</v>
      </c>
      <c r="AJ7">
        <v>-0.85605478286743164</v>
      </c>
      <c r="AK7">
        <v>-0.17880196869373322</v>
      </c>
      <c r="AL7">
        <v>0.29026126861572266</v>
      </c>
      <c r="AM7">
        <v>0.75932449102401733</v>
      </c>
      <c r="AN7">
        <v>1.436577320098877</v>
      </c>
      <c r="AO7">
        <v>27.017801284790039</v>
      </c>
      <c r="AP7">
        <v>67.435829162597656</v>
      </c>
      <c r="AQ7">
        <v>-1.3258084058761597</v>
      </c>
      <c r="AR7">
        <v>-0.6552354097366333</v>
      </c>
      <c r="AS7">
        <v>-0.19079865515232086</v>
      </c>
      <c r="AT7">
        <v>0.27363812923431396</v>
      </c>
      <c r="AU7">
        <v>0.94421106576919556</v>
      </c>
      <c r="AV7">
        <v>29.720720291137695</v>
      </c>
      <c r="AW7">
        <v>67.792160034179687</v>
      </c>
      <c r="AX7">
        <v>-1.5710901021957397</v>
      </c>
      <c r="AY7">
        <v>-0.89419752359390259</v>
      </c>
      <c r="AZ7">
        <v>-0.42538377642631531</v>
      </c>
      <c r="BA7">
        <v>4.3429967015981674E-2</v>
      </c>
      <c r="BB7">
        <v>0.72032254934310913</v>
      </c>
      <c r="BC7">
        <v>32.867935180664063</v>
      </c>
      <c r="BD7">
        <v>70.275100708007813</v>
      </c>
      <c r="BE7">
        <v>-1.7846873998641968</v>
      </c>
      <c r="BF7">
        <v>-1.0795317888259888</v>
      </c>
      <c r="BG7">
        <v>-0.59114307165145874</v>
      </c>
      <c r="BH7">
        <v>-0.10275441408157349</v>
      </c>
      <c r="BI7">
        <v>0.6024012565612793</v>
      </c>
      <c r="BJ7">
        <v>36.721855163574219</v>
      </c>
      <c r="BK7">
        <v>72.446670532226562</v>
      </c>
      <c r="BL7">
        <v>-2.244563102722168</v>
      </c>
      <c r="BM7">
        <v>-1.4653002023696899</v>
      </c>
      <c r="BN7">
        <v>-0.92558497190475464</v>
      </c>
      <c r="BO7">
        <v>-0.38586980104446411</v>
      </c>
      <c r="BP7">
        <v>0.39339318871498108</v>
      </c>
      <c r="BQ7">
        <v>39.926643371582031</v>
      </c>
      <c r="BR7">
        <v>75.497726440429687</v>
      </c>
      <c r="BS7">
        <v>-2.6797051429748535</v>
      </c>
      <c r="BT7">
        <v>-1.8671818971633911</v>
      </c>
      <c r="BU7">
        <v>-1.3044307231903076</v>
      </c>
      <c r="BV7">
        <v>-0.7416796088218689</v>
      </c>
      <c r="BW7">
        <v>7.0843629539012909E-2</v>
      </c>
      <c r="BX7">
        <v>42.990367889404297</v>
      </c>
      <c r="BY7">
        <v>79.643630981445313</v>
      </c>
      <c r="BZ7">
        <v>-2.3058898448944092</v>
      </c>
      <c r="CA7">
        <v>-1.4841785430908203</v>
      </c>
      <c r="CB7">
        <v>-0.91506373882293701</v>
      </c>
      <c r="CC7">
        <v>-0.34594893455505371</v>
      </c>
      <c r="CD7">
        <v>0.47576242685317993</v>
      </c>
      <c r="CE7">
        <v>43.670528411865234</v>
      </c>
      <c r="CF7">
        <v>80.821014404296875</v>
      </c>
      <c r="CG7">
        <v>-2.0791959762573242</v>
      </c>
      <c r="CH7">
        <v>-1.236802339553833</v>
      </c>
      <c r="CI7">
        <v>-0.6533629298210144</v>
      </c>
      <c r="CJ7">
        <v>-6.9923564791679382E-2</v>
      </c>
      <c r="CK7">
        <v>0.77247023582458496</v>
      </c>
      <c r="CL7">
        <v>43.110240936279297</v>
      </c>
      <c r="CM7">
        <v>81.161163330078125</v>
      </c>
      <c r="CN7">
        <v>-1.9701802730560303</v>
      </c>
      <c r="CO7">
        <v>-1.1039503812789917</v>
      </c>
      <c r="CP7">
        <v>-0.50400221347808838</v>
      </c>
      <c r="CQ7">
        <v>9.5945946872234344E-2</v>
      </c>
      <c r="CR7">
        <v>0.96217578649520874</v>
      </c>
      <c r="CS7">
        <v>42.755226135253906</v>
      </c>
      <c r="CT7">
        <v>82.358589172363281</v>
      </c>
      <c r="CU7">
        <v>4.1722922325134277</v>
      </c>
      <c r="CV7">
        <v>5.0317401885986328</v>
      </c>
      <c r="CW7">
        <v>5.626990795135498</v>
      </c>
      <c r="CX7">
        <v>6.2222414016723633</v>
      </c>
      <c r="CY7">
        <v>7.0816893577575684</v>
      </c>
      <c r="CZ7">
        <v>42.735431671142578</v>
      </c>
      <c r="DA7">
        <v>82.858009338378906</v>
      </c>
      <c r="DB7">
        <v>10.507893562316895</v>
      </c>
      <c r="DC7">
        <v>11.275106430053711</v>
      </c>
      <c r="DD7">
        <v>11.806475639343262</v>
      </c>
      <c r="DE7">
        <v>12.337844848632813</v>
      </c>
      <c r="DF7">
        <v>13.105057716369629</v>
      </c>
      <c r="DG7">
        <v>41.681842803955078</v>
      </c>
      <c r="DH7">
        <v>81.029708862304687</v>
      </c>
      <c r="DI7">
        <v>9.0164804458618164</v>
      </c>
      <c r="DJ7">
        <v>9.8089408874511719</v>
      </c>
      <c r="DK7">
        <v>10.357796669006348</v>
      </c>
      <c r="DL7">
        <v>10.906652450561523</v>
      </c>
      <c r="DM7">
        <v>11.699112892150879</v>
      </c>
      <c r="DN7">
        <v>40.055568695068359</v>
      </c>
      <c r="DO7">
        <v>80.357315063476563</v>
      </c>
      <c r="DP7">
        <v>7.922487735748291</v>
      </c>
      <c r="DQ7">
        <v>8.7103071212768555</v>
      </c>
      <c r="DR7">
        <v>9.2559480667114258</v>
      </c>
      <c r="DS7">
        <v>9.8015890121459961</v>
      </c>
      <c r="DT7">
        <v>10.589407920837402</v>
      </c>
      <c r="DU7">
        <v>37.401256561279297</v>
      </c>
      <c r="DV7">
        <v>79.03839111328125</v>
      </c>
      <c r="DW7">
        <v>8.0795803070068359</v>
      </c>
      <c r="DX7">
        <v>8.8780279159545898</v>
      </c>
      <c r="DY7">
        <v>9.4310302734375</v>
      </c>
      <c r="DZ7">
        <v>9.9840326309204102</v>
      </c>
      <c r="EA7">
        <v>10.782480239868164</v>
      </c>
      <c r="EB7">
        <v>30.786199569702148</v>
      </c>
      <c r="EC7">
        <v>76.712905883789063</v>
      </c>
      <c r="ED7">
        <v>4.6083612442016602</v>
      </c>
      <c r="EE7">
        <v>5.384425163269043</v>
      </c>
      <c r="EF7">
        <v>5.9219250679016113</v>
      </c>
      <c r="EG7">
        <v>6.4594249725341797</v>
      </c>
      <c r="EH7">
        <v>7.2354888916015625</v>
      </c>
      <c r="EI7">
        <v>28.675466537475586</v>
      </c>
      <c r="EJ7">
        <v>73.611953735351563</v>
      </c>
      <c r="EK7">
        <v>1.0251270532608032</v>
      </c>
      <c r="EL7">
        <v>1.806473970413208</v>
      </c>
      <c r="EM7">
        <v>2.3476324081420898</v>
      </c>
      <c r="EN7">
        <v>2.8887908458709717</v>
      </c>
      <c r="EO7">
        <v>3.670137882232666</v>
      </c>
      <c r="EP7">
        <v>27.895603179931641</v>
      </c>
      <c r="EQ7">
        <v>72.154067993164062</v>
      </c>
      <c r="ER7">
        <v>-0.10951055586338043</v>
      </c>
      <c r="ES7">
        <v>0.62852931022644043</v>
      </c>
      <c r="ET7">
        <v>1.1396934986114502</v>
      </c>
      <c r="EU7">
        <v>1.65085768699646</v>
      </c>
      <c r="EV7">
        <v>2.3888976573944092</v>
      </c>
      <c r="EW7">
        <v>24.284173965454102</v>
      </c>
      <c r="EX7">
        <v>71.58221435546875</v>
      </c>
      <c r="EY7">
        <v>-1.0120269060134888</v>
      </c>
      <c r="EZ7">
        <v>-0.27892789244651794</v>
      </c>
      <c r="FA7">
        <v>0.22881430387496948</v>
      </c>
      <c r="FB7">
        <v>0.73655647039413452</v>
      </c>
      <c r="FC7">
        <v>1.4696555137634277</v>
      </c>
      <c r="FD7">
        <v>22.483293533325195</v>
      </c>
      <c r="FE7">
        <v>70.329498291015625</v>
      </c>
      <c r="FF7">
        <v>-0.46283197402954102</v>
      </c>
      <c r="FG7">
        <v>0.26069879531860352</v>
      </c>
      <c r="FH7">
        <v>0.76181399822235107</v>
      </c>
      <c r="FI7">
        <v>1.2629292011260986</v>
      </c>
      <c r="FJ7">
        <v>1.9864599704742432</v>
      </c>
      <c r="FK7">
        <v>21.52778434753418</v>
      </c>
      <c r="FL7">
        <v>70.024856567382813</v>
      </c>
      <c r="FM7">
        <v>-0.62519431114196777</v>
      </c>
      <c r="FN7">
        <v>0.10999145358800888</v>
      </c>
      <c r="FO7">
        <v>0.6191788911819458</v>
      </c>
      <c r="FP7">
        <v>1.1283663511276245</v>
      </c>
      <c r="FQ7">
        <v>1.8635520935058594</v>
      </c>
      <c r="FR7">
        <v>161</v>
      </c>
      <c r="FS7">
        <v>0.13657745718955994</v>
      </c>
      <c r="FT7">
        <v>1</v>
      </c>
    </row>
    <row r="8" spans="1:176" x14ac:dyDescent="0.2">
      <c r="A8" t="s">
        <v>1</v>
      </c>
      <c r="B8" t="s">
        <v>227</v>
      </c>
      <c r="C8" t="s">
        <v>238</v>
      </c>
      <c r="D8">
        <v>161</v>
      </c>
      <c r="E8">
        <v>161</v>
      </c>
      <c r="F8">
        <v>19.688812255859375</v>
      </c>
      <c r="G8">
        <v>72.256027221679688</v>
      </c>
      <c r="H8">
        <v>-1.2928078174591064</v>
      </c>
      <c r="I8">
        <v>-0.43409135937690735</v>
      </c>
      <c r="J8">
        <v>0.16065306961536407</v>
      </c>
      <c r="K8">
        <v>0.7553974986076355</v>
      </c>
      <c r="L8">
        <v>1.6141139268875122</v>
      </c>
      <c r="M8">
        <v>20.180572509765625</v>
      </c>
      <c r="N8">
        <v>71.821197509765625</v>
      </c>
      <c r="O8">
        <v>-0.71309202909469604</v>
      </c>
      <c r="P8">
        <v>7.2555884718894958E-2</v>
      </c>
      <c r="Q8">
        <v>0.61669325828552246</v>
      </c>
      <c r="R8">
        <v>1.1608306169509888</v>
      </c>
      <c r="S8">
        <v>1.9464786052703857</v>
      </c>
      <c r="T8">
        <v>20.899892807006836</v>
      </c>
      <c r="U8">
        <v>71.3216552734375</v>
      </c>
      <c r="V8">
        <v>-0.29933983087539673</v>
      </c>
      <c r="W8">
        <v>0.45616945624351501</v>
      </c>
      <c r="X8">
        <v>0.97943288087844849</v>
      </c>
      <c r="Y8">
        <v>1.5026962757110596</v>
      </c>
      <c r="Z8">
        <v>2.2582056522369385</v>
      </c>
      <c r="AA8">
        <v>21.625738143920898</v>
      </c>
      <c r="AB8">
        <v>70.554107666015625</v>
      </c>
      <c r="AC8">
        <v>-0.41975384950637817</v>
      </c>
      <c r="AD8">
        <v>0.30595186352729797</v>
      </c>
      <c r="AE8">
        <v>0.80857342481613159</v>
      </c>
      <c r="AF8">
        <v>1.3111950159072876</v>
      </c>
      <c r="AG8">
        <v>2.0369007587432861</v>
      </c>
      <c r="AH8">
        <v>23.898994445800781</v>
      </c>
      <c r="AI8">
        <v>70.094772338867188</v>
      </c>
      <c r="AJ8">
        <v>-0.83966284990310669</v>
      </c>
      <c r="AK8">
        <v>-7.3926888406276703E-2</v>
      </c>
      <c r="AL8">
        <v>0.45641952753067017</v>
      </c>
      <c r="AM8">
        <v>0.98676592111587524</v>
      </c>
      <c r="AN8">
        <v>1.7525019645690918</v>
      </c>
      <c r="AO8">
        <v>28.956455230712891</v>
      </c>
      <c r="AP8">
        <v>69.823440551757813</v>
      </c>
      <c r="AQ8">
        <v>-0.25298354029655457</v>
      </c>
      <c r="AR8">
        <v>0.51583081483840942</v>
      </c>
      <c r="AS8">
        <v>1.048309326171875</v>
      </c>
      <c r="AT8">
        <v>1.5807877779006958</v>
      </c>
      <c r="AU8">
        <v>2.349602222442627</v>
      </c>
      <c r="AV8">
        <v>31.655292510986328</v>
      </c>
      <c r="AW8">
        <v>70.140220642089844</v>
      </c>
      <c r="AX8">
        <v>-0.92144995927810669</v>
      </c>
      <c r="AY8">
        <v>-0.17423847317695618</v>
      </c>
      <c r="AZ8">
        <v>0.34327793121337891</v>
      </c>
      <c r="BA8">
        <v>0.86079436540603638</v>
      </c>
      <c r="BB8">
        <v>1.6080058813095093</v>
      </c>
      <c r="BC8">
        <v>35.472412109375</v>
      </c>
      <c r="BD8">
        <v>73.078224182128906</v>
      </c>
      <c r="BE8">
        <v>-2.0059971809387207</v>
      </c>
      <c r="BF8">
        <v>-1.1824841499328613</v>
      </c>
      <c r="BG8">
        <v>-0.61212158203125</v>
      </c>
      <c r="BH8">
        <v>-4.1758958250284195E-2</v>
      </c>
      <c r="BI8">
        <v>0.78175407648086548</v>
      </c>
      <c r="BJ8">
        <v>39.7305908203125</v>
      </c>
      <c r="BK8">
        <v>76.299652099609375</v>
      </c>
      <c r="BL8">
        <v>-3.5698809623718262</v>
      </c>
      <c r="BM8">
        <v>-2.718214750289917</v>
      </c>
      <c r="BN8">
        <v>-2.1283533573150635</v>
      </c>
      <c r="BO8">
        <v>-1.53849196434021</v>
      </c>
      <c r="BP8">
        <v>-0.68682569265365601</v>
      </c>
      <c r="BQ8">
        <v>43.086174011230469</v>
      </c>
      <c r="BR8">
        <v>80.280738830566406</v>
      </c>
      <c r="BS8">
        <v>-2.527470588684082</v>
      </c>
      <c r="BT8">
        <v>-1.6451232433319092</v>
      </c>
      <c r="BU8">
        <v>-1.0340121984481812</v>
      </c>
      <c r="BV8">
        <v>-0.42290115356445313</v>
      </c>
      <c r="BW8">
        <v>0.45944616198539734</v>
      </c>
      <c r="BX8">
        <v>45.124526977539063</v>
      </c>
      <c r="BY8">
        <v>81.389533996582031</v>
      </c>
      <c r="BZ8">
        <v>-2.4525675773620605</v>
      </c>
      <c r="CA8">
        <v>-1.5283406972885132</v>
      </c>
      <c r="CB8">
        <v>-0.88822394609451294</v>
      </c>
      <c r="CC8">
        <v>-0.24810722470283508</v>
      </c>
      <c r="CD8">
        <v>0.67611962556838989</v>
      </c>
      <c r="CE8">
        <v>45.9498291015625</v>
      </c>
      <c r="CF8">
        <v>81.803131103515625</v>
      </c>
      <c r="CG8">
        <v>-2.9642889499664307</v>
      </c>
      <c r="CH8">
        <v>-2.0597529411315918</v>
      </c>
      <c r="CI8">
        <v>-1.4332740306854248</v>
      </c>
      <c r="CJ8">
        <v>-0.80679517984390259</v>
      </c>
      <c r="CK8">
        <v>9.7740784287452698E-2</v>
      </c>
      <c r="CL8">
        <v>45.700527191162109</v>
      </c>
      <c r="CM8">
        <v>81.730491638183594</v>
      </c>
      <c r="CN8">
        <v>-1.9868422746658325</v>
      </c>
      <c r="CO8">
        <v>-1.1178754568099976</v>
      </c>
      <c r="CP8">
        <v>-0.51603174209594727</v>
      </c>
      <c r="CQ8">
        <v>8.5812009871006012E-2</v>
      </c>
      <c r="CR8">
        <v>0.95477879047393799</v>
      </c>
      <c r="CS8">
        <v>45.126983642578125</v>
      </c>
      <c r="CT8">
        <v>81.675704956054688</v>
      </c>
      <c r="CU8">
        <v>-1.772831916809082</v>
      </c>
      <c r="CV8">
        <v>-0.95029145479202271</v>
      </c>
      <c r="CW8">
        <v>-0.3806023895740509</v>
      </c>
      <c r="CX8">
        <v>0.18908664584159851</v>
      </c>
      <c r="CY8">
        <v>1.011627197265625</v>
      </c>
      <c r="CZ8">
        <v>44.758010864257813</v>
      </c>
      <c r="DA8">
        <v>82.252632141113281</v>
      </c>
      <c r="DB8">
        <v>4.8724026679992676</v>
      </c>
      <c r="DC8">
        <v>5.6653599739074707</v>
      </c>
      <c r="DD8">
        <v>6.2145595550537109</v>
      </c>
      <c r="DE8">
        <v>6.7637591361999512</v>
      </c>
      <c r="DF8">
        <v>7.5567164421081543</v>
      </c>
      <c r="DG8">
        <v>43.898906707763672</v>
      </c>
      <c r="DH8">
        <v>82.106147766113281</v>
      </c>
      <c r="DI8">
        <v>8.3556690216064453</v>
      </c>
      <c r="DJ8">
        <v>9.1834287643432617</v>
      </c>
      <c r="DK8">
        <v>9.7567319869995117</v>
      </c>
      <c r="DL8">
        <v>10.330035209655762</v>
      </c>
      <c r="DM8">
        <v>11.157794952392578</v>
      </c>
      <c r="DN8">
        <v>42.190792083740234</v>
      </c>
      <c r="DO8">
        <v>80.394744873046875</v>
      </c>
      <c r="DP8">
        <v>7.850398063659668</v>
      </c>
      <c r="DQ8">
        <v>8.6738700866699219</v>
      </c>
      <c r="DR8">
        <v>9.2442035675048828</v>
      </c>
      <c r="DS8">
        <v>9.8145370483398437</v>
      </c>
      <c r="DT8">
        <v>10.638009071350098</v>
      </c>
      <c r="DU8">
        <v>39.917995452880859</v>
      </c>
      <c r="DV8">
        <v>78.576034545898437</v>
      </c>
      <c r="DW8">
        <v>7.5184907913208008</v>
      </c>
      <c r="DX8">
        <v>8.3483142852783203</v>
      </c>
      <c r="DY8">
        <v>8.9230470657348633</v>
      </c>
      <c r="DZ8">
        <v>9.4977798461914062</v>
      </c>
      <c r="EA8">
        <v>10.327603340148926</v>
      </c>
      <c r="EB8">
        <v>33.210037231445313</v>
      </c>
      <c r="EC8">
        <v>76.090362548828125</v>
      </c>
      <c r="ED8">
        <v>7.8570799827575684</v>
      </c>
      <c r="EE8">
        <v>8.6796627044677734</v>
      </c>
      <c r="EF8">
        <v>9.2493810653686523</v>
      </c>
      <c r="EG8">
        <v>9.8190994262695312</v>
      </c>
      <c r="EH8">
        <v>10.641681671142578</v>
      </c>
      <c r="EI8">
        <v>30.639297485351563</v>
      </c>
      <c r="EJ8">
        <v>72.431182861328125</v>
      </c>
      <c r="EK8">
        <v>3.0010159015655518</v>
      </c>
      <c r="EL8">
        <v>3.8235104084014893</v>
      </c>
      <c r="EM8">
        <v>4.3931674957275391</v>
      </c>
      <c r="EN8">
        <v>4.962824821472168</v>
      </c>
      <c r="EO8">
        <v>5.7853193283081055</v>
      </c>
      <c r="EP8">
        <v>29.687713623046875</v>
      </c>
      <c r="EQ8">
        <v>71.398933410644531</v>
      </c>
      <c r="ER8">
        <v>-1.4549753665924072</v>
      </c>
      <c r="ES8">
        <v>-0.65997231006622314</v>
      </c>
      <c r="ET8">
        <v>-0.10935560613870621</v>
      </c>
      <c r="EU8">
        <v>0.44126108288764954</v>
      </c>
      <c r="EV8">
        <v>1.2362641096115112</v>
      </c>
      <c r="EW8">
        <v>26.564323425292969</v>
      </c>
      <c r="EX8">
        <v>70.022422790527344</v>
      </c>
      <c r="EY8">
        <v>-2.4185605049133301</v>
      </c>
      <c r="EZ8">
        <v>-1.6234720945358276</v>
      </c>
      <c r="FA8">
        <v>-1.0727963447570801</v>
      </c>
      <c r="FB8">
        <v>-0.52212059497833252</v>
      </c>
      <c r="FC8">
        <v>0.27296778559684753</v>
      </c>
      <c r="FD8">
        <v>24.087429046630859</v>
      </c>
      <c r="FE8">
        <v>67.962944030761719</v>
      </c>
      <c r="FF8">
        <v>-0.42710834741592407</v>
      </c>
      <c r="FG8">
        <v>0.35219573974609375</v>
      </c>
      <c r="FH8">
        <v>0.89193934202194214</v>
      </c>
      <c r="FI8">
        <v>1.4316829442977905</v>
      </c>
      <c r="FJ8">
        <v>2.2109870910644531</v>
      </c>
      <c r="FK8">
        <v>22.933540344238281</v>
      </c>
      <c r="FL8">
        <v>66.84521484375</v>
      </c>
      <c r="FM8">
        <v>-0.72506165504455566</v>
      </c>
      <c r="FN8">
        <v>5.7875365018844604E-2</v>
      </c>
      <c r="FO8">
        <v>0.60013514757156372</v>
      </c>
      <c r="FP8">
        <v>1.1423949003219604</v>
      </c>
      <c r="FQ8">
        <v>1.9253319501876831</v>
      </c>
      <c r="FR8">
        <v>161</v>
      </c>
      <c r="FS8">
        <v>0.14130322635173798</v>
      </c>
      <c r="FT8">
        <v>1</v>
      </c>
    </row>
    <row r="9" spans="1:176" x14ac:dyDescent="0.2">
      <c r="A9" t="s">
        <v>1</v>
      </c>
      <c r="B9" t="s">
        <v>227</v>
      </c>
      <c r="C9" t="s">
        <v>239</v>
      </c>
      <c r="D9">
        <v>161</v>
      </c>
      <c r="E9">
        <v>161</v>
      </c>
      <c r="F9">
        <v>21.588922500610352</v>
      </c>
      <c r="G9">
        <v>67.904991149902344</v>
      </c>
      <c r="H9">
        <v>-0.28617891669273376</v>
      </c>
      <c r="I9">
        <v>0.35385897755622864</v>
      </c>
      <c r="J9">
        <v>0.79714727401733398</v>
      </c>
      <c r="K9">
        <v>1.2404356002807617</v>
      </c>
      <c r="L9">
        <v>1.8804734945297241</v>
      </c>
      <c r="M9">
        <v>21.270750045776367</v>
      </c>
      <c r="N9">
        <v>66.887313842773438</v>
      </c>
      <c r="O9">
        <v>-0.33363360166549683</v>
      </c>
      <c r="P9">
        <v>0.27728763222694397</v>
      </c>
      <c r="Q9">
        <v>0.70040982961654663</v>
      </c>
      <c r="R9">
        <v>1.1235320568084717</v>
      </c>
      <c r="S9">
        <v>1.7344532012939453</v>
      </c>
      <c r="T9">
        <v>21.256427764892578</v>
      </c>
      <c r="U9">
        <v>66.071647644042969</v>
      </c>
      <c r="V9">
        <v>-0.38641136884689331</v>
      </c>
      <c r="W9">
        <v>0.23132279515266418</v>
      </c>
      <c r="X9">
        <v>0.65916359424591064</v>
      </c>
      <c r="Y9">
        <v>1.0870044231414795</v>
      </c>
      <c r="Z9">
        <v>1.7047384977340698</v>
      </c>
      <c r="AA9">
        <v>21.445882797241211</v>
      </c>
      <c r="AB9">
        <v>65.781089782714844</v>
      </c>
      <c r="AC9">
        <v>-0.96595096588134766</v>
      </c>
      <c r="AD9">
        <v>-0.35923656821250916</v>
      </c>
      <c r="AE9">
        <v>6.0971964150667191E-2</v>
      </c>
      <c r="AF9">
        <v>0.48118048906326294</v>
      </c>
      <c r="AG9">
        <v>1.0878949165344238</v>
      </c>
      <c r="AH9">
        <v>22.829051971435547</v>
      </c>
      <c r="AI9">
        <v>65.998039245605469</v>
      </c>
      <c r="AJ9">
        <v>-0.74936980009078979</v>
      </c>
      <c r="AK9">
        <v>-8.7296918034553528E-2</v>
      </c>
      <c r="AL9">
        <v>0.37125274538993835</v>
      </c>
      <c r="AM9">
        <v>0.82980239391326904</v>
      </c>
      <c r="AN9">
        <v>1.4918752908706665</v>
      </c>
      <c r="AO9">
        <v>25.733177185058594</v>
      </c>
      <c r="AP9">
        <v>66.45166015625</v>
      </c>
      <c r="AQ9">
        <v>-1.8946627378463745</v>
      </c>
      <c r="AR9">
        <v>-1.2529150247573853</v>
      </c>
      <c r="AS9">
        <v>-0.80844253301620483</v>
      </c>
      <c r="AT9">
        <v>-0.36397001147270203</v>
      </c>
      <c r="AU9">
        <v>0.27777770161628723</v>
      </c>
      <c r="AV9">
        <v>28.692840576171875</v>
      </c>
      <c r="AW9">
        <v>67.43011474609375</v>
      </c>
      <c r="AX9">
        <v>-1.2469069957733154</v>
      </c>
      <c r="AY9">
        <v>-0.61026793718338013</v>
      </c>
      <c r="AZ9">
        <v>-0.16933366656303406</v>
      </c>
      <c r="BA9">
        <v>0.27160060405731201</v>
      </c>
      <c r="BB9">
        <v>0.90823966264724731</v>
      </c>
      <c r="BC9">
        <v>32.240909576416016</v>
      </c>
      <c r="BD9">
        <v>73.13433837890625</v>
      </c>
      <c r="BE9">
        <v>-0.67756253480911255</v>
      </c>
      <c r="BF9">
        <v>2.2633001208305359E-2</v>
      </c>
      <c r="BG9">
        <v>0.50758630037307739</v>
      </c>
      <c r="BH9">
        <v>0.99253958463668823</v>
      </c>
      <c r="BI9">
        <v>1.6927351951599121</v>
      </c>
      <c r="BJ9">
        <v>36.401096343994141</v>
      </c>
      <c r="BK9">
        <v>78.996505737304688</v>
      </c>
      <c r="BL9">
        <v>-6.5509453415870667E-2</v>
      </c>
      <c r="BM9">
        <v>0.72362393140792847</v>
      </c>
      <c r="BN9">
        <v>1.2701753377914429</v>
      </c>
      <c r="BO9">
        <v>1.8167266845703125</v>
      </c>
      <c r="BP9">
        <v>2.6058602333068848</v>
      </c>
      <c r="BQ9">
        <v>39.903491973876953</v>
      </c>
      <c r="BR9">
        <v>82.624053955078125</v>
      </c>
      <c r="BS9">
        <v>-2.2642891407012939</v>
      </c>
      <c r="BT9">
        <v>-1.4234918355941772</v>
      </c>
      <c r="BU9">
        <v>-0.84115815162658691</v>
      </c>
      <c r="BV9">
        <v>-0.25882452726364136</v>
      </c>
      <c r="BW9">
        <v>0.58197277784347534</v>
      </c>
      <c r="BX9">
        <v>42.896049499511719</v>
      </c>
      <c r="BY9">
        <v>86.341896057128906</v>
      </c>
      <c r="BZ9">
        <v>-3.3300521373748779</v>
      </c>
      <c r="CA9">
        <v>-2.4480922222137451</v>
      </c>
      <c r="CB9">
        <v>-1.8372496366500854</v>
      </c>
      <c r="CC9">
        <v>-1.2264069318771362</v>
      </c>
      <c r="CD9">
        <v>-0.34444713592529297</v>
      </c>
      <c r="CE9">
        <v>44.110950469970703</v>
      </c>
      <c r="CF9">
        <v>87.812889099121094</v>
      </c>
      <c r="CG9">
        <v>-3.2863414287567139</v>
      </c>
      <c r="CH9">
        <v>-2.4148893356323242</v>
      </c>
      <c r="CI9">
        <v>-1.8113244771957397</v>
      </c>
      <c r="CJ9">
        <v>-1.2077594995498657</v>
      </c>
      <c r="CK9">
        <v>-0.33630764484405518</v>
      </c>
      <c r="CL9">
        <v>44.451438903808594</v>
      </c>
      <c r="CM9">
        <v>88.128067016601563</v>
      </c>
      <c r="CN9">
        <v>-3.2165176868438721</v>
      </c>
      <c r="CO9">
        <v>-2.3883843421936035</v>
      </c>
      <c r="CP9">
        <v>-1.8148218393325806</v>
      </c>
      <c r="CQ9">
        <v>-1.2412593364715576</v>
      </c>
      <c r="CR9">
        <v>-0.41312605142593384</v>
      </c>
      <c r="CS9">
        <v>44.106731414794922</v>
      </c>
      <c r="CT9">
        <v>87.534515380859375</v>
      </c>
      <c r="CU9">
        <v>-2.2199826240539551</v>
      </c>
      <c r="CV9">
        <v>-1.3968287706375122</v>
      </c>
      <c r="CW9">
        <v>-0.82671493291854858</v>
      </c>
      <c r="CX9">
        <v>-0.25660103559494019</v>
      </c>
      <c r="CY9">
        <v>0.56655287742614746</v>
      </c>
      <c r="CZ9">
        <v>43.268867492675781</v>
      </c>
      <c r="DA9">
        <v>87.327606201171875</v>
      </c>
      <c r="DB9">
        <v>3.5072455406188965</v>
      </c>
      <c r="DC9">
        <v>4.2946276664733887</v>
      </c>
      <c r="DD9">
        <v>4.8399658203125</v>
      </c>
      <c r="DE9">
        <v>5.3853039741516113</v>
      </c>
      <c r="DF9">
        <v>6.1726861000061035</v>
      </c>
      <c r="DG9">
        <v>42.318229675292969</v>
      </c>
      <c r="DH9">
        <v>87.085891723632813</v>
      </c>
      <c r="DI9">
        <v>8.7911920547485352</v>
      </c>
      <c r="DJ9">
        <v>9.5825996398925781</v>
      </c>
      <c r="DK9">
        <v>10.130725860595703</v>
      </c>
      <c r="DL9">
        <v>10.678852081298828</v>
      </c>
      <c r="DM9">
        <v>11.470259666442871</v>
      </c>
      <c r="DN9">
        <v>40.869766235351562</v>
      </c>
      <c r="DO9">
        <v>86.338058471679688</v>
      </c>
      <c r="DP9">
        <v>9.0157556533813477</v>
      </c>
      <c r="DQ9">
        <v>9.8522815704345703</v>
      </c>
      <c r="DR9">
        <v>10.431656837463379</v>
      </c>
      <c r="DS9">
        <v>11.011032104492188</v>
      </c>
      <c r="DT9">
        <v>11.84755802154541</v>
      </c>
      <c r="DU9">
        <v>38.429092407226563</v>
      </c>
      <c r="DV9">
        <v>84.326766967773438</v>
      </c>
      <c r="DW9">
        <v>8.3459558486938477</v>
      </c>
      <c r="DX9">
        <v>9.2037220001220703</v>
      </c>
      <c r="DY9">
        <v>9.7978086471557617</v>
      </c>
      <c r="DZ9">
        <v>10.391895294189453</v>
      </c>
      <c r="EA9">
        <v>11.249661445617676</v>
      </c>
      <c r="EB9">
        <v>31.50822639465332</v>
      </c>
      <c r="EC9">
        <v>81.586128234863281</v>
      </c>
      <c r="ED9">
        <v>6.8461618423461914</v>
      </c>
      <c r="EE9">
        <v>7.7037615776062012</v>
      </c>
      <c r="EF9">
        <v>8.2977323532104492</v>
      </c>
      <c r="EG9">
        <v>8.8917036056518555</v>
      </c>
      <c r="EH9">
        <v>9.749302864074707</v>
      </c>
      <c r="EI9">
        <v>29.415851593017578</v>
      </c>
      <c r="EJ9">
        <v>78.617546081542969</v>
      </c>
      <c r="EK9">
        <v>2.7872495651245117</v>
      </c>
      <c r="EL9">
        <v>3.6579246520996094</v>
      </c>
      <c r="EM9">
        <v>4.2609515190124512</v>
      </c>
      <c r="EN9">
        <v>4.863978385925293</v>
      </c>
      <c r="EO9">
        <v>5.7346534729003906</v>
      </c>
      <c r="EP9">
        <v>28.400552749633789</v>
      </c>
      <c r="EQ9">
        <v>78.488082885742187</v>
      </c>
      <c r="ER9">
        <v>-1.2088773250579834</v>
      </c>
      <c r="ES9">
        <v>-0.30489689111709595</v>
      </c>
      <c r="ET9">
        <v>0.32119718194007874</v>
      </c>
      <c r="EU9">
        <v>0.94729125499725342</v>
      </c>
      <c r="EV9">
        <v>1.8512716293334961</v>
      </c>
      <c r="EW9">
        <v>24.38688850402832</v>
      </c>
      <c r="EX9">
        <v>77.13616943359375</v>
      </c>
      <c r="EY9">
        <v>-2.672454833984375</v>
      </c>
      <c r="EZ9">
        <v>-1.7628442049026489</v>
      </c>
      <c r="FA9">
        <v>-1.1328506469726563</v>
      </c>
      <c r="FB9">
        <v>-0.50285708904266357</v>
      </c>
      <c r="FC9">
        <v>0.40675351023674011</v>
      </c>
      <c r="FD9">
        <v>22.550432205200195</v>
      </c>
      <c r="FE9">
        <v>75.48382568359375</v>
      </c>
      <c r="FF9">
        <v>-2.1935977935791016</v>
      </c>
      <c r="FG9">
        <v>-1.3012348413467407</v>
      </c>
      <c r="FH9">
        <v>-0.68318700790405273</v>
      </c>
      <c r="FI9">
        <v>-6.5139152109622955E-2</v>
      </c>
      <c r="FJ9">
        <v>0.82722377777099609</v>
      </c>
      <c r="FK9">
        <v>21.726131439208984</v>
      </c>
      <c r="FL9">
        <v>74.024948120117188</v>
      </c>
      <c r="FM9">
        <v>-1.5417277812957764</v>
      </c>
      <c r="FN9">
        <v>-0.67313128709793091</v>
      </c>
      <c r="FO9">
        <v>-7.1543954312801361E-2</v>
      </c>
      <c r="FP9">
        <v>0.53004336357116699</v>
      </c>
      <c r="FQ9">
        <v>1.3986399173736572</v>
      </c>
      <c r="FR9">
        <v>161</v>
      </c>
      <c r="FS9">
        <v>0.10674891620874405</v>
      </c>
      <c r="FT9">
        <v>1</v>
      </c>
    </row>
    <row r="10" spans="1:176" x14ac:dyDescent="0.2">
      <c r="A10" t="s">
        <v>1</v>
      </c>
      <c r="B10" t="s">
        <v>227</v>
      </c>
      <c r="C10" t="s">
        <v>240</v>
      </c>
      <c r="D10">
        <v>161</v>
      </c>
      <c r="E10">
        <v>161</v>
      </c>
      <c r="F10">
        <v>21.113807678222656</v>
      </c>
      <c r="G10">
        <v>71.947685241699219</v>
      </c>
      <c r="H10">
        <v>-0.73130989074707031</v>
      </c>
      <c r="I10">
        <v>5.1199305802583694E-2</v>
      </c>
      <c r="J10">
        <v>0.59316277503967285</v>
      </c>
      <c r="K10">
        <v>1.1351262331008911</v>
      </c>
      <c r="L10">
        <v>1.917635440826416</v>
      </c>
      <c r="M10">
        <v>21.056343078613281</v>
      </c>
      <c r="N10">
        <v>70.697662353515625</v>
      </c>
      <c r="O10">
        <v>-0.32473745942115784</v>
      </c>
      <c r="P10">
        <v>0.37835374474525452</v>
      </c>
      <c r="Q10">
        <v>0.86531257629394531</v>
      </c>
      <c r="R10">
        <v>1.3522714376449585</v>
      </c>
      <c r="S10">
        <v>2.0553627014160156</v>
      </c>
      <c r="T10">
        <v>20.912981033325195</v>
      </c>
      <c r="U10">
        <v>69.727279663085938</v>
      </c>
      <c r="V10">
        <v>-1.1438342332839966</v>
      </c>
      <c r="W10">
        <v>-0.46619489789009094</v>
      </c>
      <c r="X10">
        <v>3.1360122375190258E-3</v>
      </c>
      <c r="Y10">
        <v>0.47246691584587097</v>
      </c>
      <c r="Z10">
        <v>1.1501061916351318</v>
      </c>
      <c r="AA10">
        <v>21.338373184204102</v>
      </c>
      <c r="AB10">
        <v>68.387435913085937</v>
      </c>
      <c r="AC10">
        <v>-1.1341272592544556</v>
      </c>
      <c r="AD10">
        <v>-0.41475000977516174</v>
      </c>
      <c r="AE10">
        <v>8.348846435546875E-2</v>
      </c>
      <c r="AF10">
        <v>0.58172690868377686</v>
      </c>
      <c r="AG10">
        <v>1.3011041879653931</v>
      </c>
      <c r="AH10">
        <v>23.041538238525391</v>
      </c>
      <c r="AI10">
        <v>68.31170654296875</v>
      </c>
      <c r="AJ10">
        <v>-0.3942849338054657</v>
      </c>
      <c r="AK10">
        <v>0.35853993892669678</v>
      </c>
      <c r="AL10">
        <v>0.87994414567947388</v>
      </c>
      <c r="AM10">
        <v>1.401348352432251</v>
      </c>
      <c r="AN10">
        <v>2.1541731357574463</v>
      </c>
      <c r="AO10">
        <v>26.977016448974609</v>
      </c>
      <c r="AP10">
        <v>68.743896484375</v>
      </c>
      <c r="AQ10">
        <v>-0.52874720096588135</v>
      </c>
      <c r="AR10">
        <v>0.21383541822433472</v>
      </c>
      <c r="AS10">
        <v>0.72814589738845825</v>
      </c>
      <c r="AT10">
        <v>1.242456316947937</v>
      </c>
      <c r="AU10">
        <v>1.9850389957427979</v>
      </c>
      <c r="AV10">
        <v>30.164875030517578</v>
      </c>
      <c r="AW10">
        <v>69.792320251464844</v>
      </c>
      <c r="AX10">
        <v>-0.82376033067703247</v>
      </c>
      <c r="AY10">
        <v>-8.7822794914245605E-2</v>
      </c>
      <c r="AZ10">
        <v>0.42188528180122375</v>
      </c>
      <c r="BA10">
        <v>0.93159335851669312</v>
      </c>
      <c r="BB10">
        <v>1.66753089427948</v>
      </c>
      <c r="BC10">
        <v>34.120681762695313</v>
      </c>
      <c r="BD10">
        <v>74.726478576660156</v>
      </c>
      <c r="BE10">
        <v>-3.23549485206604</v>
      </c>
      <c r="BF10">
        <v>-2.4734420776367187</v>
      </c>
      <c r="BG10">
        <v>-1.9456468820571899</v>
      </c>
      <c r="BH10">
        <v>-1.4178515672683716</v>
      </c>
      <c r="BI10">
        <v>-0.65579897165298462</v>
      </c>
      <c r="BJ10">
        <v>38.835952758789063</v>
      </c>
      <c r="BK10">
        <v>80.939453125</v>
      </c>
      <c r="BL10">
        <v>-2.9408993721008301</v>
      </c>
      <c r="BM10">
        <v>-2.1434290409088135</v>
      </c>
      <c r="BN10">
        <v>-1.5911034345626831</v>
      </c>
      <c r="BO10">
        <v>-1.0387778282165527</v>
      </c>
      <c r="BP10">
        <v>-0.24130746722221375</v>
      </c>
      <c r="BQ10">
        <v>42.516830444335938</v>
      </c>
      <c r="BR10">
        <v>85.185539245605469</v>
      </c>
      <c r="BS10">
        <v>-3.0943903923034668</v>
      </c>
      <c r="BT10">
        <v>-2.2290782928466797</v>
      </c>
      <c r="BU10">
        <v>-1.6297658681869507</v>
      </c>
      <c r="BV10">
        <v>-1.0304533243179321</v>
      </c>
      <c r="BW10">
        <v>-0.16514125466346741</v>
      </c>
      <c r="BX10">
        <v>45.276779174804688</v>
      </c>
      <c r="BY10">
        <v>87.619972229003906</v>
      </c>
      <c r="BZ10">
        <v>-3.7975184917449951</v>
      </c>
      <c r="CA10">
        <v>-2.8558371067047119</v>
      </c>
      <c r="CB10">
        <v>-2.2036314010620117</v>
      </c>
      <c r="CC10">
        <v>-1.5514256954193115</v>
      </c>
      <c r="CD10">
        <v>-0.60974431037902832</v>
      </c>
      <c r="CE10">
        <v>46.450504302978516</v>
      </c>
      <c r="CF10">
        <v>87.799896240234375</v>
      </c>
      <c r="CG10">
        <v>-3.8951396942138672</v>
      </c>
      <c r="CH10">
        <v>-2.931849479675293</v>
      </c>
      <c r="CI10">
        <v>-2.2646775245666504</v>
      </c>
      <c r="CJ10">
        <v>-1.5975056886672974</v>
      </c>
      <c r="CK10">
        <v>-0.63421535491943359</v>
      </c>
      <c r="CL10">
        <v>46.576351165771484</v>
      </c>
      <c r="CM10">
        <v>87.993751525878906</v>
      </c>
      <c r="CN10">
        <v>-2.994067907333374</v>
      </c>
      <c r="CO10">
        <v>-2.0611264705657959</v>
      </c>
      <c r="CP10">
        <v>-1.4149738550186157</v>
      </c>
      <c r="CQ10">
        <v>-0.7688213586807251</v>
      </c>
      <c r="CR10">
        <v>0.16412025690078735</v>
      </c>
      <c r="CS10">
        <v>46.397876739501953</v>
      </c>
      <c r="CT10">
        <v>87.786972045898437</v>
      </c>
      <c r="CU10">
        <v>-2.6215860843658447</v>
      </c>
      <c r="CV10">
        <v>-1.7152221202850342</v>
      </c>
      <c r="CW10">
        <v>-1.0874772071838379</v>
      </c>
      <c r="CX10">
        <v>-0.45973226428031921</v>
      </c>
      <c r="CY10">
        <v>0.44663172960281372</v>
      </c>
      <c r="CZ10">
        <v>45.542591094970703</v>
      </c>
      <c r="DA10">
        <v>86.810737609863281</v>
      </c>
      <c r="DB10">
        <v>3.5243065357208252</v>
      </c>
      <c r="DC10">
        <v>4.4102554321289062</v>
      </c>
      <c r="DD10">
        <v>5.0238609313964844</v>
      </c>
      <c r="DE10">
        <v>5.6374664306640625</v>
      </c>
      <c r="DF10">
        <v>6.5234155654907227</v>
      </c>
      <c r="DG10">
        <v>44.569225311279297</v>
      </c>
      <c r="DH10">
        <v>85.954612731933594</v>
      </c>
      <c r="DI10">
        <v>9.7371101379394531</v>
      </c>
      <c r="DJ10">
        <v>10.626912117004395</v>
      </c>
      <c r="DK10">
        <v>11.243185997009277</v>
      </c>
      <c r="DL10">
        <v>11.85945987701416</v>
      </c>
      <c r="DM10">
        <v>12.749261856079102</v>
      </c>
      <c r="DN10">
        <v>42.930816650390625</v>
      </c>
      <c r="DO10">
        <v>85.149879455566406</v>
      </c>
      <c r="DP10">
        <v>10.170981407165527</v>
      </c>
      <c r="DQ10">
        <v>11.024486541748047</v>
      </c>
      <c r="DR10">
        <v>11.615621566772461</v>
      </c>
      <c r="DS10">
        <v>12.206756591796875</v>
      </c>
      <c r="DT10">
        <v>13.060261726379395</v>
      </c>
      <c r="DU10">
        <v>40.525894165039063</v>
      </c>
      <c r="DV10">
        <v>83.72772216796875</v>
      </c>
      <c r="DW10">
        <v>10.004354476928711</v>
      </c>
      <c r="DX10">
        <v>10.852959632873535</v>
      </c>
      <c r="DY10">
        <v>11.440700531005859</v>
      </c>
      <c r="DZ10">
        <v>12.028441429138184</v>
      </c>
      <c r="EA10">
        <v>12.877046585083008</v>
      </c>
      <c r="EB10">
        <v>33.644535064697266</v>
      </c>
      <c r="EC10">
        <v>80.28936767578125</v>
      </c>
      <c r="ED10">
        <v>8.7296180725097656</v>
      </c>
      <c r="EE10">
        <v>9.5818929672241211</v>
      </c>
      <c r="EF10">
        <v>10.172176361083984</v>
      </c>
      <c r="EG10">
        <v>10.762459754943848</v>
      </c>
      <c r="EH10">
        <v>11.614734649658203</v>
      </c>
      <c r="EI10">
        <v>31.225744247436523</v>
      </c>
      <c r="EJ10">
        <v>76.56243896484375</v>
      </c>
      <c r="EK10">
        <v>3.8756043910980225</v>
      </c>
      <c r="EL10">
        <v>4.7149739265441895</v>
      </c>
      <c r="EM10">
        <v>5.2963190078735352</v>
      </c>
      <c r="EN10">
        <v>5.8776640892028809</v>
      </c>
      <c r="EO10">
        <v>6.717033863067627</v>
      </c>
      <c r="EP10">
        <v>30.030069351196289</v>
      </c>
      <c r="EQ10">
        <v>75.618232727050781</v>
      </c>
      <c r="ER10">
        <v>-2.0575282573699951</v>
      </c>
      <c r="ES10">
        <v>-1.2466901540756226</v>
      </c>
      <c r="ET10">
        <v>-0.68510621786117554</v>
      </c>
      <c r="EU10">
        <v>-0.12352222949266434</v>
      </c>
      <c r="EV10">
        <v>0.68731588125228882</v>
      </c>
      <c r="EW10">
        <v>26.507213592529297</v>
      </c>
      <c r="EX10">
        <v>73.647705078125</v>
      </c>
      <c r="EY10">
        <v>-1.3015021085739136</v>
      </c>
      <c r="EZ10">
        <v>-0.52635502815246582</v>
      </c>
      <c r="FA10">
        <v>1.0509463958442211E-2</v>
      </c>
      <c r="FB10">
        <v>0.54737395048141479</v>
      </c>
      <c r="FC10">
        <v>1.3225210905075073</v>
      </c>
      <c r="FD10">
        <v>23.725767135620117</v>
      </c>
      <c r="FE10">
        <v>72.0885009765625</v>
      </c>
      <c r="FF10">
        <v>-2.149165153503418</v>
      </c>
      <c r="FG10">
        <v>-1.3913437128067017</v>
      </c>
      <c r="FH10">
        <v>-0.86647874116897583</v>
      </c>
      <c r="FI10">
        <v>-0.34161382913589478</v>
      </c>
      <c r="FJ10">
        <v>0.41620776057243347</v>
      </c>
      <c r="FK10">
        <v>22.510442733764648</v>
      </c>
      <c r="FL10">
        <v>70.799972534179688</v>
      </c>
      <c r="FM10">
        <v>-1.5261040925979614</v>
      </c>
      <c r="FN10">
        <v>-0.75450164079666138</v>
      </c>
      <c r="FO10">
        <v>-0.22009219229221344</v>
      </c>
      <c r="FP10">
        <v>0.31431728601455688</v>
      </c>
      <c r="FQ10">
        <v>1.0859197378158569</v>
      </c>
      <c r="FR10">
        <v>161</v>
      </c>
      <c r="FS10">
        <v>0.12715034186840057</v>
      </c>
      <c r="FT10">
        <v>1</v>
      </c>
    </row>
    <row r="11" spans="1:176" x14ac:dyDescent="0.2">
      <c r="A11" t="s">
        <v>1</v>
      </c>
      <c r="B11" t="s">
        <v>227</v>
      </c>
      <c r="C11" t="s">
        <v>241</v>
      </c>
      <c r="D11">
        <v>165</v>
      </c>
      <c r="E11">
        <v>165</v>
      </c>
      <c r="F11">
        <v>21.168909072875977</v>
      </c>
      <c r="G11">
        <v>71.192848205566406</v>
      </c>
      <c r="H11">
        <v>-1.4070876836776733</v>
      </c>
      <c r="I11">
        <v>-0.76275986433029175</v>
      </c>
      <c r="J11">
        <v>-0.31650042533874512</v>
      </c>
      <c r="K11">
        <v>0.1297590434551239</v>
      </c>
      <c r="L11">
        <v>0.77408683300018311</v>
      </c>
      <c r="M11">
        <v>20.892799377441406</v>
      </c>
      <c r="N11">
        <v>70.36651611328125</v>
      </c>
      <c r="O11">
        <v>-1.195826530456543</v>
      </c>
      <c r="P11">
        <v>-0.61116540431976318</v>
      </c>
      <c r="Q11">
        <v>-0.20623093843460083</v>
      </c>
      <c r="R11">
        <v>0.19870354235172272</v>
      </c>
      <c r="S11">
        <v>0.78336459398269653</v>
      </c>
      <c r="T11">
        <v>20.785675048828125</v>
      </c>
      <c r="U11">
        <v>70.11895751953125</v>
      </c>
      <c r="V11">
        <v>-0.74964964389801025</v>
      </c>
      <c r="W11">
        <v>-0.14878900349140167</v>
      </c>
      <c r="X11">
        <v>0.26736524701118469</v>
      </c>
      <c r="Y11">
        <v>0.68351948261260986</v>
      </c>
      <c r="Z11">
        <v>1.2843801975250244</v>
      </c>
      <c r="AA11">
        <v>21.098299026489258</v>
      </c>
      <c r="AB11">
        <v>69.277656555175781</v>
      </c>
      <c r="AC11">
        <v>-1.5803543329238892</v>
      </c>
      <c r="AD11">
        <v>-1.0022169351577759</v>
      </c>
      <c r="AE11">
        <v>-0.60180079936981201</v>
      </c>
      <c r="AF11">
        <v>-0.20138463377952576</v>
      </c>
      <c r="AG11">
        <v>0.37675270438194275</v>
      </c>
      <c r="AH11">
        <v>23.173643112182617</v>
      </c>
      <c r="AI11">
        <v>69.568923950195312</v>
      </c>
      <c r="AJ11">
        <v>-1.7917779684066772</v>
      </c>
      <c r="AK11">
        <v>-1.1624927520751953</v>
      </c>
      <c r="AL11">
        <v>-0.72665166854858398</v>
      </c>
      <c r="AM11">
        <v>-0.29081061482429504</v>
      </c>
      <c r="AN11">
        <v>0.33847463130950928</v>
      </c>
      <c r="AO11">
        <v>27.299232482910156</v>
      </c>
      <c r="AP11">
        <v>68.388687133789063</v>
      </c>
      <c r="AQ11">
        <v>-1.1843122243881226</v>
      </c>
      <c r="AR11">
        <v>-0.55894511938095093</v>
      </c>
      <c r="AS11">
        <v>-0.12581776082515717</v>
      </c>
      <c r="AT11">
        <v>0.30730956792831421</v>
      </c>
      <c r="AU11">
        <v>0.93267667293548584</v>
      </c>
      <c r="AV11">
        <v>30.873319625854492</v>
      </c>
      <c r="AW11">
        <v>69.106895446777344</v>
      </c>
      <c r="AX11">
        <v>-0.34208357334136963</v>
      </c>
      <c r="AY11">
        <v>0.25563529133796692</v>
      </c>
      <c r="AZ11">
        <v>0.6696135401725769</v>
      </c>
      <c r="BA11">
        <v>1.0835918188095093</v>
      </c>
      <c r="BB11">
        <v>1.6813106536865234</v>
      </c>
      <c r="BC11">
        <v>35.361270904541016</v>
      </c>
      <c r="BD11">
        <v>72.999114990234375</v>
      </c>
      <c r="BE11">
        <v>-0.2830023467540741</v>
      </c>
      <c r="BF11">
        <v>0.35404375195503235</v>
      </c>
      <c r="BG11">
        <v>0.79525995254516602</v>
      </c>
      <c r="BH11">
        <v>1.2364761829376221</v>
      </c>
      <c r="BI11">
        <v>1.8735222816467285</v>
      </c>
      <c r="BJ11">
        <v>40.261543273925781</v>
      </c>
      <c r="BK11">
        <v>78.390853881835938</v>
      </c>
      <c r="BL11">
        <v>-1.2644424438476563</v>
      </c>
      <c r="BM11">
        <v>-0.57958054542541504</v>
      </c>
      <c r="BN11">
        <v>-0.10524729639291763</v>
      </c>
      <c r="BO11">
        <v>0.36908593773841858</v>
      </c>
      <c r="BP11">
        <v>1.0539478063583374</v>
      </c>
      <c r="BQ11">
        <v>44.214675903320313</v>
      </c>
      <c r="BR11">
        <v>81.567413330078125</v>
      </c>
      <c r="BS11">
        <v>-2.7331366539001465</v>
      </c>
      <c r="BT11">
        <v>-2.0145854949951172</v>
      </c>
      <c r="BU11">
        <v>-1.5169190168380737</v>
      </c>
      <c r="BV11">
        <v>-1.0192526578903198</v>
      </c>
      <c r="BW11">
        <v>-0.30070137977600098</v>
      </c>
      <c r="BX11">
        <v>46.799716949462891</v>
      </c>
      <c r="BY11">
        <v>83.102493286132813</v>
      </c>
      <c r="BZ11">
        <v>-3.0996208190917969</v>
      </c>
      <c r="CA11">
        <v>-2.3317253589630127</v>
      </c>
      <c r="CB11">
        <v>-1.7998831272125244</v>
      </c>
      <c r="CC11">
        <v>-1.2680410146713257</v>
      </c>
      <c r="CD11">
        <v>-0.5001453161239624</v>
      </c>
      <c r="CE11">
        <v>48.349952697753906</v>
      </c>
      <c r="CF11">
        <v>84.886856079101563</v>
      </c>
      <c r="CG11">
        <v>-3.1032660007476807</v>
      </c>
      <c r="CH11">
        <v>-2.3330755233764648</v>
      </c>
      <c r="CI11">
        <v>-1.7996441125869751</v>
      </c>
      <c r="CJ11">
        <v>-1.2662125825881958</v>
      </c>
      <c r="CK11">
        <v>-0.49602222442626953</v>
      </c>
      <c r="CL11">
        <v>48.090278625488281</v>
      </c>
      <c r="CM11">
        <v>84.957832336425781</v>
      </c>
      <c r="CN11">
        <v>-3.4316296577453613</v>
      </c>
      <c r="CO11">
        <v>-2.6429839134216309</v>
      </c>
      <c r="CP11">
        <v>-2.0967700481414795</v>
      </c>
      <c r="CQ11">
        <v>-1.5505563020706177</v>
      </c>
      <c r="CR11">
        <v>-0.76191037893295288</v>
      </c>
      <c r="CS11">
        <v>48.220439910888672</v>
      </c>
      <c r="CT11">
        <v>85.369583129882813</v>
      </c>
      <c r="CU11">
        <v>-3.456636905670166</v>
      </c>
      <c r="CV11">
        <v>-2.674588680267334</v>
      </c>
      <c r="CW11">
        <v>-2.1329443454742432</v>
      </c>
      <c r="CX11">
        <v>-1.5913001298904419</v>
      </c>
      <c r="CY11">
        <v>-0.80925178527832031</v>
      </c>
      <c r="CZ11">
        <v>47.177627563476563</v>
      </c>
      <c r="DA11">
        <v>85.021621704101563</v>
      </c>
      <c r="DB11">
        <v>4.1939644813537598</v>
      </c>
      <c r="DC11">
        <v>4.9488959312438965</v>
      </c>
      <c r="DD11">
        <v>5.4717593193054199</v>
      </c>
      <c r="DE11">
        <v>5.9946227073669434</v>
      </c>
      <c r="DF11">
        <v>6.7495541572570801</v>
      </c>
      <c r="DG11">
        <v>46.073837280273438</v>
      </c>
      <c r="DH11">
        <v>84.317550659179688</v>
      </c>
      <c r="DI11">
        <v>8.8520984649658203</v>
      </c>
      <c r="DJ11">
        <v>9.590886116027832</v>
      </c>
      <c r="DK11">
        <v>10.102568626403809</v>
      </c>
      <c r="DL11">
        <v>10.614251136779785</v>
      </c>
      <c r="DM11">
        <v>11.353038787841797</v>
      </c>
      <c r="DN11">
        <v>44.059616088867188</v>
      </c>
      <c r="DO11">
        <v>82.908592224121094</v>
      </c>
      <c r="DP11">
        <v>8.7545385360717773</v>
      </c>
      <c r="DQ11">
        <v>9.4761381149291992</v>
      </c>
      <c r="DR11">
        <v>9.9759159088134766</v>
      </c>
      <c r="DS11">
        <v>10.475693702697754</v>
      </c>
      <c r="DT11">
        <v>11.197293281555176</v>
      </c>
      <c r="DU11">
        <v>41.384071350097656</v>
      </c>
      <c r="DV11">
        <v>81.989593505859375</v>
      </c>
      <c r="DW11">
        <v>8.4444427490234375</v>
      </c>
      <c r="DX11">
        <v>9.1585893630981445</v>
      </c>
      <c r="DY11">
        <v>9.6532049179077148</v>
      </c>
      <c r="DZ11">
        <v>10.147820472717285</v>
      </c>
      <c r="EA11">
        <v>10.861967086791992</v>
      </c>
      <c r="EB11">
        <v>34.349273681640625</v>
      </c>
      <c r="EC11">
        <v>79.165550231933594</v>
      </c>
      <c r="ED11">
        <v>7.1942181587219238</v>
      </c>
      <c r="EE11">
        <v>7.9274888038635254</v>
      </c>
      <c r="EF11">
        <v>8.4353494644165039</v>
      </c>
      <c r="EG11">
        <v>8.9432106018066406</v>
      </c>
      <c r="EH11">
        <v>9.6764802932739258</v>
      </c>
      <c r="EI11">
        <v>32.028480529785156</v>
      </c>
      <c r="EJ11">
        <v>76.178329467773438</v>
      </c>
      <c r="EK11">
        <v>3.8704690933227539</v>
      </c>
      <c r="EL11">
        <v>4.5785398483276367</v>
      </c>
      <c r="EM11">
        <v>5.0689473152160645</v>
      </c>
      <c r="EN11">
        <v>5.5593547821044922</v>
      </c>
      <c r="EO11">
        <v>6.267425537109375</v>
      </c>
      <c r="EP11">
        <v>30.876815795898438</v>
      </c>
      <c r="EQ11">
        <v>74.671417236328125</v>
      </c>
      <c r="ER11">
        <v>0.57399272918701172</v>
      </c>
      <c r="ES11">
        <v>1.2914279699325562</v>
      </c>
      <c r="ET11">
        <v>1.7883214950561523</v>
      </c>
      <c r="EU11">
        <v>2.285214900970459</v>
      </c>
      <c r="EV11">
        <v>3.002650260925293</v>
      </c>
      <c r="EW11">
        <v>26.953212738037109</v>
      </c>
      <c r="EX11">
        <v>73.70709228515625</v>
      </c>
      <c r="EY11">
        <v>-0.42592531442642212</v>
      </c>
      <c r="EZ11">
        <v>0.28487205505371094</v>
      </c>
      <c r="FA11">
        <v>0.7771681547164917</v>
      </c>
      <c r="FB11">
        <v>1.2694642543792725</v>
      </c>
      <c r="FC11">
        <v>1.9802615642547607</v>
      </c>
      <c r="FD11">
        <v>23.806125640869141</v>
      </c>
      <c r="FE11">
        <v>72.157806396484375</v>
      </c>
      <c r="FF11">
        <v>-1.3374910354614258</v>
      </c>
      <c r="FG11">
        <v>-0.66954886913299561</v>
      </c>
      <c r="FH11">
        <v>-0.20693415403366089</v>
      </c>
      <c r="FI11">
        <v>0.25568053126335144</v>
      </c>
      <c r="FJ11">
        <v>0.92362266778945923</v>
      </c>
      <c r="FK11">
        <v>22.228384017944336</v>
      </c>
      <c r="FL11">
        <v>71.060211181640625</v>
      </c>
      <c r="FM11">
        <v>-1.7385714054107666</v>
      </c>
      <c r="FN11">
        <v>-1.0626072883605957</v>
      </c>
      <c r="FO11">
        <v>-0.59443670511245728</v>
      </c>
      <c r="FP11">
        <v>-0.12626606225967407</v>
      </c>
      <c r="FQ11">
        <v>0.54969799518585205</v>
      </c>
      <c r="FR11">
        <v>165</v>
      </c>
      <c r="FS11">
        <v>0.12209215760231018</v>
      </c>
      <c r="FT11">
        <v>1</v>
      </c>
    </row>
    <row r="12" spans="1:176" x14ac:dyDescent="0.2">
      <c r="A12" t="s">
        <v>1</v>
      </c>
      <c r="B12" t="s">
        <v>227</v>
      </c>
      <c r="C12" t="s">
        <v>242</v>
      </c>
      <c r="D12">
        <v>165</v>
      </c>
      <c r="E12">
        <v>165</v>
      </c>
      <c r="F12">
        <v>21.42686653137207</v>
      </c>
      <c r="G12">
        <v>70.590316772460937</v>
      </c>
      <c r="H12">
        <v>-1.3741093873977661</v>
      </c>
      <c r="I12">
        <v>-0.67077815532684326</v>
      </c>
      <c r="J12">
        <v>-0.18365305662155151</v>
      </c>
      <c r="K12">
        <v>0.30347201228141785</v>
      </c>
      <c r="L12">
        <v>1.0068032741546631</v>
      </c>
      <c r="M12">
        <v>21.399528503417969</v>
      </c>
      <c r="N12">
        <v>70.205390930175781</v>
      </c>
      <c r="O12">
        <v>-0.70579439401626587</v>
      </c>
      <c r="P12">
        <v>-5.6228693574666977E-2</v>
      </c>
      <c r="Q12">
        <v>0.39365851879119873</v>
      </c>
      <c r="R12">
        <v>0.84354573488235474</v>
      </c>
      <c r="S12">
        <v>1.4931113719940186</v>
      </c>
      <c r="T12">
        <v>21.42247200012207</v>
      </c>
      <c r="U12">
        <v>69.543243408203125</v>
      </c>
      <c r="V12">
        <v>-0.66472369432449341</v>
      </c>
      <c r="W12">
        <v>-8.8495779782533646E-3</v>
      </c>
      <c r="X12">
        <v>0.44540685415267944</v>
      </c>
      <c r="Y12">
        <v>0.89966326951980591</v>
      </c>
      <c r="Z12">
        <v>1.5555374622344971</v>
      </c>
      <c r="AA12">
        <v>21.892955780029297</v>
      </c>
      <c r="AB12">
        <v>69.254425048828125</v>
      </c>
      <c r="AC12">
        <v>-0.86378532648086548</v>
      </c>
      <c r="AD12">
        <v>-0.21912473440170288</v>
      </c>
      <c r="AE12">
        <v>0.22736525535583496</v>
      </c>
      <c r="AF12">
        <v>0.6738552451133728</v>
      </c>
      <c r="AG12">
        <v>1.3185158967971802</v>
      </c>
      <c r="AH12">
        <v>23.949071884155273</v>
      </c>
      <c r="AI12">
        <v>69.271797180175781</v>
      </c>
      <c r="AJ12">
        <v>-1.5064108371734619</v>
      </c>
      <c r="AK12">
        <v>-0.81935906410217285</v>
      </c>
      <c r="AL12">
        <v>-0.34350904822349548</v>
      </c>
      <c r="AM12">
        <v>0.13234095275402069</v>
      </c>
      <c r="AN12">
        <v>0.81939280033111572</v>
      </c>
      <c r="AO12">
        <v>27.906021118164063</v>
      </c>
      <c r="AP12">
        <v>68.227142333984375</v>
      </c>
      <c r="AQ12">
        <v>-1.6886802911758423</v>
      </c>
      <c r="AR12">
        <v>-1.0129573345184326</v>
      </c>
      <c r="AS12">
        <v>-0.54495370388031006</v>
      </c>
      <c r="AT12">
        <v>-7.69500732421875E-2</v>
      </c>
      <c r="AU12">
        <v>0.59877282381057739</v>
      </c>
      <c r="AV12">
        <v>30.996482849121094</v>
      </c>
      <c r="AW12">
        <v>68.165321350097656</v>
      </c>
      <c r="AX12">
        <v>-1.4330447912216187</v>
      </c>
      <c r="AY12">
        <v>-0.73724329471588135</v>
      </c>
      <c r="AZ12">
        <v>-0.25533333420753479</v>
      </c>
      <c r="BA12">
        <v>0.22657665610313416</v>
      </c>
      <c r="BB12">
        <v>0.92237812280654907</v>
      </c>
      <c r="BC12">
        <v>35.204399108886719</v>
      </c>
      <c r="BD12">
        <v>73.360343933105469</v>
      </c>
      <c r="BE12">
        <v>-1.4412233829498291</v>
      </c>
      <c r="BF12">
        <v>-0.70197892189025879</v>
      </c>
      <c r="BG12">
        <v>-0.18998044729232788</v>
      </c>
      <c r="BH12">
        <v>0.32201802730560303</v>
      </c>
      <c r="BI12">
        <v>1.0612624883651733</v>
      </c>
      <c r="BJ12">
        <v>40.058597564697266</v>
      </c>
      <c r="BK12">
        <v>78.709625244140625</v>
      </c>
      <c r="BL12">
        <v>-1.4141082763671875</v>
      </c>
      <c r="BM12">
        <v>-0.62727445363998413</v>
      </c>
      <c r="BN12">
        <v>-8.2315772771835327E-2</v>
      </c>
      <c r="BO12">
        <v>0.46264290809631348</v>
      </c>
      <c r="BP12">
        <v>1.2494766712188721</v>
      </c>
      <c r="BQ12">
        <v>44.268169403076172</v>
      </c>
      <c r="BR12">
        <v>82.946144104003906</v>
      </c>
      <c r="BS12">
        <v>-1.4057786464691162</v>
      </c>
      <c r="BT12">
        <v>-0.56662052869796753</v>
      </c>
      <c r="BU12">
        <v>1.4577776193618774E-2</v>
      </c>
      <c r="BV12">
        <v>0.59577608108520508</v>
      </c>
      <c r="BW12">
        <v>1.434934139251709</v>
      </c>
      <c r="BX12">
        <v>47.445667266845703</v>
      </c>
      <c r="BY12">
        <v>85.001472473144531</v>
      </c>
      <c r="BZ12">
        <v>-1.5946924686431885</v>
      </c>
      <c r="CA12">
        <v>-0.7372545599937439</v>
      </c>
      <c r="CB12">
        <v>-0.14339572191238403</v>
      </c>
      <c r="CC12">
        <v>0.45046311616897583</v>
      </c>
      <c r="CD12">
        <v>1.3079010248184204</v>
      </c>
      <c r="CE12">
        <v>48.325698852539063</v>
      </c>
      <c r="CF12">
        <v>84.847145080566406</v>
      </c>
      <c r="CG12">
        <v>-1.9207868576049805</v>
      </c>
      <c r="CH12">
        <v>-1.0462359189987183</v>
      </c>
      <c r="CI12">
        <v>-0.44052466750144958</v>
      </c>
      <c r="CJ12">
        <v>0.16518659889698029</v>
      </c>
      <c r="CK12">
        <v>1.0397374629974365</v>
      </c>
      <c r="CL12">
        <v>47.900150299072266</v>
      </c>
      <c r="CM12">
        <v>84.784828186035156</v>
      </c>
      <c r="CN12">
        <v>-2.9098546504974365</v>
      </c>
      <c r="CO12">
        <v>-2.012413501739502</v>
      </c>
      <c r="CP12">
        <v>-1.3908483982086182</v>
      </c>
      <c r="CQ12">
        <v>-0.76928335428237915</v>
      </c>
      <c r="CR12">
        <v>0.1281578540802002</v>
      </c>
      <c r="CS12">
        <v>48.082595825195312</v>
      </c>
      <c r="CT12">
        <v>85.516342163085938</v>
      </c>
      <c r="CU12">
        <v>-2.0303201675415039</v>
      </c>
      <c r="CV12">
        <v>-1.129417896270752</v>
      </c>
      <c r="CW12">
        <v>-0.50545567274093628</v>
      </c>
      <c r="CX12">
        <v>0.11850651353597641</v>
      </c>
      <c r="CY12">
        <v>1.0194088220596313</v>
      </c>
      <c r="CZ12">
        <v>47.271705627441406</v>
      </c>
      <c r="DA12">
        <v>85.231178283691406</v>
      </c>
      <c r="DB12">
        <v>5.0416264533996582</v>
      </c>
      <c r="DC12">
        <v>5.8519868850708008</v>
      </c>
      <c r="DD12">
        <v>6.4132404327392578</v>
      </c>
      <c r="DE12">
        <v>6.9744939804077148</v>
      </c>
      <c r="DF12">
        <v>7.7848544120788574</v>
      </c>
      <c r="DG12">
        <v>45.843219757080078</v>
      </c>
      <c r="DH12">
        <v>84.656646728515625</v>
      </c>
      <c r="DI12">
        <v>8.0736227035522461</v>
      </c>
      <c r="DJ12">
        <v>8.8802270889282227</v>
      </c>
      <c r="DK12">
        <v>9.438878059387207</v>
      </c>
      <c r="DL12">
        <v>9.9975290298461914</v>
      </c>
      <c r="DM12">
        <v>10.804133415222168</v>
      </c>
      <c r="DN12">
        <v>43.596717834472656</v>
      </c>
      <c r="DO12">
        <v>84.357498168945313</v>
      </c>
      <c r="DP12">
        <v>7.532376766204834</v>
      </c>
      <c r="DQ12">
        <v>8.3278589248657227</v>
      </c>
      <c r="DR12">
        <v>8.8788070678710937</v>
      </c>
      <c r="DS12">
        <v>9.4297552108764648</v>
      </c>
      <c r="DT12">
        <v>10.225237846374512</v>
      </c>
      <c r="DU12">
        <v>40.628898620605469</v>
      </c>
      <c r="DV12">
        <v>81.850067138671875</v>
      </c>
      <c r="DW12">
        <v>6.973447322845459</v>
      </c>
      <c r="DX12">
        <v>7.7698698043823242</v>
      </c>
      <c r="DY12">
        <v>8.3214693069458008</v>
      </c>
      <c r="DZ12">
        <v>8.8730688095092773</v>
      </c>
      <c r="EA12">
        <v>9.6694908142089844</v>
      </c>
      <c r="EB12">
        <v>33.314834594726563</v>
      </c>
      <c r="EC12">
        <v>78.401237487792969</v>
      </c>
      <c r="ED12">
        <v>4.8259005546569824</v>
      </c>
      <c r="EE12">
        <v>5.6042270660400391</v>
      </c>
      <c r="EF12">
        <v>6.1432938575744629</v>
      </c>
      <c r="EG12">
        <v>6.6823606491088867</v>
      </c>
      <c r="EH12">
        <v>7.4606871604919434</v>
      </c>
      <c r="EI12">
        <v>30.928424835205078</v>
      </c>
      <c r="EJ12">
        <v>75.947685241699219</v>
      </c>
      <c r="EK12">
        <v>0.20136594772338867</v>
      </c>
      <c r="EL12">
        <v>0.99170112609863281</v>
      </c>
      <c r="EM12">
        <v>1.5390849113464355</v>
      </c>
      <c r="EN12">
        <v>2.0864686965942383</v>
      </c>
      <c r="EO12">
        <v>2.8768038749694824</v>
      </c>
      <c r="EP12">
        <v>29.764930725097656</v>
      </c>
      <c r="EQ12">
        <v>74.375152587890625</v>
      </c>
      <c r="ER12">
        <v>-2.1386489868164062</v>
      </c>
      <c r="ES12">
        <v>-1.3892972469329834</v>
      </c>
      <c r="ET12">
        <v>-0.87029844522476196</v>
      </c>
      <c r="EU12">
        <v>-0.35129967331886292</v>
      </c>
      <c r="EV12">
        <v>0.39805209636688232</v>
      </c>
      <c r="EW12">
        <v>25.659114837646484</v>
      </c>
      <c r="EX12">
        <v>72.960006713867187</v>
      </c>
      <c r="EY12">
        <v>-1.5297297239303589</v>
      </c>
      <c r="EZ12">
        <v>-0.80861055850982666</v>
      </c>
      <c r="FA12">
        <v>-0.3091655969619751</v>
      </c>
      <c r="FB12">
        <v>0.19027937948703766</v>
      </c>
      <c r="FC12">
        <v>0.91139858961105347</v>
      </c>
      <c r="FD12">
        <v>22.667221069335937</v>
      </c>
      <c r="FE12">
        <v>72.482261657714844</v>
      </c>
      <c r="FF12">
        <v>-0.97902774810791016</v>
      </c>
      <c r="FG12">
        <v>-0.27516317367553711</v>
      </c>
      <c r="FH12">
        <v>0.21233130991458893</v>
      </c>
      <c r="FI12">
        <v>0.69982576370239258</v>
      </c>
      <c r="FJ12">
        <v>1.4036903381347656</v>
      </c>
      <c r="FK12">
        <v>21.232925415039063</v>
      </c>
      <c r="FL12">
        <v>71.453163146972656</v>
      </c>
      <c r="FM12">
        <v>-1.4761531352996826</v>
      </c>
      <c r="FN12">
        <v>-0.78181308507919312</v>
      </c>
      <c r="FO12">
        <v>-0.30091527104377747</v>
      </c>
      <c r="FP12">
        <v>0.17998252809047699</v>
      </c>
      <c r="FQ12">
        <v>0.87432259321212769</v>
      </c>
      <c r="FR12">
        <v>165</v>
      </c>
      <c r="FS12">
        <v>0.12017041444778442</v>
      </c>
      <c r="FT12">
        <v>1</v>
      </c>
    </row>
    <row r="13" spans="1:176" x14ac:dyDescent="0.2">
      <c r="A13" t="s">
        <v>1</v>
      </c>
      <c r="B13" t="s">
        <v>227</v>
      </c>
      <c r="C13" t="s">
        <v>243</v>
      </c>
      <c r="D13">
        <v>165</v>
      </c>
      <c r="E13">
        <v>165</v>
      </c>
      <c r="F13">
        <v>21.289884567260742</v>
      </c>
      <c r="G13">
        <v>73.936294555664062</v>
      </c>
      <c r="H13">
        <v>-3.2391536235809326</v>
      </c>
      <c r="I13">
        <v>-2.4139969348907471</v>
      </c>
      <c r="J13">
        <v>-1.8424957990646362</v>
      </c>
      <c r="K13">
        <v>-1.2709947824478149</v>
      </c>
      <c r="L13">
        <v>-0.44583797454833984</v>
      </c>
      <c r="M13">
        <v>21.930107116699219</v>
      </c>
      <c r="N13">
        <v>73.645683288574219</v>
      </c>
      <c r="O13">
        <v>-2.8680489063262939</v>
      </c>
      <c r="P13">
        <v>-2.0665991306304932</v>
      </c>
      <c r="Q13">
        <v>-1.5115176439285278</v>
      </c>
      <c r="R13">
        <v>-0.95643603801727295</v>
      </c>
      <c r="S13">
        <v>-0.15498638153076172</v>
      </c>
      <c r="T13">
        <v>22.710315704345703</v>
      </c>
      <c r="U13">
        <v>72.569786071777344</v>
      </c>
      <c r="V13">
        <v>-2.5006096363067627</v>
      </c>
      <c r="W13">
        <v>-1.7114671468734741</v>
      </c>
      <c r="X13">
        <v>-1.1649093627929687</v>
      </c>
      <c r="Y13">
        <v>-0.61835157871246338</v>
      </c>
      <c r="Z13">
        <v>0.17079101502895355</v>
      </c>
      <c r="AA13">
        <v>23.743509292602539</v>
      </c>
      <c r="AB13">
        <v>72.531929016113281</v>
      </c>
      <c r="AC13">
        <v>-1.9627200365066528</v>
      </c>
      <c r="AD13">
        <v>-1.1889595985412598</v>
      </c>
      <c r="AE13">
        <v>-0.65305554866790771</v>
      </c>
      <c r="AF13">
        <v>-0.11715143918991089</v>
      </c>
      <c r="AG13">
        <v>0.65660899877548218</v>
      </c>
      <c r="AH13">
        <v>26.966548919677734</v>
      </c>
      <c r="AI13">
        <v>72.503501892089844</v>
      </c>
      <c r="AJ13">
        <v>-1.3929924964904785</v>
      </c>
      <c r="AK13">
        <v>-0.53089874982833862</v>
      </c>
      <c r="AL13">
        <v>6.6184796392917633E-2</v>
      </c>
      <c r="AM13">
        <v>0.6632683277130127</v>
      </c>
      <c r="AN13">
        <v>1.5253621339797974</v>
      </c>
      <c r="AO13">
        <v>32.856090545654297</v>
      </c>
      <c r="AP13">
        <v>71.958831787109375</v>
      </c>
      <c r="AQ13">
        <v>-0.4935201108455658</v>
      </c>
      <c r="AR13">
        <v>0.35864794254302979</v>
      </c>
      <c r="AS13">
        <v>0.94885694980621338</v>
      </c>
      <c r="AT13">
        <v>1.539065957069397</v>
      </c>
      <c r="AU13">
        <v>2.3912339210510254</v>
      </c>
      <c r="AV13">
        <v>35.402488708496094</v>
      </c>
      <c r="AW13">
        <v>72.196296691894531</v>
      </c>
      <c r="AX13">
        <v>-1.3012913465499878</v>
      </c>
      <c r="AY13">
        <v>-0.46709352731704712</v>
      </c>
      <c r="AZ13">
        <v>0.1106693223118782</v>
      </c>
      <c r="BA13">
        <v>0.68843215703964233</v>
      </c>
      <c r="BB13">
        <v>1.522629976272583</v>
      </c>
      <c r="BC13">
        <v>40.973686218261719</v>
      </c>
      <c r="BD13">
        <v>76.666893005371094</v>
      </c>
      <c r="BE13">
        <v>-1.2587840557098389</v>
      </c>
      <c r="BF13">
        <v>-0.36664614081382751</v>
      </c>
      <c r="BG13">
        <v>0.25124585628509521</v>
      </c>
      <c r="BH13">
        <v>0.86913788318634033</v>
      </c>
      <c r="BI13">
        <v>1.7612757682800293</v>
      </c>
      <c r="BJ13">
        <v>46.682167053222656</v>
      </c>
      <c r="BK13">
        <v>82.511810302734375</v>
      </c>
      <c r="BL13">
        <v>-0.99286949634552002</v>
      </c>
      <c r="BM13">
        <v>-7.4365101754665375E-2</v>
      </c>
      <c r="BN13">
        <v>0.56178826093673706</v>
      </c>
      <c r="BO13">
        <v>1.1979416608810425</v>
      </c>
      <c r="BP13">
        <v>2.1164460182189941</v>
      </c>
      <c r="BQ13">
        <v>50.495414733886719</v>
      </c>
      <c r="BR13">
        <v>87.09521484375</v>
      </c>
      <c r="BS13">
        <v>-0.68788343667984009</v>
      </c>
      <c r="BT13">
        <v>0.28132972121238708</v>
      </c>
      <c r="BU13">
        <v>0.95260381698608398</v>
      </c>
      <c r="BV13">
        <v>1.6238778829574585</v>
      </c>
      <c r="BW13">
        <v>2.5930910110473633</v>
      </c>
      <c r="BX13">
        <v>53.385471343994141</v>
      </c>
      <c r="BY13">
        <v>89.734901428222656</v>
      </c>
      <c r="BZ13">
        <v>-0.62225103378295898</v>
      </c>
      <c r="CA13">
        <v>0.40916422009468079</v>
      </c>
      <c r="CB13">
        <v>1.1235193014144897</v>
      </c>
      <c r="CC13">
        <v>1.8378744125366211</v>
      </c>
      <c r="CD13">
        <v>2.8692896366119385</v>
      </c>
      <c r="CE13">
        <v>54.594924926757813</v>
      </c>
      <c r="CF13">
        <v>91.655143737792969</v>
      </c>
      <c r="CG13">
        <v>-0.21221897006034851</v>
      </c>
      <c r="CH13">
        <v>0.82923895120620728</v>
      </c>
      <c r="CI13">
        <v>1.5505495071411133</v>
      </c>
      <c r="CJ13">
        <v>2.2718601226806641</v>
      </c>
      <c r="CK13">
        <v>3.3133180141448975</v>
      </c>
      <c r="CL13">
        <v>54.332984924316406</v>
      </c>
      <c r="CM13">
        <v>90.737861633300781</v>
      </c>
      <c r="CN13">
        <v>-1.010080099105835</v>
      </c>
      <c r="CO13">
        <v>8.6491433903574944E-3</v>
      </c>
      <c r="CP13">
        <v>0.7142179012298584</v>
      </c>
      <c r="CQ13">
        <v>1.4197866916656494</v>
      </c>
      <c r="CR13">
        <v>2.4385159015655518</v>
      </c>
      <c r="CS13">
        <v>54.295482635498047</v>
      </c>
      <c r="CT13">
        <v>90.580490112304688</v>
      </c>
      <c r="CU13">
        <v>-1.0847084522247314</v>
      </c>
      <c r="CV13">
        <v>-4.8019055277109146E-2</v>
      </c>
      <c r="CW13">
        <v>0.66998887062072754</v>
      </c>
      <c r="CX13">
        <v>1.3879967927932739</v>
      </c>
      <c r="CY13">
        <v>2.4246861934661865</v>
      </c>
      <c r="CZ13">
        <v>53.003910064697266</v>
      </c>
      <c r="DA13">
        <v>92.326728820800781</v>
      </c>
      <c r="DB13">
        <v>4.1199789047241211</v>
      </c>
      <c r="DC13">
        <v>5.1251721382141113</v>
      </c>
      <c r="DD13">
        <v>5.8213658332824707</v>
      </c>
      <c r="DE13">
        <v>6.5175595283508301</v>
      </c>
      <c r="DF13">
        <v>7.5227527618408203</v>
      </c>
      <c r="DG13">
        <v>51.607845306396484</v>
      </c>
      <c r="DH13">
        <v>92.400825500488281</v>
      </c>
      <c r="DI13">
        <v>11.725978851318359</v>
      </c>
      <c r="DJ13">
        <v>12.733211517333984</v>
      </c>
      <c r="DK13">
        <v>13.430818557739258</v>
      </c>
      <c r="DL13">
        <v>14.128425598144531</v>
      </c>
      <c r="DM13">
        <v>15.135658264160156</v>
      </c>
      <c r="DN13">
        <v>48.987941741943359</v>
      </c>
      <c r="DO13">
        <v>90.238578796386719</v>
      </c>
      <c r="DP13">
        <v>11.025989532470703</v>
      </c>
      <c r="DQ13">
        <v>11.998021125793457</v>
      </c>
      <c r="DR13">
        <v>12.671247482299805</v>
      </c>
      <c r="DS13">
        <v>13.344473838806152</v>
      </c>
      <c r="DT13">
        <v>14.316505432128906</v>
      </c>
      <c r="DU13">
        <v>45.671165466308594</v>
      </c>
      <c r="DV13">
        <v>87.093215942382813</v>
      </c>
      <c r="DW13">
        <v>10.030434608459473</v>
      </c>
      <c r="DX13">
        <v>10.965100288391113</v>
      </c>
      <c r="DY13">
        <v>11.612446784973145</v>
      </c>
      <c r="DZ13">
        <v>12.259793281555176</v>
      </c>
      <c r="EA13">
        <v>13.194458961486816</v>
      </c>
      <c r="EB13">
        <v>37.452972412109375</v>
      </c>
      <c r="EC13">
        <v>83.39434814453125</v>
      </c>
      <c r="ED13">
        <v>6.1724028587341309</v>
      </c>
      <c r="EE13">
        <v>7.0981431007385254</v>
      </c>
      <c r="EF13">
        <v>7.7393083572387695</v>
      </c>
      <c r="EG13">
        <v>8.3804731369018555</v>
      </c>
      <c r="EH13">
        <v>9.3062143325805664</v>
      </c>
      <c r="EI13">
        <v>34.597988128662109</v>
      </c>
      <c r="EJ13">
        <v>81.651374816894531</v>
      </c>
      <c r="EK13">
        <v>0.78043073415756226</v>
      </c>
      <c r="EL13">
        <v>1.6860381364822388</v>
      </c>
      <c r="EM13">
        <v>2.3132591247558594</v>
      </c>
      <c r="EN13">
        <v>2.9404799938201904</v>
      </c>
      <c r="EO13">
        <v>3.8460874557495117</v>
      </c>
      <c r="EP13">
        <v>33.175056457519531</v>
      </c>
      <c r="EQ13">
        <v>80.280075073242188</v>
      </c>
      <c r="ER13">
        <v>-1.103852391242981</v>
      </c>
      <c r="ES13">
        <v>-0.1684156209230423</v>
      </c>
      <c r="ET13">
        <v>0.47946500778198242</v>
      </c>
      <c r="EU13">
        <v>1.1273456811904907</v>
      </c>
      <c r="EV13">
        <v>2.0627822875976562</v>
      </c>
      <c r="EW13">
        <v>28.474563598632813</v>
      </c>
      <c r="EX13">
        <v>78.773841857910156</v>
      </c>
      <c r="EY13">
        <v>-1.5238710641860962</v>
      </c>
      <c r="EZ13">
        <v>-0.59291493892669678</v>
      </c>
      <c r="FA13">
        <v>5.186249315738678E-2</v>
      </c>
      <c r="FB13">
        <v>0.69663989543914795</v>
      </c>
      <c r="FC13">
        <v>1.6275960206985474</v>
      </c>
      <c r="FD13">
        <v>25.294794082641602</v>
      </c>
      <c r="FE13">
        <v>76.819709777832031</v>
      </c>
      <c r="FF13">
        <v>-1.9064303636550903</v>
      </c>
      <c r="FG13">
        <v>-1.0322912931442261</v>
      </c>
      <c r="FH13">
        <v>-0.42686516046524048</v>
      </c>
      <c r="FI13">
        <v>0.17856092751026154</v>
      </c>
      <c r="FJ13">
        <v>1.0527000427246094</v>
      </c>
      <c r="FK13">
        <v>23.705402374267578</v>
      </c>
      <c r="FL13">
        <v>76.250297546386719</v>
      </c>
      <c r="FM13">
        <v>-2.271270751953125</v>
      </c>
      <c r="FN13">
        <v>-1.354701042175293</v>
      </c>
      <c r="FO13">
        <v>-0.71988761425018311</v>
      </c>
      <c r="FP13">
        <v>-8.5074163973331451E-2</v>
      </c>
      <c r="FQ13">
        <v>0.83149564266204834</v>
      </c>
      <c r="FR13">
        <v>165</v>
      </c>
      <c r="FS13">
        <v>0.11281836777925491</v>
      </c>
      <c r="FT13">
        <v>1</v>
      </c>
    </row>
    <row r="14" spans="1:176" x14ac:dyDescent="0.2">
      <c r="A14" t="s">
        <v>1</v>
      </c>
      <c r="B14" t="s">
        <v>227</v>
      </c>
      <c r="C14" t="s">
        <v>244</v>
      </c>
      <c r="D14">
        <v>165</v>
      </c>
      <c r="E14">
        <v>165</v>
      </c>
      <c r="F14">
        <v>23.587690353393555</v>
      </c>
      <c r="G14">
        <v>74.474960327148438</v>
      </c>
      <c r="H14">
        <v>-1.8427046537399292</v>
      </c>
      <c r="I14">
        <v>-0.98714035749435425</v>
      </c>
      <c r="J14">
        <v>-0.39457917213439941</v>
      </c>
      <c r="K14">
        <v>0.19798202812671661</v>
      </c>
      <c r="L14">
        <v>1.0535463094711304</v>
      </c>
      <c r="M14">
        <v>23.513833999633789</v>
      </c>
      <c r="N14">
        <v>74.223464965820313</v>
      </c>
      <c r="O14">
        <v>-1.8648525476455688</v>
      </c>
      <c r="P14">
        <v>-1.0426684617996216</v>
      </c>
      <c r="Q14">
        <v>-0.47322633862495422</v>
      </c>
      <c r="R14">
        <v>9.6215836703777313E-2</v>
      </c>
      <c r="S14">
        <v>0.9183998703956604</v>
      </c>
      <c r="T14">
        <v>23.642208099365234</v>
      </c>
      <c r="U14">
        <v>74.443893432617188</v>
      </c>
      <c r="V14">
        <v>-0.87445420026779175</v>
      </c>
      <c r="W14">
        <v>-4.8742860555648804E-2</v>
      </c>
      <c r="X14">
        <v>0.52314227819442749</v>
      </c>
      <c r="Y14">
        <v>1.0950274467468262</v>
      </c>
      <c r="Z14">
        <v>1.920738697052002</v>
      </c>
      <c r="AA14">
        <v>24.128101348876953</v>
      </c>
      <c r="AB14">
        <v>73.476249694824219</v>
      </c>
      <c r="AC14">
        <v>-1.9680269956588745</v>
      </c>
      <c r="AD14">
        <v>-1.1925333738327026</v>
      </c>
      <c r="AE14">
        <v>-0.65542882680892944</v>
      </c>
      <c r="AF14">
        <v>-0.11832427233457565</v>
      </c>
      <c r="AG14">
        <v>0.6571694016456604</v>
      </c>
      <c r="AH14">
        <v>26.907060623168945</v>
      </c>
      <c r="AI14">
        <v>73.829032897949219</v>
      </c>
      <c r="AJ14">
        <v>-1.1381243467330933</v>
      </c>
      <c r="AK14">
        <v>-0.27672654390335083</v>
      </c>
      <c r="AL14">
        <v>0.31987497210502625</v>
      </c>
      <c r="AM14">
        <v>0.91647648811340332</v>
      </c>
      <c r="AN14">
        <v>1.7778743505477905</v>
      </c>
      <c r="AO14">
        <v>32.067153930664063</v>
      </c>
      <c r="AP14">
        <v>73.527992248535156</v>
      </c>
      <c r="AQ14">
        <v>-0.26759538054466248</v>
      </c>
      <c r="AR14">
        <v>0.58472108840942383</v>
      </c>
      <c r="AS14">
        <v>1.1750328540802002</v>
      </c>
      <c r="AT14">
        <v>1.7653446197509766</v>
      </c>
      <c r="AU14">
        <v>2.6176609992980957</v>
      </c>
      <c r="AV14">
        <v>35.057334899902344</v>
      </c>
      <c r="AW14">
        <v>76.666114807128906</v>
      </c>
      <c r="AX14">
        <v>-0.97001957893371582</v>
      </c>
      <c r="AY14">
        <v>-4.4844683259725571E-2</v>
      </c>
      <c r="AZ14">
        <v>0.5959286093711853</v>
      </c>
      <c r="BA14">
        <v>1.2367018461227417</v>
      </c>
      <c r="BB14">
        <v>2.1618766784667969</v>
      </c>
      <c r="BC14">
        <v>40.506084442138672</v>
      </c>
      <c r="BD14">
        <v>81.747444152832031</v>
      </c>
      <c r="BE14">
        <v>-2.2851827144622803</v>
      </c>
      <c r="BF14">
        <v>-1.3462729454040527</v>
      </c>
      <c r="BG14">
        <v>-0.69598680734634399</v>
      </c>
      <c r="BH14">
        <v>-4.5700721442699432E-2</v>
      </c>
      <c r="BI14">
        <v>0.89320909976959229</v>
      </c>
      <c r="BJ14">
        <v>46.583042144775391</v>
      </c>
      <c r="BK14">
        <v>85.731132507324219</v>
      </c>
      <c r="BL14">
        <v>-1.8178396224975586</v>
      </c>
      <c r="BM14">
        <v>-0.89387941360473633</v>
      </c>
      <c r="BN14">
        <v>-0.25394743680953979</v>
      </c>
      <c r="BO14">
        <v>0.38598453998565674</v>
      </c>
      <c r="BP14">
        <v>1.309944748878479</v>
      </c>
      <c r="BQ14">
        <v>50.601047515869141</v>
      </c>
      <c r="BR14">
        <v>88.684768676757812</v>
      </c>
      <c r="BS14">
        <v>-1.9817769527435303</v>
      </c>
      <c r="BT14">
        <v>-1.0074334144592285</v>
      </c>
      <c r="BU14">
        <v>-0.33260610699653625</v>
      </c>
      <c r="BV14">
        <v>0.34222123026847839</v>
      </c>
      <c r="BW14">
        <v>1.3165647983551025</v>
      </c>
      <c r="BX14">
        <v>53.414276123046875</v>
      </c>
      <c r="BY14">
        <v>91.628349304199219</v>
      </c>
      <c r="BZ14">
        <v>-1.3335651159286499</v>
      </c>
      <c r="CA14">
        <v>-0.30387800931930542</v>
      </c>
      <c r="CB14">
        <v>0.40928012132644653</v>
      </c>
      <c r="CC14">
        <v>1.1224383115768433</v>
      </c>
      <c r="CD14">
        <v>2.152125358581543</v>
      </c>
      <c r="CE14">
        <v>54.239597320556641</v>
      </c>
      <c r="CF14">
        <v>92.864227294921875</v>
      </c>
      <c r="CG14">
        <v>3.4886143207550049</v>
      </c>
      <c r="CH14">
        <v>4.5215916633605957</v>
      </c>
      <c r="CI14">
        <v>5.2370285987854004</v>
      </c>
      <c r="CJ14">
        <v>5.9524655342102051</v>
      </c>
      <c r="CK14">
        <v>6.9854426383972168</v>
      </c>
      <c r="CL14">
        <v>54.706119537353516</v>
      </c>
      <c r="CM14">
        <v>94.713569641113281</v>
      </c>
      <c r="CN14">
        <v>3.5422723293304443</v>
      </c>
      <c r="CO14">
        <v>4.5536751747131348</v>
      </c>
      <c r="CP14">
        <v>5.2541694641113281</v>
      </c>
      <c r="CQ14">
        <v>5.9546637535095215</v>
      </c>
      <c r="CR14">
        <v>6.9660663604736328</v>
      </c>
      <c r="CS14">
        <v>54.013542175292969</v>
      </c>
      <c r="CT14">
        <v>94.3604736328125</v>
      </c>
      <c r="CU14">
        <v>6.4977903366088867</v>
      </c>
      <c r="CV14">
        <v>7.5534162521362305</v>
      </c>
      <c r="CW14">
        <v>8.2845392227172852</v>
      </c>
      <c r="CX14">
        <v>9.0156621932983398</v>
      </c>
      <c r="CY14">
        <v>10.071288108825684</v>
      </c>
      <c r="CZ14">
        <v>53.197528839111328</v>
      </c>
      <c r="DA14">
        <v>96.247886657714844</v>
      </c>
      <c r="DB14">
        <v>10.203219413757324</v>
      </c>
      <c r="DC14">
        <v>11.229321479797363</v>
      </c>
      <c r="DD14">
        <v>11.939995765686035</v>
      </c>
      <c r="DE14">
        <v>12.650670051574707</v>
      </c>
      <c r="DF14">
        <v>13.676772117614746</v>
      </c>
      <c r="DG14">
        <v>52.133308410644531</v>
      </c>
      <c r="DH14">
        <v>94.771591186523438</v>
      </c>
      <c r="DI14">
        <v>9.7173976898193359</v>
      </c>
      <c r="DJ14">
        <v>10.715854644775391</v>
      </c>
      <c r="DK14">
        <v>11.407383918762207</v>
      </c>
      <c r="DL14">
        <v>12.098913192749023</v>
      </c>
      <c r="DM14">
        <v>13.097370147705078</v>
      </c>
      <c r="DN14">
        <v>49.2603759765625</v>
      </c>
      <c r="DO14">
        <v>91.066116333007813</v>
      </c>
      <c r="DP14">
        <v>8.5606794357299805</v>
      </c>
      <c r="DQ14">
        <v>9.5590600967407227</v>
      </c>
      <c r="DR14">
        <v>10.25053596496582</v>
      </c>
      <c r="DS14">
        <v>10.942011833190918</v>
      </c>
      <c r="DT14">
        <v>11.94039249420166</v>
      </c>
      <c r="DU14">
        <v>46.213874816894531</v>
      </c>
      <c r="DV14">
        <v>89.674369812011719</v>
      </c>
      <c r="DW14">
        <v>8.5295782089233398</v>
      </c>
      <c r="DX14">
        <v>9.5099582672119141</v>
      </c>
      <c r="DY14">
        <v>10.188965797424316</v>
      </c>
      <c r="DZ14">
        <v>10.867973327636719</v>
      </c>
      <c r="EA14">
        <v>11.848353385925293</v>
      </c>
      <c r="EB14">
        <v>38.295204162597656</v>
      </c>
      <c r="EC14">
        <v>89.839340209960938</v>
      </c>
      <c r="ED14">
        <v>3.5526442527770996</v>
      </c>
      <c r="EE14">
        <v>4.5589165687561035</v>
      </c>
      <c r="EF14">
        <v>5.2558579444885254</v>
      </c>
      <c r="EG14">
        <v>5.9527993202209473</v>
      </c>
      <c r="EH14">
        <v>6.9590716361999512</v>
      </c>
      <c r="EI14">
        <v>35.888813018798828</v>
      </c>
      <c r="EJ14">
        <v>87.641349792480469</v>
      </c>
      <c r="EK14">
        <v>-2.4360651969909668</v>
      </c>
      <c r="EL14">
        <v>-1.4364259243011475</v>
      </c>
      <c r="EM14">
        <v>-0.7440788745880127</v>
      </c>
      <c r="EN14">
        <v>-5.1731828600168228E-2</v>
      </c>
      <c r="EO14">
        <v>0.94790732860565186</v>
      </c>
      <c r="EP14">
        <v>34.344478607177734</v>
      </c>
      <c r="EQ14">
        <v>84.633827209472656</v>
      </c>
      <c r="ER14">
        <v>-3.0694825649261475</v>
      </c>
      <c r="ES14">
        <v>-2.0535337924957275</v>
      </c>
      <c r="ET14">
        <v>-1.3498908281326294</v>
      </c>
      <c r="EU14">
        <v>-0.64624786376953125</v>
      </c>
      <c r="EV14">
        <v>0.3697008490562439</v>
      </c>
      <c r="EW14">
        <v>29.126239776611328</v>
      </c>
      <c r="EX14">
        <v>83.355865478515625</v>
      </c>
      <c r="EY14">
        <v>-4.085993766784668</v>
      </c>
      <c r="EZ14">
        <v>-3.0433897972106934</v>
      </c>
      <c r="FA14">
        <v>-2.3212852478027344</v>
      </c>
      <c r="FB14">
        <v>-1.5991808176040649</v>
      </c>
      <c r="FC14">
        <v>-0.55657672882080078</v>
      </c>
      <c r="FD14">
        <v>25.904216766357422</v>
      </c>
      <c r="FE14">
        <v>80.779792785644531</v>
      </c>
      <c r="FF14">
        <v>-3.5179955959320068</v>
      </c>
      <c r="FG14">
        <v>-2.490513801574707</v>
      </c>
      <c r="FH14">
        <v>-1.7788829803466797</v>
      </c>
      <c r="FI14">
        <v>-1.0672522783279419</v>
      </c>
      <c r="FJ14">
        <v>-3.9770461618900299E-2</v>
      </c>
      <c r="FK14">
        <v>24.214406967163086</v>
      </c>
      <c r="FL14">
        <v>80.162918090820312</v>
      </c>
      <c r="FM14">
        <v>-2.5424771308898926</v>
      </c>
      <c r="FN14">
        <v>-1.4965403079986572</v>
      </c>
      <c r="FO14">
        <v>-0.77212768793106079</v>
      </c>
      <c r="FP14">
        <v>-4.7715011984109879E-2</v>
      </c>
      <c r="FQ14">
        <v>0.99822181463241577</v>
      </c>
      <c r="FR14">
        <v>165</v>
      </c>
      <c r="FS14">
        <v>0.11711755394935608</v>
      </c>
      <c r="FT14">
        <v>1</v>
      </c>
    </row>
    <row r="15" spans="1:176" x14ac:dyDescent="0.2">
      <c r="A15" t="s">
        <v>1</v>
      </c>
      <c r="B15" t="s">
        <v>227</v>
      </c>
      <c r="C15" t="s">
        <v>245</v>
      </c>
      <c r="D15">
        <v>165</v>
      </c>
      <c r="E15">
        <v>165</v>
      </c>
      <c r="F15">
        <v>22.375104904174805</v>
      </c>
      <c r="G15">
        <v>80.3841552734375</v>
      </c>
      <c r="H15">
        <v>-3.0061910152435303</v>
      </c>
      <c r="I15">
        <v>-1.9371823072433472</v>
      </c>
      <c r="J15">
        <v>-1.1967900991439819</v>
      </c>
      <c r="K15">
        <v>-0.45639792084693909</v>
      </c>
      <c r="L15">
        <v>0.61261075735092163</v>
      </c>
      <c r="M15">
        <v>21.769916534423828</v>
      </c>
      <c r="N15">
        <v>79.633842468261719</v>
      </c>
      <c r="O15">
        <v>-3.1589395999908447</v>
      </c>
      <c r="P15">
        <v>-2.1685998439788818</v>
      </c>
      <c r="Q15">
        <v>-1.4826936721801758</v>
      </c>
      <c r="R15">
        <v>-0.79678738117218018</v>
      </c>
      <c r="S15">
        <v>0.19355235993862152</v>
      </c>
      <c r="T15">
        <v>22.036016464233398</v>
      </c>
      <c r="U15">
        <v>78.320907592773438</v>
      </c>
      <c r="V15">
        <v>-2.3660683631896973</v>
      </c>
      <c r="W15">
        <v>-1.4301306009292603</v>
      </c>
      <c r="X15">
        <v>-0.78190302848815918</v>
      </c>
      <c r="Y15">
        <v>-0.13367544114589691</v>
      </c>
      <c r="Z15">
        <v>0.80226224660873413</v>
      </c>
      <c r="AA15">
        <v>22.467838287353516</v>
      </c>
      <c r="AB15">
        <v>77.805068969726563</v>
      </c>
      <c r="AC15">
        <v>-3.6126177310943604</v>
      </c>
      <c r="AD15">
        <v>-2.6660778522491455</v>
      </c>
      <c r="AE15">
        <v>-2.0105071067810059</v>
      </c>
      <c r="AF15">
        <v>-1.3549363613128662</v>
      </c>
      <c r="AG15">
        <v>-0.4083963930606842</v>
      </c>
      <c r="AH15">
        <v>25.432689666748047</v>
      </c>
      <c r="AI15">
        <v>77.154548645019531</v>
      </c>
      <c r="AJ15">
        <v>-3.785764217376709</v>
      </c>
      <c r="AK15">
        <v>-2.7884509563446045</v>
      </c>
      <c r="AL15">
        <v>-2.097714900970459</v>
      </c>
      <c r="AM15">
        <v>-1.4069788455963135</v>
      </c>
      <c r="AN15">
        <v>-0.40966564416885376</v>
      </c>
      <c r="AO15">
        <v>30.763025283813477</v>
      </c>
      <c r="AP15">
        <v>76.8907470703125</v>
      </c>
      <c r="AQ15">
        <v>-2.1564345359802246</v>
      </c>
      <c r="AR15">
        <v>-1.162749171257019</v>
      </c>
      <c r="AS15">
        <v>-0.47452560067176819</v>
      </c>
      <c r="AT15">
        <v>0.21369794011116028</v>
      </c>
      <c r="AU15">
        <v>1.207383394241333</v>
      </c>
      <c r="AV15">
        <v>33.672267913818359</v>
      </c>
      <c r="AW15">
        <v>75.794601440429688</v>
      </c>
      <c r="AX15">
        <v>-1.8942403793334961</v>
      </c>
      <c r="AY15">
        <v>-0.98366051912307739</v>
      </c>
      <c r="AZ15">
        <v>-0.35299563407897949</v>
      </c>
      <c r="BA15">
        <v>0.27766925096511841</v>
      </c>
      <c r="BB15">
        <v>1.1882491111755371</v>
      </c>
      <c r="BC15">
        <v>38.906684875488281</v>
      </c>
      <c r="BD15">
        <v>81.147972106933594</v>
      </c>
      <c r="BE15">
        <v>-2.1665308475494385</v>
      </c>
      <c r="BF15">
        <v>-1.2255438566207886</v>
      </c>
      <c r="BG15">
        <v>-0.57381910085678101</v>
      </c>
      <c r="BH15">
        <v>7.7905669808387756E-2</v>
      </c>
      <c r="BI15">
        <v>1.018892765045166</v>
      </c>
      <c r="BJ15">
        <v>43.796340942382813</v>
      </c>
      <c r="BK15">
        <v>85.252113342285156</v>
      </c>
      <c r="BL15">
        <v>0.98553752899169922</v>
      </c>
      <c r="BM15">
        <v>1.9470229148864746</v>
      </c>
      <c r="BN15">
        <v>2.6129448413848877</v>
      </c>
      <c r="BO15">
        <v>3.2788667678833008</v>
      </c>
      <c r="BP15">
        <v>4.2403521537780762</v>
      </c>
      <c r="BQ15">
        <v>47.344390869140625</v>
      </c>
      <c r="BR15">
        <v>87.937416076660156</v>
      </c>
      <c r="BS15">
        <v>0.87873983383178711</v>
      </c>
      <c r="BT15">
        <v>1.9126641750335693</v>
      </c>
      <c r="BU15">
        <v>2.6287569999694824</v>
      </c>
      <c r="BV15">
        <v>3.3448498249053955</v>
      </c>
      <c r="BW15">
        <v>4.3787741661071777</v>
      </c>
      <c r="BX15">
        <v>49.977558135986328</v>
      </c>
      <c r="BY15">
        <v>90.327003479003906</v>
      </c>
      <c r="BZ15">
        <v>0.67907887697219849</v>
      </c>
      <c r="CA15">
        <v>1.8006954193115234</v>
      </c>
      <c r="CB15">
        <v>2.5775237083435059</v>
      </c>
      <c r="CC15">
        <v>3.3543519973754883</v>
      </c>
      <c r="CD15">
        <v>4.4759683609008789</v>
      </c>
      <c r="CE15">
        <v>50.954193115234375</v>
      </c>
      <c r="CF15">
        <v>91.627143859863281</v>
      </c>
      <c r="CG15">
        <v>0.8620571494102478</v>
      </c>
      <c r="CH15">
        <v>1.9740035533905029</v>
      </c>
      <c r="CI15">
        <v>2.7441341876983643</v>
      </c>
      <c r="CJ15">
        <v>3.5142648220062256</v>
      </c>
      <c r="CK15">
        <v>4.6262111663818359</v>
      </c>
      <c r="CL15">
        <v>50.196445465087891</v>
      </c>
      <c r="CM15">
        <v>89.988616943359375</v>
      </c>
      <c r="CN15">
        <v>0.10918983072042465</v>
      </c>
      <c r="CO15">
        <v>1.3024098873138428</v>
      </c>
      <c r="CP15">
        <v>2.1288304328918457</v>
      </c>
      <c r="CQ15">
        <v>2.9552509784698486</v>
      </c>
      <c r="CR15">
        <v>4.1484708786010742</v>
      </c>
      <c r="CS15">
        <v>50.098434448242187</v>
      </c>
      <c r="CT15">
        <v>87.890220642089844</v>
      </c>
      <c r="CU15">
        <v>2.9314999580383301</v>
      </c>
      <c r="CV15">
        <v>4.1417474746704102</v>
      </c>
      <c r="CW15">
        <v>4.9799609184265137</v>
      </c>
      <c r="CX15">
        <v>5.8181743621826172</v>
      </c>
      <c r="CY15">
        <v>7.0284218788146973</v>
      </c>
      <c r="CZ15">
        <v>49.242626190185547</v>
      </c>
      <c r="DA15">
        <v>87.584396362304688</v>
      </c>
      <c r="DB15">
        <v>6.6024489402770996</v>
      </c>
      <c r="DC15">
        <v>7.7951388359069824</v>
      </c>
      <c r="DD15">
        <v>8.6211919784545898</v>
      </c>
      <c r="DE15">
        <v>9.4472455978393555</v>
      </c>
      <c r="DF15">
        <v>10.639935493469238</v>
      </c>
      <c r="DG15">
        <v>48.078533172607422</v>
      </c>
      <c r="DH15">
        <v>86.449600219726563</v>
      </c>
      <c r="DI15">
        <v>7.139340877532959</v>
      </c>
      <c r="DJ15">
        <v>8.3088579177856445</v>
      </c>
      <c r="DK15">
        <v>9.1188621520996094</v>
      </c>
      <c r="DL15">
        <v>9.9288663864135742</v>
      </c>
      <c r="DM15">
        <v>11.098382949829102</v>
      </c>
      <c r="DN15">
        <v>45.82940673828125</v>
      </c>
      <c r="DO15">
        <v>84.006011962890625</v>
      </c>
      <c r="DP15">
        <v>7.244987964630127</v>
      </c>
      <c r="DQ15">
        <v>8.3846940994262695</v>
      </c>
      <c r="DR15">
        <v>9.1740512847900391</v>
      </c>
      <c r="DS15">
        <v>9.9634084701538086</v>
      </c>
      <c r="DT15">
        <v>11.103114128112793</v>
      </c>
      <c r="DU15">
        <v>43.107295989990234</v>
      </c>
      <c r="DV15">
        <v>81.835205078125</v>
      </c>
      <c r="DW15">
        <v>6.7389717102050781</v>
      </c>
      <c r="DX15">
        <v>7.8760228157043457</v>
      </c>
      <c r="DY15">
        <v>8.6635408401489258</v>
      </c>
      <c r="DZ15">
        <v>9.4510593414306641</v>
      </c>
      <c r="EA15">
        <v>10.588109970092773</v>
      </c>
      <c r="EB15">
        <v>36.026569366455078</v>
      </c>
      <c r="EC15">
        <v>78.349372863769531</v>
      </c>
      <c r="ED15">
        <v>2.1473033428192139</v>
      </c>
      <c r="EE15">
        <v>3.239004373550415</v>
      </c>
      <c r="EF15">
        <v>3.9951133728027344</v>
      </c>
      <c r="EG15">
        <v>4.7512221336364746</v>
      </c>
      <c r="EH15">
        <v>5.842923641204834</v>
      </c>
      <c r="EI15">
        <v>33.830394744873047</v>
      </c>
      <c r="EJ15">
        <v>75.553077697753906</v>
      </c>
      <c r="EK15">
        <v>-1.5200517177581787</v>
      </c>
      <c r="EL15">
        <v>-0.50826531648635864</v>
      </c>
      <c r="EM15">
        <v>0.19249492883682251</v>
      </c>
      <c r="EN15">
        <v>0.89325517416000366</v>
      </c>
      <c r="EO15">
        <v>1.9050415754318237</v>
      </c>
      <c r="EP15">
        <v>32.687911987304687</v>
      </c>
      <c r="EQ15">
        <v>74.6732177734375</v>
      </c>
      <c r="ER15">
        <v>-1.9595977067947388</v>
      </c>
      <c r="ES15">
        <v>-1.0372544527053833</v>
      </c>
      <c r="ET15">
        <v>-0.39844229817390442</v>
      </c>
      <c r="EU15">
        <v>0.24036982655525208</v>
      </c>
      <c r="EV15">
        <v>1.1627130508422852</v>
      </c>
      <c r="EW15">
        <v>28.296865463256836</v>
      </c>
      <c r="EX15">
        <v>73.617637634277344</v>
      </c>
      <c r="EY15">
        <v>-2.9928901195526123</v>
      </c>
      <c r="EZ15">
        <v>-2.1354854106903076</v>
      </c>
      <c r="FA15">
        <v>-1.5416495800018311</v>
      </c>
      <c r="FB15">
        <v>-0.94781368970870972</v>
      </c>
      <c r="FC15">
        <v>-9.0408928692340851E-2</v>
      </c>
      <c r="FD15">
        <v>24.678821563720703</v>
      </c>
      <c r="FE15">
        <v>73.088836669921875</v>
      </c>
      <c r="FF15">
        <v>-2.6545217037200928</v>
      </c>
      <c r="FG15">
        <v>-1.8539299964904785</v>
      </c>
      <c r="FH15">
        <v>-1.2994426488876343</v>
      </c>
      <c r="FI15">
        <v>-0.74495530128479004</v>
      </c>
      <c r="FJ15">
        <v>5.5636350065469742E-2</v>
      </c>
      <c r="FK15">
        <v>23.198884963989258</v>
      </c>
      <c r="FL15">
        <v>72.254875183105469</v>
      </c>
      <c r="FM15">
        <v>-1.4326452016830444</v>
      </c>
      <c r="FN15">
        <v>-0.64491194486618042</v>
      </c>
      <c r="FO15">
        <v>-9.933026134967804E-2</v>
      </c>
      <c r="FP15">
        <v>0.44625142216682434</v>
      </c>
      <c r="FQ15">
        <v>1.2339847087860107</v>
      </c>
      <c r="FR15">
        <v>165</v>
      </c>
      <c r="FS15">
        <v>0.10101240873336792</v>
      </c>
      <c r="FT15">
        <v>1</v>
      </c>
    </row>
    <row r="16" spans="1:176" x14ac:dyDescent="0.2">
      <c r="A16" t="s">
        <v>1</v>
      </c>
      <c r="B16" t="s">
        <v>227</v>
      </c>
      <c r="C16" t="s">
        <v>2</v>
      </c>
      <c r="D16">
        <v>163.4</v>
      </c>
      <c r="E16">
        <v>163.4</v>
      </c>
      <c r="F16">
        <v>20.245323181152344</v>
      </c>
      <c r="G16">
        <v>71.370361328125</v>
      </c>
      <c r="H16">
        <v>-2.2227158546447754</v>
      </c>
      <c r="I16">
        <v>-1.408076286315918</v>
      </c>
      <c r="J16">
        <v>-0.84385937452316284</v>
      </c>
      <c r="K16">
        <v>-0.27964243292808533</v>
      </c>
      <c r="L16">
        <v>0.53499716520309448</v>
      </c>
      <c r="M16">
        <v>20.009372711181641</v>
      </c>
      <c r="N16">
        <v>70.506034851074219</v>
      </c>
      <c r="O16">
        <v>-2.02768874168396</v>
      </c>
      <c r="P16">
        <v>-1.2534079551696777</v>
      </c>
      <c r="Q16">
        <v>-0.7171434760093689</v>
      </c>
      <c r="R16">
        <v>-0.18087898194789886</v>
      </c>
      <c r="S16">
        <v>0.59340178966522217</v>
      </c>
      <c r="T16">
        <v>20.00506591796875</v>
      </c>
      <c r="U16">
        <v>69.436004638671875</v>
      </c>
      <c r="V16">
        <v>-1.649512767791748</v>
      </c>
      <c r="W16">
        <v>-0.87668764591217041</v>
      </c>
      <c r="X16">
        <v>-0.34143131971359253</v>
      </c>
      <c r="Y16">
        <v>0.19382502138614655</v>
      </c>
      <c r="Z16">
        <v>0.96665018796920776</v>
      </c>
      <c r="AA16">
        <v>20.408344268798828</v>
      </c>
      <c r="AB16">
        <v>69.536239624023437</v>
      </c>
      <c r="AC16">
        <v>-1.8550060987472534</v>
      </c>
      <c r="AD16">
        <v>-1.0905777215957642</v>
      </c>
      <c r="AE16">
        <v>-0.56113696098327637</v>
      </c>
      <c r="AF16">
        <v>-3.1696178019046783E-2</v>
      </c>
      <c r="AG16">
        <v>0.73273223638534546</v>
      </c>
      <c r="AH16">
        <v>22.62109375</v>
      </c>
      <c r="AI16">
        <v>69.281150817871094</v>
      </c>
      <c r="AJ16">
        <v>-1.9972310066223145</v>
      </c>
      <c r="AK16">
        <v>-1.1793673038482666</v>
      </c>
      <c r="AL16">
        <v>-0.61291742324829102</v>
      </c>
      <c r="AM16">
        <v>-4.6467512845993042E-2</v>
      </c>
      <c r="AN16">
        <v>0.77139616012573242</v>
      </c>
      <c r="AO16">
        <v>26.700786590576172</v>
      </c>
      <c r="AP16">
        <v>68.690025329589844</v>
      </c>
      <c r="AQ16">
        <v>-1.4641568660736084</v>
      </c>
      <c r="AR16">
        <v>-0.64944058656692505</v>
      </c>
      <c r="AS16">
        <v>-8.5170559585094452E-2</v>
      </c>
      <c r="AT16">
        <v>0.47909945249557495</v>
      </c>
      <c r="AU16">
        <v>1.2938157320022583</v>
      </c>
      <c r="AV16">
        <v>30.089263916015625</v>
      </c>
      <c r="AW16">
        <v>70.444137573242188</v>
      </c>
      <c r="AX16">
        <v>-1.2017791271209717</v>
      </c>
      <c r="AY16">
        <v>-0.39642590284347534</v>
      </c>
      <c r="AZ16">
        <v>0.1613592803478241</v>
      </c>
      <c r="BA16">
        <v>0.71914446353912354</v>
      </c>
      <c r="BB16">
        <v>1.5244976282119751</v>
      </c>
      <c r="BC16">
        <v>34.347991943359375</v>
      </c>
      <c r="BD16">
        <v>75.638961791992188</v>
      </c>
      <c r="BE16">
        <v>-1.4141618013381958</v>
      </c>
      <c r="BF16">
        <v>-0.5711091160774231</v>
      </c>
      <c r="BG16">
        <v>1.2786600738763809E-2</v>
      </c>
      <c r="BH16">
        <v>0.59668231010437012</v>
      </c>
      <c r="BI16">
        <v>1.439734935760498</v>
      </c>
      <c r="BJ16">
        <v>38.874774932861328</v>
      </c>
      <c r="BK16">
        <v>81.800552368164063</v>
      </c>
      <c r="BL16">
        <v>-1.0456961393356323</v>
      </c>
      <c r="BM16">
        <v>-0.18016037344932556</v>
      </c>
      <c r="BN16">
        <v>0.41930705308914185</v>
      </c>
      <c r="BO16">
        <v>1.0187745094299316</v>
      </c>
      <c r="BP16">
        <v>1.884310245513916</v>
      </c>
      <c r="BQ16">
        <v>42.641986846923828</v>
      </c>
      <c r="BR16">
        <v>85.955314636230469</v>
      </c>
      <c r="BS16">
        <v>-1.378548264503479</v>
      </c>
      <c r="BT16">
        <v>-0.44087013602256775</v>
      </c>
      <c r="BU16">
        <v>0.20856288075447083</v>
      </c>
      <c r="BV16">
        <v>0.85799592733383179</v>
      </c>
      <c r="BW16">
        <v>1.7956740856170654</v>
      </c>
      <c r="BX16">
        <v>45.519863128662109</v>
      </c>
      <c r="BY16">
        <v>88.248893737792969</v>
      </c>
      <c r="BZ16">
        <v>-1.2348595857620239</v>
      </c>
      <c r="CA16">
        <v>-0.26893186569213867</v>
      </c>
      <c r="CB16">
        <v>0.40006673336029053</v>
      </c>
      <c r="CC16">
        <v>1.0690653324127197</v>
      </c>
      <c r="CD16">
        <v>2.0349931716918945</v>
      </c>
      <c r="CE16">
        <v>46.757511138916016</v>
      </c>
      <c r="CF16">
        <v>89.359970092773438</v>
      </c>
      <c r="CG16">
        <v>0.19745863974094391</v>
      </c>
      <c r="CH16">
        <v>1.1705877780914307</v>
      </c>
      <c r="CI16">
        <v>1.8445740938186646</v>
      </c>
      <c r="CJ16">
        <v>2.5185604095458984</v>
      </c>
      <c r="CK16">
        <v>3.4916894435882568</v>
      </c>
      <c r="CL16">
        <v>46.602809906005859</v>
      </c>
      <c r="CM16">
        <v>89.138832092285156</v>
      </c>
      <c r="CN16">
        <v>0.24440744519233704</v>
      </c>
      <c r="CO16">
        <v>1.1908086538314819</v>
      </c>
      <c r="CP16">
        <v>1.8462831974029541</v>
      </c>
      <c r="CQ16">
        <v>2.5017578601837158</v>
      </c>
      <c r="CR16">
        <v>3.4481589794158936</v>
      </c>
      <c r="CS16">
        <v>46.477020263671875</v>
      </c>
      <c r="CT16">
        <v>89.214088439941406</v>
      </c>
      <c r="CU16">
        <v>1.0275332927703857</v>
      </c>
      <c r="CV16">
        <v>1.9872931241989136</v>
      </c>
      <c r="CW16">
        <v>2.6520199775695801</v>
      </c>
      <c r="CX16">
        <v>3.316746711730957</v>
      </c>
      <c r="CY16">
        <v>4.2765069007873535</v>
      </c>
      <c r="CZ16">
        <v>45.584159851074219</v>
      </c>
      <c r="DA16">
        <v>89.733871459960938</v>
      </c>
      <c r="DB16">
        <v>5.1982855796813965</v>
      </c>
      <c r="DC16">
        <v>6.1021404266357422</v>
      </c>
      <c r="DD16">
        <v>6.728147029876709</v>
      </c>
      <c r="DE16">
        <v>7.3541536331176758</v>
      </c>
      <c r="DF16">
        <v>8.2580080032348633</v>
      </c>
      <c r="DG16">
        <v>44.838123321533203</v>
      </c>
      <c r="DH16">
        <v>89.578819274902344</v>
      </c>
      <c r="DI16">
        <v>9.4402894973754883</v>
      </c>
      <c r="DJ16">
        <v>10.369082450866699</v>
      </c>
      <c r="DK16">
        <v>11.012361526489258</v>
      </c>
      <c r="DL16">
        <v>11.655640602111816</v>
      </c>
      <c r="DM16">
        <v>12.584433555603027</v>
      </c>
      <c r="DN16">
        <v>43.0684814453125</v>
      </c>
      <c r="DO16">
        <v>88.015426635742188</v>
      </c>
      <c r="DP16">
        <v>9.3523674011230469</v>
      </c>
      <c r="DQ16">
        <v>10.244904518127441</v>
      </c>
      <c r="DR16">
        <v>10.863073348999023</v>
      </c>
      <c r="DS16">
        <v>11.481242179870605</v>
      </c>
      <c r="DT16">
        <v>12.373779296875</v>
      </c>
      <c r="DU16">
        <v>40.490001678466797</v>
      </c>
      <c r="DV16">
        <v>85.498054504394531</v>
      </c>
      <c r="DW16">
        <v>8.6661262512207031</v>
      </c>
      <c r="DX16">
        <v>9.5509424209594727</v>
      </c>
      <c r="DY16">
        <v>10.163763999938965</v>
      </c>
      <c r="DZ16">
        <v>10.776585578918457</v>
      </c>
      <c r="EA16">
        <v>11.661401748657227</v>
      </c>
      <c r="EB16">
        <v>33.025859832763672</v>
      </c>
      <c r="EC16">
        <v>82.77532958984375</v>
      </c>
      <c r="ED16">
        <v>6.0429840087890625</v>
      </c>
      <c r="EE16">
        <v>6.9271097183227539</v>
      </c>
      <c r="EF16">
        <v>7.539452075958252</v>
      </c>
      <c r="EG16">
        <v>8.15179443359375</v>
      </c>
      <c r="EH16">
        <v>9.0359201431274414</v>
      </c>
      <c r="EI16">
        <v>30.571950912475586</v>
      </c>
      <c r="EJ16">
        <v>79.789772033691406</v>
      </c>
      <c r="EK16">
        <v>1.3289788961410522</v>
      </c>
      <c r="EL16">
        <v>2.194328784942627</v>
      </c>
      <c r="EM16">
        <v>2.7936675548553467</v>
      </c>
      <c r="EN16">
        <v>3.3930063247680664</v>
      </c>
      <c r="EO16">
        <v>4.2583560943603516</v>
      </c>
      <c r="EP16">
        <v>29.425949096679688</v>
      </c>
      <c r="EQ16">
        <v>77.730079650878906</v>
      </c>
      <c r="ER16">
        <v>-1.9177381992340088</v>
      </c>
      <c r="ES16">
        <v>-1.0473710298538208</v>
      </c>
      <c r="ET16">
        <v>-0.44455733895301819</v>
      </c>
      <c r="EU16">
        <v>0.15825630724430084</v>
      </c>
      <c r="EV16">
        <v>1.0286234617233276</v>
      </c>
      <c r="EW16">
        <v>25.352449417114258</v>
      </c>
      <c r="EX16">
        <v>76.054420471191406</v>
      </c>
      <c r="EY16">
        <v>-2.127875804901123</v>
      </c>
      <c r="EZ16">
        <v>-1.2762699127197266</v>
      </c>
      <c r="FA16">
        <v>-0.6864503026008606</v>
      </c>
      <c r="FB16">
        <v>-9.6630692481994629E-2</v>
      </c>
      <c r="FC16">
        <v>0.75497514009475708</v>
      </c>
      <c r="FD16">
        <v>22.488252639770508</v>
      </c>
      <c r="FE16">
        <v>73.858612060546875</v>
      </c>
      <c r="FF16">
        <v>-2.4216341972351074</v>
      </c>
      <c r="FG16">
        <v>-1.6140414476394653</v>
      </c>
      <c r="FH16">
        <v>-1.0547051429748535</v>
      </c>
      <c r="FI16">
        <v>-0.49536880850791931</v>
      </c>
      <c r="FJ16">
        <v>0.31222400069236755</v>
      </c>
      <c r="FK16">
        <v>21.102155685424805</v>
      </c>
      <c r="FL16">
        <v>72.390106201171875</v>
      </c>
      <c r="FM16">
        <v>-2.5419723987579346</v>
      </c>
      <c r="FN16">
        <v>-1.7293481826782227</v>
      </c>
      <c r="FO16">
        <v>-1.1665271520614624</v>
      </c>
      <c r="FP16">
        <v>-0.60370606184005737</v>
      </c>
      <c r="FQ16">
        <v>0.20891815423965454</v>
      </c>
      <c r="FR16">
        <v>163.4</v>
      </c>
      <c r="FS16">
        <v>0.11090198159217834</v>
      </c>
      <c r="FT16">
        <v>1</v>
      </c>
    </row>
    <row r="17" spans="1:176" x14ac:dyDescent="0.2">
      <c r="A17" t="s">
        <v>1</v>
      </c>
      <c r="B17" t="s">
        <v>228</v>
      </c>
      <c r="C17" t="s">
        <v>232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</row>
    <row r="18" spans="1:176" x14ac:dyDescent="0.2">
      <c r="A18" t="s">
        <v>1</v>
      </c>
      <c r="B18" t="s">
        <v>228</v>
      </c>
      <c r="C18" t="s">
        <v>233</v>
      </c>
      <c r="D18">
        <v>168</v>
      </c>
      <c r="E18">
        <v>170</v>
      </c>
      <c r="F18">
        <v>14.640637397766113</v>
      </c>
      <c r="G18">
        <v>70.119239807128906</v>
      </c>
      <c r="H18">
        <v>-2.1515791416168213</v>
      </c>
      <c r="I18">
        <v>-1.4224982261657715</v>
      </c>
      <c r="J18">
        <v>-0.91753900051116943</v>
      </c>
      <c r="K18">
        <v>-0.41257977485656738</v>
      </c>
      <c r="L18">
        <v>0.31650111079216003</v>
      </c>
      <c r="M18">
        <v>13.861848831176758</v>
      </c>
      <c r="N18">
        <v>67.962333679199219</v>
      </c>
      <c r="O18">
        <v>-2.0926759243011475</v>
      </c>
      <c r="P18">
        <v>-1.3704110383987427</v>
      </c>
      <c r="Q18">
        <v>-0.87017256021499634</v>
      </c>
      <c r="R18">
        <v>-0.36993411183357239</v>
      </c>
      <c r="S18">
        <v>0.3523307740688324</v>
      </c>
      <c r="T18">
        <v>13.487827301025391</v>
      </c>
      <c r="U18">
        <v>65.599723815917969</v>
      </c>
      <c r="V18">
        <v>-1.6474506855010986</v>
      </c>
      <c r="W18">
        <v>-0.96211743354797363</v>
      </c>
      <c r="X18">
        <v>-0.48745769262313843</v>
      </c>
      <c r="Y18">
        <v>-1.2797976844012737E-2</v>
      </c>
      <c r="Z18">
        <v>0.672535240650177</v>
      </c>
      <c r="AA18">
        <v>13.588566780090332</v>
      </c>
      <c r="AB18">
        <v>67.439872741699219</v>
      </c>
      <c r="AC18">
        <v>-1.8360989093780518</v>
      </c>
      <c r="AD18">
        <v>-1.166461706161499</v>
      </c>
      <c r="AE18">
        <v>-0.70267295837402344</v>
      </c>
      <c r="AF18">
        <v>-0.23888422548770905</v>
      </c>
      <c r="AG18">
        <v>0.43075302243232727</v>
      </c>
      <c r="AH18">
        <v>14.356719970703125</v>
      </c>
      <c r="AI18">
        <v>67.944107055664063</v>
      </c>
      <c r="AJ18">
        <v>-2.0205094814300537</v>
      </c>
      <c r="AK18">
        <v>-1.3131983280181885</v>
      </c>
      <c r="AL18">
        <v>-0.82331693172454834</v>
      </c>
      <c r="AM18">
        <v>-0.33343547582626343</v>
      </c>
      <c r="AN18">
        <v>0.37387552857398987</v>
      </c>
      <c r="AO18">
        <v>14.985491752624512</v>
      </c>
      <c r="AP18">
        <v>68.226364135742187</v>
      </c>
      <c r="AQ18">
        <v>-1.8377947807312012</v>
      </c>
      <c r="AR18">
        <v>-1.1190063953399658</v>
      </c>
      <c r="AS18">
        <v>-0.62117576599121094</v>
      </c>
      <c r="AT18">
        <v>-0.12334514409303665</v>
      </c>
      <c r="AU18">
        <v>0.59544318914413452</v>
      </c>
      <c r="AV18">
        <v>17.890804290771484</v>
      </c>
      <c r="AW18">
        <v>72.58160400390625</v>
      </c>
      <c r="AX18">
        <v>-0.872871994972229</v>
      </c>
      <c r="AY18">
        <v>-0.18460328876972198</v>
      </c>
      <c r="AZ18">
        <v>0.29208952188491821</v>
      </c>
      <c r="BA18">
        <v>0.76878231763839722</v>
      </c>
      <c r="BB18">
        <v>1.4570510387420654</v>
      </c>
      <c r="BC18">
        <v>20.734268188476562</v>
      </c>
      <c r="BD18">
        <v>78.616432189941406</v>
      </c>
      <c r="BE18">
        <v>-1.2795403003692627</v>
      </c>
      <c r="BF18">
        <v>-0.62421262264251709</v>
      </c>
      <c r="BG18">
        <v>-0.17033463716506958</v>
      </c>
      <c r="BH18">
        <v>0.28354334831237793</v>
      </c>
      <c r="BI18">
        <v>0.93887102603912354</v>
      </c>
      <c r="BJ18">
        <v>24.315135955810547</v>
      </c>
      <c r="BK18">
        <v>85.091384887695313</v>
      </c>
      <c r="BL18">
        <v>-0.83417290449142456</v>
      </c>
      <c r="BM18">
        <v>-0.15766797959804535</v>
      </c>
      <c r="BN18">
        <v>0.31087726354598999</v>
      </c>
      <c r="BO18">
        <v>0.77942252159118652</v>
      </c>
      <c r="BP18">
        <v>1.4559274911880493</v>
      </c>
      <c r="BQ18">
        <v>26.461637496948242</v>
      </c>
      <c r="BR18">
        <v>88.991073608398437</v>
      </c>
      <c r="BS18">
        <v>-1.3671690225601196</v>
      </c>
      <c r="BT18">
        <v>-0.62925159931182861</v>
      </c>
      <c r="BU18">
        <v>-0.1181723028421402</v>
      </c>
      <c r="BV18">
        <v>0.39290699362754822</v>
      </c>
      <c r="BW18">
        <v>1.1308243274688721</v>
      </c>
      <c r="BX18">
        <v>29.266407012939453</v>
      </c>
      <c r="BY18">
        <v>92.893722534179688</v>
      </c>
      <c r="BZ18">
        <v>9.3532510101795197E-2</v>
      </c>
      <c r="CA18">
        <v>0.78104883432388306</v>
      </c>
      <c r="CB18">
        <v>1.2572205066680908</v>
      </c>
      <c r="CC18">
        <v>1.7333922386169434</v>
      </c>
      <c r="CD18">
        <v>2.4209084510803223</v>
      </c>
      <c r="CE18">
        <v>30.528390884399414</v>
      </c>
      <c r="CF18">
        <v>93.772590637207031</v>
      </c>
      <c r="CG18">
        <v>2.121129035949707</v>
      </c>
      <c r="CH18">
        <v>2.8273305892944336</v>
      </c>
      <c r="CI18">
        <v>3.3164436817169189</v>
      </c>
      <c r="CJ18">
        <v>3.8055567741394043</v>
      </c>
      <c r="CK18">
        <v>4.5117583274841309</v>
      </c>
      <c r="CL18">
        <v>31.765047073364258</v>
      </c>
      <c r="CM18">
        <v>95.0057373046875</v>
      </c>
      <c r="CN18">
        <v>2.4070022106170654</v>
      </c>
      <c r="CO18">
        <v>3.1251218318939209</v>
      </c>
      <c r="CP18">
        <v>3.6224894523620605</v>
      </c>
      <c r="CQ18">
        <v>4.1198568344116211</v>
      </c>
      <c r="CR18">
        <v>4.8379764556884766</v>
      </c>
      <c r="CS18">
        <v>32.138790130615234</v>
      </c>
      <c r="CT18">
        <v>93.267051696777344</v>
      </c>
      <c r="CU18">
        <v>1.5302070379257202</v>
      </c>
      <c r="CV18">
        <v>2.2443637847900391</v>
      </c>
      <c r="CW18">
        <v>2.7389867305755615</v>
      </c>
      <c r="CX18">
        <v>3.233609676361084</v>
      </c>
      <c r="CY18">
        <v>3.9477665424346924</v>
      </c>
      <c r="CZ18">
        <v>32.040599822998047</v>
      </c>
      <c r="DA18">
        <v>92.790084838867188</v>
      </c>
      <c r="DB18">
        <v>1.7631075382232666</v>
      </c>
      <c r="DC18">
        <v>2.5197181701660156</v>
      </c>
      <c r="DD18">
        <v>3.0437445640563965</v>
      </c>
      <c r="DE18">
        <v>3.5677709579467773</v>
      </c>
      <c r="DF18">
        <v>4.3243813514709473</v>
      </c>
      <c r="DG18">
        <v>32.142875671386719</v>
      </c>
      <c r="DH18">
        <v>92.756538391113281</v>
      </c>
      <c r="DI18">
        <v>5.5571794509887695</v>
      </c>
      <c r="DJ18">
        <v>6.2923879623413086</v>
      </c>
      <c r="DK18">
        <v>6.8015909194946289</v>
      </c>
      <c r="DL18">
        <v>7.3107938766479492</v>
      </c>
      <c r="DM18">
        <v>8.0460023880004883</v>
      </c>
      <c r="DN18">
        <v>31.94135856628418</v>
      </c>
      <c r="DO18">
        <v>91.069816589355469</v>
      </c>
      <c r="DP18">
        <v>5.3593401908874512</v>
      </c>
      <c r="DQ18">
        <v>6.0808839797973633</v>
      </c>
      <c r="DR18">
        <v>6.580622673034668</v>
      </c>
      <c r="DS18">
        <v>7.0803613662719727</v>
      </c>
      <c r="DT18">
        <v>7.8019051551818848</v>
      </c>
      <c r="DU18">
        <v>31.654552459716797</v>
      </c>
      <c r="DV18">
        <v>88.150794982910156</v>
      </c>
      <c r="DW18">
        <v>5.3134016990661621</v>
      </c>
      <c r="DX18">
        <v>6.0299582481384277</v>
      </c>
      <c r="DY18">
        <v>6.5262432098388672</v>
      </c>
      <c r="DZ18">
        <v>7.0225281715393066</v>
      </c>
      <c r="EA18">
        <v>7.7390847206115723</v>
      </c>
      <c r="EB18">
        <v>31.468690872192383</v>
      </c>
      <c r="EC18">
        <v>85.970939636230469</v>
      </c>
      <c r="ED18">
        <v>5.5203614234924316</v>
      </c>
      <c r="EE18">
        <v>6.1898789405822754</v>
      </c>
      <c r="EF18">
        <v>6.6535849571228027</v>
      </c>
      <c r="EG18">
        <v>7.1172909736633301</v>
      </c>
      <c r="EH18">
        <v>7.7868084907531738</v>
      </c>
      <c r="EI18">
        <v>30.880390167236328</v>
      </c>
      <c r="EJ18">
        <v>82.729682922363281</v>
      </c>
      <c r="EK18">
        <v>-0.36669629812240601</v>
      </c>
      <c r="EL18">
        <v>0.31542050838470459</v>
      </c>
      <c r="EM18">
        <v>0.78785252571105957</v>
      </c>
      <c r="EN18">
        <v>1.2602845430374146</v>
      </c>
      <c r="EO18">
        <v>1.9424012899398804</v>
      </c>
      <c r="EP18">
        <v>28.520263671875</v>
      </c>
      <c r="EQ18">
        <v>79.61077880859375</v>
      </c>
      <c r="ER18">
        <v>-1.0384217500686646</v>
      </c>
      <c r="ES18">
        <v>-0.3595917820930481</v>
      </c>
      <c r="ET18">
        <v>0.11056379228830338</v>
      </c>
      <c r="EU18">
        <v>0.58071935176849365</v>
      </c>
      <c r="EV18">
        <v>1.2595492601394653</v>
      </c>
      <c r="EW18">
        <v>23.68150520324707</v>
      </c>
      <c r="EX18">
        <v>76.099952697753906</v>
      </c>
      <c r="EY18">
        <v>-1.1772778034210205</v>
      </c>
      <c r="EZ18">
        <v>-0.474143385887146</v>
      </c>
      <c r="FA18">
        <v>1.2845352292060852E-2</v>
      </c>
      <c r="FB18">
        <v>0.4998340904712677</v>
      </c>
      <c r="FC18">
        <v>1.2029684782028198</v>
      </c>
      <c r="FD18">
        <v>19.525613784790039</v>
      </c>
      <c r="FE18">
        <v>72.410087585449219</v>
      </c>
      <c r="FF18">
        <v>-0.91612178087234497</v>
      </c>
      <c r="FG18">
        <v>-0.2253866046667099</v>
      </c>
      <c r="FH18">
        <v>0.25301447510719299</v>
      </c>
      <c r="FI18">
        <v>0.73141556978225708</v>
      </c>
      <c r="FJ18">
        <v>1.422150731086731</v>
      </c>
      <c r="FK18">
        <v>16.139350891113281</v>
      </c>
      <c r="FL18">
        <v>69.285682678222656</v>
      </c>
      <c r="FM18">
        <v>-0.89803487062454224</v>
      </c>
      <c r="FN18">
        <v>-0.16030643880367279</v>
      </c>
      <c r="FO18">
        <v>0.35064202547073364</v>
      </c>
      <c r="FP18">
        <v>0.86159050464630127</v>
      </c>
      <c r="FQ18">
        <v>1.5993189811706543</v>
      </c>
      <c r="FR18">
        <v>168</v>
      </c>
      <c r="FS18">
        <v>8.0279700458049774E-2</v>
      </c>
      <c r="FT18">
        <v>1</v>
      </c>
    </row>
    <row r="19" spans="1:176" x14ac:dyDescent="0.2">
      <c r="A19" t="s">
        <v>1</v>
      </c>
      <c r="B19" t="s">
        <v>228</v>
      </c>
      <c r="C19" t="s">
        <v>234</v>
      </c>
      <c r="D19">
        <v>168</v>
      </c>
      <c r="E19">
        <v>170</v>
      </c>
      <c r="F19">
        <v>14.779040336608887</v>
      </c>
      <c r="G19">
        <v>66.826560974121094</v>
      </c>
      <c r="H19">
        <v>-1.5588312149047852</v>
      </c>
      <c r="I19">
        <v>-0.8575289249420166</v>
      </c>
      <c r="J19">
        <v>-0.37180909514427185</v>
      </c>
      <c r="K19">
        <v>0.1139107421040535</v>
      </c>
      <c r="L19">
        <v>0.81521302461624146</v>
      </c>
      <c r="M19">
        <v>14.396260261535645</v>
      </c>
      <c r="N19">
        <v>65.342308044433594</v>
      </c>
      <c r="O19">
        <v>-1.5055904388427734</v>
      </c>
      <c r="P19">
        <v>-0.82759737968444824</v>
      </c>
      <c r="Q19">
        <v>-0.35802146792411804</v>
      </c>
      <c r="R19">
        <v>0.11155443638563156</v>
      </c>
      <c r="S19">
        <v>0.78954744338989258</v>
      </c>
      <c r="T19">
        <v>13.805904388427734</v>
      </c>
      <c r="U19">
        <v>64.167594909667969</v>
      </c>
      <c r="V19">
        <v>-1.7929537296295166</v>
      </c>
      <c r="W19">
        <v>-1.1507440805435181</v>
      </c>
      <c r="X19">
        <v>-0.70595163106918335</v>
      </c>
      <c r="Y19">
        <v>-0.26115921139717102</v>
      </c>
      <c r="Z19">
        <v>0.38105043768882751</v>
      </c>
      <c r="AA19">
        <v>13.993122100830078</v>
      </c>
      <c r="AB19">
        <v>63.787788391113281</v>
      </c>
      <c r="AC19">
        <v>-1.9207924604415894</v>
      </c>
      <c r="AD19">
        <v>-1.2824568748474121</v>
      </c>
      <c r="AE19">
        <v>-0.84034746885299683</v>
      </c>
      <c r="AF19">
        <v>-0.39823812246322632</v>
      </c>
      <c r="AG19">
        <v>0.24009758234024048</v>
      </c>
      <c r="AH19">
        <v>14.372317314147949</v>
      </c>
      <c r="AI19">
        <v>62.439060211181641</v>
      </c>
      <c r="AJ19">
        <v>-2.4312946796417236</v>
      </c>
      <c r="AK19">
        <v>-1.8020108938217163</v>
      </c>
      <c r="AL19">
        <v>-1.3661707639694214</v>
      </c>
      <c r="AM19">
        <v>-0.93033069372177124</v>
      </c>
      <c r="AN19">
        <v>-0.30104684829711914</v>
      </c>
      <c r="AO19">
        <v>14.98676872253418</v>
      </c>
      <c r="AP19">
        <v>62.174343109130859</v>
      </c>
      <c r="AQ19">
        <v>-2.5054848194122314</v>
      </c>
      <c r="AR19">
        <v>-1.8563038110733032</v>
      </c>
      <c r="AS19">
        <v>-1.406683087348938</v>
      </c>
      <c r="AT19">
        <v>-0.95706236362457275</v>
      </c>
      <c r="AU19">
        <v>-0.30788147449493408</v>
      </c>
      <c r="AV19">
        <v>17.736509323120117</v>
      </c>
      <c r="AW19">
        <v>68.425582885742187</v>
      </c>
      <c r="AX19">
        <v>-0.91808301210403442</v>
      </c>
      <c r="AY19">
        <v>-0.28843119740486145</v>
      </c>
      <c r="AZ19">
        <v>0.14766375720500946</v>
      </c>
      <c r="BA19">
        <v>0.58375871181488037</v>
      </c>
      <c r="BB19">
        <v>1.213410496711731</v>
      </c>
      <c r="BC19">
        <v>20.873424530029297</v>
      </c>
      <c r="BD19">
        <v>78.623153686523438</v>
      </c>
      <c r="BE19">
        <v>-1.1525405645370483</v>
      </c>
      <c r="BF19">
        <v>-0.49880805611610413</v>
      </c>
      <c r="BG19">
        <v>-4.6034924685955048E-2</v>
      </c>
      <c r="BH19">
        <v>0.40673822164535522</v>
      </c>
      <c r="BI19">
        <v>1.0604707002639771</v>
      </c>
      <c r="BJ19">
        <v>24.450040817260742</v>
      </c>
      <c r="BK19">
        <v>86.901138305664063</v>
      </c>
      <c r="BL19">
        <v>-1.1336245536804199</v>
      </c>
      <c r="BM19">
        <v>-0.4399680495262146</v>
      </c>
      <c r="BN19">
        <v>4.0456369519233704E-2</v>
      </c>
      <c r="BO19">
        <v>0.52088081836700439</v>
      </c>
      <c r="BP19">
        <v>1.2145373821258545</v>
      </c>
      <c r="BQ19">
        <v>26.875944137573242</v>
      </c>
      <c r="BR19">
        <v>93.684501647949219</v>
      </c>
      <c r="BS19">
        <v>-1.6936047077178955</v>
      </c>
      <c r="BT19">
        <v>-0.92773205041885376</v>
      </c>
      <c r="BU19">
        <v>-0.39729100465774536</v>
      </c>
      <c r="BV19">
        <v>0.13315005600452423</v>
      </c>
      <c r="BW19">
        <v>0.89902269840240479</v>
      </c>
      <c r="BX19">
        <v>29.798864364624023</v>
      </c>
      <c r="BY19">
        <v>95.624320983886719</v>
      </c>
      <c r="BZ19">
        <v>-0.83867305517196655</v>
      </c>
      <c r="CA19">
        <v>-0.14175257086753845</v>
      </c>
      <c r="CB19">
        <v>0.34093242883682251</v>
      </c>
      <c r="CC19">
        <v>0.82361745834350586</v>
      </c>
      <c r="CD19">
        <v>1.5205378532409668</v>
      </c>
      <c r="CE19">
        <v>31.234054565429688</v>
      </c>
      <c r="CF19">
        <v>96.391632080078125</v>
      </c>
      <c r="CG19">
        <v>1.2302863597869873</v>
      </c>
      <c r="CH19">
        <v>1.9469785690307617</v>
      </c>
      <c r="CI19">
        <v>2.4433574676513672</v>
      </c>
      <c r="CJ19">
        <v>2.9397363662719727</v>
      </c>
      <c r="CK19">
        <v>3.6564285755157471</v>
      </c>
      <c r="CL19">
        <v>32.138378143310547</v>
      </c>
      <c r="CM19">
        <v>95.910774230957031</v>
      </c>
      <c r="CN19">
        <v>1.0468610525131226</v>
      </c>
      <c r="CO19">
        <v>1.7756838798522949</v>
      </c>
      <c r="CP19">
        <v>2.2804644107818604</v>
      </c>
      <c r="CQ19">
        <v>2.7852449417114258</v>
      </c>
      <c r="CR19">
        <v>3.5140676498413086</v>
      </c>
      <c r="CS19">
        <v>32.851226806640625</v>
      </c>
      <c r="CT19">
        <v>96.504730224609375</v>
      </c>
      <c r="CU19">
        <v>1.2618029117584229</v>
      </c>
      <c r="CV19">
        <v>1.986167311668396</v>
      </c>
      <c r="CW19">
        <v>2.4878599643707275</v>
      </c>
      <c r="CX19">
        <v>2.9895524978637695</v>
      </c>
      <c r="CY19">
        <v>3.7139170169830322</v>
      </c>
      <c r="CZ19">
        <v>33.002033233642578</v>
      </c>
      <c r="DA19">
        <v>96.437286376953125</v>
      </c>
      <c r="DB19">
        <v>1.094623327255249</v>
      </c>
      <c r="DC19">
        <v>1.8519880771636963</v>
      </c>
      <c r="DD19">
        <v>2.3765366077423096</v>
      </c>
      <c r="DE19">
        <v>2.9010851383209229</v>
      </c>
      <c r="DF19">
        <v>3.6584498882293701</v>
      </c>
      <c r="DG19">
        <v>33.073825836181641</v>
      </c>
      <c r="DH19">
        <v>96.465324401855469</v>
      </c>
      <c r="DI19">
        <v>4.7089834213256836</v>
      </c>
      <c r="DJ19">
        <v>5.4771456718444824</v>
      </c>
      <c r="DK19">
        <v>6.0091724395751953</v>
      </c>
      <c r="DL19">
        <v>6.5411992073059082</v>
      </c>
      <c r="DM19">
        <v>7.309361457824707</v>
      </c>
      <c r="DN19">
        <v>32.930690765380859</v>
      </c>
      <c r="DO19">
        <v>94.905303955078125</v>
      </c>
      <c r="DP19">
        <v>4.9204001426696777</v>
      </c>
      <c r="DQ19">
        <v>5.6834244728088379</v>
      </c>
      <c r="DR19">
        <v>6.2118926048278809</v>
      </c>
      <c r="DS19">
        <v>6.7403607368469238</v>
      </c>
      <c r="DT19">
        <v>7.503385066986084</v>
      </c>
      <c r="DU19">
        <v>32.504974365234375</v>
      </c>
      <c r="DV19">
        <v>91.501792907714844</v>
      </c>
      <c r="DW19">
        <v>4.775444507598877</v>
      </c>
      <c r="DX19">
        <v>5.5322203636169434</v>
      </c>
      <c r="DY19">
        <v>6.0563607215881348</v>
      </c>
      <c r="DZ19">
        <v>6.5805010795593262</v>
      </c>
      <c r="EA19">
        <v>7.3372769355773926</v>
      </c>
      <c r="EB19">
        <v>32.076934814453125</v>
      </c>
      <c r="EC19">
        <v>88.052154541015625</v>
      </c>
      <c r="ED19">
        <v>4.4960341453552246</v>
      </c>
      <c r="EE19">
        <v>5.2010674476623535</v>
      </c>
      <c r="EF19">
        <v>5.6893711090087891</v>
      </c>
      <c r="EG19">
        <v>6.1776747703552246</v>
      </c>
      <c r="EH19">
        <v>6.8827080726623535</v>
      </c>
      <c r="EI19">
        <v>31.25543212890625</v>
      </c>
      <c r="EJ19">
        <v>81.699935913085938</v>
      </c>
      <c r="EK19">
        <v>-0.93220311403274536</v>
      </c>
      <c r="EL19">
        <v>-0.25379788875579834</v>
      </c>
      <c r="EM19">
        <v>0.21606352925300598</v>
      </c>
      <c r="EN19">
        <v>0.6859249472618103</v>
      </c>
      <c r="EO19">
        <v>1.3643301725387573</v>
      </c>
      <c r="EP19">
        <v>28.834190368652344</v>
      </c>
      <c r="EQ19">
        <v>78.792228698730469</v>
      </c>
      <c r="ER19">
        <v>-1.5962852239608765</v>
      </c>
      <c r="ES19">
        <v>-0.93789130449295044</v>
      </c>
      <c r="ET19">
        <v>-0.48188969492912292</v>
      </c>
      <c r="EU19">
        <v>-2.5888076052069664E-2</v>
      </c>
      <c r="EV19">
        <v>0.63250583410263062</v>
      </c>
      <c r="EW19">
        <v>23.969995498657227</v>
      </c>
      <c r="EX19">
        <v>73.888816833496094</v>
      </c>
      <c r="EY19">
        <v>-1.5350664854049683</v>
      </c>
      <c r="EZ19">
        <v>-0.8632017970085144</v>
      </c>
      <c r="FA19">
        <v>-0.39787039160728455</v>
      </c>
      <c r="FB19">
        <v>6.74610435962677E-2</v>
      </c>
      <c r="FC19">
        <v>0.73932570219039917</v>
      </c>
      <c r="FD19">
        <v>19.61114501953125</v>
      </c>
      <c r="FE19">
        <v>70.359657287597656</v>
      </c>
      <c r="FF19">
        <v>-1.3334013223648071</v>
      </c>
      <c r="FG19">
        <v>-0.59706854820251465</v>
      </c>
      <c r="FH19">
        <v>-8.7086744606494904E-2</v>
      </c>
      <c r="FI19">
        <v>0.42289507389068604</v>
      </c>
      <c r="FJ19">
        <v>1.1592278480529785</v>
      </c>
      <c r="FK19">
        <v>16.052793502807617</v>
      </c>
      <c r="FL19">
        <v>68.192428588867188</v>
      </c>
      <c r="FM19">
        <v>-1.334526538848877</v>
      </c>
      <c r="FN19">
        <v>-0.55542433261871338</v>
      </c>
      <c r="FO19">
        <v>-1.5820566564798355E-2</v>
      </c>
      <c r="FP19">
        <v>0.52378320693969727</v>
      </c>
      <c r="FQ19">
        <v>1.3028854131698608</v>
      </c>
      <c r="FR19">
        <v>168</v>
      </c>
      <c r="FS19">
        <v>7.7564813196659088E-2</v>
      </c>
      <c r="FT19">
        <v>1</v>
      </c>
    </row>
    <row r="20" spans="1:176" x14ac:dyDescent="0.2">
      <c r="A20" t="s">
        <v>1</v>
      </c>
      <c r="B20" t="s">
        <v>228</v>
      </c>
      <c r="C20" t="s">
        <v>235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</row>
    <row r="21" spans="1:176" x14ac:dyDescent="0.2">
      <c r="A21" t="s">
        <v>1</v>
      </c>
      <c r="B21" t="s">
        <v>228</v>
      </c>
      <c r="C21" t="s">
        <v>236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</row>
    <row r="22" spans="1:176" x14ac:dyDescent="0.2">
      <c r="A22" t="s">
        <v>1</v>
      </c>
      <c r="B22" t="s">
        <v>228</v>
      </c>
      <c r="C22" t="s">
        <v>237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</row>
    <row r="23" spans="1:176" x14ac:dyDescent="0.2">
      <c r="A23" t="s">
        <v>1</v>
      </c>
      <c r="B23" t="s">
        <v>228</v>
      </c>
      <c r="C23" t="s">
        <v>238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</row>
    <row r="24" spans="1:176" x14ac:dyDescent="0.2">
      <c r="A24" t="s">
        <v>1</v>
      </c>
      <c r="B24" t="s">
        <v>228</v>
      </c>
      <c r="C24" t="s">
        <v>239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</row>
    <row r="25" spans="1:176" x14ac:dyDescent="0.2">
      <c r="A25" t="s">
        <v>1</v>
      </c>
      <c r="B25" t="s">
        <v>228</v>
      </c>
      <c r="C25" t="s">
        <v>240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</row>
    <row r="26" spans="1:176" x14ac:dyDescent="0.2">
      <c r="A26" t="s">
        <v>1</v>
      </c>
      <c r="B26" t="s">
        <v>228</v>
      </c>
      <c r="C26" t="s">
        <v>241</v>
      </c>
      <c r="D26">
        <v>157</v>
      </c>
      <c r="E26">
        <v>159</v>
      </c>
      <c r="F26">
        <v>13.336376190185547</v>
      </c>
      <c r="G26">
        <v>70.866935729980469</v>
      </c>
      <c r="H26">
        <v>-0.76968318223953247</v>
      </c>
      <c r="I26">
        <v>-0.27641823887825012</v>
      </c>
      <c r="J26">
        <v>6.5215557813644409E-2</v>
      </c>
      <c r="K26">
        <v>0.40684935450553894</v>
      </c>
      <c r="L26">
        <v>0.90011429786682129</v>
      </c>
      <c r="M26">
        <v>12.86720085144043</v>
      </c>
      <c r="N26">
        <v>69.944625854492188</v>
      </c>
      <c r="O26">
        <v>-0.8387681245803833</v>
      </c>
      <c r="P26">
        <v>-0.36046898365020752</v>
      </c>
      <c r="Q26">
        <v>-2.9200484976172447E-2</v>
      </c>
      <c r="R26">
        <v>0.30206802487373352</v>
      </c>
      <c r="S26">
        <v>0.78036713600158691</v>
      </c>
      <c r="T26">
        <v>12.677342414855957</v>
      </c>
      <c r="U26">
        <v>69.48248291015625</v>
      </c>
      <c r="V26">
        <v>-0.80819094181060791</v>
      </c>
      <c r="W26">
        <v>-0.35175910592079163</v>
      </c>
      <c r="X26">
        <v>-3.5635810345411301E-2</v>
      </c>
      <c r="Y26">
        <v>0.28048747777938843</v>
      </c>
      <c r="Z26">
        <v>0.73691928386688232</v>
      </c>
      <c r="AA26">
        <v>13.223128318786621</v>
      </c>
      <c r="AB26">
        <v>68.506240844726563</v>
      </c>
      <c r="AC26">
        <v>-0.7122223973274231</v>
      </c>
      <c r="AD26">
        <v>-0.26282423734664917</v>
      </c>
      <c r="AE26">
        <v>4.8427585512399673E-2</v>
      </c>
      <c r="AF26">
        <v>0.35967940092086792</v>
      </c>
      <c r="AG26">
        <v>0.80907756090164185</v>
      </c>
      <c r="AH26">
        <v>14.165887832641602</v>
      </c>
      <c r="AI26">
        <v>68.222328186035156</v>
      </c>
      <c r="AJ26">
        <v>-0.5233384370803833</v>
      </c>
      <c r="AK26">
        <v>-9.578406810760498E-2</v>
      </c>
      <c r="AL26">
        <v>0.20033878087997437</v>
      </c>
      <c r="AM26">
        <v>0.49646162986755371</v>
      </c>
      <c r="AN26">
        <v>0.92401599884033203</v>
      </c>
      <c r="AO26">
        <v>15.128567695617676</v>
      </c>
      <c r="AP26">
        <v>67.143463134765625</v>
      </c>
      <c r="AQ26">
        <v>-0.47000503540039063</v>
      </c>
      <c r="AR26">
        <v>-2.2858152166008949E-2</v>
      </c>
      <c r="AS26">
        <v>0.28683441877365112</v>
      </c>
      <c r="AT26">
        <v>0.59652698040008545</v>
      </c>
      <c r="AU26">
        <v>1.0436738729476929</v>
      </c>
      <c r="AV26">
        <v>18.258026123046875</v>
      </c>
      <c r="AW26">
        <v>67.498855590820313</v>
      </c>
      <c r="AX26">
        <v>-0.60158628225326538</v>
      </c>
      <c r="AY26">
        <v>-0.14133910834789276</v>
      </c>
      <c r="AZ26">
        <v>0.17742669582366943</v>
      </c>
      <c r="BA26">
        <v>0.49619248509407043</v>
      </c>
      <c r="BB26">
        <v>0.95643967390060425</v>
      </c>
      <c r="BC26">
        <v>21.187858581542969</v>
      </c>
      <c r="BD26">
        <v>72.467300415039063</v>
      </c>
      <c r="BE26">
        <v>-1.0428116321563721</v>
      </c>
      <c r="BF26">
        <v>-0.56944245100021362</v>
      </c>
      <c r="BG26">
        <v>-0.24158844351768494</v>
      </c>
      <c r="BH26">
        <v>8.6265586316585541E-2</v>
      </c>
      <c r="BI26">
        <v>0.5596347451210022</v>
      </c>
      <c r="BJ26">
        <v>24.130517959594727</v>
      </c>
      <c r="BK26">
        <v>78.2652587890625</v>
      </c>
      <c r="BL26">
        <v>-0.82869023084640503</v>
      </c>
      <c r="BM26">
        <v>-0.34113401174545288</v>
      </c>
      <c r="BN26">
        <v>-3.4540463238954544E-3</v>
      </c>
      <c r="BO26">
        <v>0.33422589302062988</v>
      </c>
      <c r="BP26">
        <v>0.82178211212158203</v>
      </c>
      <c r="BQ26">
        <v>26.060522079467773</v>
      </c>
      <c r="BR26">
        <v>81.267578125</v>
      </c>
      <c r="BS26">
        <v>-0.85099923610687256</v>
      </c>
      <c r="BT26">
        <v>-0.37649142742156982</v>
      </c>
      <c r="BU26">
        <v>-4.7848761081695557E-2</v>
      </c>
      <c r="BV26">
        <v>0.28079390525817871</v>
      </c>
      <c r="BW26">
        <v>0.75530171394348145</v>
      </c>
      <c r="BX26">
        <v>28.881017684936523</v>
      </c>
      <c r="BY26">
        <v>83.61395263671875</v>
      </c>
      <c r="BZ26">
        <v>-1.341277003288269</v>
      </c>
      <c r="CA26">
        <v>-0.84716695547103882</v>
      </c>
      <c r="CB26">
        <v>-0.50494784116744995</v>
      </c>
      <c r="CC26">
        <v>-0.16272872686386108</v>
      </c>
      <c r="CD26">
        <v>0.33138132095336914</v>
      </c>
      <c r="CE26">
        <v>30.026603698730469</v>
      </c>
      <c r="CF26">
        <v>85.32916259765625</v>
      </c>
      <c r="CG26">
        <v>-1.4880353212356567</v>
      </c>
      <c r="CH26">
        <v>-0.97733533382415771</v>
      </c>
      <c r="CI26">
        <v>-0.62362605333328247</v>
      </c>
      <c r="CJ26">
        <v>-0.26991680264472961</v>
      </c>
      <c r="CK26">
        <v>0.2407832145690918</v>
      </c>
      <c r="CL26">
        <v>30.800878524780273</v>
      </c>
      <c r="CM26">
        <v>85.563262939453125</v>
      </c>
      <c r="CN26">
        <v>-1.7538957595825195</v>
      </c>
      <c r="CO26">
        <v>-1.2385461330413818</v>
      </c>
      <c r="CP26">
        <v>-0.88161659240722656</v>
      </c>
      <c r="CQ26">
        <v>-0.52468705177307129</v>
      </c>
      <c r="CR26">
        <v>-9.3374615535140038E-3</v>
      </c>
      <c r="CS26">
        <v>31.272005081176758</v>
      </c>
      <c r="CT26">
        <v>85.890396118164062</v>
      </c>
      <c r="CU26">
        <v>-2.2182965278625488</v>
      </c>
      <c r="CV26">
        <v>-1.7012038230895996</v>
      </c>
      <c r="CW26">
        <v>-1.343066930770874</v>
      </c>
      <c r="CX26">
        <v>-0.98493003845214844</v>
      </c>
      <c r="CY26">
        <v>-0.46783721446990967</v>
      </c>
      <c r="CZ26">
        <v>31.217449188232422</v>
      </c>
      <c r="DA26">
        <v>84.480178833007813</v>
      </c>
      <c r="DB26">
        <v>-1.3943970203399658</v>
      </c>
      <c r="DC26">
        <v>-0.86325967311859131</v>
      </c>
      <c r="DD26">
        <v>-0.49539557099342346</v>
      </c>
      <c r="DE26">
        <v>-0.12753148376941681</v>
      </c>
      <c r="DF26">
        <v>0.40360581874847412</v>
      </c>
      <c r="DG26">
        <v>31.138418197631836</v>
      </c>
      <c r="DH26">
        <v>83.546920776367188</v>
      </c>
      <c r="DI26">
        <v>3.1109521389007568</v>
      </c>
      <c r="DJ26">
        <v>3.6265556812286377</v>
      </c>
      <c r="DK26">
        <v>3.9836609363555908</v>
      </c>
      <c r="DL26">
        <v>4.340766429901123</v>
      </c>
      <c r="DM26">
        <v>4.8563694953918457</v>
      </c>
      <c r="DN26">
        <v>30.964057922363281</v>
      </c>
      <c r="DO26">
        <v>82.409431457519531</v>
      </c>
      <c r="DP26">
        <v>3.9183342456817627</v>
      </c>
      <c r="DQ26">
        <v>4.4265346527099609</v>
      </c>
      <c r="DR26">
        <v>4.7785124778747559</v>
      </c>
      <c r="DS26">
        <v>5.1304903030395508</v>
      </c>
      <c r="DT26">
        <v>5.6386904716491699</v>
      </c>
      <c r="DU26">
        <v>30.984634399414063</v>
      </c>
      <c r="DV26">
        <v>81.325202941894531</v>
      </c>
      <c r="DW26">
        <v>4.4200053215026855</v>
      </c>
      <c r="DX26">
        <v>4.9277539253234863</v>
      </c>
      <c r="DY26">
        <v>5.2794194221496582</v>
      </c>
      <c r="DZ26">
        <v>5.6310849189758301</v>
      </c>
      <c r="EA26">
        <v>6.1388335227966309</v>
      </c>
      <c r="EB26">
        <v>30.743997573852539</v>
      </c>
      <c r="EC26">
        <v>79.04998779296875</v>
      </c>
      <c r="ED26">
        <v>4.1035251617431641</v>
      </c>
      <c r="EE26">
        <v>4.607823371887207</v>
      </c>
      <c r="EF26">
        <v>4.9570989608764648</v>
      </c>
      <c r="EG26">
        <v>5.3063745498657227</v>
      </c>
      <c r="EH26">
        <v>5.8106727600097656</v>
      </c>
      <c r="EI26">
        <v>30.306827545166016</v>
      </c>
      <c r="EJ26">
        <v>76.687728881835937</v>
      </c>
      <c r="EK26">
        <v>-0.55514740943908691</v>
      </c>
      <c r="EL26">
        <v>-3.8465209305286407E-2</v>
      </c>
      <c r="EM26">
        <v>0.319387286901474</v>
      </c>
      <c r="EN26">
        <v>0.67723977565765381</v>
      </c>
      <c r="EO26">
        <v>1.1939219236373901</v>
      </c>
      <c r="EP26">
        <v>28.333930969238281</v>
      </c>
      <c r="EQ26">
        <v>75.182899475097656</v>
      </c>
      <c r="ER26">
        <v>-1.2736257314682007</v>
      </c>
      <c r="ES26">
        <v>-0.75442135334014893</v>
      </c>
      <c r="ET26">
        <v>-0.39482203125953674</v>
      </c>
      <c r="EU26">
        <v>-3.5222690552473068E-2</v>
      </c>
      <c r="EV26">
        <v>0.48398163914680481</v>
      </c>
      <c r="EW26">
        <v>22.976531982421875</v>
      </c>
      <c r="EX26">
        <v>73.696754455566406</v>
      </c>
      <c r="EY26">
        <v>-0.92529857158660889</v>
      </c>
      <c r="EZ26">
        <v>-0.40758374333381653</v>
      </c>
      <c r="FA26">
        <v>-4.9016039818525314E-2</v>
      </c>
      <c r="FB26">
        <v>0.30955168604850769</v>
      </c>
      <c r="FC26">
        <v>0.82726651430130005</v>
      </c>
      <c r="FD26">
        <v>17.894069671630859</v>
      </c>
      <c r="FE26">
        <v>72.227996826171875</v>
      </c>
      <c r="FF26">
        <v>-0.95456099510192871</v>
      </c>
      <c r="FG26">
        <v>-0.43929526209831238</v>
      </c>
      <c r="FH26">
        <v>-8.2423776388168335E-2</v>
      </c>
      <c r="FI26">
        <v>0.27444770932197571</v>
      </c>
      <c r="FJ26">
        <v>0.78971344232559204</v>
      </c>
      <c r="FK26">
        <v>14.53179931640625</v>
      </c>
      <c r="FL26">
        <v>71.048973083496094</v>
      </c>
      <c r="FM26">
        <v>-0.96738052368164063</v>
      </c>
      <c r="FN26">
        <v>-0.43309587240219116</v>
      </c>
      <c r="FO26">
        <v>-6.3051991164684296E-2</v>
      </c>
      <c r="FP26">
        <v>0.30699190497398376</v>
      </c>
      <c r="FQ26">
        <v>0.84127652645111084</v>
      </c>
      <c r="FR26">
        <v>157</v>
      </c>
      <c r="FS26">
        <v>9.0234093368053436E-2</v>
      </c>
      <c r="FT26">
        <v>1</v>
      </c>
    </row>
    <row r="27" spans="1:176" x14ac:dyDescent="0.2">
      <c r="A27" t="s">
        <v>1</v>
      </c>
      <c r="B27" t="s">
        <v>228</v>
      </c>
      <c r="C27" t="s">
        <v>242</v>
      </c>
      <c r="D27">
        <v>157</v>
      </c>
      <c r="E27">
        <v>159</v>
      </c>
      <c r="F27">
        <v>13.670430183410645</v>
      </c>
      <c r="G27">
        <v>70.304573059082031</v>
      </c>
      <c r="H27">
        <v>-0.99405032396316528</v>
      </c>
      <c r="I27">
        <v>-0.45639792084693909</v>
      </c>
      <c r="J27">
        <v>-8.4021538496017456E-2</v>
      </c>
      <c r="K27">
        <v>0.28835484385490417</v>
      </c>
      <c r="L27">
        <v>0.82600724697113037</v>
      </c>
      <c r="M27">
        <v>13.17835807800293</v>
      </c>
      <c r="N27">
        <v>70.106597900390625</v>
      </c>
      <c r="O27">
        <v>-0.93239843845367432</v>
      </c>
      <c r="P27">
        <v>-0.41005361080169678</v>
      </c>
      <c r="Q27">
        <v>-4.8279166221618652E-2</v>
      </c>
      <c r="R27">
        <v>0.31349527835845947</v>
      </c>
      <c r="S27">
        <v>0.83584010601043701</v>
      </c>
      <c r="T27">
        <v>12.915279388427734</v>
      </c>
      <c r="U27">
        <v>68.997627258300781</v>
      </c>
      <c r="V27">
        <v>-0.72515189647674561</v>
      </c>
      <c r="W27">
        <v>-0.22247685492038727</v>
      </c>
      <c r="X27">
        <v>0.12567433714866638</v>
      </c>
      <c r="Y27">
        <v>0.47382554411888123</v>
      </c>
      <c r="Z27">
        <v>0.97650057077407837</v>
      </c>
      <c r="AA27">
        <v>13.520188331604004</v>
      </c>
      <c r="AB27">
        <v>68.200416564941406</v>
      </c>
      <c r="AC27">
        <v>-0.66490477323532104</v>
      </c>
      <c r="AD27">
        <v>-0.18071611225605011</v>
      </c>
      <c r="AE27">
        <v>0.15463146567344666</v>
      </c>
      <c r="AF27">
        <v>0.48997902870178223</v>
      </c>
      <c r="AG27">
        <v>0.97416770458221436</v>
      </c>
      <c r="AH27">
        <v>14.483742713928223</v>
      </c>
      <c r="AI27">
        <v>67.845077514648437</v>
      </c>
      <c r="AJ27">
        <v>-0.90864163637161255</v>
      </c>
      <c r="AK27">
        <v>-0.42340996861457825</v>
      </c>
      <c r="AL27">
        <v>-8.7340027093887329E-2</v>
      </c>
      <c r="AM27">
        <v>0.24872992932796478</v>
      </c>
      <c r="AN27">
        <v>0.73396158218383789</v>
      </c>
      <c r="AO27">
        <v>15.615888595581055</v>
      </c>
      <c r="AP27">
        <v>66.925994873046875</v>
      </c>
      <c r="AQ27">
        <v>-0.77942574024200439</v>
      </c>
      <c r="AR27">
        <v>-0.27235615253448486</v>
      </c>
      <c r="AS27">
        <v>7.883869856595993E-2</v>
      </c>
      <c r="AT27">
        <v>0.43003353476524353</v>
      </c>
      <c r="AU27">
        <v>0.93710315227508545</v>
      </c>
      <c r="AV27">
        <v>18.693161010742188</v>
      </c>
      <c r="AW27">
        <v>66.545036315917969</v>
      </c>
      <c r="AX27">
        <v>-0.66547489166259766</v>
      </c>
      <c r="AY27">
        <v>-0.12541669607162476</v>
      </c>
      <c r="AZ27">
        <v>0.24862596392631531</v>
      </c>
      <c r="BA27">
        <v>0.62266862392425537</v>
      </c>
      <c r="BB27">
        <v>1.1627267599105835</v>
      </c>
      <c r="BC27">
        <v>21.349615097045898</v>
      </c>
      <c r="BD27">
        <v>72.647918701171875</v>
      </c>
      <c r="BE27">
        <v>-1.1602835655212402</v>
      </c>
      <c r="BF27">
        <v>-0.6179356575012207</v>
      </c>
      <c r="BG27">
        <v>-0.24230712652206421</v>
      </c>
      <c r="BH27">
        <v>0.13332140445709229</v>
      </c>
      <c r="BI27">
        <v>0.67566937208175659</v>
      </c>
      <c r="BJ27">
        <v>24.409923553466797</v>
      </c>
      <c r="BK27">
        <v>78.571220397949219</v>
      </c>
      <c r="BL27">
        <v>-1.0376743078231812</v>
      </c>
      <c r="BM27">
        <v>-0.48177388310432434</v>
      </c>
      <c r="BN27">
        <v>-9.6758931875228882E-2</v>
      </c>
      <c r="BO27">
        <v>0.28825601935386658</v>
      </c>
      <c r="BP27">
        <v>0.84415644407272339</v>
      </c>
      <c r="BQ27">
        <v>26.842945098876953</v>
      </c>
      <c r="BR27">
        <v>83.424819946289063</v>
      </c>
      <c r="BS27">
        <v>-0.58426403999328613</v>
      </c>
      <c r="BT27">
        <v>-1.3842561282217503E-2</v>
      </c>
      <c r="BU27">
        <v>0.38122960925102234</v>
      </c>
      <c r="BV27">
        <v>0.7763018012046814</v>
      </c>
      <c r="BW27">
        <v>1.346723198890686</v>
      </c>
      <c r="BX27">
        <v>29.504245758056641</v>
      </c>
      <c r="BY27">
        <v>85.604515075683594</v>
      </c>
      <c r="BZ27">
        <v>-1.1128264665603638</v>
      </c>
      <c r="CA27">
        <v>-0.56953787803649902</v>
      </c>
      <c r="CB27">
        <v>-0.19325783848762512</v>
      </c>
      <c r="CC27">
        <v>0.18302220106124878</v>
      </c>
      <c r="CD27">
        <v>0.7263108491897583</v>
      </c>
      <c r="CE27">
        <v>30.540493011474609</v>
      </c>
      <c r="CF27">
        <v>85.599868774414063</v>
      </c>
      <c r="CG27">
        <v>-1.5649460554122925</v>
      </c>
      <c r="CH27">
        <v>-1.023612380027771</v>
      </c>
      <c r="CI27">
        <v>-0.64868628978729248</v>
      </c>
      <c r="CJ27">
        <v>-0.27376022934913635</v>
      </c>
      <c r="CK27">
        <v>0.26757347583770752</v>
      </c>
      <c r="CL27">
        <v>31.203332901000977</v>
      </c>
      <c r="CM27">
        <v>85.338760375976563</v>
      </c>
      <c r="CN27">
        <v>-1.8436911106109619</v>
      </c>
      <c r="CO27">
        <v>-1.3010754585266113</v>
      </c>
      <c r="CP27">
        <v>-0.92526161670684814</v>
      </c>
      <c r="CQ27">
        <v>-0.54944771528244019</v>
      </c>
      <c r="CR27">
        <v>-6.8321758881211281E-3</v>
      </c>
      <c r="CS27">
        <v>31.628955841064453</v>
      </c>
      <c r="CT27">
        <v>85.621932983398437</v>
      </c>
      <c r="CU27">
        <v>-2.6815946102142334</v>
      </c>
      <c r="CV27">
        <v>-2.1390755176544189</v>
      </c>
      <c r="CW27">
        <v>-1.7633281946182251</v>
      </c>
      <c r="CX27">
        <v>-1.3875809907913208</v>
      </c>
      <c r="CY27">
        <v>-0.84506165981292725</v>
      </c>
      <c r="CZ27">
        <v>31.737358093261719</v>
      </c>
      <c r="DA27">
        <v>84.698677062988281</v>
      </c>
      <c r="DB27">
        <v>-1.3580642938613892</v>
      </c>
      <c r="DC27">
        <v>-0.80537521839141846</v>
      </c>
      <c r="DD27">
        <v>-0.42258444428443909</v>
      </c>
      <c r="DE27">
        <v>-3.9793659001588821E-2</v>
      </c>
      <c r="DF27">
        <v>0.51289546489715576</v>
      </c>
      <c r="DG27">
        <v>31.630268096923828</v>
      </c>
      <c r="DH27">
        <v>83.262123107910156</v>
      </c>
      <c r="DI27">
        <v>2.515195369720459</v>
      </c>
      <c r="DJ27">
        <v>3.0653910636901855</v>
      </c>
      <c r="DK27">
        <v>3.4464550018310547</v>
      </c>
      <c r="DL27">
        <v>3.8275189399719238</v>
      </c>
      <c r="DM27">
        <v>4.3777146339416504</v>
      </c>
      <c r="DN27">
        <v>31.676403045654297</v>
      </c>
      <c r="DO27">
        <v>82.852569580078125</v>
      </c>
      <c r="DP27">
        <v>3.0247039794921875</v>
      </c>
      <c r="DQ27">
        <v>3.5661392211914062</v>
      </c>
      <c r="DR27">
        <v>3.9411356449127197</v>
      </c>
      <c r="DS27">
        <v>4.3161320686340332</v>
      </c>
      <c r="DT27">
        <v>4.857567310333252</v>
      </c>
      <c r="DU27">
        <v>31.476570129394531</v>
      </c>
      <c r="DV27">
        <v>81.031379699707031</v>
      </c>
      <c r="DW27">
        <v>3.6430327892303467</v>
      </c>
      <c r="DX27">
        <v>4.1815366744995117</v>
      </c>
      <c r="DY27">
        <v>4.5545029640197754</v>
      </c>
      <c r="DZ27">
        <v>4.9274692535400391</v>
      </c>
      <c r="EA27">
        <v>5.4659733772277832</v>
      </c>
      <c r="EB27">
        <v>31.165645599365234</v>
      </c>
      <c r="EC27">
        <v>78.140457153320312</v>
      </c>
      <c r="ED27">
        <v>3.1496655941009521</v>
      </c>
      <c r="EE27">
        <v>3.674290657043457</v>
      </c>
      <c r="EF27">
        <v>4.0376443862915039</v>
      </c>
      <c r="EG27">
        <v>4.4009981155395508</v>
      </c>
      <c r="EH27">
        <v>4.9256229400634766</v>
      </c>
      <c r="EI27">
        <v>30.8045654296875</v>
      </c>
      <c r="EJ27">
        <v>76.587127685546875</v>
      </c>
      <c r="EK27">
        <v>-2.1986658573150635</v>
      </c>
      <c r="EL27">
        <v>-1.6353368759155273</v>
      </c>
      <c r="EM27">
        <v>-1.2451769113540649</v>
      </c>
      <c r="EN27">
        <v>-0.85501694679260254</v>
      </c>
      <c r="EO27">
        <v>-0.29168793559074402</v>
      </c>
      <c r="EP27">
        <v>28.970464706420898</v>
      </c>
      <c r="EQ27">
        <v>74.717597961425781</v>
      </c>
      <c r="ER27">
        <v>-1.7069742679595947</v>
      </c>
      <c r="ES27">
        <v>-1.1421806812286377</v>
      </c>
      <c r="ET27">
        <v>-0.75100630521774292</v>
      </c>
      <c r="EU27">
        <v>-0.35983195900917053</v>
      </c>
      <c r="EV27">
        <v>0.20496164262294769</v>
      </c>
      <c r="EW27">
        <v>24.199254989624023</v>
      </c>
      <c r="EX27">
        <v>73.181388854980469</v>
      </c>
      <c r="EY27">
        <v>-0.80773305892944336</v>
      </c>
      <c r="EZ27">
        <v>-0.18281598389148712</v>
      </c>
      <c r="FA27">
        <v>0.24999968707561493</v>
      </c>
      <c r="FB27">
        <v>0.68281537294387817</v>
      </c>
      <c r="FC27">
        <v>1.3077324628829956</v>
      </c>
      <c r="FD27">
        <v>19.485944747924805</v>
      </c>
      <c r="FE27">
        <v>72.617218017578125</v>
      </c>
      <c r="FF27">
        <v>-1.1795707941055298</v>
      </c>
      <c r="FG27">
        <v>-0.58683174848556519</v>
      </c>
      <c r="FH27">
        <v>-0.17630252242088318</v>
      </c>
      <c r="FI27">
        <v>0.23422671854496002</v>
      </c>
      <c r="FJ27">
        <v>0.82696574926376343</v>
      </c>
      <c r="FK27">
        <v>14.646102905273437</v>
      </c>
      <c r="FL27">
        <v>71.383415222167969</v>
      </c>
      <c r="FM27">
        <v>-1.1724487543106079</v>
      </c>
      <c r="FN27">
        <v>-0.58930504322052002</v>
      </c>
      <c r="FO27">
        <v>-0.18542146682739258</v>
      </c>
      <c r="FP27">
        <v>0.21846209466457367</v>
      </c>
      <c r="FQ27">
        <v>0.80160582065582275</v>
      </c>
      <c r="FR27">
        <v>157</v>
      </c>
      <c r="FS27">
        <v>9.1097667813301086E-2</v>
      </c>
      <c r="FT27">
        <v>1</v>
      </c>
    </row>
    <row r="28" spans="1:176" x14ac:dyDescent="0.2">
      <c r="A28" t="s">
        <v>1</v>
      </c>
      <c r="B28" t="s">
        <v>228</v>
      </c>
      <c r="C28" t="s">
        <v>243</v>
      </c>
      <c r="D28">
        <v>157</v>
      </c>
      <c r="E28">
        <v>159</v>
      </c>
      <c r="F28">
        <v>14.849827766418457</v>
      </c>
      <c r="G28">
        <v>73.476669311523438</v>
      </c>
      <c r="H28">
        <v>-0.59174811840057373</v>
      </c>
      <c r="I28">
        <v>3.5040587186813354E-2</v>
      </c>
      <c r="J28">
        <v>0.4691525399684906</v>
      </c>
      <c r="K28">
        <v>0.90326452255249023</v>
      </c>
      <c r="L28">
        <v>1.5300532579421997</v>
      </c>
      <c r="M28">
        <v>14.401715278625488</v>
      </c>
      <c r="N28">
        <v>73.399009704589844</v>
      </c>
      <c r="O28">
        <v>-0.65552723407745361</v>
      </c>
      <c r="P28">
        <v>-3.0005859211087227E-2</v>
      </c>
      <c r="Q28">
        <v>0.40322834253311157</v>
      </c>
      <c r="R28">
        <v>0.83646255731582642</v>
      </c>
      <c r="S28">
        <v>1.4619839191436768</v>
      </c>
      <c r="T28">
        <v>14.112021446228027</v>
      </c>
      <c r="U28">
        <v>72.191558837890625</v>
      </c>
      <c r="V28">
        <v>-0.72851604223251343</v>
      </c>
      <c r="W28">
        <v>-0.13678550720214844</v>
      </c>
      <c r="X28">
        <v>0.27304527163505554</v>
      </c>
      <c r="Y28">
        <v>0.68287605047225952</v>
      </c>
      <c r="Z28">
        <v>1.2746065855026245</v>
      </c>
      <c r="AA28">
        <v>14.671699523925781</v>
      </c>
      <c r="AB28">
        <v>71.682563781738281</v>
      </c>
      <c r="AC28">
        <v>-0.99757039546966553</v>
      </c>
      <c r="AD28">
        <v>-0.43737909197807312</v>
      </c>
      <c r="AE28">
        <v>-4.9392279237508774E-2</v>
      </c>
      <c r="AF28">
        <v>0.33859452605247498</v>
      </c>
      <c r="AG28">
        <v>0.89878582954406738</v>
      </c>
      <c r="AH28">
        <v>15.522860527038574</v>
      </c>
      <c r="AI28">
        <v>71.474037170410156</v>
      </c>
      <c r="AJ28">
        <v>-1.0136418342590332</v>
      </c>
      <c r="AK28">
        <v>-0.4537615180015564</v>
      </c>
      <c r="AL28">
        <v>-6.5990135073661804E-2</v>
      </c>
      <c r="AM28">
        <v>0.32178124785423279</v>
      </c>
      <c r="AN28">
        <v>0.88166153430938721</v>
      </c>
      <c r="AO28">
        <v>16.665582656860352</v>
      </c>
      <c r="AP28">
        <v>71.055519104003906</v>
      </c>
      <c r="AQ28">
        <v>-1.6321607828140259</v>
      </c>
      <c r="AR28">
        <v>-1.0478479862213135</v>
      </c>
      <c r="AS28">
        <v>-0.64315474033355713</v>
      </c>
      <c r="AT28">
        <v>-0.23846147954463959</v>
      </c>
      <c r="AU28">
        <v>0.34585133194923401</v>
      </c>
      <c r="AV28">
        <v>20.081523895263672</v>
      </c>
      <c r="AW28">
        <v>71.301811218261719</v>
      </c>
      <c r="AX28">
        <v>-1.4724389314651489</v>
      </c>
      <c r="AY28">
        <v>-0.86929208040237427</v>
      </c>
      <c r="AZ28">
        <v>-0.45155444741249084</v>
      </c>
      <c r="BA28">
        <v>-3.3816788345575333E-2</v>
      </c>
      <c r="BB28">
        <v>0.56933003664016724</v>
      </c>
      <c r="BC28">
        <v>23.791868209838867</v>
      </c>
      <c r="BD28">
        <v>76.405586242675781</v>
      </c>
      <c r="BE28">
        <v>-1.3286688327789307</v>
      </c>
      <c r="BF28">
        <v>-0.70198905467987061</v>
      </c>
      <c r="BG28">
        <v>-0.26795250177383423</v>
      </c>
      <c r="BH28">
        <v>0.16608403623104095</v>
      </c>
      <c r="BI28">
        <v>0.79276382923126221</v>
      </c>
      <c r="BJ28">
        <v>26.797580718994141</v>
      </c>
      <c r="BK28">
        <v>82.596260070800781</v>
      </c>
      <c r="BL28">
        <v>-2.1322977542877197</v>
      </c>
      <c r="BM28">
        <v>-1.4819331169128418</v>
      </c>
      <c r="BN28">
        <v>-1.0314924716949463</v>
      </c>
      <c r="BO28">
        <v>-0.58105188608169556</v>
      </c>
      <c r="BP28">
        <v>6.9312848150730133E-2</v>
      </c>
      <c r="BQ28">
        <v>28.438726425170898</v>
      </c>
      <c r="BR28">
        <v>87.779914855957031</v>
      </c>
      <c r="BS28">
        <v>-2.4070045948028564</v>
      </c>
      <c r="BT28">
        <v>-1.7577006816864014</v>
      </c>
      <c r="BU28">
        <v>-1.3079948425292969</v>
      </c>
      <c r="BV28">
        <v>-0.85828894376754761</v>
      </c>
      <c r="BW28">
        <v>-0.20898506045341492</v>
      </c>
      <c r="BX28">
        <v>31.397603988647461</v>
      </c>
      <c r="BY28">
        <v>90.066574096679688</v>
      </c>
      <c r="BZ28">
        <v>-1.6082185506820679</v>
      </c>
      <c r="CA28">
        <v>-0.96540379524230957</v>
      </c>
      <c r="CB28">
        <v>-0.52019220590591431</v>
      </c>
      <c r="CC28">
        <v>-7.498062402009964E-2</v>
      </c>
      <c r="CD28">
        <v>0.56783419847488403</v>
      </c>
      <c r="CE28">
        <v>30.584634780883789</v>
      </c>
      <c r="CF28">
        <v>91.78790283203125</v>
      </c>
      <c r="CG28">
        <v>-2.0972201824188232</v>
      </c>
      <c r="CH28">
        <v>-1.4493635892868042</v>
      </c>
      <c r="CI28">
        <v>-1.0006601810455322</v>
      </c>
      <c r="CJ28">
        <v>-0.55195671319961548</v>
      </c>
      <c r="CK28">
        <v>9.5899805426597595E-2</v>
      </c>
      <c r="CL28">
        <v>30.98222541809082</v>
      </c>
      <c r="CM28">
        <v>91.60308837890625</v>
      </c>
      <c r="CN28">
        <v>-2.355104923248291</v>
      </c>
      <c r="CO28">
        <v>-1.738405704498291</v>
      </c>
      <c r="CP28">
        <v>-1.3112818002700806</v>
      </c>
      <c r="CQ28">
        <v>-0.88415789604187012</v>
      </c>
      <c r="CR28">
        <v>-0.26745876669883728</v>
      </c>
      <c r="CS28">
        <v>31.382665634155273</v>
      </c>
      <c r="CT28">
        <v>91.1878662109375</v>
      </c>
      <c r="CU28">
        <v>-2.9252219200134277</v>
      </c>
      <c r="CV28">
        <v>-2.2786333560943604</v>
      </c>
      <c r="CW28">
        <v>-1.8308082818984985</v>
      </c>
      <c r="CX28">
        <v>-1.3829830884933472</v>
      </c>
      <c r="CY28">
        <v>-0.73639470338821411</v>
      </c>
      <c r="CZ28">
        <v>31.7047119140625</v>
      </c>
      <c r="DA28">
        <v>91.191978454589844</v>
      </c>
      <c r="DB28">
        <v>-2.1394956111907959</v>
      </c>
      <c r="DC28">
        <v>-1.4345420598983765</v>
      </c>
      <c r="DD28">
        <v>-0.9462934136390686</v>
      </c>
      <c r="DE28">
        <v>-0.45804470777511597</v>
      </c>
      <c r="DF28">
        <v>0.24690884351730347</v>
      </c>
      <c r="DG28">
        <v>33.787662506103516</v>
      </c>
      <c r="DH28">
        <v>90.890464782714844</v>
      </c>
      <c r="DI28">
        <v>2.9678008556365967</v>
      </c>
      <c r="DJ28">
        <v>3.6466290950775146</v>
      </c>
      <c r="DK28">
        <v>4.116783618927002</v>
      </c>
      <c r="DL28">
        <v>4.5869379043579102</v>
      </c>
      <c r="DM28">
        <v>5.2657661437988281</v>
      </c>
      <c r="DN28">
        <v>33.478408813476562</v>
      </c>
      <c r="DO28">
        <v>89.144905090332031</v>
      </c>
      <c r="DP28">
        <v>3.3813607692718506</v>
      </c>
      <c r="DQ28">
        <v>4.0524196624755859</v>
      </c>
      <c r="DR28">
        <v>4.5171933174133301</v>
      </c>
      <c r="DS28">
        <v>4.9819669723510742</v>
      </c>
      <c r="DT28">
        <v>5.6530256271362305</v>
      </c>
      <c r="DU28">
        <v>32.999282836914062</v>
      </c>
      <c r="DV28">
        <v>86.243598937988281</v>
      </c>
      <c r="DW28">
        <v>3.594048023223877</v>
      </c>
      <c r="DX28">
        <v>4.261725902557373</v>
      </c>
      <c r="DY28">
        <v>4.7241573333740234</v>
      </c>
      <c r="DZ28">
        <v>5.1865887641906738</v>
      </c>
      <c r="EA28">
        <v>5.8542666435241699</v>
      </c>
      <c r="EB28">
        <v>32.779895782470703</v>
      </c>
      <c r="EC28">
        <v>83.044456481933594</v>
      </c>
      <c r="ED28">
        <v>3.6279957294464111</v>
      </c>
      <c r="EE28">
        <v>4.2593941688537598</v>
      </c>
      <c r="EF28">
        <v>4.6966986656188965</v>
      </c>
      <c r="EG28">
        <v>5.1340031623840332</v>
      </c>
      <c r="EH28">
        <v>5.7654018402099609</v>
      </c>
      <c r="EI28">
        <v>32.279682159423828</v>
      </c>
      <c r="EJ28">
        <v>81.605514526367188</v>
      </c>
      <c r="EK28">
        <v>-2.2848713397979736</v>
      </c>
      <c r="EL28">
        <v>-1.6265743970870972</v>
      </c>
      <c r="EM28">
        <v>-1.1706398725509644</v>
      </c>
      <c r="EN28">
        <v>-0.71470540761947632</v>
      </c>
      <c r="EO28">
        <v>-5.6408420205116272E-2</v>
      </c>
      <c r="EP28">
        <v>29.933626174926758</v>
      </c>
      <c r="EQ28">
        <v>80.454521179199219</v>
      </c>
      <c r="ER28">
        <v>-2.4972085952758789</v>
      </c>
      <c r="ES28">
        <v>-1.828312873840332</v>
      </c>
      <c r="ET28">
        <v>-1.3650377988815308</v>
      </c>
      <c r="EU28">
        <v>-0.90176266431808472</v>
      </c>
      <c r="EV28">
        <v>-0.23286698758602142</v>
      </c>
      <c r="EW28">
        <v>24.523969650268555</v>
      </c>
      <c r="EX28">
        <v>78.801116943359375</v>
      </c>
      <c r="EY28">
        <v>-2.1954495906829834</v>
      </c>
      <c r="EZ28">
        <v>-1.5209168195724487</v>
      </c>
      <c r="FA28">
        <v>-1.0537374019622803</v>
      </c>
      <c r="FB28">
        <v>-0.58655804395675659</v>
      </c>
      <c r="FC28">
        <v>8.7974756956100464E-2</v>
      </c>
      <c r="FD28">
        <v>19.266843795776367</v>
      </c>
      <c r="FE28">
        <v>77.281356811523438</v>
      </c>
      <c r="FF28">
        <v>-1.756191611289978</v>
      </c>
      <c r="FG28">
        <v>-1.0682811737060547</v>
      </c>
      <c r="FH28">
        <v>-0.59183645248413086</v>
      </c>
      <c r="FI28">
        <v>-0.11539176106452942</v>
      </c>
      <c r="FJ28">
        <v>0.57251870632171631</v>
      </c>
      <c r="FK28">
        <v>15.701818466186523</v>
      </c>
      <c r="FL28">
        <v>76.467941284179688</v>
      </c>
      <c r="FM28">
        <v>-1.6116791963577271</v>
      </c>
      <c r="FN28">
        <v>-0.88491803407669067</v>
      </c>
      <c r="FO28">
        <v>-0.38156542181968689</v>
      </c>
      <c r="FP28">
        <v>0.1217871680855751</v>
      </c>
      <c r="FQ28">
        <v>0.84854835271835327</v>
      </c>
      <c r="FR28">
        <v>157</v>
      </c>
      <c r="FS28">
        <v>7.6535262167453766E-2</v>
      </c>
      <c r="FT28">
        <v>1</v>
      </c>
    </row>
    <row r="29" spans="1:176" x14ac:dyDescent="0.2">
      <c r="A29" t="s">
        <v>1</v>
      </c>
      <c r="B29" t="s">
        <v>228</v>
      </c>
      <c r="C29" t="s">
        <v>244</v>
      </c>
      <c r="D29">
        <v>157</v>
      </c>
      <c r="E29">
        <v>159</v>
      </c>
      <c r="F29">
        <v>15.266696929931641</v>
      </c>
      <c r="G29">
        <v>74.617950439453125</v>
      </c>
      <c r="H29">
        <v>-0.59797507524490356</v>
      </c>
      <c r="I29">
        <v>2.1030781790614128E-2</v>
      </c>
      <c r="J29">
        <v>0.44975236058235168</v>
      </c>
      <c r="K29">
        <v>0.87847393751144409</v>
      </c>
      <c r="L29">
        <v>1.4974797964096069</v>
      </c>
      <c r="M29">
        <v>14.653407096862793</v>
      </c>
      <c r="N29">
        <v>73.863029479980469</v>
      </c>
      <c r="O29">
        <v>-1.0070542097091675</v>
      </c>
      <c r="P29">
        <v>-0.42060312628746033</v>
      </c>
      <c r="Q29">
        <v>-1.4428878203034401E-2</v>
      </c>
      <c r="R29">
        <v>0.39174535870552063</v>
      </c>
      <c r="S29">
        <v>0.97819644212722778</v>
      </c>
      <c r="T29">
        <v>14.332149505615234</v>
      </c>
      <c r="U29">
        <v>73.959915161132813</v>
      </c>
      <c r="V29">
        <v>-1.0124341249465942</v>
      </c>
      <c r="W29">
        <v>-0.42881843447685242</v>
      </c>
      <c r="X29">
        <v>-2.4608025327324867E-2</v>
      </c>
      <c r="Y29">
        <v>0.37960237264633179</v>
      </c>
      <c r="Z29">
        <v>0.96321803331375122</v>
      </c>
      <c r="AA29">
        <v>15.003879547119141</v>
      </c>
      <c r="AB29">
        <v>72.779197692871094</v>
      </c>
      <c r="AC29">
        <v>-1.1110283136367798</v>
      </c>
      <c r="AD29">
        <v>-0.55834102630615234</v>
      </c>
      <c r="AE29">
        <v>-0.17555147409439087</v>
      </c>
      <c r="AF29">
        <v>0.20723806321620941</v>
      </c>
      <c r="AG29">
        <v>0.75992536544799805</v>
      </c>
      <c r="AH29">
        <v>15.923964500427246</v>
      </c>
      <c r="AI29">
        <v>72.624557495117188</v>
      </c>
      <c r="AJ29">
        <v>-1.3925107717514038</v>
      </c>
      <c r="AK29">
        <v>-0.82465058565139771</v>
      </c>
      <c r="AL29">
        <v>-0.43135234713554382</v>
      </c>
      <c r="AM29">
        <v>-3.8054119795560837E-2</v>
      </c>
      <c r="AN29">
        <v>0.52980607748031616</v>
      </c>
      <c r="AO29">
        <v>16.986005783081055</v>
      </c>
      <c r="AP29">
        <v>72.453689575195313</v>
      </c>
      <c r="AQ29">
        <v>-1.2717130184173584</v>
      </c>
      <c r="AR29">
        <v>-0.67713487148284912</v>
      </c>
      <c r="AS29">
        <v>-0.26533186435699463</v>
      </c>
      <c r="AT29">
        <v>0.14647114276885986</v>
      </c>
      <c r="AU29">
        <v>0.74104928970336914</v>
      </c>
      <c r="AV29">
        <v>20.763486862182617</v>
      </c>
      <c r="AW29">
        <v>75.085548400878906</v>
      </c>
      <c r="AX29">
        <v>-1.4171186685562134</v>
      </c>
      <c r="AY29">
        <v>-0.77249765396118164</v>
      </c>
      <c r="AZ29">
        <v>-0.3260350227355957</v>
      </c>
      <c r="BA29">
        <v>0.12042757868766785</v>
      </c>
      <c r="BB29">
        <v>0.76504868268966675</v>
      </c>
      <c r="BC29">
        <v>24.300039291381836</v>
      </c>
      <c r="BD29">
        <v>81.089370727539063</v>
      </c>
      <c r="BE29">
        <v>-1.165845513343811</v>
      </c>
      <c r="BF29">
        <v>-0.52431470155715942</v>
      </c>
      <c r="BG29">
        <v>-7.9992346465587616E-2</v>
      </c>
      <c r="BH29">
        <v>0.364329993724823</v>
      </c>
      <c r="BI29">
        <v>1.0058608055114746</v>
      </c>
      <c r="BJ29">
        <v>27.348232269287109</v>
      </c>
      <c r="BK29">
        <v>85.803901672363281</v>
      </c>
      <c r="BL29">
        <v>-1.7757794857025146</v>
      </c>
      <c r="BM29">
        <v>-1.140761137008667</v>
      </c>
      <c r="BN29">
        <v>-0.70094937086105347</v>
      </c>
      <c r="BO29">
        <v>-0.26113760471343994</v>
      </c>
      <c r="BP29">
        <v>0.37388074398040771</v>
      </c>
      <c r="BQ29">
        <v>29.316184997558594</v>
      </c>
      <c r="BR29">
        <v>90.240966796875</v>
      </c>
      <c r="BS29">
        <v>-2.0060281753540039</v>
      </c>
      <c r="BT29">
        <v>-1.3789987564086914</v>
      </c>
      <c r="BU29">
        <v>-0.94472002983093262</v>
      </c>
      <c r="BV29">
        <v>-0.5104413628578186</v>
      </c>
      <c r="BW29">
        <v>0.11658807843923569</v>
      </c>
      <c r="BX29">
        <v>32.121253967285156</v>
      </c>
      <c r="BY29">
        <v>92.444984436035156</v>
      </c>
      <c r="BZ29">
        <v>-1.3521569967269897</v>
      </c>
      <c r="CA29">
        <v>-0.71145749092102051</v>
      </c>
      <c r="CB29">
        <v>-0.26771101355552673</v>
      </c>
      <c r="CC29">
        <v>0.17603547871112823</v>
      </c>
      <c r="CD29">
        <v>0.8167349100112915</v>
      </c>
      <c r="CE29">
        <v>31.168849945068359</v>
      </c>
      <c r="CF29">
        <v>93.893577575683594</v>
      </c>
      <c r="CG29">
        <v>-2.1151249408721924</v>
      </c>
      <c r="CH29">
        <v>-1.4990664720535278</v>
      </c>
      <c r="CI29">
        <v>-1.0723862648010254</v>
      </c>
      <c r="CJ29">
        <v>-0.64570605754852295</v>
      </c>
      <c r="CK29">
        <v>-2.9647616669535637E-2</v>
      </c>
      <c r="CL29">
        <v>31.74943733215332</v>
      </c>
      <c r="CM29">
        <v>95.142959594726563</v>
      </c>
      <c r="CN29">
        <v>-2.2637679576873779</v>
      </c>
      <c r="CO29">
        <v>-1.6300232410430908</v>
      </c>
      <c r="CP29">
        <v>-1.1910935640335083</v>
      </c>
      <c r="CQ29">
        <v>-0.75216388702392578</v>
      </c>
      <c r="CR29">
        <v>-0.11841907352209091</v>
      </c>
      <c r="CS29">
        <v>31.912937164306641</v>
      </c>
      <c r="CT29">
        <v>92.145965576171875</v>
      </c>
      <c r="CU29">
        <v>-2.8603494167327881</v>
      </c>
      <c r="CV29">
        <v>-2.2024948596954346</v>
      </c>
      <c r="CW29">
        <v>-1.7468665838241577</v>
      </c>
      <c r="CX29">
        <v>-1.2912384271621704</v>
      </c>
      <c r="CY29">
        <v>-0.63338363170623779</v>
      </c>
      <c r="CZ29">
        <v>32.637481689453125</v>
      </c>
      <c r="DA29">
        <v>94.681411743164063</v>
      </c>
      <c r="DB29">
        <v>-1.6279208660125732</v>
      </c>
      <c r="DC29">
        <v>-0.94264507293701172</v>
      </c>
      <c r="DD29">
        <v>-0.4680250883102417</v>
      </c>
      <c r="DE29">
        <v>6.5948688425123692E-3</v>
      </c>
      <c r="DF29">
        <v>0.69187068939208984</v>
      </c>
      <c r="DG29">
        <v>34.686683654785156</v>
      </c>
      <c r="DH29">
        <v>94.227035522460937</v>
      </c>
      <c r="DI29">
        <v>2.9858968257904053</v>
      </c>
      <c r="DJ29">
        <v>3.6760666370391846</v>
      </c>
      <c r="DK29">
        <v>4.154076099395752</v>
      </c>
      <c r="DL29">
        <v>4.6320858001708984</v>
      </c>
      <c r="DM29">
        <v>5.3222551345825195</v>
      </c>
      <c r="DN29">
        <v>34.139633178710938</v>
      </c>
      <c r="DO29">
        <v>91.330757141113281</v>
      </c>
      <c r="DP29">
        <v>2.7743480205535889</v>
      </c>
      <c r="DQ29">
        <v>3.4863145351409912</v>
      </c>
      <c r="DR29">
        <v>3.9794204235076904</v>
      </c>
      <c r="DS29">
        <v>4.4725265502929687</v>
      </c>
      <c r="DT29">
        <v>5.1844930648803711</v>
      </c>
      <c r="DU29">
        <v>34.219470977783203</v>
      </c>
      <c r="DV29">
        <v>89.760696411132812</v>
      </c>
      <c r="DW29">
        <v>3.1629183292388916</v>
      </c>
      <c r="DX29">
        <v>3.9333596229553223</v>
      </c>
      <c r="DY29">
        <v>4.4669647216796875</v>
      </c>
      <c r="DZ29">
        <v>5.0005698204040527</v>
      </c>
      <c r="EA29">
        <v>5.7710108757019043</v>
      </c>
      <c r="EB29">
        <v>34.383590698242187</v>
      </c>
      <c r="EC29">
        <v>88.611129760742187</v>
      </c>
      <c r="ED29">
        <v>3.3055136203765869</v>
      </c>
      <c r="EE29">
        <v>4.0230183601379395</v>
      </c>
      <c r="EF29">
        <v>4.5199599266052246</v>
      </c>
      <c r="EG29">
        <v>5.0169014930725098</v>
      </c>
      <c r="EH29">
        <v>5.7344059944152832</v>
      </c>
      <c r="EI29">
        <v>33.794879913330078</v>
      </c>
      <c r="EJ29">
        <v>87.03973388671875</v>
      </c>
      <c r="EK29">
        <v>-1.918135404586792</v>
      </c>
      <c r="EL29">
        <v>-1.1575024127960205</v>
      </c>
      <c r="EM29">
        <v>-0.63069021701812744</v>
      </c>
      <c r="EN29">
        <v>-0.10387805849313736</v>
      </c>
      <c r="EO29">
        <v>0.65675503015518188</v>
      </c>
      <c r="EP29">
        <v>30.846012115478516</v>
      </c>
      <c r="EQ29">
        <v>85.600120544433594</v>
      </c>
      <c r="ER29">
        <v>-2.3873527050018311</v>
      </c>
      <c r="ES29">
        <v>-1.6003042459487915</v>
      </c>
      <c r="ET29">
        <v>-1.0551967620849609</v>
      </c>
      <c r="EU29">
        <v>-0.51008927822113037</v>
      </c>
      <c r="EV29">
        <v>0.27695927023887634</v>
      </c>
      <c r="EW29">
        <v>25.056617736816406</v>
      </c>
      <c r="EX29">
        <v>83.028213500976563</v>
      </c>
      <c r="EY29">
        <v>-2.0122799873352051</v>
      </c>
      <c r="EZ29">
        <v>-1.251991868019104</v>
      </c>
      <c r="FA29">
        <v>-0.72541862726211548</v>
      </c>
      <c r="FB29">
        <v>-0.19884540140628815</v>
      </c>
      <c r="FC29">
        <v>0.56144273281097412</v>
      </c>
      <c r="FD29">
        <v>19.747064590454102</v>
      </c>
      <c r="FE29">
        <v>81.021400451660156</v>
      </c>
      <c r="FF29">
        <v>-1.6732981204986572</v>
      </c>
      <c r="FG29">
        <v>-0.91475027799606323</v>
      </c>
      <c r="FH29">
        <v>-0.38938236236572266</v>
      </c>
      <c r="FI29">
        <v>0.13598553836345673</v>
      </c>
      <c r="FJ29">
        <v>0.89453333616256714</v>
      </c>
      <c r="FK29">
        <v>16.088779449462891</v>
      </c>
      <c r="FL29">
        <v>80.441642761230469</v>
      </c>
      <c r="FM29">
        <v>-1.9052102565765381</v>
      </c>
      <c r="FN29">
        <v>-1.1122736930847168</v>
      </c>
      <c r="FO29">
        <v>-0.56308823823928833</v>
      </c>
      <c r="FP29">
        <v>-1.3902782462537289E-2</v>
      </c>
      <c r="FQ29">
        <v>0.77903378009796143</v>
      </c>
      <c r="FR29">
        <v>157</v>
      </c>
      <c r="FS29">
        <v>7.4496671557426453E-2</v>
      </c>
      <c r="FT29">
        <v>1</v>
      </c>
    </row>
    <row r="30" spans="1:176" x14ac:dyDescent="0.2">
      <c r="A30" t="s">
        <v>1</v>
      </c>
      <c r="B30" t="s">
        <v>228</v>
      </c>
      <c r="C30" t="s">
        <v>245</v>
      </c>
      <c r="D30">
        <v>157</v>
      </c>
      <c r="E30">
        <v>159</v>
      </c>
      <c r="F30">
        <v>15.764692306518555</v>
      </c>
      <c r="G30">
        <v>80.354621887207031</v>
      </c>
      <c r="H30">
        <v>-1.3413926362991333</v>
      </c>
      <c r="I30">
        <v>-0.56898707151412964</v>
      </c>
      <c r="J30">
        <v>-3.4021340310573578E-2</v>
      </c>
      <c r="K30">
        <v>0.50094437599182129</v>
      </c>
      <c r="L30">
        <v>1.2733498811721802</v>
      </c>
      <c r="M30">
        <v>15.056812286376953</v>
      </c>
      <c r="N30">
        <v>79.623558044433594</v>
      </c>
      <c r="O30">
        <v>-1.8670347929000854</v>
      </c>
      <c r="P30">
        <v>-1.1091728210449219</v>
      </c>
      <c r="Q30">
        <v>-0.58427989482879639</v>
      </c>
      <c r="R30">
        <v>-5.93869648873806E-2</v>
      </c>
      <c r="S30">
        <v>0.69847506284713745</v>
      </c>
      <c r="T30">
        <v>14.64689826965332</v>
      </c>
      <c r="U30">
        <v>78.546714782714844</v>
      </c>
      <c r="V30">
        <v>-1.9963822364807129</v>
      </c>
      <c r="W30">
        <v>-1.2716176509857178</v>
      </c>
      <c r="X30">
        <v>-0.76964783668518066</v>
      </c>
      <c r="Y30">
        <v>-0.26767805218696594</v>
      </c>
      <c r="Z30">
        <v>0.45708662271499634</v>
      </c>
      <c r="AA30">
        <v>15.489067077636719</v>
      </c>
      <c r="AB30">
        <v>77.826179504394531</v>
      </c>
      <c r="AC30">
        <v>-2.0762166976928711</v>
      </c>
      <c r="AD30">
        <v>-1.3683412075042725</v>
      </c>
      <c r="AE30">
        <v>-0.87806868553161621</v>
      </c>
      <c r="AF30">
        <v>-0.38779619336128235</v>
      </c>
      <c r="AG30">
        <v>0.32007944583892822</v>
      </c>
      <c r="AH30">
        <v>16.61543083190918</v>
      </c>
      <c r="AI30">
        <v>77.552192687988281</v>
      </c>
      <c r="AJ30">
        <v>-1.5012400150299072</v>
      </c>
      <c r="AK30">
        <v>-0.77306997776031494</v>
      </c>
      <c r="AL30">
        <v>-0.26874169707298279</v>
      </c>
      <c r="AM30">
        <v>0.23558659851551056</v>
      </c>
      <c r="AN30">
        <v>0.96375656127929688</v>
      </c>
      <c r="AO30">
        <v>17.717460632324219</v>
      </c>
      <c r="AP30">
        <v>76.781455993652344</v>
      </c>
      <c r="AQ30">
        <v>-1.3387609720230103</v>
      </c>
      <c r="AR30">
        <v>-0.58934634923934937</v>
      </c>
      <c r="AS30">
        <v>-7.0304006338119507E-2</v>
      </c>
      <c r="AT30">
        <v>0.44873833656311035</v>
      </c>
      <c r="AU30">
        <v>1.198153018951416</v>
      </c>
      <c r="AV30">
        <v>21.443002700805664</v>
      </c>
      <c r="AW30">
        <v>75.846748352050781</v>
      </c>
      <c r="AX30">
        <v>-1.6544954776763916</v>
      </c>
      <c r="AY30">
        <v>-0.96571683883666992</v>
      </c>
      <c r="AZ30">
        <v>-0.48867088556289673</v>
      </c>
      <c r="BA30">
        <v>-1.1624908074736595E-2</v>
      </c>
      <c r="BB30">
        <v>0.67715370655059814</v>
      </c>
      <c r="BC30">
        <v>25.216775894165039</v>
      </c>
      <c r="BD30">
        <v>81.266326904296875</v>
      </c>
      <c r="BE30">
        <v>-1.5587594509124756</v>
      </c>
      <c r="BF30">
        <v>-0.8778609037399292</v>
      </c>
      <c r="BG30">
        <v>-0.40627267956733704</v>
      </c>
      <c r="BH30">
        <v>6.5315566956996918E-2</v>
      </c>
      <c r="BI30">
        <v>0.74621409177780151</v>
      </c>
      <c r="BJ30">
        <v>28.251575469970703</v>
      </c>
      <c r="BK30">
        <v>85.816574096679688</v>
      </c>
      <c r="BL30">
        <v>-2.1898982524871826</v>
      </c>
      <c r="BM30">
        <v>-1.5031366348266602</v>
      </c>
      <c r="BN30">
        <v>-1.0274877548217773</v>
      </c>
      <c r="BO30">
        <v>-0.55183881521224976</v>
      </c>
      <c r="BP30">
        <v>0.13492268323898315</v>
      </c>
      <c r="BQ30">
        <v>29.974893569946289</v>
      </c>
      <c r="BR30">
        <v>88.954627990722656</v>
      </c>
      <c r="BS30">
        <v>-2.1244633197784424</v>
      </c>
      <c r="BT30">
        <v>-1.4419258832931519</v>
      </c>
      <c r="BU30">
        <v>-0.96920251846313477</v>
      </c>
      <c r="BV30">
        <v>-0.49647915363311768</v>
      </c>
      <c r="BW30">
        <v>0.18605829775333405</v>
      </c>
      <c r="BX30">
        <v>32.702354431152344</v>
      </c>
      <c r="BY30">
        <v>91.236473083496094</v>
      </c>
      <c r="BZ30">
        <v>-1.1874076128005981</v>
      </c>
      <c r="CA30">
        <v>-0.47247105836868286</v>
      </c>
      <c r="CB30">
        <v>2.2691812366247177E-2</v>
      </c>
      <c r="CC30">
        <v>0.51785469055175781</v>
      </c>
      <c r="CD30">
        <v>1.2327911853790283</v>
      </c>
      <c r="CE30">
        <v>31.559497833251953</v>
      </c>
      <c r="CF30">
        <v>92.1456298828125</v>
      </c>
      <c r="CG30">
        <v>-1.9076180458068848</v>
      </c>
      <c r="CH30">
        <v>-1.2341700792312622</v>
      </c>
      <c r="CI30">
        <v>-0.7677420973777771</v>
      </c>
      <c r="CJ30">
        <v>-0.30131411552429199</v>
      </c>
      <c r="CK30">
        <v>0.37213382124900818</v>
      </c>
      <c r="CL30">
        <v>31.654258728027344</v>
      </c>
      <c r="CM30">
        <v>90.1656494140625</v>
      </c>
      <c r="CN30">
        <v>-1.9969688653945923</v>
      </c>
      <c r="CO30">
        <v>-1.2353192567825317</v>
      </c>
      <c r="CP30">
        <v>-0.70780313014984131</v>
      </c>
      <c r="CQ30">
        <v>-0.1802869439125061</v>
      </c>
      <c r="CR30">
        <v>0.58136260509490967</v>
      </c>
      <c r="CS30">
        <v>31.647407531738281</v>
      </c>
      <c r="CT30">
        <v>87.709869384765625</v>
      </c>
      <c r="CU30">
        <v>-2.5458455085754395</v>
      </c>
      <c r="CV30">
        <v>-1.7897244691848755</v>
      </c>
      <c r="CW30">
        <v>-1.2660373449325562</v>
      </c>
      <c r="CX30">
        <v>-0.74235022068023682</v>
      </c>
      <c r="CY30">
        <v>1.3770853169262409E-2</v>
      </c>
      <c r="CZ30">
        <v>31.604047775268555</v>
      </c>
      <c r="DA30">
        <v>86.735992431640625</v>
      </c>
      <c r="DB30">
        <v>-2.3879625797271729</v>
      </c>
      <c r="DC30">
        <v>-1.6276462078094482</v>
      </c>
      <c r="DD30">
        <v>-1.1010533571243286</v>
      </c>
      <c r="DE30">
        <v>-0.57446056604385376</v>
      </c>
      <c r="DF30">
        <v>0.18585580587387085</v>
      </c>
      <c r="DG30">
        <v>33.395481109619141</v>
      </c>
      <c r="DH30">
        <v>86.1636962890625</v>
      </c>
      <c r="DI30">
        <v>2.2017462253570557</v>
      </c>
      <c r="DJ30">
        <v>3.0231144428253174</v>
      </c>
      <c r="DK30">
        <v>3.591991662979126</v>
      </c>
      <c r="DL30">
        <v>4.1608686447143555</v>
      </c>
      <c r="DM30">
        <v>4.9822373390197754</v>
      </c>
      <c r="DN30">
        <v>32.929065704345703</v>
      </c>
      <c r="DO30">
        <v>83.428245544433594</v>
      </c>
      <c r="DP30">
        <v>2.7710344791412354</v>
      </c>
      <c r="DQ30">
        <v>3.5988602638244629</v>
      </c>
      <c r="DR30">
        <v>4.1722097396850586</v>
      </c>
      <c r="DS30">
        <v>4.7455592155456543</v>
      </c>
      <c r="DT30">
        <v>5.5733852386474609</v>
      </c>
      <c r="DU30">
        <v>32.771522521972656</v>
      </c>
      <c r="DV30">
        <v>81.484916687011719</v>
      </c>
      <c r="DW30">
        <v>3.4726214408874512</v>
      </c>
      <c r="DX30">
        <v>4.3012728691101074</v>
      </c>
      <c r="DY30">
        <v>4.8751945495605469</v>
      </c>
      <c r="DZ30">
        <v>5.4491162300109863</v>
      </c>
      <c r="EA30">
        <v>6.2777676582336426</v>
      </c>
      <c r="EB30">
        <v>33.312549591064453</v>
      </c>
      <c r="EC30">
        <v>78.34564208984375</v>
      </c>
      <c r="ED30">
        <v>4.1299057006835938</v>
      </c>
      <c r="EE30">
        <v>4.8973240852355957</v>
      </c>
      <c r="EF30">
        <v>5.4288358688354492</v>
      </c>
      <c r="EG30">
        <v>5.9603476524353027</v>
      </c>
      <c r="EH30">
        <v>6.7277660369873047</v>
      </c>
      <c r="EI30">
        <v>33.249721527099609</v>
      </c>
      <c r="EJ30">
        <v>76.123619079589844</v>
      </c>
      <c r="EK30">
        <v>-0.46730151772499084</v>
      </c>
      <c r="EL30">
        <v>0.23648363351821899</v>
      </c>
      <c r="EM30">
        <v>0.72392308712005615</v>
      </c>
      <c r="EN30">
        <v>1.2113626003265381</v>
      </c>
      <c r="EO30">
        <v>1.9151476621627808</v>
      </c>
      <c r="EP30">
        <v>30.606586456298828</v>
      </c>
      <c r="EQ30">
        <v>74.596755981445313</v>
      </c>
      <c r="ER30">
        <v>-0.44507771730422974</v>
      </c>
      <c r="ES30">
        <v>0.22091108560562134</v>
      </c>
      <c r="ET30">
        <v>0.68217289447784424</v>
      </c>
      <c r="EU30">
        <v>1.1434347629547119</v>
      </c>
      <c r="EV30">
        <v>1.8094234466552734</v>
      </c>
      <c r="EW30">
        <v>24.394412994384766</v>
      </c>
      <c r="EX30">
        <v>73.635726928710938</v>
      </c>
      <c r="EY30">
        <v>-0.62746840715408325</v>
      </c>
      <c r="EZ30">
        <v>3.8615874946117401E-2</v>
      </c>
      <c r="FA30">
        <v>0.49994382262229919</v>
      </c>
      <c r="FB30">
        <v>0.96127176284790039</v>
      </c>
      <c r="FC30">
        <v>1.6273560523986816</v>
      </c>
      <c r="FD30">
        <v>19.236808776855469</v>
      </c>
      <c r="FE30">
        <v>72.83489990234375</v>
      </c>
      <c r="FF30">
        <v>-0.69396382570266724</v>
      </c>
      <c r="FG30">
        <v>-4.557017982006073E-2</v>
      </c>
      <c r="FH30">
        <v>0.40350526571273804</v>
      </c>
      <c r="FI30">
        <v>0.852580726146698</v>
      </c>
      <c r="FJ30">
        <v>1.5009742975234985</v>
      </c>
      <c r="FK30">
        <v>15.967185974121094</v>
      </c>
      <c r="FL30">
        <v>72.017227172851562</v>
      </c>
      <c r="FM30">
        <v>-0.91273027658462524</v>
      </c>
      <c r="FN30">
        <v>-0.24021139740943909</v>
      </c>
      <c r="FO30">
        <v>0.22557313740253448</v>
      </c>
      <c r="FP30">
        <v>0.69135767221450806</v>
      </c>
      <c r="FQ30">
        <v>1.3638765811920166</v>
      </c>
      <c r="FR30">
        <v>157</v>
      </c>
      <c r="FS30">
        <v>7.3583163321018219E-2</v>
      </c>
      <c r="FT30">
        <v>1</v>
      </c>
    </row>
    <row r="31" spans="1:176" x14ac:dyDescent="0.2">
      <c r="A31" t="s">
        <v>1</v>
      </c>
      <c r="B31" t="s">
        <v>228</v>
      </c>
      <c r="C31" t="s">
        <v>2</v>
      </c>
      <c r="D31">
        <v>160.14285714285714</v>
      </c>
      <c r="E31">
        <v>162.14285714285714</v>
      </c>
      <c r="F31">
        <v>14.615386009216309</v>
      </c>
      <c r="G31">
        <v>72.447944641113281</v>
      </c>
      <c r="H31">
        <v>-1.1552305221557617</v>
      </c>
      <c r="I31">
        <v>-0.50843548774719238</v>
      </c>
      <c r="J31">
        <v>-6.0467220842838287E-2</v>
      </c>
      <c r="K31">
        <v>0.387501060962677</v>
      </c>
      <c r="L31">
        <v>1.0342960357666016</v>
      </c>
      <c r="M31">
        <v>14.059371948242188</v>
      </c>
      <c r="N31">
        <v>71.568527221679688</v>
      </c>
      <c r="O31">
        <v>-1.2835105657577515</v>
      </c>
      <c r="P31">
        <v>-0.6519012451171875</v>
      </c>
      <c r="Q31">
        <v>-0.21445058286190033</v>
      </c>
      <c r="R31">
        <v>0.22300007939338684</v>
      </c>
      <c r="S31">
        <v>0.85460937023162842</v>
      </c>
      <c r="T31">
        <v>13.711060523986816</v>
      </c>
      <c r="U31">
        <v>70.547203063964844</v>
      </c>
      <c r="V31">
        <v>-1.2555021047592163</v>
      </c>
      <c r="W31">
        <v>-0.65085786581039429</v>
      </c>
      <c r="X31">
        <v>-0.23208305239677429</v>
      </c>
      <c r="Y31">
        <v>0.18669173121452332</v>
      </c>
      <c r="Z31">
        <v>0.79133599996566772</v>
      </c>
      <c r="AA31">
        <v>14.212807655334473</v>
      </c>
      <c r="AB31">
        <v>70.221519470214844</v>
      </c>
      <c r="AC31">
        <v>-1.3426879644393921</v>
      </c>
      <c r="AD31">
        <v>-0.75560683012008667</v>
      </c>
      <c r="AE31">
        <v>-0.34899625182151794</v>
      </c>
      <c r="AF31">
        <v>5.7614333927631378E-2</v>
      </c>
      <c r="AG31">
        <v>0.6446954607963562</v>
      </c>
      <c r="AH31">
        <v>15.062989234924316</v>
      </c>
      <c r="AI31">
        <v>69.879798889160156</v>
      </c>
      <c r="AJ31">
        <v>-1.413690447807312</v>
      </c>
      <c r="AK31">
        <v>-0.81838715076446533</v>
      </c>
      <c r="AL31">
        <v>-0.40608188509941101</v>
      </c>
      <c r="AM31">
        <v>6.2233582139015198E-3</v>
      </c>
      <c r="AN31">
        <v>0.60152661800384521</v>
      </c>
      <c r="AO31">
        <v>16.012252807617188</v>
      </c>
      <c r="AP31">
        <v>69.434303283691406</v>
      </c>
      <c r="AQ31">
        <v>-1.4190438985824585</v>
      </c>
      <c r="AR31">
        <v>-0.8035627007484436</v>
      </c>
      <c r="AS31">
        <v>-0.37728232145309448</v>
      </c>
      <c r="AT31">
        <v>4.8998076468706131E-2</v>
      </c>
      <c r="AU31">
        <v>0.66447925567626953</v>
      </c>
      <c r="AV31">
        <v>19.266645431518555</v>
      </c>
      <c r="AW31">
        <v>71.264198303222656</v>
      </c>
      <c r="AX31">
        <v>-1.094182014465332</v>
      </c>
      <c r="AY31">
        <v>-0.48152920603752136</v>
      </c>
      <c r="AZ31">
        <v>-5.7207770645618439E-2</v>
      </c>
      <c r="BA31">
        <v>0.36711367964744568</v>
      </c>
      <c r="BB31">
        <v>0.97976642847061157</v>
      </c>
      <c r="BC31">
        <v>22.493406295776367</v>
      </c>
      <c r="BD31">
        <v>77.449050903320312</v>
      </c>
      <c r="BE31">
        <v>-1.2478212118148804</v>
      </c>
      <c r="BF31">
        <v>-0.63335835933685303</v>
      </c>
      <c r="BG31">
        <v>-0.20778323709964752</v>
      </c>
      <c r="BH31">
        <v>0.21779188513755798</v>
      </c>
      <c r="BI31">
        <v>0.83225476741790771</v>
      </c>
      <c r="BJ31">
        <v>25.671857833862305</v>
      </c>
      <c r="BK31">
        <v>83.397903442382813</v>
      </c>
      <c r="BL31">
        <v>-1.425719141960144</v>
      </c>
      <c r="BM31">
        <v>-0.79513907432556152</v>
      </c>
      <c r="BN31">
        <v>-0.35840126872062683</v>
      </c>
      <c r="BO31">
        <v>7.8336559236049652E-2</v>
      </c>
      <c r="BP31">
        <v>0.70891660451889038</v>
      </c>
      <c r="BQ31">
        <v>27.710121154785156</v>
      </c>
      <c r="BR31">
        <v>87.875083923339844</v>
      </c>
      <c r="BS31">
        <v>-1.5873550176620483</v>
      </c>
      <c r="BT31">
        <v>-0.93683433532714844</v>
      </c>
      <c r="BU31">
        <v>-0.48628568649291992</v>
      </c>
      <c r="BV31">
        <v>-3.5737048834562302E-2</v>
      </c>
      <c r="BW31">
        <v>0.6147836446762085</v>
      </c>
      <c r="BX31">
        <v>30.5245361328125</v>
      </c>
      <c r="BY31">
        <v>90.235366821289063</v>
      </c>
      <c r="BZ31">
        <v>-1.0574438571929932</v>
      </c>
      <c r="CA31">
        <v>-0.42132559418678284</v>
      </c>
      <c r="CB31">
        <v>1.9247973337769508E-2</v>
      </c>
      <c r="CC31">
        <v>0.45982152223587036</v>
      </c>
      <c r="CD31">
        <v>1.0959397554397583</v>
      </c>
      <c r="CE31">
        <v>30.806074142456055</v>
      </c>
      <c r="CF31">
        <v>91.203987121582031</v>
      </c>
      <c r="CG31">
        <v>-0.83887600898742676</v>
      </c>
      <c r="CH31">
        <v>-0.20427784323692322</v>
      </c>
      <c r="CI31">
        <v>0.23524288833141327</v>
      </c>
      <c r="CJ31">
        <v>0.67476361989974976</v>
      </c>
      <c r="CK31">
        <v>1.3093618154525757</v>
      </c>
      <c r="CL31">
        <v>31.470508575439453</v>
      </c>
      <c r="CM31">
        <v>91.155715942382813</v>
      </c>
      <c r="CN31">
        <v>-0.97576004266738892</v>
      </c>
      <c r="CO31">
        <v>-0.3245023787021637</v>
      </c>
      <c r="CP31">
        <v>0.12655670940876007</v>
      </c>
      <c r="CQ31">
        <v>0.57761579751968384</v>
      </c>
      <c r="CR31">
        <v>1.2288734912872314</v>
      </c>
      <c r="CS31">
        <v>31.833427429199219</v>
      </c>
      <c r="CT31">
        <v>90.220062255859375</v>
      </c>
      <c r="CU31">
        <v>-1.5006062984466553</v>
      </c>
      <c r="CV31">
        <v>-0.84388226270675659</v>
      </c>
      <c r="CW31">
        <v>-0.38903725147247314</v>
      </c>
      <c r="CX31">
        <v>6.5807774662971497E-2</v>
      </c>
      <c r="CY31">
        <v>0.72253173589706421</v>
      </c>
      <c r="CZ31">
        <v>31.991954803466797</v>
      </c>
      <c r="DA31">
        <v>90.088577270507813</v>
      </c>
      <c r="DB31">
        <v>-0.87446969747543335</v>
      </c>
      <c r="DC31">
        <v>-0.19012676179409027</v>
      </c>
      <c r="DD31">
        <v>0.28384706377983093</v>
      </c>
      <c r="DE31">
        <v>0.75782090425491333</v>
      </c>
      <c r="DF31">
        <v>1.4421638250350952</v>
      </c>
      <c r="DG31">
        <v>32.836460113525391</v>
      </c>
      <c r="DH31">
        <v>89.599769592285156</v>
      </c>
      <c r="DI31">
        <v>3.4221713542938232</v>
      </c>
      <c r="DJ31">
        <v>4.1099166870117188</v>
      </c>
      <c r="DK31">
        <v>4.5862469673156738</v>
      </c>
      <c r="DL31">
        <v>5.0625772476196289</v>
      </c>
      <c r="DM31">
        <v>5.7503223419189453</v>
      </c>
      <c r="DN31">
        <v>32.579944610595703</v>
      </c>
      <c r="DO31">
        <v>87.872817993164062</v>
      </c>
      <c r="DP31">
        <v>3.7214200496673584</v>
      </c>
      <c r="DQ31">
        <v>4.4076895713806152</v>
      </c>
      <c r="DR31">
        <v>4.882997989654541</v>
      </c>
      <c r="DS31">
        <v>5.3583064079284668</v>
      </c>
      <c r="DT31">
        <v>6.0445761680603027</v>
      </c>
      <c r="DU31">
        <v>32.373001098632812</v>
      </c>
      <c r="DV31">
        <v>85.676284790039063</v>
      </c>
      <c r="DW31">
        <v>4.0391702651977539</v>
      </c>
      <c r="DX31">
        <v>4.731989860534668</v>
      </c>
      <c r="DY31">
        <v>5.2118349075317383</v>
      </c>
      <c r="DZ31">
        <v>5.6916799545288086</v>
      </c>
      <c r="EA31">
        <v>6.3844995498657227</v>
      </c>
      <c r="EB31">
        <v>32.275901794433594</v>
      </c>
      <c r="EC31">
        <v>83.065208435058594</v>
      </c>
      <c r="ED31">
        <v>4.0365948677062988</v>
      </c>
      <c r="EE31">
        <v>4.6887650489807129</v>
      </c>
      <c r="EF31">
        <v>5.1404561996459961</v>
      </c>
      <c r="EG31">
        <v>5.5921473503112793</v>
      </c>
      <c r="EH31">
        <v>6.2443175315856934</v>
      </c>
      <c r="EI31">
        <v>31.795927047729492</v>
      </c>
      <c r="EJ31">
        <v>80.430152893066406</v>
      </c>
      <c r="EK31">
        <v>-1.2539631128311157</v>
      </c>
      <c r="EL31">
        <v>-0.59745198488235474</v>
      </c>
      <c r="EM31">
        <v>-0.14275436103343964</v>
      </c>
      <c r="EN31">
        <v>0.31194326281547546</v>
      </c>
      <c r="EO31">
        <v>0.96845442056655884</v>
      </c>
      <c r="EP31">
        <v>29.43501091003418</v>
      </c>
      <c r="EQ31">
        <v>78.51568603515625</v>
      </c>
      <c r="ER31">
        <v>-1.5718512535095215</v>
      </c>
      <c r="ES31">
        <v>-0.91793274879455566</v>
      </c>
      <c r="ET31">
        <v>-0.46503081917762756</v>
      </c>
      <c r="EU31">
        <v>-1.2128865346312523E-2</v>
      </c>
      <c r="EV31">
        <v>0.64178961515426636</v>
      </c>
      <c r="EW31">
        <v>24.114612579345703</v>
      </c>
      <c r="EX31">
        <v>76.157035827636719</v>
      </c>
      <c r="EY31">
        <v>-1.3319694995880127</v>
      </c>
      <c r="EZ31">
        <v>-0.66853141784667969</v>
      </c>
      <c r="FA31">
        <v>-0.20903623104095459</v>
      </c>
      <c r="FB31">
        <v>0.2504589855670929</v>
      </c>
      <c r="FC31">
        <v>0.91389709711074829</v>
      </c>
      <c r="FD31">
        <v>19.252498626708984</v>
      </c>
      <c r="FE31">
        <v>74.171394348144531</v>
      </c>
      <c r="FF31">
        <v>-1.2231073379516602</v>
      </c>
      <c r="FG31">
        <v>-0.55707758665084839</v>
      </c>
      <c r="FH31">
        <v>-9.5787443220615387E-2</v>
      </c>
      <c r="FI31">
        <v>0.36550271511077881</v>
      </c>
      <c r="FJ31">
        <v>1.0315324068069458</v>
      </c>
      <c r="FK31">
        <v>15.589690208435059</v>
      </c>
      <c r="FL31">
        <v>72.780220031738281</v>
      </c>
      <c r="FM31">
        <v>-1.2675794363021851</v>
      </c>
      <c r="FN31">
        <v>-0.57208657264709473</v>
      </c>
      <c r="FO31">
        <v>-9.0390361845493317E-2</v>
      </c>
      <c r="FP31">
        <v>0.39130586385726929</v>
      </c>
      <c r="FQ31">
        <v>1.0867986679077148</v>
      </c>
      <c r="FR31">
        <v>161.4</v>
      </c>
      <c r="FS31">
        <v>8.3142310380935669E-2</v>
      </c>
      <c r="FT31">
        <v>1</v>
      </c>
    </row>
    <row r="32" spans="1:176" x14ac:dyDescent="0.2">
      <c r="A32" t="s">
        <v>1</v>
      </c>
      <c r="B32" t="s">
        <v>229</v>
      </c>
      <c r="C32" t="s">
        <v>232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</row>
    <row r="33" spans="1:176" x14ac:dyDescent="0.2">
      <c r="A33" t="s">
        <v>1</v>
      </c>
      <c r="B33" t="s">
        <v>229</v>
      </c>
      <c r="C33" t="s">
        <v>233</v>
      </c>
      <c r="D33">
        <v>76</v>
      </c>
      <c r="E33">
        <v>76</v>
      </c>
      <c r="F33">
        <v>14.326642036437988</v>
      </c>
      <c r="G33">
        <v>67.189170837402344</v>
      </c>
      <c r="H33">
        <v>-0.83866643905639648</v>
      </c>
      <c r="I33">
        <v>-0.42842221260070801</v>
      </c>
      <c r="J33">
        <v>-0.14428830146789551</v>
      </c>
      <c r="K33">
        <v>0.1398455947637558</v>
      </c>
      <c r="L33">
        <v>0.55008983612060547</v>
      </c>
      <c r="M33">
        <v>13.875432014465332</v>
      </c>
      <c r="N33">
        <v>64.990203857421875</v>
      </c>
      <c r="O33">
        <v>-1.2145043611526489</v>
      </c>
      <c r="P33">
        <v>-0.8005097508430481</v>
      </c>
      <c r="Q33">
        <v>-0.51377832889556885</v>
      </c>
      <c r="R33">
        <v>-0.22704693675041199</v>
      </c>
      <c r="S33">
        <v>0.18694765865802765</v>
      </c>
      <c r="T33">
        <v>13.864646911621094</v>
      </c>
      <c r="U33">
        <v>62.683879852294922</v>
      </c>
      <c r="V33">
        <v>-1.0798435211181641</v>
      </c>
      <c r="W33">
        <v>-0.68564403057098389</v>
      </c>
      <c r="X33">
        <v>-0.41262269020080566</v>
      </c>
      <c r="Y33">
        <v>-0.13960133492946625</v>
      </c>
      <c r="Z33">
        <v>0.25459814071655273</v>
      </c>
      <c r="AA33">
        <v>13.905061721801758</v>
      </c>
      <c r="AB33">
        <v>63.970584869384766</v>
      </c>
      <c r="AC33">
        <v>-1.2209712266921997</v>
      </c>
      <c r="AD33">
        <v>-0.80525332689285278</v>
      </c>
      <c r="AE33">
        <v>-0.51732838153839111</v>
      </c>
      <c r="AF33">
        <v>-0.22940342128276825</v>
      </c>
      <c r="AG33">
        <v>0.18631449341773987</v>
      </c>
      <c r="AH33">
        <v>14.302924156188965</v>
      </c>
      <c r="AI33">
        <v>64.37646484375</v>
      </c>
      <c r="AJ33">
        <v>-1.141527533531189</v>
      </c>
      <c r="AK33">
        <v>-0.72423279285430908</v>
      </c>
      <c r="AL33">
        <v>-0.43521577119827271</v>
      </c>
      <c r="AM33">
        <v>-0.14619873464107513</v>
      </c>
      <c r="AN33">
        <v>0.27109596133232117</v>
      </c>
      <c r="AO33">
        <v>15.08885383605957</v>
      </c>
      <c r="AP33">
        <v>64.947860717773438</v>
      </c>
      <c r="AQ33">
        <v>-0.98863512277603149</v>
      </c>
      <c r="AR33">
        <v>-0.55622345209121704</v>
      </c>
      <c r="AS33">
        <v>-0.2567363977432251</v>
      </c>
      <c r="AT33">
        <v>4.2750641703605652E-2</v>
      </c>
      <c r="AU33">
        <v>0.47516235709190369</v>
      </c>
      <c r="AV33">
        <v>17.349090576171875</v>
      </c>
      <c r="AW33">
        <v>69.925590515136719</v>
      </c>
      <c r="AX33">
        <v>-0.56120353937149048</v>
      </c>
      <c r="AY33">
        <v>-0.14179196953773499</v>
      </c>
      <c r="AZ33">
        <v>0.14869123697280884</v>
      </c>
      <c r="BA33">
        <v>0.43917444348335266</v>
      </c>
      <c r="BB33">
        <v>0.85858601331710815</v>
      </c>
      <c r="BC33">
        <v>17.323009490966797</v>
      </c>
      <c r="BD33">
        <v>76.634300231933594</v>
      </c>
      <c r="BE33">
        <v>-0.94025415182113647</v>
      </c>
      <c r="BF33">
        <v>-0.58055657148361206</v>
      </c>
      <c r="BG33">
        <v>-0.3314310610294342</v>
      </c>
      <c r="BH33">
        <v>-8.2305580377578735E-2</v>
      </c>
      <c r="BI33">
        <v>0.27739205956459045</v>
      </c>
      <c r="BJ33">
        <v>17.806522369384766</v>
      </c>
      <c r="BK33">
        <v>84.488616943359375</v>
      </c>
      <c r="BL33">
        <v>-0.86302930116653442</v>
      </c>
      <c r="BM33">
        <v>-0.50911688804626465</v>
      </c>
      <c r="BN33">
        <v>-0.26399821043014526</v>
      </c>
      <c r="BO33">
        <v>-1.8879540264606476E-2</v>
      </c>
      <c r="BP33">
        <v>0.3350328803062439</v>
      </c>
      <c r="BQ33">
        <v>18.658409118652344</v>
      </c>
      <c r="BR33">
        <v>90.185585021972656</v>
      </c>
      <c r="BS33">
        <v>0.15415653586387634</v>
      </c>
      <c r="BT33">
        <v>0.52084255218505859</v>
      </c>
      <c r="BU33">
        <v>0.77480816841125488</v>
      </c>
      <c r="BV33">
        <v>1.0287737846374512</v>
      </c>
      <c r="BW33">
        <v>1.395459771156311</v>
      </c>
      <c r="BX33">
        <v>19.342380523681641</v>
      </c>
      <c r="BY33">
        <v>93.678932189941406</v>
      </c>
      <c r="BZ33">
        <v>0.37635263800621033</v>
      </c>
      <c r="CA33">
        <v>0.76507413387298584</v>
      </c>
      <c r="CB33">
        <v>1.0343014001846313</v>
      </c>
      <c r="CC33">
        <v>1.3035286664962769</v>
      </c>
      <c r="CD33">
        <v>1.69225013256073</v>
      </c>
      <c r="CE33">
        <v>19.695186614990234</v>
      </c>
      <c r="CF33">
        <v>94.261131286621094</v>
      </c>
      <c r="CG33">
        <v>0.35860458016395569</v>
      </c>
      <c r="CH33">
        <v>0.78593707084655762</v>
      </c>
      <c r="CI33">
        <v>1.0819061994552612</v>
      </c>
      <c r="CJ33">
        <v>1.3778753280639648</v>
      </c>
      <c r="CK33">
        <v>1.8052078485488892</v>
      </c>
      <c r="CL33">
        <v>19.977184295654297</v>
      </c>
      <c r="CM33">
        <v>95.624801635742188</v>
      </c>
      <c r="CN33">
        <v>0.41410306096076965</v>
      </c>
      <c r="CO33">
        <v>0.83812665939331055</v>
      </c>
      <c r="CP33">
        <v>1.1318041086196899</v>
      </c>
      <c r="CQ33">
        <v>1.4254815578460693</v>
      </c>
      <c r="CR33">
        <v>1.8495051860809326</v>
      </c>
      <c r="CS33">
        <v>20.22608757019043</v>
      </c>
      <c r="CT33">
        <v>93.95703125</v>
      </c>
      <c r="CU33">
        <v>0.34148263931274414</v>
      </c>
      <c r="CV33">
        <v>0.76827359199523926</v>
      </c>
      <c r="CW33">
        <v>1.0638676881790161</v>
      </c>
      <c r="CX33">
        <v>1.359461784362793</v>
      </c>
      <c r="CY33">
        <v>1.7862527370452881</v>
      </c>
      <c r="CZ33">
        <v>20.267988204956055</v>
      </c>
      <c r="DA33">
        <v>93.178466796875</v>
      </c>
      <c r="DB33">
        <v>0.29628458619117737</v>
      </c>
      <c r="DC33">
        <v>0.72960853576660156</v>
      </c>
      <c r="DD33">
        <v>1.0297273397445679</v>
      </c>
      <c r="DE33">
        <v>1.3298461437225342</v>
      </c>
      <c r="DF33">
        <v>1.7631701231002808</v>
      </c>
      <c r="DG33">
        <v>20.480518341064453</v>
      </c>
      <c r="DH33">
        <v>93.252174377441406</v>
      </c>
      <c r="DI33">
        <v>3.1665904521942139</v>
      </c>
      <c r="DJ33">
        <v>3.5965616703033447</v>
      </c>
      <c r="DK33">
        <v>3.8943583965301514</v>
      </c>
      <c r="DL33">
        <v>4.1921548843383789</v>
      </c>
      <c r="DM33">
        <v>4.6221261024475098</v>
      </c>
      <c r="DN33">
        <v>20.483104705810547</v>
      </c>
      <c r="DO33">
        <v>91.689094543457031</v>
      </c>
      <c r="DP33">
        <v>3.1687853336334229</v>
      </c>
      <c r="DQ33">
        <v>3.6031944751739502</v>
      </c>
      <c r="DR33">
        <v>3.9040648937225342</v>
      </c>
      <c r="DS33">
        <v>4.2049355506896973</v>
      </c>
      <c r="DT33">
        <v>4.6393442153930664</v>
      </c>
      <c r="DU33">
        <v>20.237949371337891</v>
      </c>
      <c r="DV33">
        <v>88.77947998046875</v>
      </c>
      <c r="DW33">
        <v>2.4310121536254883</v>
      </c>
      <c r="DX33">
        <v>2.8546547889709473</v>
      </c>
      <c r="DY33">
        <v>3.1480684280395508</v>
      </c>
      <c r="DZ33">
        <v>3.4414820671081543</v>
      </c>
      <c r="EA33">
        <v>3.8651247024536133</v>
      </c>
      <c r="EB33">
        <v>19.797031402587891</v>
      </c>
      <c r="EC33">
        <v>86.243125915527344</v>
      </c>
      <c r="ED33">
        <v>2.433335542678833</v>
      </c>
      <c r="EE33">
        <v>2.8640735149383545</v>
      </c>
      <c r="EF33">
        <v>3.1624014377593994</v>
      </c>
      <c r="EG33">
        <v>3.4607293605804443</v>
      </c>
      <c r="EH33">
        <v>3.8914673328399658</v>
      </c>
      <c r="EI33">
        <v>20.023715972900391</v>
      </c>
      <c r="EJ33">
        <v>82.860092163085937</v>
      </c>
      <c r="EK33">
        <v>0.20836463570594788</v>
      </c>
      <c r="EL33">
        <v>0.64124488830566406</v>
      </c>
      <c r="EM33">
        <v>0.94105643033981323</v>
      </c>
      <c r="EN33">
        <v>1.2408679723739624</v>
      </c>
      <c r="EO33">
        <v>1.673748254776001</v>
      </c>
      <c r="EP33">
        <v>19.574983596801758</v>
      </c>
      <c r="EQ33">
        <v>79.900764465332031</v>
      </c>
      <c r="ER33">
        <v>-0.17733030021190643</v>
      </c>
      <c r="ES33">
        <v>0.2230447381734848</v>
      </c>
      <c r="ET33">
        <v>0.50034326314926147</v>
      </c>
      <c r="EU33">
        <v>0.77764177322387695</v>
      </c>
      <c r="EV33">
        <v>1.1780167818069458</v>
      </c>
      <c r="EW33">
        <v>18.622163772583008</v>
      </c>
      <c r="EX33">
        <v>74.850151062011719</v>
      </c>
      <c r="EY33">
        <v>-0.32290583848953247</v>
      </c>
      <c r="EZ33">
        <v>0.10341544449329376</v>
      </c>
      <c r="FA33">
        <v>0.39868426322937012</v>
      </c>
      <c r="FB33">
        <v>0.69395309686660767</v>
      </c>
      <c r="FC33">
        <v>1.1202743053436279</v>
      </c>
      <c r="FD33">
        <v>16.356170654296875</v>
      </c>
      <c r="FE33">
        <v>71.962135314941406</v>
      </c>
      <c r="FF33">
        <v>-0.29554054141044617</v>
      </c>
      <c r="FG33">
        <v>0.12271064519882202</v>
      </c>
      <c r="FH33">
        <v>0.41239014267921448</v>
      </c>
      <c r="FI33">
        <v>0.70206964015960693</v>
      </c>
      <c r="FJ33">
        <v>1.1203207969665527</v>
      </c>
      <c r="FK33">
        <v>15.36929988861084</v>
      </c>
      <c r="FL33">
        <v>69.623130798339844</v>
      </c>
      <c r="FM33">
        <v>-0.28992873430252075</v>
      </c>
      <c r="FN33">
        <v>0.14794181287288666</v>
      </c>
      <c r="FO33">
        <v>0.45120963454246521</v>
      </c>
      <c r="FP33">
        <v>0.75447744131088257</v>
      </c>
      <c r="FQ33">
        <v>1.1923480033874512</v>
      </c>
      <c r="FR33">
        <v>76</v>
      </c>
      <c r="FS33">
        <v>4.0244784206151962E-2</v>
      </c>
      <c r="FT33">
        <v>1</v>
      </c>
    </row>
    <row r="34" spans="1:176" x14ac:dyDescent="0.2">
      <c r="A34" t="s">
        <v>1</v>
      </c>
      <c r="B34" t="s">
        <v>229</v>
      </c>
      <c r="C34" t="s">
        <v>234</v>
      </c>
      <c r="D34">
        <v>76</v>
      </c>
      <c r="E34">
        <v>76</v>
      </c>
      <c r="F34">
        <v>13.990936279296875</v>
      </c>
      <c r="G34">
        <v>68.325576782226563</v>
      </c>
      <c r="H34">
        <v>-0.86433011293411255</v>
      </c>
      <c r="I34">
        <v>-0.46377021074295044</v>
      </c>
      <c r="J34">
        <v>-0.18634365499019623</v>
      </c>
      <c r="K34">
        <v>9.1082900762557983E-2</v>
      </c>
      <c r="L34">
        <v>0.49164277315139771</v>
      </c>
      <c r="M34">
        <v>13.599416732788086</v>
      </c>
      <c r="N34">
        <v>67.139381408691406</v>
      </c>
      <c r="O34">
        <v>-1.1165858507156372</v>
      </c>
      <c r="P34">
        <v>-0.70483237504959106</v>
      </c>
      <c r="Q34">
        <v>-0.41965314745903015</v>
      </c>
      <c r="R34">
        <v>-0.13447393476963043</v>
      </c>
      <c r="S34">
        <v>0.2772795557975769</v>
      </c>
      <c r="T34">
        <v>13.536514282226563</v>
      </c>
      <c r="U34">
        <v>65.916732788085937</v>
      </c>
      <c r="V34">
        <v>-1.1942087411880493</v>
      </c>
      <c r="W34">
        <v>-0.78513723611831665</v>
      </c>
      <c r="X34">
        <v>-0.50181549787521362</v>
      </c>
      <c r="Y34">
        <v>-0.21849377453327179</v>
      </c>
      <c r="Z34">
        <v>0.19057780504226685</v>
      </c>
      <c r="AA34">
        <v>13.818169593811035</v>
      </c>
      <c r="AB34">
        <v>65.004653930664062</v>
      </c>
      <c r="AC34">
        <v>-1.0059241056442261</v>
      </c>
      <c r="AD34">
        <v>-0.59794551134109497</v>
      </c>
      <c r="AE34">
        <v>-0.3153807520866394</v>
      </c>
      <c r="AF34">
        <v>-3.2816000282764435E-2</v>
      </c>
      <c r="AG34">
        <v>0.37516263127326965</v>
      </c>
      <c r="AH34">
        <v>14.132915496826172</v>
      </c>
      <c r="AI34">
        <v>64.047981262207031</v>
      </c>
      <c r="AJ34">
        <v>-0.75657945871353149</v>
      </c>
      <c r="AK34">
        <v>-0.37370333075523376</v>
      </c>
      <c r="AL34">
        <v>-0.10852450877428055</v>
      </c>
      <c r="AM34">
        <v>0.15665432810783386</v>
      </c>
      <c r="AN34">
        <v>0.53953045606613159</v>
      </c>
      <c r="AO34">
        <v>14.740829467773437</v>
      </c>
      <c r="AP34">
        <v>62.834896087646484</v>
      </c>
      <c r="AQ34">
        <v>-0.82454931735992432</v>
      </c>
      <c r="AR34">
        <v>-0.42275339365005493</v>
      </c>
      <c r="AS34">
        <v>-0.14447078108787537</v>
      </c>
      <c r="AT34">
        <v>0.1338118314743042</v>
      </c>
      <c r="AU34">
        <v>0.53560775518417358</v>
      </c>
      <c r="AV34">
        <v>17.156610488891602</v>
      </c>
      <c r="AW34">
        <v>68.364540100097656</v>
      </c>
      <c r="AX34">
        <v>-0.38799938559532166</v>
      </c>
      <c r="AY34">
        <v>2.2269623354077339E-2</v>
      </c>
      <c r="AZ34">
        <v>0.30642068386077881</v>
      </c>
      <c r="BA34">
        <v>0.59057176113128662</v>
      </c>
      <c r="BB34">
        <v>1.0008407831192017</v>
      </c>
      <c r="BC34">
        <v>17.224925994873047</v>
      </c>
      <c r="BD34">
        <v>77.640815734863281</v>
      </c>
      <c r="BE34">
        <v>-0.74760353565216064</v>
      </c>
      <c r="BF34">
        <v>-0.36963397264480591</v>
      </c>
      <c r="BG34">
        <v>-0.10785338282585144</v>
      </c>
      <c r="BH34">
        <v>0.15392720699310303</v>
      </c>
      <c r="BI34">
        <v>0.53189677000045776</v>
      </c>
      <c r="BJ34">
        <v>17.67707633972168</v>
      </c>
      <c r="BK34">
        <v>85.361778259277344</v>
      </c>
      <c r="BL34">
        <v>-0.89188027381896973</v>
      </c>
      <c r="BM34">
        <v>-0.51746338605880737</v>
      </c>
      <c r="BN34">
        <v>-0.25814333558082581</v>
      </c>
      <c r="BO34">
        <v>1.1766934767365456E-3</v>
      </c>
      <c r="BP34">
        <v>0.3755936324596405</v>
      </c>
      <c r="BQ34">
        <v>18.701723098754883</v>
      </c>
      <c r="BR34">
        <v>94.063217163085938</v>
      </c>
      <c r="BS34">
        <v>-0.81493997573852539</v>
      </c>
      <c r="BT34">
        <v>-0.41452944278717041</v>
      </c>
      <c r="BU34">
        <v>-0.13720633089542389</v>
      </c>
      <c r="BV34">
        <v>0.14011679589748383</v>
      </c>
      <c r="BW34">
        <v>0.54052734375</v>
      </c>
      <c r="BX34">
        <v>19.471315383911133</v>
      </c>
      <c r="BY34">
        <v>96.2110595703125</v>
      </c>
      <c r="BZ34">
        <v>-0.54053342342376709</v>
      </c>
      <c r="CA34">
        <v>-9.3729600310325623E-2</v>
      </c>
      <c r="CB34">
        <v>0.21572539210319519</v>
      </c>
      <c r="CC34">
        <v>0.5251803994178772</v>
      </c>
      <c r="CD34">
        <v>0.97198420763015747</v>
      </c>
      <c r="CE34">
        <v>19.833372116088867</v>
      </c>
      <c r="CF34">
        <v>96.680877685546875</v>
      </c>
      <c r="CG34">
        <v>-0.23923170566558838</v>
      </c>
      <c r="CH34">
        <v>0.2377009391784668</v>
      </c>
      <c r="CI34">
        <v>0.56802302598953247</v>
      </c>
      <c r="CJ34">
        <v>0.89834511280059814</v>
      </c>
      <c r="CK34">
        <v>1.3752777576446533</v>
      </c>
      <c r="CL34">
        <v>20.037036895751953</v>
      </c>
      <c r="CM34">
        <v>96.379783630371094</v>
      </c>
      <c r="CN34">
        <v>-0.16821692883968353</v>
      </c>
      <c r="CO34">
        <v>0.29924401640892029</v>
      </c>
      <c r="CP34">
        <v>0.62300604581832886</v>
      </c>
      <c r="CQ34">
        <v>0.94676804542541504</v>
      </c>
      <c r="CR34">
        <v>1.4142290353775024</v>
      </c>
      <c r="CS34">
        <v>20.344303131103516</v>
      </c>
      <c r="CT34">
        <v>96.933151245117188</v>
      </c>
      <c r="CU34">
        <v>-0.2064310610294342</v>
      </c>
      <c r="CV34">
        <v>0.26645419001579285</v>
      </c>
      <c r="CW34">
        <v>0.59397310018539429</v>
      </c>
      <c r="CX34">
        <v>0.92149198055267334</v>
      </c>
      <c r="CY34">
        <v>1.3943772315979004</v>
      </c>
      <c r="CZ34">
        <v>20.448068618774414</v>
      </c>
      <c r="DA34">
        <v>96.693817138671875</v>
      </c>
      <c r="DB34">
        <v>0.3389701247215271</v>
      </c>
      <c r="DC34">
        <v>0.84412139654159546</v>
      </c>
      <c r="DD34">
        <v>1.1939876079559326</v>
      </c>
      <c r="DE34">
        <v>1.5438538789749146</v>
      </c>
      <c r="DF34">
        <v>2.0490050315856934</v>
      </c>
      <c r="DG34">
        <v>20.734533309936523</v>
      </c>
      <c r="DH34">
        <v>96.696426391601563</v>
      </c>
      <c r="DI34">
        <v>2.6864469051361084</v>
      </c>
      <c r="DJ34">
        <v>3.1919050216674805</v>
      </c>
      <c r="DK34">
        <v>3.5419838428497314</v>
      </c>
      <c r="DL34">
        <v>3.8920626640319824</v>
      </c>
      <c r="DM34">
        <v>4.3975205421447754</v>
      </c>
      <c r="DN34">
        <v>20.756437301635742</v>
      </c>
      <c r="DO34">
        <v>95.394210815429688</v>
      </c>
      <c r="DP34">
        <v>2.6239542961120605</v>
      </c>
      <c r="DQ34">
        <v>3.1410965919494629</v>
      </c>
      <c r="DR34">
        <v>3.499267578125</v>
      </c>
      <c r="DS34">
        <v>3.8574385643005371</v>
      </c>
      <c r="DT34">
        <v>4.3745808601379395</v>
      </c>
      <c r="DU34">
        <v>20.526195526123047</v>
      </c>
      <c r="DV34">
        <v>92.189384460449219</v>
      </c>
      <c r="DW34">
        <v>2.5868649482727051</v>
      </c>
      <c r="DX34">
        <v>3.0901095867156982</v>
      </c>
      <c r="DY34">
        <v>3.4386551380157471</v>
      </c>
      <c r="DZ34">
        <v>3.7872006893157959</v>
      </c>
      <c r="EA34">
        <v>4.2904453277587891</v>
      </c>
      <c r="EB34">
        <v>20.044641494750977</v>
      </c>
      <c r="EC34">
        <v>88.375015258789063</v>
      </c>
      <c r="ED34">
        <v>2.7688558101654053</v>
      </c>
      <c r="EE34">
        <v>3.2657105922698975</v>
      </c>
      <c r="EF34">
        <v>3.6098308563232422</v>
      </c>
      <c r="EG34">
        <v>3.9539511203765869</v>
      </c>
      <c r="EH34">
        <v>4.4508061408996582</v>
      </c>
      <c r="EI34">
        <v>20.224716186523437</v>
      </c>
      <c r="EJ34">
        <v>82.186576843261719</v>
      </c>
      <c r="EK34">
        <v>0.22349558770656586</v>
      </c>
      <c r="EL34">
        <v>0.71526116132736206</v>
      </c>
      <c r="EM34">
        <v>1.055856466293335</v>
      </c>
      <c r="EN34">
        <v>1.3964518308639526</v>
      </c>
      <c r="EO34">
        <v>1.8882173299789429</v>
      </c>
      <c r="EP34">
        <v>19.688835144042969</v>
      </c>
      <c r="EQ34">
        <v>79.864471435546875</v>
      </c>
      <c r="ER34">
        <v>-0.70566940307617188</v>
      </c>
      <c r="ES34">
        <v>-0.24823297560214996</v>
      </c>
      <c r="ET34">
        <v>6.8586088716983795E-2</v>
      </c>
      <c r="EU34">
        <v>0.38540515303611755</v>
      </c>
      <c r="EV34">
        <v>0.84284156560897827</v>
      </c>
      <c r="EW34">
        <v>18.803741455078125</v>
      </c>
      <c r="EX34">
        <v>74.396469116210937</v>
      </c>
      <c r="EY34">
        <v>-0.41835391521453857</v>
      </c>
      <c r="EZ34">
        <v>3.1165486201643944E-2</v>
      </c>
      <c r="FA34">
        <v>0.34250125288963318</v>
      </c>
      <c r="FB34">
        <v>0.65383702516555786</v>
      </c>
      <c r="FC34">
        <v>1.1033563613891602</v>
      </c>
      <c r="FD34">
        <v>16.468189239501953</v>
      </c>
      <c r="FE34">
        <v>71.194015502929688</v>
      </c>
      <c r="FF34">
        <v>-0.70159846544265747</v>
      </c>
      <c r="FG34">
        <v>-0.22516569495201111</v>
      </c>
      <c r="FH34">
        <v>0.1048101931810379</v>
      </c>
      <c r="FI34">
        <v>0.43478608131408691</v>
      </c>
      <c r="FJ34">
        <v>0.91121888160705566</v>
      </c>
      <c r="FK34">
        <v>15.45219612121582</v>
      </c>
      <c r="FL34">
        <v>69.163833618164062</v>
      </c>
      <c r="FM34">
        <v>-0.73284590244293213</v>
      </c>
      <c r="FN34">
        <v>-0.25195667147636414</v>
      </c>
      <c r="FO34">
        <v>8.1105761229991913E-2</v>
      </c>
      <c r="FP34">
        <v>0.41416817903518677</v>
      </c>
      <c r="FQ34">
        <v>0.89505743980407715</v>
      </c>
      <c r="FR34">
        <v>76</v>
      </c>
      <c r="FS34">
        <v>4.1470129042863846E-2</v>
      </c>
      <c r="FT34">
        <v>1</v>
      </c>
    </row>
    <row r="35" spans="1:176" x14ac:dyDescent="0.2">
      <c r="A35" t="s">
        <v>1</v>
      </c>
      <c r="B35" t="s">
        <v>229</v>
      </c>
      <c r="C35" t="s">
        <v>235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</row>
    <row r="36" spans="1:176" x14ac:dyDescent="0.2">
      <c r="A36" t="s">
        <v>1</v>
      </c>
      <c r="B36" t="s">
        <v>229</v>
      </c>
      <c r="C36" t="s">
        <v>236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</row>
    <row r="37" spans="1:176" x14ac:dyDescent="0.2">
      <c r="A37" t="s">
        <v>1</v>
      </c>
      <c r="B37" t="s">
        <v>229</v>
      </c>
      <c r="C37" t="s">
        <v>237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</row>
    <row r="38" spans="1:176" x14ac:dyDescent="0.2">
      <c r="A38" t="s">
        <v>1</v>
      </c>
      <c r="B38" t="s">
        <v>229</v>
      </c>
      <c r="C38" t="s">
        <v>238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</row>
    <row r="39" spans="1:176" x14ac:dyDescent="0.2">
      <c r="A39" t="s">
        <v>1</v>
      </c>
      <c r="B39" t="s">
        <v>229</v>
      </c>
      <c r="C39" t="s">
        <v>239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</row>
    <row r="40" spans="1:176" x14ac:dyDescent="0.2">
      <c r="A40" t="s">
        <v>1</v>
      </c>
      <c r="B40" t="s">
        <v>229</v>
      </c>
      <c r="C40" t="s">
        <v>240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</row>
    <row r="41" spans="1:176" x14ac:dyDescent="0.2">
      <c r="A41" t="s">
        <v>1</v>
      </c>
      <c r="B41" t="s">
        <v>229</v>
      </c>
      <c r="C41" t="s">
        <v>241</v>
      </c>
      <c r="D41">
        <v>77</v>
      </c>
      <c r="E41">
        <v>77</v>
      </c>
      <c r="F41">
        <v>16.021726608276367</v>
      </c>
      <c r="G41">
        <v>71.431076049804687</v>
      </c>
      <c r="H41">
        <v>-0.66407573223114014</v>
      </c>
      <c r="I41">
        <v>-0.35020777583122253</v>
      </c>
      <c r="J41">
        <v>-0.13282375037670135</v>
      </c>
      <c r="K41">
        <v>8.4560267627239227E-2</v>
      </c>
      <c r="L41">
        <v>0.39842826128005981</v>
      </c>
      <c r="M41">
        <v>15.747849464416504</v>
      </c>
      <c r="N41">
        <v>70.640754699707031</v>
      </c>
      <c r="O41">
        <v>-0.59570395946502686</v>
      </c>
      <c r="P41">
        <v>-0.29496303200721741</v>
      </c>
      <c r="Q41">
        <v>-8.6670756340026855E-2</v>
      </c>
      <c r="R41">
        <v>0.1216215118765831</v>
      </c>
      <c r="S41">
        <v>0.42236247658729553</v>
      </c>
      <c r="T41">
        <v>15.789578437805176</v>
      </c>
      <c r="U41">
        <v>70.178726196289062</v>
      </c>
      <c r="V41">
        <v>-0.53018361330032349</v>
      </c>
      <c r="W41">
        <v>-0.23832349479198456</v>
      </c>
      <c r="X41">
        <v>-3.6182042211294174E-2</v>
      </c>
      <c r="Y41">
        <v>0.16595940291881561</v>
      </c>
      <c r="Z41">
        <v>0.45781955122947693</v>
      </c>
      <c r="AA41">
        <v>15.917952537536621</v>
      </c>
      <c r="AB41">
        <v>69.497772216796875</v>
      </c>
      <c r="AC41">
        <v>-0.51142501831054688</v>
      </c>
      <c r="AD41">
        <v>-0.23094630241394043</v>
      </c>
      <c r="AE41">
        <v>-3.6687601357698441E-2</v>
      </c>
      <c r="AF41">
        <v>0.15757109224796295</v>
      </c>
      <c r="AG41">
        <v>0.4380497932434082</v>
      </c>
      <c r="AH41">
        <v>16.286584854125977</v>
      </c>
      <c r="AI41">
        <v>68.728004455566406</v>
      </c>
      <c r="AJ41">
        <v>-0.41146606206893921</v>
      </c>
      <c r="AK41">
        <v>-0.14137166738510132</v>
      </c>
      <c r="AL41">
        <v>4.5694895088672638E-2</v>
      </c>
      <c r="AM41">
        <v>0.23276145756244659</v>
      </c>
      <c r="AN41">
        <v>0.50285583734512329</v>
      </c>
      <c r="AO41">
        <v>16.920709609985352</v>
      </c>
      <c r="AP41">
        <v>67.530662536621094</v>
      </c>
      <c r="AQ41">
        <v>-0.21303151547908783</v>
      </c>
      <c r="AR41">
        <v>6.3940271735191345E-2</v>
      </c>
      <c r="AS41">
        <v>0.25577008724212646</v>
      </c>
      <c r="AT41">
        <v>0.44759988784790039</v>
      </c>
      <c r="AU41">
        <v>0.72457170486450195</v>
      </c>
      <c r="AV41">
        <v>19.288722991943359</v>
      </c>
      <c r="AW41">
        <v>67.811195373535156</v>
      </c>
      <c r="AX41">
        <v>-0.31461963057518005</v>
      </c>
      <c r="AY41">
        <v>-4.0784697979688644E-2</v>
      </c>
      <c r="AZ41">
        <v>0.14887253940105438</v>
      </c>
      <c r="BA41">
        <v>0.33852976560592651</v>
      </c>
      <c r="BB41">
        <v>0.61236470937728882</v>
      </c>
      <c r="BC41">
        <v>19.300022125244141</v>
      </c>
      <c r="BD41">
        <v>72.786056518554687</v>
      </c>
      <c r="BE41">
        <v>-0.23219680786132813</v>
      </c>
      <c r="BF41">
        <v>2.0739678293466568E-2</v>
      </c>
      <c r="BG41">
        <v>0.19592271745204926</v>
      </c>
      <c r="BH41">
        <v>0.37110576033592224</v>
      </c>
      <c r="BI41">
        <v>0.62404221296310425</v>
      </c>
      <c r="BJ41">
        <v>19.592000961303711</v>
      </c>
      <c r="BK41">
        <v>77.844337463378906</v>
      </c>
      <c r="BL41">
        <v>-0.45808988809585571</v>
      </c>
      <c r="BM41">
        <v>-0.20225796103477478</v>
      </c>
      <c r="BN41">
        <v>-2.5069557130336761E-2</v>
      </c>
      <c r="BO41">
        <v>0.15211884677410126</v>
      </c>
      <c r="BP41">
        <v>0.407950758934021</v>
      </c>
      <c r="BQ41">
        <v>20.274438858032227</v>
      </c>
      <c r="BR41">
        <v>80.725738525390625</v>
      </c>
      <c r="BS41">
        <v>-0.59328645467758179</v>
      </c>
      <c r="BT41">
        <v>-0.33424362540245056</v>
      </c>
      <c r="BU41">
        <v>-0.15483136475086212</v>
      </c>
      <c r="BV41">
        <v>2.4580894038081169E-2</v>
      </c>
      <c r="BW41">
        <v>0.28362369537353516</v>
      </c>
      <c r="BX41">
        <v>20.813243865966797</v>
      </c>
      <c r="BY41">
        <v>83.639900207519531</v>
      </c>
      <c r="BZ41">
        <v>-0.78523337841033936</v>
      </c>
      <c r="CA41">
        <v>-0.50217938423156738</v>
      </c>
      <c r="CB41">
        <v>-0.3061370849609375</v>
      </c>
      <c r="CC41">
        <v>-0.11009475588798523</v>
      </c>
      <c r="CD41">
        <v>0.17295922338962555</v>
      </c>
      <c r="CE41">
        <v>21.13532829284668</v>
      </c>
      <c r="CF41">
        <v>85.395095825195313</v>
      </c>
      <c r="CG41">
        <v>-0.99341922998428345</v>
      </c>
      <c r="CH41">
        <v>-0.67361658811569214</v>
      </c>
      <c r="CI41">
        <v>-0.45212230086326599</v>
      </c>
      <c r="CJ41">
        <v>-0.23062799870967865</v>
      </c>
      <c r="CK41">
        <v>8.9174598455429077E-2</v>
      </c>
      <c r="CL41">
        <v>21.203945159912109</v>
      </c>
      <c r="CM41">
        <v>85.609748840332031</v>
      </c>
      <c r="CN41">
        <v>-0.98801130056381226</v>
      </c>
      <c r="CO41">
        <v>-0.66796642541885376</v>
      </c>
      <c r="CP41">
        <v>-0.44630438089370728</v>
      </c>
      <c r="CQ41">
        <v>-0.2246423065662384</v>
      </c>
      <c r="CR41">
        <v>9.5402523875236511E-2</v>
      </c>
      <c r="CS41">
        <v>21.496253967285156</v>
      </c>
      <c r="CT41">
        <v>85.815261840820313</v>
      </c>
      <c r="CU41">
        <v>-1.0023026466369629</v>
      </c>
      <c r="CV41">
        <v>-0.66988664865493774</v>
      </c>
      <c r="CW41">
        <v>-0.43965637683868408</v>
      </c>
      <c r="CX41">
        <v>-0.20942609012126923</v>
      </c>
      <c r="CY41">
        <v>0.12298987805843353</v>
      </c>
      <c r="CZ41">
        <v>21.450849533081055</v>
      </c>
      <c r="DA41">
        <v>84.642562866210938</v>
      </c>
      <c r="DB41">
        <v>-0.7586519718170166</v>
      </c>
      <c r="DC41">
        <v>-0.42180806398391724</v>
      </c>
      <c r="DD41">
        <v>-0.18851098418235779</v>
      </c>
      <c r="DE41">
        <v>4.4786088168621063E-2</v>
      </c>
      <c r="DF41">
        <v>0.38163000345230103</v>
      </c>
      <c r="DG41">
        <v>21.510353088378906</v>
      </c>
      <c r="DH41">
        <v>83.603950500488281</v>
      </c>
      <c r="DI41">
        <v>2.9858739376068115</v>
      </c>
      <c r="DJ41">
        <v>3.3251986503601074</v>
      </c>
      <c r="DK41">
        <v>3.5602138042449951</v>
      </c>
      <c r="DL41">
        <v>3.7952289581298828</v>
      </c>
      <c r="DM41">
        <v>4.1345539093017578</v>
      </c>
      <c r="DN41">
        <v>21.551231384277344</v>
      </c>
      <c r="DO41">
        <v>82.63836669921875</v>
      </c>
      <c r="DP41">
        <v>3.3511667251586914</v>
      </c>
      <c r="DQ41">
        <v>3.6826546192169189</v>
      </c>
      <c r="DR41">
        <v>3.9122421741485596</v>
      </c>
      <c r="DS41">
        <v>4.1418299674987793</v>
      </c>
      <c r="DT41">
        <v>4.4733176231384277</v>
      </c>
      <c r="DU41">
        <v>21.392642974853516</v>
      </c>
      <c r="DV41">
        <v>81.507270812988281</v>
      </c>
      <c r="DW41">
        <v>3.5696923732757568</v>
      </c>
      <c r="DX41">
        <v>3.9023003578186035</v>
      </c>
      <c r="DY41">
        <v>4.1326637268066406</v>
      </c>
      <c r="DZ41">
        <v>4.3630270957946777</v>
      </c>
      <c r="EA41">
        <v>4.6956353187561035</v>
      </c>
      <c r="EB41">
        <v>21.033809661865234</v>
      </c>
      <c r="EC41">
        <v>79.122955322265625</v>
      </c>
      <c r="ED41">
        <v>3.6751201152801514</v>
      </c>
      <c r="EE41">
        <v>4.0030837059020996</v>
      </c>
      <c r="EF41">
        <v>4.2302298545837402</v>
      </c>
      <c r="EG41">
        <v>4.4573760032653809</v>
      </c>
      <c r="EH41">
        <v>4.78533935546875</v>
      </c>
      <c r="EI41">
        <v>21.241085052490234</v>
      </c>
      <c r="EJ41">
        <v>76.871383666992188</v>
      </c>
      <c r="EK41">
        <v>9.6103906631469727E-2</v>
      </c>
      <c r="EL41">
        <v>0.42182943224906921</v>
      </c>
      <c r="EM41">
        <v>0.64742594957351685</v>
      </c>
      <c r="EN41">
        <v>0.87302243709564209</v>
      </c>
      <c r="EO41">
        <v>1.198747992515564</v>
      </c>
      <c r="EP41">
        <v>20.925472259521484</v>
      </c>
      <c r="EQ41">
        <v>75.6048583984375</v>
      </c>
      <c r="ER41">
        <v>-0.55846250057220459</v>
      </c>
      <c r="ES41">
        <v>-0.2535320520401001</v>
      </c>
      <c r="ET41">
        <v>-4.2338144034147263E-2</v>
      </c>
      <c r="EU41">
        <v>0.16885575652122498</v>
      </c>
      <c r="EV41">
        <v>0.47378623485565186</v>
      </c>
      <c r="EW41">
        <v>19.99207878112793</v>
      </c>
      <c r="EX41">
        <v>74.054550170898437</v>
      </c>
      <c r="EY41">
        <v>-0.66529732942581177</v>
      </c>
      <c r="EZ41">
        <v>-0.35321679711341858</v>
      </c>
      <c r="FA41">
        <v>-0.13707074522972107</v>
      </c>
      <c r="FB41">
        <v>7.9075299203395844E-2</v>
      </c>
      <c r="FC41">
        <v>0.39115586876869202</v>
      </c>
      <c r="FD41">
        <v>17.702093124389648</v>
      </c>
      <c r="FE41">
        <v>72.936691284179688</v>
      </c>
      <c r="FF41">
        <v>-0.94527173042297363</v>
      </c>
      <c r="FG41">
        <v>-0.62218004465103149</v>
      </c>
      <c r="FH41">
        <v>-0.3984076976776123</v>
      </c>
      <c r="FI41">
        <v>-0.17463535070419312</v>
      </c>
      <c r="FJ41">
        <v>0.14845636487007141</v>
      </c>
      <c r="FK41">
        <v>16.801918029785156</v>
      </c>
      <c r="FL41">
        <v>71.942573547363281</v>
      </c>
      <c r="FM41">
        <v>-1.0264488458633423</v>
      </c>
      <c r="FN41">
        <v>-0.68574321269989014</v>
      </c>
      <c r="FO41">
        <v>-0.44977152347564697</v>
      </c>
      <c r="FP41">
        <v>-0.213799849152565</v>
      </c>
      <c r="FQ41">
        <v>0.12690576910972595</v>
      </c>
      <c r="FR41">
        <v>77</v>
      </c>
      <c r="FS41">
        <v>4.4426802545785904E-2</v>
      </c>
      <c r="FT41">
        <v>1</v>
      </c>
    </row>
    <row r="42" spans="1:176" x14ac:dyDescent="0.2">
      <c r="A42" t="s">
        <v>1</v>
      </c>
      <c r="B42" t="s">
        <v>229</v>
      </c>
      <c r="C42" t="s">
        <v>242</v>
      </c>
      <c r="D42">
        <v>77</v>
      </c>
      <c r="E42">
        <v>77</v>
      </c>
      <c r="F42">
        <v>16.271303176879883</v>
      </c>
      <c r="G42">
        <v>71.354484558105469</v>
      </c>
      <c r="H42">
        <v>-0.80292654037475586</v>
      </c>
      <c r="I42">
        <v>-0.46727114915847778</v>
      </c>
      <c r="J42">
        <v>-0.23479720950126648</v>
      </c>
      <c r="K42">
        <v>-2.3232842795550823E-3</v>
      </c>
      <c r="L42">
        <v>0.33333215117454529</v>
      </c>
      <c r="M42">
        <v>15.996864318847656</v>
      </c>
      <c r="N42">
        <v>71.057144165039062</v>
      </c>
      <c r="O42">
        <v>-0.75787091255187988</v>
      </c>
      <c r="P42">
        <v>-0.42069360613822937</v>
      </c>
      <c r="Q42">
        <v>-0.18716560304164886</v>
      </c>
      <c r="R42">
        <v>4.6362392604351044E-2</v>
      </c>
      <c r="S42">
        <v>0.38353973627090454</v>
      </c>
      <c r="T42">
        <v>16.013263702392578</v>
      </c>
      <c r="U42">
        <v>70.0469970703125</v>
      </c>
      <c r="V42">
        <v>-0.73219883441925049</v>
      </c>
      <c r="W42">
        <v>-0.40831077098846436</v>
      </c>
      <c r="X42">
        <v>-0.18398688733577728</v>
      </c>
      <c r="Y42">
        <v>4.0336992591619492E-2</v>
      </c>
      <c r="Z42">
        <v>0.36422505974769592</v>
      </c>
      <c r="AA42">
        <v>16.19963264465332</v>
      </c>
      <c r="AB42">
        <v>69.023368835449219</v>
      </c>
      <c r="AC42">
        <v>-0.6371886134147644</v>
      </c>
      <c r="AD42">
        <v>-0.32706034183502197</v>
      </c>
      <c r="AE42">
        <v>-0.11226644366979599</v>
      </c>
      <c r="AF42">
        <v>0.10252745449542999</v>
      </c>
      <c r="AG42">
        <v>0.41265574097633362</v>
      </c>
      <c r="AH42">
        <v>16.538156509399414</v>
      </c>
      <c r="AI42">
        <v>68.406654357910156</v>
      </c>
      <c r="AJ42">
        <v>-0.65621012449264526</v>
      </c>
      <c r="AK42">
        <v>-0.35543742775917053</v>
      </c>
      <c r="AL42">
        <v>-0.14712314307689667</v>
      </c>
      <c r="AM42">
        <v>6.1191130429506302E-2</v>
      </c>
      <c r="AN42">
        <v>0.36196386814117432</v>
      </c>
      <c r="AO42">
        <v>17.128284454345703</v>
      </c>
      <c r="AP42">
        <v>67.331192016601563</v>
      </c>
      <c r="AQ42">
        <v>-0.42600375413894653</v>
      </c>
      <c r="AR42">
        <v>-0.12034998834133148</v>
      </c>
      <c r="AS42">
        <v>9.1344870626926422E-2</v>
      </c>
      <c r="AT42">
        <v>0.30303972959518433</v>
      </c>
      <c r="AU42">
        <v>0.60869348049163818</v>
      </c>
      <c r="AV42">
        <v>19.480703353881836</v>
      </c>
      <c r="AW42">
        <v>67.080039978027344</v>
      </c>
      <c r="AX42">
        <v>-0.45784693956375122</v>
      </c>
      <c r="AY42">
        <v>-0.13762828707695007</v>
      </c>
      <c r="AZ42">
        <v>8.4154166281223297E-2</v>
      </c>
      <c r="BA42">
        <v>0.30593663454055786</v>
      </c>
      <c r="BB42">
        <v>0.62615525722503662</v>
      </c>
      <c r="BC42">
        <v>19.57844352722168</v>
      </c>
      <c r="BD42">
        <v>72.965705871582031</v>
      </c>
      <c r="BE42">
        <v>-0.21257510781288147</v>
      </c>
      <c r="BF42">
        <v>7.0817276835441589E-2</v>
      </c>
      <c r="BG42">
        <v>0.26709398627281189</v>
      </c>
      <c r="BH42">
        <v>0.463370680809021</v>
      </c>
      <c r="BI42">
        <v>0.74676311016082764</v>
      </c>
      <c r="BJ42">
        <v>19.93110466003418</v>
      </c>
      <c r="BK42">
        <v>78.5460205078125</v>
      </c>
      <c r="BL42">
        <v>-0.27636533975601196</v>
      </c>
      <c r="BM42">
        <v>1.6403492540121078E-2</v>
      </c>
      <c r="BN42">
        <v>0.21917429566383362</v>
      </c>
      <c r="BO42">
        <v>0.42194509506225586</v>
      </c>
      <c r="BP42">
        <v>0.7147139310836792</v>
      </c>
      <c r="BQ42">
        <v>20.677886962890625</v>
      </c>
      <c r="BR42">
        <v>83.190200805664063</v>
      </c>
      <c r="BS42">
        <v>-0.35749229788780212</v>
      </c>
      <c r="BT42">
        <v>-5.693647637963295E-2</v>
      </c>
      <c r="BU42">
        <v>0.15122757852077484</v>
      </c>
      <c r="BV42">
        <v>0.35939162969589233</v>
      </c>
      <c r="BW42">
        <v>0.65994745492935181</v>
      </c>
      <c r="BX42">
        <v>21.245376586914063</v>
      </c>
      <c r="BY42">
        <v>85.625099182128906</v>
      </c>
      <c r="BZ42">
        <v>-0.41866052150726318</v>
      </c>
      <c r="CA42">
        <v>-0.10435802489519119</v>
      </c>
      <c r="CB42">
        <v>0.11332692950963974</v>
      </c>
      <c r="CC42">
        <v>0.33101189136505127</v>
      </c>
      <c r="CD42">
        <v>0.64531439542770386</v>
      </c>
      <c r="CE42">
        <v>21.514991760253906</v>
      </c>
      <c r="CF42">
        <v>85.658454895019531</v>
      </c>
      <c r="CG42">
        <v>-0.79248666763305664</v>
      </c>
      <c r="CH42">
        <v>-0.44526377320289612</v>
      </c>
      <c r="CI42">
        <v>-0.20477822422981262</v>
      </c>
      <c r="CJ42">
        <v>3.570730984210968E-2</v>
      </c>
      <c r="CK42">
        <v>0.3829302191734314</v>
      </c>
      <c r="CL42">
        <v>21.503707885742188</v>
      </c>
      <c r="CM42">
        <v>85.140907287597656</v>
      </c>
      <c r="CN42">
        <v>-0.93606299161911011</v>
      </c>
      <c r="CO42">
        <v>-0.58378714323043823</v>
      </c>
      <c r="CP42">
        <v>-0.33980193734169006</v>
      </c>
      <c r="CQ42">
        <v>-9.5816746354103088E-2</v>
      </c>
      <c r="CR42">
        <v>0.25645911693572998</v>
      </c>
      <c r="CS42">
        <v>21.792654037475586</v>
      </c>
      <c r="CT42">
        <v>85.256561279296875</v>
      </c>
      <c r="CU42">
        <v>-1.0000561475753784</v>
      </c>
      <c r="CV42">
        <v>-0.64239895343780518</v>
      </c>
      <c r="CW42">
        <v>-0.39468672871589661</v>
      </c>
      <c r="CX42">
        <v>-0.14697448909282684</v>
      </c>
      <c r="CY42">
        <v>0.21068264544010162</v>
      </c>
      <c r="CZ42">
        <v>21.798019409179688</v>
      </c>
      <c r="DA42">
        <v>84.749137878417969</v>
      </c>
      <c r="DB42">
        <v>-0.70646244287490845</v>
      </c>
      <c r="DC42">
        <v>-0.34466844797134399</v>
      </c>
      <c r="DD42">
        <v>-9.4091013073921204E-2</v>
      </c>
      <c r="DE42">
        <v>0.15648642182350159</v>
      </c>
      <c r="DF42">
        <v>0.51828044652938843</v>
      </c>
      <c r="DG42">
        <v>21.834753036499023</v>
      </c>
      <c r="DH42">
        <v>83.306098937988281</v>
      </c>
      <c r="DI42">
        <v>3.1560983657836914</v>
      </c>
      <c r="DJ42">
        <v>3.5125117301940918</v>
      </c>
      <c r="DK42">
        <v>3.7593626976013184</v>
      </c>
      <c r="DL42">
        <v>4.0062136650085449</v>
      </c>
      <c r="DM42">
        <v>4.3626270294189453</v>
      </c>
      <c r="DN42">
        <v>21.847311019897461</v>
      </c>
      <c r="DO42">
        <v>82.832077026367188</v>
      </c>
      <c r="DP42">
        <v>3.2431118488311768</v>
      </c>
      <c r="DQ42">
        <v>3.5897271633148193</v>
      </c>
      <c r="DR42">
        <v>3.829791784286499</v>
      </c>
      <c r="DS42">
        <v>4.0698566436767578</v>
      </c>
      <c r="DT42">
        <v>4.4164714813232422</v>
      </c>
      <c r="DU42">
        <v>21.691238403320313</v>
      </c>
      <c r="DV42">
        <v>81.222518920898438</v>
      </c>
      <c r="DW42">
        <v>3.2210414409637451</v>
      </c>
      <c r="DX42">
        <v>3.5647892951965332</v>
      </c>
      <c r="DY42">
        <v>3.802868127822876</v>
      </c>
      <c r="DZ42">
        <v>4.0409469604492188</v>
      </c>
      <c r="EA42">
        <v>4.3846950531005859</v>
      </c>
      <c r="EB42">
        <v>21.284645080566406</v>
      </c>
      <c r="EC42">
        <v>78.306198120117188</v>
      </c>
      <c r="ED42">
        <v>3.1376609802246094</v>
      </c>
      <c r="EE42">
        <v>3.4803438186645508</v>
      </c>
      <c r="EF42">
        <v>3.7176849842071533</v>
      </c>
      <c r="EG42">
        <v>3.9550261497497559</v>
      </c>
      <c r="EH42">
        <v>4.2977089881896973</v>
      </c>
      <c r="EI42">
        <v>21.474422454833984</v>
      </c>
      <c r="EJ42">
        <v>76.816360473632813</v>
      </c>
      <c r="EK42">
        <v>-0.82328754663467407</v>
      </c>
      <c r="EL42">
        <v>-0.46691784262657166</v>
      </c>
      <c r="EM42">
        <v>-0.22009727358818054</v>
      </c>
      <c r="EN42">
        <v>2.6723291724920273E-2</v>
      </c>
      <c r="EO42">
        <v>0.38309299945831299</v>
      </c>
      <c r="EP42">
        <v>21.191066741943359</v>
      </c>
      <c r="EQ42">
        <v>75.011955261230469</v>
      </c>
      <c r="ER42">
        <v>-1.0483601093292236</v>
      </c>
      <c r="ES42">
        <v>-0.71554744243621826</v>
      </c>
      <c r="ET42">
        <v>-0.48504242300987244</v>
      </c>
      <c r="EU42">
        <v>-0.25453740358352661</v>
      </c>
      <c r="EV42">
        <v>7.8275270760059357E-2</v>
      </c>
      <c r="EW42">
        <v>20.320732116699219</v>
      </c>
      <c r="EX42">
        <v>73.68206787109375</v>
      </c>
      <c r="EY42">
        <v>-1.0738844871520996</v>
      </c>
      <c r="EZ42">
        <v>-0.73389369249343872</v>
      </c>
      <c r="FA42">
        <v>-0.49841707944869995</v>
      </c>
      <c r="FB42">
        <v>-0.26294046640396118</v>
      </c>
      <c r="FC42">
        <v>7.7050372958183289E-2</v>
      </c>
      <c r="FD42">
        <v>17.997535705566406</v>
      </c>
      <c r="FE42">
        <v>73.178863525390625</v>
      </c>
      <c r="FF42">
        <v>-1.2241346836090088</v>
      </c>
      <c r="FG42">
        <v>-0.86497056484222412</v>
      </c>
      <c r="FH42">
        <v>-0.61621451377868652</v>
      </c>
      <c r="FI42">
        <v>-0.36745849251747131</v>
      </c>
      <c r="FJ42">
        <v>-8.2942899316549301E-3</v>
      </c>
      <c r="FK42">
        <v>17.052520751953125</v>
      </c>
      <c r="FL42">
        <v>71.729232788085938</v>
      </c>
      <c r="FM42">
        <v>-1.2873042821884155</v>
      </c>
      <c r="FN42">
        <v>-0.92094075679779053</v>
      </c>
      <c r="FO42">
        <v>-0.66719847917556763</v>
      </c>
      <c r="FP42">
        <v>-0.41345620155334473</v>
      </c>
      <c r="FQ42">
        <v>-4.7092672437429428E-2</v>
      </c>
      <c r="FR42">
        <v>77</v>
      </c>
      <c r="FS42">
        <v>4.4818751513957977E-2</v>
      </c>
      <c r="FT42">
        <v>1</v>
      </c>
    </row>
    <row r="43" spans="1:176" x14ac:dyDescent="0.2">
      <c r="A43" t="s">
        <v>1</v>
      </c>
      <c r="B43" t="s">
        <v>229</v>
      </c>
      <c r="C43" t="s">
        <v>243</v>
      </c>
      <c r="D43">
        <v>77</v>
      </c>
      <c r="E43">
        <v>77</v>
      </c>
      <c r="F43">
        <v>15.953722953796387</v>
      </c>
      <c r="G43">
        <v>74.080284118652344</v>
      </c>
      <c r="H43">
        <v>-0.69109469652175903</v>
      </c>
      <c r="I43">
        <v>-0.29902994632720947</v>
      </c>
      <c r="J43">
        <v>-2.7487104758620262E-2</v>
      </c>
      <c r="K43">
        <v>0.24405574798583984</v>
      </c>
      <c r="L43">
        <v>0.6361204981803894</v>
      </c>
      <c r="M43">
        <v>15.692958831787109</v>
      </c>
      <c r="N43">
        <v>73.755348205566406</v>
      </c>
      <c r="O43">
        <v>-0.71140223741531372</v>
      </c>
      <c r="P43">
        <v>-0.31457361578941345</v>
      </c>
      <c r="Q43">
        <v>-3.9731342345476151E-2</v>
      </c>
      <c r="R43">
        <v>0.23511093854904175</v>
      </c>
      <c r="S43">
        <v>0.63193953037261963</v>
      </c>
      <c r="T43">
        <v>15.794987678527832</v>
      </c>
      <c r="U43">
        <v>73.090797424316406</v>
      </c>
      <c r="V43">
        <v>-0.67729860544204712</v>
      </c>
      <c r="W43">
        <v>-0.28788760304450989</v>
      </c>
      <c r="X43">
        <v>-1.8182737752795219E-2</v>
      </c>
      <c r="Y43">
        <v>0.25152212381362915</v>
      </c>
      <c r="Z43">
        <v>0.64093309640884399</v>
      </c>
      <c r="AA43">
        <v>16.105566024780273</v>
      </c>
      <c r="AB43">
        <v>72.634574890136719</v>
      </c>
      <c r="AC43">
        <v>-0.67203027009963989</v>
      </c>
      <c r="AD43">
        <v>-0.29825723171234131</v>
      </c>
      <c r="AE43">
        <v>-3.9383139461278915E-2</v>
      </c>
      <c r="AF43">
        <v>0.21949094533920288</v>
      </c>
      <c r="AG43">
        <v>0.59326404333114624</v>
      </c>
      <c r="AH43">
        <v>17.03251838684082</v>
      </c>
      <c r="AI43">
        <v>72.154533386230469</v>
      </c>
      <c r="AJ43">
        <v>-0.93551212549209595</v>
      </c>
      <c r="AK43">
        <v>-0.56698882579803467</v>
      </c>
      <c r="AL43">
        <v>-0.31175071001052856</v>
      </c>
      <c r="AM43">
        <v>-5.6512605398893356E-2</v>
      </c>
      <c r="AN43">
        <v>0.31201067566871643</v>
      </c>
      <c r="AO43">
        <v>17.709733963012695</v>
      </c>
      <c r="AP43">
        <v>71.639427185058594</v>
      </c>
      <c r="AQ43">
        <v>-0.93493479490280151</v>
      </c>
      <c r="AR43">
        <v>-0.56786620616912842</v>
      </c>
      <c r="AS43">
        <v>-0.31363558769226074</v>
      </c>
      <c r="AT43">
        <v>-5.9404980391263962E-2</v>
      </c>
      <c r="AU43">
        <v>0.30766364932060242</v>
      </c>
      <c r="AV43">
        <v>20.154451370239258</v>
      </c>
      <c r="AW43">
        <v>71.674079895019531</v>
      </c>
      <c r="AX43">
        <v>-0.80697721242904663</v>
      </c>
      <c r="AY43">
        <v>-0.44221928715705872</v>
      </c>
      <c r="AZ43">
        <v>-0.18958908319473267</v>
      </c>
      <c r="BA43">
        <v>6.3041135668754578E-2</v>
      </c>
      <c r="BB43">
        <v>0.4277990460395813</v>
      </c>
      <c r="BC43">
        <v>20.02294921875</v>
      </c>
      <c r="BD43">
        <v>76.036247253417969</v>
      </c>
      <c r="BE43">
        <v>-0.7865864634513855</v>
      </c>
      <c r="BF43">
        <v>-0.44012725353240967</v>
      </c>
      <c r="BG43">
        <v>-0.20017065107822418</v>
      </c>
      <c r="BH43">
        <v>3.9785943925380707E-2</v>
      </c>
      <c r="BI43">
        <v>0.38624516129493713</v>
      </c>
      <c r="BJ43">
        <v>20.452182769775391</v>
      </c>
      <c r="BK43">
        <v>81.500015258789063</v>
      </c>
      <c r="BL43">
        <v>-0.8529505729675293</v>
      </c>
      <c r="BM43">
        <v>-0.51023846864700317</v>
      </c>
      <c r="BN43">
        <v>-0.27287706732749939</v>
      </c>
      <c r="BO43">
        <v>-3.5515688359737396E-2</v>
      </c>
      <c r="BP43">
        <v>0.30719643831253052</v>
      </c>
      <c r="BQ43">
        <v>21.276151657104492</v>
      </c>
      <c r="BR43">
        <v>87.494911193847656</v>
      </c>
      <c r="BS43">
        <v>-0.94777441024780273</v>
      </c>
      <c r="BT43">
        <v>-0.60080713033676147</v>
      </c>
      <c r="BU43">
        <v>-0.36049863696098328</v>
      </c>
      <c r="BV43">
        <v>-0.12019014358520508</v>
      </c>
      <c r="BW43">
        <v>0.22677716612815857</v>
      </c>
      <c r="BX43">
        <v>21.897857666015625</v>
      </c>
      <c r="BY43">
        <v>90.533103942871094</v>
      </c>
      <c r="BZ43">
        <v>-1.0191293954849243</v>
      </c>
      <c r="CA43">
        <v>-0.65415298938751221</v>
      </c>
      <c r="CB43">
        <v>-0.40137144923210144</v>
      </c>
      <c r="CC43">
        <v>-0.14858992397785187</v>
      </c>
      <c r="CD43">
        <v>0.21638646721839905</v>
      </c>
      <c r="CE43">
        <v>22.210479736328125</v>
      </c>
      <c r="CF43">
        <v>92.481147766113281</v>
      </c>
      <c r="CG43">
        <v>-1.0020055770874023</v>
      </c>
      <c r="CH43">
        <v>-0.58743196725845337</v>
      </c>
      <c r="CI43">
        <v>-0.30029958486557007</v>
      </c>
      <c r="CJ43">
        <v>-1.3167197816073895E-2</v>
      </c>
      <c r="CK43">
        <v>0.40140637755393982</v>
      </c>
      <c r="CL43">
        <v>22.238250732421875</v>
      </c>
      <c r="CM43">
        <v>92.046867370605469</v>
      </c>
      <c r="CN43">
        <v>-1.0599905252456665</v>
      </c>
      <c r="CO43">
        <v>-0.63760954141616821</v>
      </c>
      <c r="CP43">
        <v>-0.34506973624229431</v>
      </c>
      <c r="CQ43">
        <v>-5.2529938519001007E-2</v>
      </c>
      <c r="CR43">
        <v>0.36985105276107788</v>
      </c>
      <c r="CS43">
        <v>22.52020263671875</v>
      </c>
      <c r="CT43">
        <v>91.753837585449219</v>
      </c>
      <c r="CU43">
        <v>-1.0349507331848145</v>
      </c>
      <c r="CV43">
        <v>-0.60345208644866943</v>
      </c>
      <c r="CW43">
        <v>-0.30459743738174438</v>
      </c>
      <c r="CX43">
        <v>-5.7427855208516121E-3</v>
      </c>
      <c r="CY43">
        <v>0.42575585842132568</v>
      </c>
      <c r="CZ43">
        <v>22.464803695678711</v>
      </c>
      <c r="DA43">
        <v>91.555564880371094</v>
      </c>
      <c r="DB43">
        <v>-0.65102756023406982</v>
      </c>
      <c r="DC43">
        <v>-0.20917369425296783</v>
      </c>
      <c r="DD43">
        <v>9.6852965652942657E-2</v>
      </c>
      <c r="DE43">
        <v>0.40287962555885315</v>
      </c>
      <c r="DF43">
        <v>0.84473353624343872</v>
      </c>
      <c r="DG43">
        <v>22.625307083129883</v>
      </c>
      <c r="DH43">
        <v>91.145439147949219</v>
      </c>
      <c r="DI43">
        <v>2.951512336730957</v>
      </c>
      <c r="DJ43">
        <v>3.3909580707550049</v>
      </c>
      <c r="DK43">
        <v>3.6953167915344238</v>
      </c>
      <c r="DL43">
        <v>3.9996755123138428</v>
      </c>
      <c r="DM43">
        <v>4.4391212463378906</v>
      </c>
      <c r="DN43">
        <v>22.580991744995117</v>
      </c>
      <c r="DO43">
        <v>89.499534606933594</v>
      </c>
      <c r="DP43">
        <v>3.200969934463501</v>
      </c>
      <c r="DQ43">
        <v>3.6402547359466553</v>
      </c>
      <c r="DR43">
        <v>3.9445021152496338</v>
      </c>
      <c r="DS43">
        <v>4.2487492561340332</v>
      </c>
      <c r="DT43">
        <v>4.6880345344543457</v>
      </c>
      <c r="DU43">
        <v>22.300031661987305</v>
      </c>
      <c r="DV43">
        <v>86.513175964355469</v>
      </c>
      <c r="DW43">
        <v>3.1318325996398926</v>
      </c>
      <c r="DX43">
        <v>3.5614316463470459</v>
      </c>
      <c r="DY43">
        <v>3.8589708805084229</v>
      </c>
      <c r="DZ43">
        <v>4.1565098762512207</v>
      </c>
      <c r="EA43">
        <v>4.5861091613769531</v>
      </c>
      <c r="EB43">
        <v>21.951433181762695</v>
      </c>
      <c r="EC43">
        <v>83.2369384765625</v>
      </c>
      <c r="ED43">
        <v>3.0255379676818848</v>
      </c>
      <c r="EE43">
        <v>3.4428524971008301</v>
      </c>
      <c r="EF43">
        <v>3.7318835258483887</v>
      </c>
      <c r="EG43">
        <v>4.0209145545959473</v>
      </c>
      <c r="EH43">
        <v>4.4382290840148926</v>
      </c>
      <c r="EI43">
        <v>22.243467330932617</v>
      </c>
      <c r="EJ43">
        <v>81.622901916503906</v>
      </c>
      <c r="EK43">
        <v>-0.19623816013336182</v>
      </c>
      <c r="EL43">
        <v>0.22811894118785858</v>
      </c>
      <c r="EM43">
        <v>0.52202737331390381</v>
      </c>
      <c r="EN43">
        <v>0.81593579053878784</v>
      </c>
      <c r="EO43">
        <v>1.2402929067611694</v>
      </c>
      <c r="EP43">
        <v>21.77678108215332</v>
      </c>
      <c r="EQ43">
        <v>80.573585510253906</v>
      </c>
      <c r="ER43">
        <v>-0.97374612092971802</v>
      </c>
      <c r="ES43">
        <v>-0.56899082660675049</v>
      </c>
      <c r="ET43">
        <v>-0.2886584997177124</v>
      </c>
      <c r="EU43">
        <v>-8.3261970430612564E-3</v>
      </c>
      <c r="EV43">
        <v>0.39642912149429321</v>
      </c>
      <c r="EW43">
        <v>20.893697738647461</v>
      </c>
      <c r="EX43">
        <v>79.225456237792969</v>
      </c>
      <c r="EY43">
        <v>-1.0191472768783569</v>
      </c>
      <c r="EZ43">
        <v>-0.600627601146698</v>
      </c>
      <c r="FA43">
        <v>-0.31076213717460632</v>
      </c>
      <c r="FB43">
        <v>-2.0896663889288902E-2</v>
      </c>
      <c r="FC43">
        <v>0.39762303233146667</v>
      </c>
      <c r="FD43">
        <v>18.455081939697266</v>
      </c>
      <c r="FE43">
        <v>77.630889892578125</v>
      </c>
      <c r="FF43">
        <v>-1.2751493453979492</v>
      </c>
      <c r="FG43">
        <v>-0.84276509284973145</v>
      </c>
      <c r="FH43">
        <v>-0.54329711198806763</v>
      </c>
      <c r="FI43">
        <v>-0.24382911622524261</v>
      </c>
      <c r="FJ43">
        <v>0.18855512142181396</v>
      </c>
      <c r="FK43">
        <v>17.633697509765625</v>
      </c>
      <c r="FL43">
        <v>76.900733947753906</v>
      </c>
      <c r="FM43">
        <v>-1.1742842197418213</v>
      </c>
      <c r="FN43">
        <v>-0.71875220537185669</v>
      </c>
      <c r="FO43">
        <v>-0.40325212478637695</v>
      </c>
      <c r="FP43">
        <v>-8.7752059102058411E-2</v>
      </c>
      <c r="FQ43">
        <v>0.367779940366745</v>
      </c>
      <c r="FR43">
        <v>77</v>
      </c>
      <c r="FS43">
        <v>4.2409293353557587E-2</v>
      </c>
      <c r="FT43">
        <v>1</v>
      </c>
    </row>
    <row r="44" spans="1:176" x14ac:dyDescent="0.2">
      <c r="A44" t="s">
        <v>1</v>
      </c>
      <c r="B44" t="s">
        <v>229</v>
      </c>
      <c r="C44" t="s">
        <v>244</v>
      </c>
      <c r="D44">
        <v>77</v>
      </c>
      <c r="E44">
        <v>77</v>
      </c>
      <c r="F44">
        <v>17.070816040039063</v>
      </c>
      <c r="G44">
        <v>75.231170654296875</v>
      </c>
      <c r="H44">
        <v>-0.93114417791366577</v>
      </c>
      <c r="I44">
        <v>-0.53517252206802368</v>
      </c>
      <c r="J44">
        <v>-0.26092380285263062</v>
      </c>
      <c r="K44">
        <v>1.3324945233762264E-2</v>
      </c>
      <c r="L44">
        <v>0.40929657220840454</v>
      </c>
      <c r="M44">
        <v>16.711799621582031</v>
      </c>
      <c r="N44">
        <v>74.317237854003906</v>
      </c>
      <c r="O44">
        <v>-0.96656084060668945</v>
      </c>
      <c r="P44">
        <v>-0.58287221193313599</v>
      </c>
      <c r="Q44">
        <v>-0.3171306848526001</v>
      </c>
      <c r="R44">
        <v>-5.1389139145612717E-2</v>
      </c>
      <c r="S44">
        <v>0.33229944109916687</v>
      </c>
      <c r="T44">
        <v>16.71211051940918</v>
      </c>
      <c r="U44">
        <v>74.241714477539063</v>
      </c>
      <c r="V44">
        <v>-1.0698046684265137</v>
      </c>
      <c r="W44">
        <v>-0.68651449680328369</v>
      </c>
      <c r="X44">
        <v>-0.42104887962341309</v>
      </c>
      <c r="Y44">
        <v>-0.15558326244354248</v>
      </c>
      <c r="Z44">
        <v>0.22770692408084869</v>
      </c>
      <c r="AA44">
        <v>16.865383148193359</v>
      </c>
      <c r="AB44">
        <v>73.392974853515625</v>
      </c>
      <c r="AC44">
        <v>-0.9842303991317749</v>
      </c>
      <c r="AD44">
        <v>-0.6123504638671875</v>
      </c>
      <c r="AE44">
        <v>-0.35478755831718445</v>
      </c>
      <c r="AF44">
        <v>-9.7224652767181396E-2</v>
      </c>
      <c r="AG44">
        <v>0.27465525269508362</v>
      </c>
      <c r="AH44">
        <v>17.287052154541016</v>
      </c>
      <c r="AI44">
        <v>72.973686218261719</v>
      </c>
      <c r="AJ44">
        <v>-0.82727324962615967</v>
      </c>
      <c r="AK44">
        <v>-0.46151837706565857</v>
      </c>
      <c r="AL44">
        <v>-0.20819768309593201</v>
      </c>
      <c r="AM44">
        <v>4.5123010873794556E-2</v>
      </c>
      <c r="AN44">
        <v>0.41087785363197327</v>
      </c>
      <c r="AO44">
        <v>17.901035308837891</v>
      </c>
      <c r="AP44">
        <v>72.716880798339844</v>
      </c>
      <c r="AQ44">
        <v>-0.76233255863189697</v>
      </c>
      <c r="AR44">
        <v>-0.3951231837272644</v>
      </c>
      <c r="AS44">
        <v>-0.14079509675502777</v>
      </c>
      <c r="AT44">
        <v>0.11353300511837006</v>
      </c>
      <c r="AU44">
        <v>0.48074239492416382</v>
      </c>
      <c r="AV44">
        <v>20.484127044677734</v>
      </c>
      <c r="AW44">
        <v>74.3287353515625</v>
      </c>
      <c r="AX44">
        <v>-0.60033196210861206</v>
      </c>
      <c r="AY44">
        <v>-0.21669691801071167</v>
      </c>
      <c r="AZ44">
        <v>4.9007564783096313E-2</v>
      </c>
      <c r="BA44">
        <v>0.3147120475769043</v>
      </c>
      <c r="BB44">
        <v>0.69834709167480469</v>
      </c>
      <c r="BC44">
        <v>20.348825454711914</v>
      </c>
      <c r="BD44">
        <v>80.303733825683594</v>
      </c>
      <c r="BE44">
        <v>-0.61605191230773926</v>
      </c>
      <c r="BF44">
        <v>-0.25971314311027527</v>
      </c>
      <c r="BG44">
        <v>-1.291401032358408E-2</v>
      </c>
      <c r="BH44">
        <v>0.23388512432575226</v>
      </c>
      <c r="BI44">
        <v>0.59022390842437744</v>
      </c>
      <c r="BJ44">
        <v>20.760162353515625</v>
      </c>
      <c r="BK44">
        <v>85.650009155273438</v>
      </c>
      <c r="BL44">
        <v>-0.63813245296478271</v>
      </c>
      <c r="BM44">
        <v>-0.29406645894050598</v>
      </c>
      <c r="BN44">
        <v>-5.5767413228750229E-2</v>
      </c>
      <c r="BO44">
        <v>0.18253163993358612</v>
      </c>
      <c r="BP44">
        <v>0.52659761905670166</v>
      </c>
      <c r="BQ44">
        <v>21.542079925537109</v>
      </c>
      <c r="BR44">
        <v>90.411773681640625</v>
      </c>
      <c r="BS44">
        <v>-0.75781887769699097</v>
      </c>
      <c r="BT44">
        <v>-0.41154146194458008</v>
      </c>
      <c r="BU44">
        <v>-0.17171074450016022</v>
      </c>
      <c r="BV44">
        <v>6.8119965493679047E-2</v>
      </c>
      <c r="BW44">
        <v>0.41439741849899292</v>
      </c>
      <c r="BX44">
        <v>22.174842834472656</v>
      </c>
      <c r="BY44">
        <v>93.643264770507813</v>
      </c>
      <c r="BZ44">
        <v>-0.63906657695770264</v>
      </c>
      <c r="CA44">
        <v>-0.27025458216667175</v>
      </c>
      <c r="CB44">
        <v>-1.4816530980169773E-2</v>
      </c>
      <c r="CC44">
        <v>0.24062152206897736</v>
      </c>
      <c r="CD44">
        <v>0.60943353176116943</v>
      </c>
      <c r="CE44">
        <v>22.457530975341797</v>
      </c>
      <c r="CF44">
        <v>94.447547912597656</v>
      </c>
      <c r="CG44">
        <v>-5.8256030082702637E-2</v>
      </c>
      <c r="CH44">
        <v>0.3682401180267334</v>
      </c>
      <c r="CI44">
        <v>0.66363006830215454</v>
      </c>
      <c r="CJ44">
        <v>0.95902001857757568</v>
      </c>
      <c r="CK44">
        <v>1.3855161666870117</v>
      </c>
      <c r="CL44">
        <v>22.548187255859375</v>
      </c>
      <c r="CM44">
        <v>95.349433898925781</v>
      </c>
      <c r="CN44">
        <v>9.3194007873535156E-2</v>
      </c>
      <c r="CO44">
        <v>0.52378875017166138</v>
      </c>
      <c r="CP44">
        <v>0.8220173716545105</v>
      </c>
      <c r="CQ44">
        <v>1.1202459335327148</v>
      </c>
      <c r="CR44">
        <v>1.5508407354354858</v>
      </c>
      <c r="CS44">
        <v>22.504426956176758</v>
      </c>
      <c r="CT44">
        <v>91.797195434570313</v>
      </c>
      <c r="CU44">
        <v>-9.9173106253147125E-2</v>
      </c>
      <c r="CV44">
        <v>0.38804909586906433</v>
      </c>
      <c r="CW44">
        <v>0.72549772262573242</v>
      </c>
      <c r="CX44">
        <v>1.0629463195800781</v>
      </c>
      <c r="CY44">
        <v>1.550168514251709</v>
      </c>
      <c r="CZ44">
        <v>22.781946182250977</v>
      </c>
      <c r="DA44">
        <v>94.831703186035156</v>
      </c>
      <c r="DB44">
        <v>0.4431610107421875</v>
      </c>
      <c r="DC44">
        <v>0.89753711223602295</v>
      </c>
      <c r="DD44">
        <v>1.2122366428375244</v>
      </c>
      <c r="DE44">
        <v>1.5269361734390259</v>
      </c>
      <c r="DF44">
        <v>1.9813122749328613</v>
      </c>
      <c r="DG44">
        <v>22.938556671142578</v>
      </c>
      <c r="DH44">
        <v>94.666664123535156</v>
      </c>
      <c r="DI44">
        <v>3.2126247882843018</v>
      </c>
      <c r="DJ44">
        <v>3.6605062484741211</v>
      </c>
      <c r="DK44">
        <v>3.9707074165344238</v>
      </c>
      <c r="DL44">
        <v>4.2809085845947266</v>
      </c>
      <c r="DM44">
        <v>4.7287898063659668</v>
      </c>
      <c r="DN44">
        <v>22.792863845825195</v>
      </c>
      <c r="DO44">
        <v>91.871467590332031</v>
      </c>
      <c r="DP44">
        <v>3.181887149810791</v>
      </c>
      <c r="DQ44">
        <v>3.6543667316436768</v>
      </c>
      <c r="DR44">
        <v>3.9816045761108398</v>
      </c>
      <c r="DS44">
        <v>4.308842658996582</v>
      </c>
      <c r="DT44">
        <v>4.7813220024108887</v>
      </c>
      <c r="DU44">
        <v>22.62727165222168</v>
      </c>
      <c r="DV44">
        <v>89.648704528808594</v>
      </c>
      <c r="DW44">
        <v>3.2438971996307373</v>
      </c>
      <c r="DX44">
        <v>3.7630786895751953</v>
      </c>
      <c r="DY44">
        <v>4.1226620674133301</v>
      </c>
      <c r="DZ44">
        <v>4.4822454452514648</v>
      </c>
      <c r="EA44">
        <v>5.001427173614502</v>
      </c>
      <c r="EB44">
        <v>22.350831985473633</v>
      </c>
      <c r="EC44">
        <v>88.368949890136719</v>
      </c>
      <c r="ED44">
        <v>3.0076377391815186</v>
      </c>
      <c r="EE44">
        <v>3.4817700386047363</v>
      </c>
      <c r="EF44">
        <v>3.810152530670166</v>
      </c>
      <c r="EG44">
        <v>4.1385350227355957</v>
      </c>
      <c r="EH44">
        <v>4.6126675605773926</v>
      </c>
      <c r="EI44">
        <v>22.749555587768555</v>
      </c>
      <c r="EJ44">
        <v>86.8277587890625</v>
      </c>
      <c r="EK44">
        <v>-0.25955107808113098</v>
      </c>
      <c r="EL44">
        <v>0.21341222524642944</v>
      </c>
      <c r="EM44">
        <v>0.54098516702651978</v>
      </c>
      <c r="EN44">
        <v>0.86855810880661011</v>
      </c>
      <c r="EO44">
        <v>1.3415213823318481</v>
      </c>
      <c r="EP44">
        <v>22.128820419311523</v>
      </c>
      <c r="EQ44">
        <v>85.385231018066406</v>
      </c>
      <c r="ER44">
        <v>-1.1834632158279419</v>
      </c>
      <c r="ES44">
        <v>-0.72345143556594849</v>
      </c>
      <c r="ET44">
        <v>-0.40484866499900818</v>
      </c>
      <c r="EU44">
        <v>-8.6245901882648468E-2</v>
      </c>
      <c r="EV44">
        <v>0.37376588582992554</v>
      </c>
      <c r="EW44">
        <v>21.178152084350586</v>
      </c>
      <c r="EX44">
        <v>82.443145751953125</v>
      </c>
      <c r="EY44">
        <v>-1.2387909889221191</v>
      </c>
      <c r="EZ44">
        <v>-0.77870899438858032</v>
      </c>
      <c r="FA44">
        <v>-0.46005761623382568</v>
      </c>
      <c r="FB44">
        <v>-0.14140625298023224</v>
      </c>
      <c r="FC44">
        <v>0.31867572665214539</v>
      </c>
      <c r="FD44">
        <v>18.70832633972168</v>
      </c>
      <c r="FE44">
        <v>80.24078369140625</v>
      </c>
      <c r="FF44">
        <v>-1.5704159736633301</v>
      </c>
      <c r="FG44">
        <v>-1.1018029451370239</v>
      </c>
      <c r="FH44">
        <v>-0.77724307775497437</v>
      </c>
      <c r="FI44">
        <v>-0.45268315076828003</v>
      </c>
      <c r="FJ44">
        <v>1.59298125654459E-2</v>
      </c>
      <c r="FK44">
        <v>17.850872039794922</v>
      </c>
      <c r="FL44">
        <v>79.842750549316406</v>
      </c>
      <c r="FM44">
        <v>-1.5312223434448242</v>
      </c>
      <c r="FN44">
        <v>-1.024229884147644</v>
      </c>
      <c r="FO44">
        <v>-0.67308849096298218</v>
      </c>
      <c r="FP44">
        <v>-0.32194706797599792</v>
      </c>
      <c r="FQ44">
        <v>0.18504540622234344</v>
      </c>
      <c r="FR44">
        <v>77</v>
      </c>
      <c r="FS44">
        <v>3.4498553723096848E-2</v>
      </c>
      <c r="FT44">
        <v>1</v>
      </c>
    </row>
    <row r="45" spans="1:176" x14ac:dyDescent="0.2">
      <c r="A45" t="s">
        <v>1</v>
      </c>
      <c r="B45" t="s">
        <v>229</v>
      </c>
      <c r="C45" t="s">
        <v>245</v>
      </c>
      <c r="D45">
        <v>77</v>
      </c>
      <c r="E45">
        <v>77</v>
      </c>
      <c r="F45">
        <v>17.418035507202148</v>
      </c>
      <c r="G45">
        <v>79.812736511230469</v>
      </c>
      <c r="H45">
        <v>-1.2405620813369751</v>
      </c>
      <c r="I45">
        <v>-0.74616289138793945</v>
      </c>
      <c r="J45">
        <v>-0.40374353528022766</v>
      </c>
      <c r="K45">
        <v>-6.1324194073677063E-2</v>
      </c>
      <c r="L45">
        <v>0.433074951171875</v>
      </c>
      <c r="M45">
        <v>17.009235382080078</v>
      </c>
      <c r="N45">
        <v>79.269905090332031</v>
      </c>
      <c r="O45">
        <v>-1.4081857204437256</v>
      </c>
      <c r="P45">
        <v>-0.91895490884780884</v>
      </c>
      <c r="Q45">
        <v>-0.58011519908905029</v>
      </c>
      <c r="R45">
        <v>-0.24127547442913055</v>
      </c>
      <c r="S45">
        <v>0.24795529246330261</v>
      </c>
      <c r="T45">
        <v>17.071056365966797</v>
      </c>
      <c r="U45">
        <v>78.366226196289063</v>
      </c>
      <c r="V45">
        <v>-1.3150449991226196</v>
      </c>
      <c r="W45">
        <v>-0.84154748916625977</v>
      </c>
      <c r="X45">
        <v>-0.51360452175140381</v>
      </c>
      <c r="Y45">
        <v>-0.18566156923770905</v>
      </c>
      <c r="Z45">
        <v>0.2878359854221344</v>
      </c>
      <c r="AA45">
        <v>17.283929824829102</v>
      </c>
      <c r="AB45">
        <v>77.610580444335938</v>
      </c>
      <c r="AC45">
        <v>-1.2414251565933228</v>
      </c>
      <c r="AD45">
        <v>-0.76094764471054077</v>
      </c>
      <c r="AE45">
        <v>-0.42817041277885437</v>
      </c>
      <c r="AF45">
        <v>-9.5393173396587372E-2</v>
      </c>
      <c r="AG45">
        <v>0.38508430123329163</v>
      </c>
      <c r="AH45">
        <v>17.801235198974609</v>
      </c>
      <c r="AI45">
        <v>77.43048095703125</v>
      </c>
      <c r="AJ45">
        <v>-1.1380349397659302</v>
      </c>
      <c r="AK45">
        <v>-0.66688269376754761</v>
      </c>
      <c r="AL45">
        <v>-0.3405640721321106</v>
      </c>
      <c r="AM45">
        <v>-1.4245433732867241E-2</v>
      </c>
      <c r="AN45">
        <v>0.45690685510635376</v>
      </c>
      <c r="AO45">
        <v>18.391117095947266</v>
      </c>
      <c r="AP45">
        <v>76.841049194335938</v>
      </c>
      <c r="AQ45">
        <v>-1.0196853876113892</v>
      </c>
      <c r="AR45">
        <v>-0.55928486585617065</v>
      </c>
      <c r="AS45">
        <v>-0.24041280150413513</v>
      </c>
      <c r="AT45">
        <v>7.84592404961586E-2</v>
      </c>
      <c r="AU45">
        <v>0.53885984420776367</v>
      </c>
      <c r="AV45">
        <v>20.982868194580078</v>
      </c>
      <c r="AW45">
        <v>75.865821838378906</v>
      </c>
      <c r="AX45">
        <v>-0.74990123510360718</v>
      </c>
      <c r="AY45">
        <v>-0.32755598425865173</v>
      </c>
      <c r="AZ45">
        <v>-3.5040929913520813E-2</v>
      </c>
      <c r="BA45">
        <v>0.25747412443161011</v>
      </c>
      <c r="BB45">
        <v>0.67981934547424316</v>
      </c>
      <c r="BC45">
        <v>20.745521545410156</v>
      </c>
      <c r="BD45">
        <v>80.937942504882813</v>
      </c>
      <c r="BE45">
        <v>-0.80417060852050781</v>
      </c>
      <c r="BF45">
        <v>-0.42496469616889954</v>
      </c>
      <c r="BG45">
        <v>-0.16232785582542419</v>
      </c>
      <c r="BH45">
        <v>0.10030899196863174</v>
      </c>
      <c r="BI45">
        <v>0.47951489686965942</v>
      </c>
      <c r="BJ45">
        <v>21.162353515625</v>
      </c>
      <c r="BK45">
        <v>85.9189453125</v>
      </c>
      <c r="BL45">
        <v>-0.80465221405029297</v>
      </c>
      <c r="BM45">
        <v>-0.43269336223602295</v>
      </c>
      <c r="BN45">
        <v>-0.17507578432559967</v>
      </c>
      <c r="BO45">
        <v>8.2541786134243011E-2</v>
      </c>
      <c r="BP45">
        <v>0.45450064539909363</v>
      </c>
      <c r="BQ45">
        <v>21.897947311401367</v>
      </c>
      <c r="BR45">
        <v>89.555435180664063</v>
      </c>
      <c r="BS45">
        <v>-0.87362617254257202</v>
      </c>
      <c r="BT45">
        <v>-0.49096989631652832</v>
      </c>
      <c r="BU45">
        <v>-0.22594335675239563</v>
      </c>
      <c r="BV45">
        <v>3.9083193987607956E-2</v>
      </c>
      <c r="BW45">
        <v>0.42173942923545837</v>
      </c>
      <c r="BX45">
        <v>22.476741790771484</v>
      </c>
      <c r="BY45">
        <v>91.841529846191406</v>
      </c>
      <c r="BZ45">
        <v>-0.51799672842025757</v>
      </c>
      <c r="CA45">
        <v>-0.10395310819149017</v>
      </c>
      <c r="CB45">
        <v>0.18281222879886627</v>
      </c>
      <c r="CC45">
        <v>0.46957758069038391</v>
      </c>
      <c r="CD45">
        <v>0.88362115621566772</v>
      </c>
      <c r="CE45">
        <v>22.793298721313477</v>
      </c>
      <c r="CF45">
        <v>92.796714782714844</v>
      </c>
      <c r="CG45">
        <v>0.16669078171253204</v>
      </c>
      <c r="CH45">
        <v>0.64484864473342896</v>
      </c>
      <c r="CI45">
        <v>0.97601932287216187</v>
      </c>
      <c r="CJ45">
        <v>1.3071900606155396</v>
      </c>
      <c r="CK45">
        <v>1.7853478193283081</v>
      </c>
      <c r="CL45">
        <v>22.712545394897461</v>
      </c>
      <c r="CM45">
        <v>90.70025634765625</v>
      </c>
      <c r="CN45">
        <v>0.17164529860019684</v>
      </c>
      <c r="CO45">
        <v>0.68084496259689331</v>
      </c>
      <c r="CP45">
        <v>1.0335150957107544</v>
      </c>
      <c r="CQ45">
        <v>1.3861852884292603</v>
      </c>
      <c r="CR45">
        <v>1.8953849077224731</v>
      </c>
      <c r="CS45">
        <v>22.753839492797852</v>
      </c>
      <c r="CT45">
        <v>88.222152709960937</v>
      </c>
      <c r="CU45">
        <v>2.5860890746116638E-2</v>
      </c>
      <c r="CV45">
        <v>0.56179368495941162</v>
      </c>
      <c r="CW45">
        <v>0.93297910690307617</v>
      </c>
      <c r="CX45">
        <v>1.3041645288467407</v>
      </c>
      <c r="CY45">
        <v>1.8400973081588745</v>
      </c>
      <c r="CZ45">
        <v>22.556037902832031</v>
      </c>
      <c r="DA45">
        <v>86.84832763671875</v>
      </c>
      <c r="DB45">
        <v>5.623970553278923E-2</v>
      </c>
      <c r="DC45">
        <v>0.60117596387863159</v>
      </c>
      <c r="DD45">
        <v>0.97859716415405273</v>
      </c>
      <c r="DE45">
        <v>1.3560183048248291</v>
      </c>
      <c r="DF45">
        <v>1.9009546041488647</v>
      </c>
      <c r="DG45">
        <v>22.568319320678711</v>
      </c>
      <c r="DH45">
        <v>86.331123352050781</v>
      </c>
      <c r="DI45">
        <v>2.9760825634002686</v>
      </c>
      <c r="DJ45">
        <v>3.5118792057037354</v>
      </c>
      <c r="DK45">
        <v>3.8829703330993652</v>
      </c>
      <c r="DL45">
        <v>4.254061222076416</v>
      </c>
      <c r="DM45">
        <v>4.7898578643798828</v>
      </c>
      <c r="DN45">
        <v>22.454401016235352</v>
      </c>
      <c r="DO45">
        <v>83.647064208984375</v>
      </c>
      <c r="DP45">
        <v>3.1646819114685059</v>
      </c>
      <c r="DQ45">
        <v>3.7044620513916016</v>
      </c>
      <c r="DR45">
        <v>4.0783119201660156</v>
      </c>
      <c r="DS45">
        <v>4.4521617889404297</v>
      </c>
      <c r="DT45">
        <v>4.9919419288635254</v>
      </c>
      <c r="DU45">
        <v>22.301273345947266</v>
      </c>
      <c r="DV45">
        <v>81.680435180664063</v>
      </c>
      <c r="DW45">
        <v>3.2773542404174805</v>
      </c>
      <c r="DX45">
        <v>3.8179845809936523</v>
      </c>
      <c r="DY45">
        <v>4.1924233436584473</v>
      </c>
      <c r="DZ45">
        <v>4.5668621063232422</v>
      </c>
      <c r="EA45">
        <v>5.1074924468994141</v>
      </c>
      <c r="EB45">
        <v>22.22496223449707</v>
      </c>
      <c r="EC45">
        <v>78.448036193847656</v>
      </c>
      <c r="ED45">
        <v>3.5608301162719727</v>
      </c>
      <c r="EE45">
        <v>4.0740127563476562</v>
      </c>
      <c r="EF45">
        <v>4.4294414520263672</v>
      </c>
      <c r="EG45">
        <v>4.7848701477050781</v>
      </c>
      <c r="EH45">
        <v>5.2980527877807617</v>
      </c>
      <c r="EI45">
        <v>22.647075653076172</v>
      </c>
      <c r="EJ45">
        <v>76.347381591796875</v>
      </c>
      <c r="EK45">
        <v>0.43720239400863647</v>
      </c>
      <c r="EL45">
        <v>0.91335976123809814</v>
      </c>
      <c r="EM45">
        <v>1.2431448698043823</v>
      </c>
      <c r="EN45">
        <v>1.5729299783706665</v>
      </c>
      <c r="EO45">
        <v>2.0490872859954834</v>
      </c>
      <c r="EP45">
        <v>22.350639343261719</v>
      </c>
      <c r="EQ45">
        <v>74.797454833984375</v>
      </c>
      <c r="ER45">
        <v>5.8066822588443756E-2</v>
      </c>
      <c r="ES45">
        <v>0.47996386885643005</v>
      </c>
      <c r="ET45">
        <v>0.77216845750808716</v>
      </c>
      <c r="EU45">
        <v>1.0643730163574219</v>
      </c>
      <c r="EV45">
        <v>1.4862700700759888</v>
      </c>
      <c r="EW45">
        <v>21.230022430419922</v>
      </c>
      <c r="EX45">
        <v>73.818229675292969</v>
      </c>
      <c r="EY45">
        <v>-0.17713969945907593</v>
      </c>
      <c r="EZ45">
        <v>0.22625379264354706</v>
      </c>
      <c r="FA45">
        <v>0.50564289093017578</v>
      </c>
      <c r="FB45">
        <v>0.78503197431564331</v>
      </c>
      <c r="FC45">
        <v>1.1884254217147827</v>
      </c>
      <c r="FD45">
        <v>18.720327377319336</v>
      </c>
      <c r="FE45">
        <v>72.877700805664062</v>
      </c>
      <c r="FF45">
        <v>-0.61008566617965698</v>
      </c>
      <c r="FG45">
        <v>-0.21715512871742249</v>
      </c>
      <c r="FH45">
        <v>5.4987348616123199E-2</v>
      </c>
      <c r="FI45">
        <v>0.32712984085083008</v>
      </c>
      <c r="FJ45">
        <v>0.72006034851074219</v>
      </c>
      <c r="FK45">
        <v>17.895856857299805</v>
      </c>
      <c r="FL45">
        <v>72.322952270507812</v>
      </c>
      <c r="FM45">
        <v>-0.60286182165145874</v>
      </c>
      <c r="FN45">
        <v>-0.18629534542560577</v>
      </c>
      <c r="FO45">
        <v>0.10221730172634125</v>
      </c>
      <c r="FP45">
        <v>0.39072996377944946</v>
      </c>
      <c r="FQ45">
        <v>0.80729639530181885</v>
      </c>
      <c r="FR45">
        <v>77</v>
      </c>
      <c r="FS45">
        <v>3.4972131252288818E-2</v>
      </c>
      <c r="FT45">
        <v>1</v>
      </c>
    </row>
    <row r="46" spans="1:176" x14ac:dyDescent="0.2">
      <c r="A46" t="s">
        <v>1</v>
      </c>
      <c r="B46" t="s">
        <v>229</v>
      </c>
      <c r="C46" t="s">
        <v>2</v>
      </c>
      <c r="D46">
        <v>76.714285714285708</v>
      </c>
      <c r="E46">
        <v>76.714285714285708</v>
      </c>
      <c r="F46">
        <v>15.864740371704102</v>
      </c>
      <c r="G46">
        <v>72.773078918457031</v>
      </c>
      <c r="H46">
        <v>-0.86802822351455688</v>
      </c>
      <c r="I46">
        <v>-0.47254210710525513</v>
      </c>
      <c r="J46">
        <v>-0.19862961769104004</v>
      </c>
      <c r="K46">
        <v>7.5282871723175049E-2</v>
      </c>
      <c r="L46">
        <v>0.47076898813247681</v>
      </c>
      <c r="M46">
        <v>15.519079208374023</v>
      </c>
      <c r="N46">
        <v>71.902153015136719</v>
      </c>
      <c r="O46">
        <v>-0.97395551204681396</v>
      </c>
      <c r="P46">
        <v>-0.57951146364212036</v>
      </c>
      <c r="Q46">
        <v>-0.30632072687149048</v>
      </c>
      <c r="R46">
        <v>-3.3129986375570297E-2</v>
      </c>
      <c r="S46">
        <v>0.36131405830383301</v>
      </c>
      <c r="T46">
        <v>15.540307998657227</v>
      </c>
      <c r="U46">
        <v>70.996482849121094</v>
      </c>
      <c r="V46">
        <v>-0.94922637939453125</v>
      </c>
      <c r="W46">
        <v>-0.56459838151931763</v>
      </c>
      <c r="X46">
        <v>-0.29820618033409119</v>
      </c>
      <c r="Y46">
        <v>-3.181399405002594E-2</v>
      </c>
      <c r="Z46">
        <v>0.35281401872634888</v>
      </c>
      <c r="AA46">
        <v>15.727956771850586</v>
      </c>
      <c r="AB46">
        <v>70.484878540039063</v>
      </c>
      <c r="AC46">
        <v>-0.90476381778717041</v>
      </c>
      <c r="AD46">
        <v>-0.52248209714889526</v>
      </c>
      <c r="AE46">
        <v>-0.2577148973941803</v>
      </c>
      <c r="AF46">
        <v>7.0522846654057503E-3</v>
      </c>
      <c r="AG46">
        <v>0.3893340528011322</v>
      </c>
      <c r="AH46">
        <v>16.197341918945313</v>
      </c>
      <c r="AI46">
        <v>70.081008911132813</v>
      </c>
      <c r="AJ46">
        <v>-0.8470228910446167</v>
      </c>
      <c r="AK46">
        <v>-0.47367611527442932</v>
      </c>
      <c r="AL46">
        <v>-0.21509727835655212</v>
      </c>
      <c r="AM46">
        <v>4.3481558561325073E-2</v>
      </c>
      <c r="AN46">
        <v>0.41682833433151245</v>
      </c>
      <c r="AO46">
        <v>16.840080261230469</v>
      </c>
      <c r="AP46">
        <v>69.453948974609375</v>
      </c>
      <c r="AQ46">
        <v>-0.74676698446273804</v>
      </c>
      <c r="AR46">
        <v>-0.36878204345703125</v>
      </c>
      <c r="AS46">
        <v>-0.10699082165956497</v>
      </c>
      <c r="AT46">
        <v>0.15480040013790131</v>
      </c>
      <c r="AU46">
        <v>0.53278535604476929</v>
      </c>
      <c r="AV46">
        <v>19.270938873291016</v>
      </c>
      <c r="AW46">
        <v>70.881317138671875</v>
      </c>
      <c r="AX46">
        <v>-0.56020891666412354</v>
      </c>
      <c r="AY46">
        <v>-0.18597599864006042</v>
      </c>
      <c r="AZ46">
        <v>7.3216594755649567E-2</v>
      </c>
      <c r="BA46">
        <v>0.33240920305252075</v>
      </c>
      <c r="BB46">
        <v>0.70664215087890625</v>
      </c>
      <c r="BC46">
        <v>19.220527648925781</v>
      </c>
      <c r="BD46">
        <v>76.824699401855469</v>
      </c>
      <c r="BE46">
        <v>-0.62506115436553955</v>
      </c>
      <c r="BF46">
        <v>-0.28545218706130981</v>
      </c>
      <c r="BG46">
        <v>-5.0240036100149155E-2</v>
      </c>
      <c r="BH46">
        <v>0.1849721223115921</v>
      </c>
      <c r="BI46">
        <v>0.52458113431930542</v>
      </c>
      <c r="BJ46">
        <v>19.62591552734375</v>
      </c>
      <c r="BK46">
        <v>82.758934020996094</v>
      </c>
      <c r="BL46">
        <v>-0.68772208690643311</v>
      </c>
      <c r="BM46">
        <v>-0.35161158442497253</v>
      </c>
      <c r="BN46">
        <v>-0.11882244050502777</v>
      </c>
      <c r="BO46">
        <v>0.1139666959643364</v>
      </c>
      <c r="BP46">
        <v>0.45007723569869995</v>
      </c>
      <c r="BQ46">
        <v>20.432662963867188</v>
      </c>
      <c r="BR46">
        <v>87.873046875</v>
      </c>
      <c r="BS46">
        <v>-0.60370063781738281</v>
      </c>
      <c r="BT46">
        <v>-0.25750821828842163</v>
      </c>
      <c r="BU46">
        <v>-1.7736384645104408E-2</v>
      </c>
      <c r="BV46">
        <v>0.22203543782234192</v>
      </c>
      <c r="BW46">
        <v>0.56822788715362549</v>
      </c>
      <c r="BX46">
        <v>21.060251235961914</v>
      </c>
      <c r="BY46">
        <v>90.640975952148438</v>
      </c>
      <c r="BZ46">
        <v>-0.51248008012771606</v>
      </c>
      <c r="CA46">
        <v>-0.14016957581043243</v>
      </c>
      <c r="CB46">
        <v>0.11769154667854309</v>
      </c>
      <c r="CC46">
        <v>0.37555265426635742</v>
      </c>
      <c r="CD46">
        <v>0.74786317348480225</v>
      </c>
      <c r="CE46">
        <v>21.377170562744141</v>
      </c>
      <c r="CF46">
        <v>91.548568725585937</v>
      </c>
      <c r="CG46">
        <v>-0.37206420302391052</v>
      </c>
      <c r="CH46">
        <v>4.4609799981117249E-2</v>
      </c>
      <c r="CI46">
        <v>0.33319693803787231</v>
      </c>
      <c r="CJ46">
        <v>0.62178409099578857</v>
      </c>
      <c r="CK46">
        <v>1.0384581089019775</v>
      </c>
      <c r="CL46">
        <v>21.460123062133789</v>
      </c>
      <c r="CM46">
        <v>91.396339416503906</v>
      </c>
      <c r="CN46">
        <v>-0.36049780249595642</v>
      </c>
      <c r="CO46">
        <v>6.173175573348999E-2</v>
      </c>
      <c r="CP46">
        <v>0.3541666567325592</v>
      </c>
      <c r="CQ46">
        <v>0.64660155773162842</v>
      </c>
      <c r="CR46">
        <v>1.0688310861587524</v>
      </c>
      <c r="CS46">
        <v>21.662538528442383</v>
      </c>
      <c r="CT46">
        <v>90.375320434570313</v>
      </c>
      <c r="CU46">
        <v>-0.43363121151924133</v>
      </c>
      <c r="CV46">
        <v>6.3347741961479187E-3</v>
      </c>
      <c r="CW46">
        <v>0.31105387210845947</v>
      </c>
      <c r="CX46">
        <v>0.61577296257019043</v>
      </c>
      <c r="CY46">
        <v>1.0557389259338379</v>
      </c>
      <c r="CZ46">
        <v>21.681100845336914</v>
      </c>
      <c r="DA46">
        <v>90.204391479492188</v>
      </c>
      <c r="DB46">
        <v>-0.14903140068054199</v>
      </c>
      <c r="DC46">
        <v>0.29593315720558167</v>
      </c>
      <c r="DD46">
        <v>0.60411423444747925</v>
      </c>
      <c r="DE46">
        <v>0.91229534149169922</v>
      </c>
      <c r="DF46">
        <v>1.3572598695755005</v>
      </c>
      <c r="DG46">
        <v>21.813192367553711</v>
      </c>
      <c r="DH46">
        <v>89.801483154296875</v>
      </c>
      <c r="DI46">
        <v>3.0108733177185059</v>
      </c>
      <c r="DJ46">
        <v>3.4521901607513428</v>
      </c>
      <c r="DK46">
        <v>3.7578446865081787</v>
      </c>
      <c r="DL46">
        <v>4.0634994506835938</v>
      </c>
      <c r="DM46">
        <v>4.5048160552978516</v>
      </c>
      <c r="DN46">
        <v>21.780906677246094</v>
      </c>
      <c r="DO46">
        <v>88.174446105957031</v>
      </c>
      <c r="DP46">
        <v>3.1232814788818359</v>
      </c>
      <c r="DQ46">
        <v>3.5694947242736816</v>
      </c>
      <c r="DR46">
        <v>3.8785407543182373</v>
      </c>
      <c r="DS46">
        <v>4.187586784362793</v>
      </c>
      <c r="DT46">
        <v>4.6338000297546387</v>
      </c>
      <c r="DU46">
        <v>21.582370758056641</v>
      </c>
      <c r="DV46">
        <v>85.911689758300781</v>
      </c>
      <c r="DW46">
        <v>3.0546724796295166</v>
      </c>
      <c r="DX46">
        <v>3.5031468868255615</v>
      </c>
      <c r="DY46">
        <v>3.8137588500976562</v>
      </c>
      <c r="DZ46">
        <v>4.1243710517883301</v>
      </c>
      <c r="EA46">
        <v>4.5728449821472168</v>
      </c>
      <c r="EB46">
        <v>21.241050720214844</v>
      </c>
      <c r="EC46">
        <v>83.143760681152344</v>
      </c>
      <c r="ED46">
        <v>3.0781655311584473</v>
      </c>
      <c r="EE46">
        <v>3.512364387512207</v>
      </c>
      <c r="EF46">
        <v>3.8130893707275391</v>
      </c>
      <c r="EG46">
        <v>4.1138143539428711</v>
      </c>
      <c r="EH46">
        <v>4.5480132102966309</v>
      </c>
      <c r="EI46">
        <v>21.514862060546875</v>
      </c>
      <c r="EJ46">
        <v>80.491531372070313</v>
      </c>
      <c r="EK46">
        <v>-5.1627535372972488E-2</v>
      </c>
      <c r="EL46">
        <v>0.37812557816505432</v>
      </c>
      <c r="EM46">
        <v>0.67577129602432251</v>
      </c>
      <c r="EN46">
        <v>0.97341698408126831</v>
      </c>
      <c r="EO46">
        <v>1.403170108795166</v>
      </c>
      <c r="EP46">
        <v>21.0909423828125</v>
      </c>
      <c r="EQ46">
        <v>78.758865356445313</v>
      </c>
      <c r="ER46">
        <v>-0.66189694404602051</v>
      </c>
      <c r="ES46">
        <v>-0.26069700717926025</v>
      </c>
      <c r="ET46">
        <v>1.7172867432236671E-2</v>
      </c>
      <c r="EU46">
        <v>0.2950427234172821</v>
      </c>
      <c r="EV46">
        <v>0.69624269008636475</v>
      </c>
      <c r="EW46">
        <v>20.148654937744141</v>
      </c>
      <c r="EX46">
        <v>76.174369812011719</v>
      </c>
      <c r="EY46">
        <v>-0.70774424076080322</v>
      </c>
      <c r="EZ46">
        <v>-0.30306345224380493</v>
      </c>
      <c r="FA46">
        <v>-2.2782742977142334E-2</v>
      </c>
      <c r="FB46">
        <v>0.25749796628952026</v>
      </c>
      <c r="FC46">
        <v>0.66217875480651855</v>
      </c>
      <c r="FD46">
        <v>17.772531509399414</v>
      </c>
      <c r="FE46">
        <v>74.449394226074219</v>
      </c>
      <c r="FF46">
        <v>-0.95156174898147583</v>
      </c>
      <c r="FG46">
        <v>-0.53816843032836914</v>
      </c>
      <c r="FH46">
        <v>-0.25185352563858032</v>
      </c>
      <c r="FI46">
        <v>3.4461405128240585E-2</v>
      </c>
      <c r="FJ46">
        <v>0.44785469770431519</v>
      </c>
      <c r="FK46">
        <v>16.865194320678711</v>
      </c>
      <c r="FL46">
        <v>73.292289733886719</v>
      </c>
      <c r="FM46">
        <v>-0.95528185367584229</v>
      </c>
      <c r="FN46">
        <v>-0.52245622873306274</v>
      </c>
      <c r="FO46">
        <v>-0.22268256545066833</v>
      </c>
      <c r="FP46">
        <v>7.7091127634048462E-2</v>
      </c>
      <c r="FQ46">
        <v>0.50991672277450562</v>
      </c>
      <c r="FR46">
        <v>76.599999999999994</v>
      </c>
      <c r="FS46">
        <v>4.2673952877521515E-2</v>
      </c>
      <c r="FT46">
        <v>1</v>
      </c>
    </row>
    <row r="479" spans="86:86" x14ac:dyDescent="0.2">
      <c r="CH479" s="59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Table</vt:lpstr>
      <vt:lpstr>Lookups</vt:lpstr>
      <vt:lpstr>Data</vt:lpstr>
      <vt:lpstr>agg_list</vt:lpstr>
      <vt:lpstr>Called</vt:lpstr>
      <vt:lpstr>Criteria</vt:lpstr>
      <vt:lpstr>data</vt:lpstr>
      <vt:lpstr>date</vt:lpstr>
      <vt:lpstr>date_list</vt:lpstr>
      <vt:lpstr>dual_enrol</vt:lpstr>
      <vt:lpstr>dual_enrol_list</vt:lpstr>
      <vt:lpstr>Fillin</vt:lpstr>
      <vt:lpstr>lca</vt:lpstr>
      <vt:lpstr>lca_list</vt:lpstr>
      <vt:lpstr>notice</vt:lpstr>
      <vt:lpstr>notice_list</vt:lpstr>
      <vt:lpstr>pass</vt:lpstr>
      <vt:lpstr>Table!Print_Area</vt:lpstr>
      <vt:lpstr>Result_type</vt:lpstr>
      <vt:lpstr>Result_type_list</vt:lpstr>
      <vt:lpstr>Data!table_for_PGE_CBP_expost_public</vt:lpstr>
    </vt:vector>
  </TitlesOfParts>
  <Company>Christensen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Dan Hansen</cp:lastModifiedBy>
  <cp:lastPrinted>2009-04-03T17:07:33Z</cp:lastPrinted>
  <dcterms:created xsi:type="dcterms:W3CDTF">2009-03-24T17:58:42Z</dcterms:created>
  <dcterms:modified xsi:type="dcterms:W3CDTF">2015-03-26T17:53:30Z</dcterms:modified>
</cp:coreProperties>
</file>