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workbookProtection workbookAlgorithmName="SHA-512" workbookHashValue="44NueBxyDcMcw5Fl5qwrxQ9ijYHV92Mg5TBdefbLeLtptUMPoCkid7argF9gsMoSlNwTKwz0xf/37F+X75XDzA==" workbookSaltValue="MXwkcVoYKNzcxLkyVr1QEw==" workbookSpinCount="100000" lockStructure="1"/>
  <bookViews>
    <workbookView xWindow="14385" yWindow="-15" windowWidth="14430" windowHeight="12555" tabRatio="878"/>
  </bookViews>
  <sheets>
    <sheet name="Summary View" sheetId="36" r:id="rId1"/>
    <sheet name="Intermediate Data" sheetId="39" state="hidden" r:id="rId2"/>
    <sheet name="Measure Quantitative Data" sheetId="21" r:id="rId3"/>
    <sheet name="Cost view figures" sheetId="42" state="hidden" r:id="rId4"/>
    <sheet name="Cost" sheetId="40" state="hidden" r:id="rId5"/>
    <sheet name="Brands" sheetId="41" state="hidden" r:id="rId6"/>
    <sheet name="Measure Qualitative Data" sheetId="30" r:id="rId7"/>
    <sheet name="Codes and Specs Data" sheetId="31" r:id="rId8"/>
    <sheet name="Source Info" sheetId="20" r:id="rId9"/>
    <sheet name="Store Data" sheetId="34" state="hidden" r:id="rId10"/>
  </sheets>
  <externalReferences>
    <externalReference r:id="rId11"/>
    <externalReference r:id="rId12"/>
  </externalReferences>
  <definedNames>
    <definedName name="_xlnm._FilterDatabase" localSheetId="5" hidden="1">Brands!$A$1:$H$81</definedName>
    <definedName name="_xlnm._FilterDatabase" localSheetId="4" hidden="1">Cost!$A$1:$D$118</definedName>
    <definedName name="_xlnm._FilterDatabase" localSheetId="1" hidden="1">'Intermediate Data'!$C$2:$AF$31</definedName>
    <definedName name="_xlnm._FilterDatabase" localSheetId="2" hidden="1">'Measure Quantitative Data'!$A$6:$BI$10</definedName>
    <definedName name="ALL">'Cost view figures'!$A$1</definedName>
    <definedName name="Choose2">CHOOSE('Cost view figures'!$C$1,ALL,GT,LT)</definedName>
    <definedName name="CSA">#REF!</definedName>
    <definedName name="CSB">#REF!</definedName>
    <definedName name="CSC">#REF!</definedName>
    <definedName name="CSChoose" localSheetId="1">CHOOSE(#REF!,CSA,CSB,CSC,CSD)</definedName>
    <definedName name="CSChoose">CHOOSE(#REF!,CSA,CSB,CSC,CSD)</definedName>
    <definedName name="CSD">#REF!</definedName>
    <definedName name="ES_P1">OFFSET('[1]Intermediate Data'!$Q$212,0,0,1,'[1]Intermediate Data'!$E$212)</definedName>
    <definedName name="GT">'Cost view figures'!$A$2</definedName>
    <definedName name="IOUList">'[2]Intermediate Data'!$H$18:$H$21</definedName>
    <definedName name="LT">'Cost view figures'!$A$3</definedName>
  </definedNames>
  <calcPr calcId="152511"/>
</workbook>
</file>

<file path=xl/calcChain.xml><?xml version="1.0" encoding="utf-8"?>
<calcChain xmlns="http://schemas.openxmlformats.org/spreadsheetml/2006/main">
  <c r="H6" i="39" l="1"/>
  <c r="V3" i="39" l="1"/>
  <c r="W3" i="39"/>
  <c r="X3" i="39"/>
  <c r="Y3" i="39"/>
  <c r="Z3" i="39"/>
  <c r="V4" i="39"/>
  <c r="W4" i="39"/>
  <c r="X4" i="39"/>
  <c r="Y4" i="39"/>
  <c r="Z4" i="39"/>
  <c r="V5" i="39"/>
  <c r="W5" i="39"/>
  <c r="X5" i="39"/>
  <c r="Y5" i="39"/>
  <c r="Z5" i="39"/>
  <c r="V6" i="39"/>
  <c r="V7" i="39" s="1"/>
  <c r="W6" i="39"/>
  <c r="W8" i="39" s="1"/>
  <c r="X6" i="39"/>
  <c r="X8" i="39" s="1"/>
  <c r="Y6" i="39"/>
  <c r="Y8" i="39" s="1"/>
  <c r="Z6" i="39"/>
  <c r="Z7" i="39" s="1"/>
  <c r="W7" i="39" l="1"/>
  <c r="Y7" i="39"/>
  <c r="X7" i="39"/>
  <c r="AD11" i="36" s="1"/>
  <c r="Z8" i="39"/>
  <c r="V8" i="39"/>
  <c r="AD13" i="36"/>
  <c r="U3" i="39" l="1"/>
  <c r="U4" i="39"/>
  <c r="U5" i="39"/>
  <c r="U6" i="39"/>
  <c r="R3" i="39"/>
  <c r="S3" i="39"/>
  <c r="T3" i="39"/>
  <c r="R4" i="39"/>
  <c r="S4" i="39"/>
  <c r="T4" i="39"/>
  <c r="R5" i="39"/>
  <c r="S5" i="39"/>
  <c r="T5" i="39"/>
  <c r="R6" i="39"/>
  <c r="S6" i="39"/>
  <c r="T6" i="39"/>
  <c r="Q6" i="39"/>
  <c r="Q5" i="39"/>
  <c r="Q4" i="39"/>
  <c r="Q3" i="39"/>
  <c r="AA5" i="36" s="1"/>
  <c r="L7" i="21"/>
  <c r="M7" i="21"/>
  <c r="N7" i="21"/>
  <c r="O7" i="21"/>
  <c r="P7" i="21"/>
  <c r="Q7" i="21"/>
  <c r="R7" i="21"/>
  <c r="S7" i="21"/>
  <c r="T7" i="21"/>
  <c r="U7" i="21"/>
  <c r="V7" i="21"/>
  <c r="W7" i="21"/>
  <c r="X7" i="21"/>
  <c r="Y7" i="21"/>
  <c r="Z7" i="21"/>
  <c r="AA7" i="21"/>
  <c r="AB7" i="21"/>
  <c r="AC7" i="21"/>
  <c r="AD7" i="21"/>
  <c r="AE7" i="21"/>
  <c r="AF7" i="21"/>
  <c r="AG7" i="21"/>
  <c r="AH7" i="21"/>
  <c r="AI7" i="21"/>
  <c r="AJ7" i="21"/>
  <c r="AK7" i="21"/>
  <c r="AL7" i="21"/>
  <c r="AM7" i="21"/>
  <c r="AN7" i="21"/>
  <c r="AO7" i="21"/>
  <c r="AP7" i="21"/>
  <c r="AQ7" i="21"/>
  <c r="AR7" i="21"/>
  <c r="AS7" i="21"/>
  <c r="AT7" i="21"/>
  <c r="AU7" i="21"/>
  <c r="AV7" i="21"/>
  <c r="AW7" i="21"/>
  <c r="AX7" i="21"/>
  <c r="AY7" i="21"/>
  <c r="AZ7" i="21"/>
  <c r="BA7" i="21"/>
  <c r="BB7" i="21"/>
  <c r="BC7" i="21"/>
  <c r="BD7" i="21"/>
  <c r="BE7" i="21"/>
  <c r="BF7" i="21"/>
  <c r="BG7" i="21"/>
  <c r="BH7" i="21"/>
  <c r="BI7" i="21"/>
  <c r="P7" i="39"/>
  <c r="AA13" i="36"/>
  <c r="O3" i="39" l="1"/>
  <c r="O4" i="39"/>
  <c r="O5" i="39"/>
  <c r="O6" i="39"/>
  <c r="AG11" i="36" l="1"/>
  <c r="AJ11" i="36"/>
  <c r="N5" i="39"/>
  <c r="N4" i="39"/>
  <c r="N3" i="39"/>
  <c r="M5" i="39" l="1"/>
  <c r="M4" i="39"/>
  <c r="M3" i="39"/>
  <c r="H7" i="21"/>
  <c r="L6" i="39" s="1"/>
  <c r="L5" i="39"/>
  <c r="L4" i="39"/>
  <c r="F6" i="36" s="1"/>
  <c r="L3" i="39"/>
  <c r="F5" i="36" s="1"/>
  <c r="K5" i="39"/>
  <c r="F13" i="36"/>
  <c r="D1" i="42" l="1"/>
  <c r="O12" i="40"/>
  <c r="V14" i="40" l="1"/>
  <c r="W14" i="40"/>
  <c r="Y14" i="40" s="1"/>
  <c r="V15" i="40"/>
  <c r="W15" i="40"/>
  <c r="Y15" i="40" s="1"/>
  <c r="V16" i="40"/>
  <c r="W16" i="40"/>
  <c r="Y16" i="40" s="1"/>
  <c r="V17" i="40"/>
  <c r="W17" i="40"/>
  <c r="X17" i="40" s="1"/>
  <c r="V18" i="40"/>
  <c r="W18" i="40"/>
  <c r="Y18" i="40" s="1"/>
  <c r="W13" i="40"/>
  <c r="V13" i="40"/>
  <c r="W12" i="40"/>
  <c r="V12" i="40"/>
  <c r="O14" i="40"/>
  <c r="P14" i="40"/>
  <c r="R14" i="40" s="1"/>
  <c r="O15" i="40"/>
  <c r="P15" i="40"/>
  <c r="O16" i="40"/>
  <c r="P16" i="40"/>
  <c r="O17" i="40"/>
  <c r="P17" i="40"/>
  <c r="O18" i="40"/>
  <c r="P18" i="40"/>
  <c r="R18" i="40" s="1"/>
  <c r="P13" i="40"/>
  <c r="O13" i="40"/>
  <c r="P12" i="40"/>
  <c r="H12" i="40"/>
  <c r="H13" i="40"/>
  <c r="H14" i="40"/>
  <c r="H15" i="40"/>
  <c r="H16" i="40"/>
  <c r="H17" i="40"/>
  <c r="H18" i="40"/>
  <c r="I18" i="40"/>
  <c r="I15" i="40"/>
  <c r="I16" i="40"/>
  <c r="I17" i="40"/>
  <c r="H9" i="40"/>
  <c r="I14" i="40"/>
  <c r="I13" i="40"/>
  <c r="I12" i="40"/>
  <c r="H7" i="40"/>
  <c r="X12" i="40" l="1"/>
  <c r="J15" i="40"/>
  <c r="Q15" i="40"/>
  <c r="J13" i="40"/>
  <c r="Q18" i="40"/>
  <c r="J12" i="40"/>
  <c r="R17" i="40"/>
  <c r="X16" i="40"/>
  <c r="R16" i="40"/>
  <c r="X18" i="40"/>
  <c r="X14" i="40"/>
  <c r="Y17" i="40"/>
  <c r="X15" i="40"/>
  <c r="X13" i="40"/>
  <c r="Y13" i="40"/>
  <c r="Y12" i="40"/>
  <c r="R13" i="40"/>
  <c r="Q13" i="40"/>
  <c r="Q14" i="40"/>
  <c r="R15" i="40"/>
  <c r="Q16" i="40"/>
  <c r="Q12" i="40"/>
  <c r="R12" i="40"/>
  <c r="Q17" i="40"/>
  <c r="K18" i="40"/>
  <c r="K17" i="40"/>
  <c r="J16" i="40"/>
  <c r="J18" i="40"/>
  <c r="J17" i="40"/>
  <c r="K15" i="40"/>
  <c r="K16" i="40"/>
  <c r="J14" i="40"/>
  <c r="K14" i="40"/>
  <c r="K12" i="40"/>
  <c r="K13" i="40"/>
  <c r="A5" i="30"/>
  <c r="C5" i="30"/>
  <c r="F5" i="30"/>
  <c r="G5" i="30"/>
  <c r="H5" i="30"/>
  <c r="I5" i="30"/>
  <c r="J5" i="30"/>
  <c r="E5" i="30"/>
  <c r="K5" i="30"/>
  <c r="K6" i="39" s="1"/>
  <c r="B23" i="36"/>
  <c r="J23" i="36"/>
  <c r="F23" i="36"/>
  <c r="AJ13" i="36"/>
  <c r="J27" i="40" l="1"/>
  <c r="J26" i="40"/>
  <c r="J25" i="40"/>
  <c r="J24" i="40"/>
  <c r="J23" i="40"/>
  <c r="I27" i="40"/>
  <c r="I26" i="40"/>
  <c r="I25" i="40"/>
  <c r="I24" i="40"/>
  <c r="I23" i="40"/>
  <c r="H23" i="40"/>
  <c r="H27" i="40"/>
  <c r="H26" i="40"/>
  <c r="H25" i="40"/>
  <c r="H24" i="40"/>
  <c r="H28" i="40" s="1"/>
  <c r="G23" i="40"/>
  <c r="G27" i="40"/>
  <c r="G26" i="40"/>
  <c r="G25" i="40"/>
  <c r="G24" i="40"/>
  <c r="G28" i="40" s="1"/>
  <c r="H8" i="40"/>
  <c r="I8" i="40"/>
  <c r="I9" i="40"/>
  <c r="I29" i="40" l="1"/>
  <c r="I30" i="40"/>
  <c r="J29" i="40"/>
  <c r="H30" i="40"/>
  <c r="J32" i="40"/>
  <c r="H32" i="40"/>
  <c r="I32" i="40"/>
  <c r="H29" i="40"/>
  <c r="H31" i="40"/>
  <c r="J31" i="40"/>
  <c r="J30" i="40"/>
  <c r="G31" i="40"/>
  <c r="I28" i="40"/>
  <c r="J28" i="40"/>
  <c r="G32" i="40"/>
  <c r="I31" i="40"/>
  <c r="G30" i="40"/>
  <c r="G29" i="40"/>
  <c r="K9" i="40"/>
  <c r="K8" i="40"/>
  <c r="J8" i="40"/>
  <c r="J9" i="40"/>
  <c r="I7" i="40" l="1"/>
  <c r="B20" i="39"/>
  <c r="B21" i="39"/>
  <c r="B19" i="39"/>
  <c r="K7" i="40" l="1"/>
  <c r="J7" i="40"/>
  <c r="B8" i="39"/>
  <c r="U8" i="39" s="1"/>
  <c r="B7" i="39"/>
  <c r="U7" i="39" s="1"/>
  <c r="K3" i="39"/>
  <c r="AJ5" i="36" s="1"/>
  <c r="J3" i="39"/>
  <c r="X5" i="36" s="1"/>
  <c r="J4" i="39"/>
  <c r="X6" i="36" s="1"/>
  <c r="J5" i="39"/>
  <c r="I5" i="39"/>
  <c r="I4" i="39"/>
  <c r="U6" i="36" s="1"/>
  <c r="I3" i="39"/>
  <c r="U5" i="36" s="1"/>
  <c r="H3" i="39"/>
  <c r="H4" i="39"/>
  <c r="H5" i="39"/>
  <c r="G5" i="39"/>
  <c r="G4" i="39"/>
  <c r="G3" i="39"/>
  <c r="R5" i="36" s="1"/>
  <c r="F5" i="39"/>
  <c r="F4" i="39"/>
  <c r="O6" i="36" s="1"/>
  <c r="F3" i="39"/>
  <c r="O5" i="36" s="1"/>
  <c r="O8" i="39" l="1"/>
  <c r="S8" i="39"/>
  <c r="T8" i="39"/>
  <c r="R8" i="39"/>
  <c r="Q8" i="39"/>
  <c r="T7" i="39"/>
  <c r="S7" i="39"/>
  <c r="R7" i="39"/>
  <c r="Q7" i="39"/>
  <c r="C8" i="39"/>
  <c r="L8" i="39"/>
  <c r="F12" i="36" s="1"/>
  <c r="C7" i="39"/>
  <c r="L7" i="39"/>
  <c r="F11" i="36" s="1"/>
  <c r="K7" i="21"/>
  <c r="F6" i="39" s="1"/>
  <c r="E3" i="39"/>
  <c r="L5" i="36" s="1"/>
  <c r="E4" i="39"/>
  <c r="L6" i="36" s="1"/>
  <c r="E5" i="39"/>
  <c r="D5" i="39"/>
  <c r="A7" i="21"/>
  <c r="B7" i="21"/>
  <c r="C7" i="21"/>
  <c r="D7" i="21"/>
  <c r="E7" i="21"/>
  <c r="F7" i="21"/>
  <c r="G7" i="21"/>
  <c r="I7" i="21"/>
  <c r="D6" i="39" s="1"/>
  <c r="J7" i="21"/>
  <c r="E6" i="39" s="1"/>
  <c r="G6" i="39"/>
  <c r="N6" i="39"/>
  <c r="I6" i="39"/>
  <c r="J6" i="39"/>
  <c r="D4" i="39"/>
  <c r="I6" i="36" s="1"/>
  <c r="D3" i="39"/>
  <c r="I5" i="36" s="1"/>
  <c r="O13" i="36"/>
  <c r="R13" i="36"/>
  <c r="L13" i="36"/>
  <c r="AG13" i="36"/>
  <c r="I13" i="36"/>
  <c r="J8" i="39" l="1"/>
  <c r="X12" i="36" s="1"/>
  <c r="I7" i="39"/>
  <c r="U11" i="36" s="1"/>
  <c r="AA11" i="36"/>
  <c r="M6" i="39"/>
  <c r="N8" i="39"/>
  <c r="I8" i="39"/>
  <c r="U12" i="36" s="1"/>
  <c r="F7" i="39"/>
  <c r="O11" i="36" s="1"/>
  <c r="F8" i="39"/>
  <c r="O12" i="36" s="1"/>
  <c r="J7" i="39"/>
  <c r="X11" i="36" s="1"/>
  <c r="U13" i="36"/>
  <c r="X13" i="36"/>
  <c r="M7" i="39" l="1"/>
  <c r="AG12" i="36"/>
  <c r="P8" i="39"/>
  <c r="D7" i="39"/>
  <c r="I11" i="36" s="1"/>
  <c r="B10" i="34"/>
  <c r="H2" i="40" l="1"/>
  <c r="AL9" i="21" s="1"/>
  <c r="G8" i="39" s="1"/>
  <c r="H5" i="40"/>
  <c r="AM8" i="21" s="1"/>
  <c r="H7" i="39" s="1"/>
  <c r="H4" i="40"/>
  <c r="AL8" i="21" s="1"/>
  <c r="G7" i="39" s="1"/>
  <c r="H3" i="40"/>
  <c r="AM9" i="21" s="1"/>
  <c r="H8" i="39" s="1"/>
  <c r="R11" i="36" l="1"/>
  <c r="R12" i="36"/>
  <c r="P60" i="34"/>
  <c r="G62" i="34"/>
  <c r="E8" i="39" l="1"/>
  <c r="L12" i="36" s="1"/>
  <c r="E7" i="39"/>
  <c r="L11" i="36" s="1"/>
  <c r="D8" i="39"/>
  <c r="I12" i="36" s="1"/>
  <c r="AA14" i="34"/>
  <c r="W24" i="34"/>
  <c r="Y32" i="34"/>
  <c r="U43" i="34"/>
  <c r="S13" i="34"/>
  <c r="S25" i="34"/>
  <c r="Q35" i="34"/>
  <c r="Q19" i="34"/>
  <c r="O13" i="34"/>
  <c r="D12" i="34" l="1"/>
  <c r="E12" i="34"/>
  <c r="G12" i="34"/>
  <c r="D10" i="34"/>
  <c r="E10" i="34"/>
  <c r="F10" i="34"/>
  <c r="G10" i="34"/>
  <c r="B12" i="34"/>
</calcChain>
</file>

<file path=xl/comments1.xml><?xml version="1.0" encoding="utf-8"?>
<comments xmlns="http://schemas.openxmlformats.org/spreadsheetml/2006/main">
  <authors>
    <author>Author</author>
  </authors>
  <commentList>
    <comment ref="AI3" authorId="0" shapeId="0">
      <text>
        <r>
          <rPr>
            <sz val="9"/>
            <color indexed="81"/>
            <rFont val="Tahoma"/>
            <family val="2"/>
          </rPr>
          <t>Controls appearance of "not applicable" cells in market data summary. For blank cells, type a space (" ").</t>
        </r>
      </text>
    </comment>
    <comment ref="AG6" authorId="0" shapeId="0">
      <text>
        <r>
          <rPr>
            <sz val="9"/>
            <color indexed="81"/>
            <rFont val="Tahoma"/>
            <family val="2"/>
          </rPr>
          <t>Higher value is a preliminary NEEA territory estimate.</t>
        </r>
      </text>
    </comment>
  </commentList>
</comments>
</file>

<file path=xl/comments2.xml><?xml version="1.0" encoding="utf-8"?>
<comments xmlns="http://schemas.openxmlformats.org/spreadsheetml/2006/main">
  <authors>
    <author>Author</author>
  </authors>
  <commentList>
    <comment ref="B118" authorId="0" shapeId="0">
      <text>
        <r>
          <rPr>
            <b/>
            <sz val="9"/>
            <color indexed="81"/>
            <rFont val="Tahoma"/>
            <family val="2"/>
          </rPr>
          <t>Author:</t>
        </r>
        <r>
          <rPr>
            <sz val="9"/>
            <color indexed="81"/>
            <rFont val="Tahoma"/>
            <family val="2"/>
          </rPr>
          <t xml:space="preserve">
There was a question mark after Yes; I omitted.</t>
        </r>
      </text>
    </comment>
  </commentList>
</comments>
</file>

<file path=xl/sharedStrings.xml><?xml version="1.0" encoding="utf-8"?>
<sst xmlns="http://schemas.openxmlformats.org/spreadsheetml/2006/main" count="1192" uniqueCount="501">
  <si>
    <t>Measure</t>
  </si>
  <si>
    <t>Specification</t>
  </si>
  <si>
    <t>N/A</t>
  </si>
  <si>
    <t>Source ID</t>
  </si>
  <si>
    <t>Organization</t>
  </si>
  <si>
    <t>Date Published</t>
  </si>
  <si>
    <t>Title</t>
  </si>
  <si>
    <t>Web Address</t>
  </si>
  <si>
    <t>Year</t>
  </si>
  <si>
    <t>National</t>
  </si>
  <si>
    <t>Territory</t>
  </si>
  <si>
    <t>Meas #</t>
  </si>
  <si>
    <t>Sources Consulted</t>
  </si>
  <si>
    <t>Measure data not in source</t>
  </si>
  <si>
    <t>Not applicable for measure</t>
  </si>
  <si>
    <t>Interpretation</t>
  </si>
  <si>
    <t>No source available</t>
  </si>
  <si>
    <t>ENERGY STAR Shipments</t>
  </si>
  <si>
    <t>Estimated based on ENERGY STAR partner reports.</t>
  </si>
  <si>
    <t>Existing Penetration and New Unit Shipments</t>
  </si>
  <si>
    <t xml:space="preserve">UES (Unit Energy Savings) - kWh </t>
  </si>
  <si>
    <t>Savings over baseline (%)</t>
  </si>
  <si>
    <t>Unit Savings</t>
  </si>
  <si>
    <t>Measure Name</t>
  </si>
  <si>
    <t>Measure Location</t>
  </si>
  <si>
    <t>Column</t>
  </si>
  <si>
    <t>Measure Overview</t>
  </si>
  <si>
    <t>Formula - updates automatically</t>
  </si>
  <si>
    <t>Formula - manually change to update parameters</t>
  </si>
  <si>
    <t>Non-formula cell</t>
  </si>
  <si>
    <t>Key:</t>
  </si>
  <si>
    <t>Source #</t>
  </si>
  <si>
    <t># of brands</t>
  </si>
  <si>
    <t>Availability Notes</t>
  </si>
  <si>
    <t>Cost</t>
  </si>
  <si>
    <t>Barriers to adoption</t>
  </si>
  <si>
    <t>Market actors</t>
  </si>
  <si>
    <t>Spec</t>
  </si>
  <si>
    <t>Requirement</t>
  </si>
  <si>
    <t>Effective Date</t>
  </si>
  <si>
    <t>Air Cleaner</t>
  </si>
  <si>
    <t>ENERGY STAR Air Cleaner</t>
  </si>
  <si>
    <t>online vs in-store availability by energy star vs non- (select a major california store)</t>
  </si>
  <si>
    <t>pull from each retail webite:</t>
  </si>
  <si>
    <t>https://www.energystar.gov/ia/partners/downloads/unit_shipment_data/2013_USD_Summary_Report.pdf?df30-e6f6</t>
  </si>
  <si>
    <t>http://www.energystar.gov/sites/default/files/specs//private/Room_Air_Cleaners_Final_V1.2_Specification.pdf</t>
  </si>
  <si>
    <t>ENERGY STAR</t>
  </si>
  <si>
    <t>ENERGY STAR® Program Requirements: Product Specification for Room Air Cleaners - Eligibility Criteria Version 1.2</t>
  </si>
  <si>
    <t>http://www.energy.ca.gov/appliances/2003rulemaking/documents/case_studies/CASE_Port_Room_Air_Cleaner.pdf</t>
  </si>
  <si>
    <t>http://library.cee1.org/sites/default/files/library/11671/2014CEEResAppliancesProgramOverview.pdf</t>
  </si>
  <si>
    <t>Best Buy</t>
  </si>
  <si>
    <t>Home Depot</t>
  </si>
  <si>
    <t>Lowe's</t>
  </si>
  <si>
    <t>Staples</t>
  </si>
  <si>
    <t>Walmart</t>
  </si>
  <si>
    <t>Energy Star Air Cleaner</t>
  </si>
  <si>
    <t xml:space="preserve">      Online</t>
  </si>
  <si>
    <t xml:space="preserve">     In-store</t>
  </si>
  <si>
    <t>Air cleaner</t>
  </si>
  <si>
    <t xml:space="preserve">     Online</t>
  </si>
  <si>
    <t>Total # of Models Online</t>
  </si>
  <si>
    <t>Total # of Models In-store</t>
  </si>
  <si>
    <t>SOURCE</t>
  </si>
  <si>
    <t>Lowe's: http://www.lowes.com/Heating-Cooling/Air-Purifiers-Accessories/Air-Purifiers/_/N-1z11on2/pl?Ntt=air+purifier#!&amp;Va=false&amp;page=1&amp;rpp=48&amp;N%5B%5D=1z11on2</t>
  </si>
  <si>
    <t>Staples: http://www.staples.com/air+purifier/directory_air+purifier?fids=141886&amp;rpp=54&amp;pn=1&amp;sr=true</t>
  </si>
  <si>
    <t>Walmart: http://www.walmart.com/search/?query=air%20purifier&amp;page=4&amp;sort=price_high&amp;cat_id=1072864_133032_46324&amp;facet=category:Air%20Purifiers%7C%7Cretailer:Walmart.com</t>
  </si>
  <si>
    <t>Home Depot: http://www.homedepot.com/b/ENERGY-STAR-Certified/N-5yc1vZ1z0tlzw/Ntk-Extended/Ntt-air%2Bpurifier?Ntx=mode+matchpartialmax&amp;NCNI-5</t>
  </si>
  <si>
    <t xml:space="preserve">look at HEER - BCE report - market resreach section: </t>
  </si>
  <si>
    <t>P:\P254 SCE HEER_BCE_Survey\Report\HEER-BCE_083012_FINAL</t>
  </si>
  <si>
    <t>for each of larger 10 stores, track whether air cleaner energy star status is :not available, available with difficulty, easily available.</t>
  </si>
  <si>
    <t>Sears</t>
  </si>
  <si>
    <t>Sears: http://www.sears.com/search=air%20purifiers&amp;Sears?filter=storeOrigin&amp;catalogId=12605&amp;viewItems=50&amp;storeId=10153&amp;levels=Appliances_Air+Purifiers+%26+Dehumidifiers_Air+Purifiers</t>
  </si>
  <si>
    <t>Disgnation of ES</t>
  </si>
  <si>
    <t>Easy</t>
  </si>
  <si>
    <t>Sort by room size</t>
  </si>
  <si>
    <t>Yes</t>
  </si>
  <si>
    <t>No</t>
  </si>
  <si>
    <t>Target</t>
  </si>
  <si>
    <t>Costco</t>
  </si>
  <si>
    <t>Walgreens</t>
  </si>
  <si>
    <t>W/ Difficulty</t>
  </si>
  <si>
    <t>Not avail</t>
  </si>
  <si>
    <t>Easily findable</t>
  </si>
  <si>
    <t>Findable w/ difficulty</t>
  </si>
  <si>
    <t>% online ES</t>
  </si>
  <si>
    <t>% in-store ES</t>
  </si>
  <si>
    <t>WALMART</t>
  </si>
  <si>
    <t>&lt;300 SF</t>
  </si>
  <si>
    <t>AVG</t>
  </si>
  <si>
    <t>NONE ES</t>
  </si>
  <si>
    <t>Up to 400SF</t>
  </si>
  <si>
    <t>ES</t>
  </si>
  <si>
    <t>SEARS</t>
  </si>
  <si>
    <t>&lt;400 ES</t>
  </si>
  <si>
    <t>&gt;400ES</t>
  </si>
  <si>
    <t>&lt;400 NO ES</t>
  </si>
  <si>
    <t>&gt;400 NO ES</t>
  </si>
  <si>
    <t>AVERAGE PRICE BY ROOM SIZE</t>
  </si>
  <si>
    <t>Nothing above 400sf</t>
  </si>
  <si>
    <t>HOME DEPOT</t>
  </si>
  <si>
    <t>&lt;400ES</t>
  </si>
  <si>
    <t># Models Available Online - Sears</t>
  </si>
  <si>
    <t xml:space="preserve"># Models Available Online - Lowe's </t>
  </si>
  <si>
    <t># Models Available In-store - Sears</t>
  </si>
  <si>
    <t># Models Available In-Store - Home Depot</t>
  </si>
  <si>
    <t># Models Available Online - Home Depot</t>
  </si>
  <si>
    <t xml:space="preserve"># Models Available In-store - Lowe's </t>
  </si>
  <si>
    <t># Models Available In-store- Staples</t>
  </si>
  <si>
    <t># Models Available Online - Staples</t>
  </si>
  <si>
    <t># Models Available Online - Walmart</t>
  </si>
  <si>
    <t># Models Available In-store - Walmart</t>
  </si>
  <si>
    <t xml:space="preserve">Average # Models Available Online </t>
  </si>
  <si>
    <t>Average # Models Available In-store</t>
  </si>
  <si>
    <t>ENERGY STAR® Unit Shipment and Market Penetration Report Calendar Year 2013 Summary</t>
  </si>
  <si>
    <t>http://www.energystar.gov/ia/partners/downloads/unit_shipment_data/2012_USD_Summary_Report.pdf</t>
  </si>
  <si>
    <t>ENERGY STAR® Unit Shipment and Market Penetration Report Calendar Year 2012 Summary</t>
  </si>
  <si>
    <t>http://www.energy.ca.gov/appliances/2003rulemaking/documents/public_comments/2004-8-13_AHAM.PDF</t>
  </si>
  <si>
    <t>AHAM</t>
  </si>
  <si>
    <t>Report to California Energy Commission Analysis of Energy Efficiency of Room Air Cleaners</t>
  </si>
  <si>
    <t>California</t>
  </si>
  <si>
    <t>N/A bc none in stores</t>
  </si>
  <si>
    <t>Since 2004</t>
  </si>
  <si>
    <t>There is also consolidation among retailers. The same three companies account for</t>
  </si>
  <si>
    <t>40% to 65% market share in the retail distribution channel for refrigerators, clothes</t>
  </si>
  <si>
    <t>dryers, and water heaters: Sears, Lowe's, and Home Depot. This is in accord with the</t>
  </si>
  <si>
    <t>national trend in appliance sales toward national chains, a shift also taking place in</t>
  </si>
  <si>
    <t>electronics.</t>
  </si>
  <si>
    <t>http://www.wsj.com/articles/SB10001424127887323665504579028371672070930</t>
  </si>
  <si>
    <t>Market Share in 2013:</t>
  </si>
  <si>
    <t>TOTAL</t>
  </si>
  <si>
    <t>By manufacturer 2008 - http://www.statista.com/statistics/296707/market-share-of-appliance-producer-companies-united-states/</t>
  </si>
  <si>
    <t>By retailer</t>
  </si>
  <si>
    <t>Design Life</t>
  </si>
  <si>
    <t>http://www.energystar.gov/ia/partners/downloads/unit_shipment_data/2011_USD_Summary_Report.pdf</t>
  </si>
  <si>
    <t>ENERGY STAR® Unit Shipment and Market Penetration Report Calendar Year 2011 Summary</t>
  </si>
  <si>
    <t>ENERGY STAR Savings Data</t>
  </si>
  <si>
    <t>2014 ENERGY STAR Product Data Book Worksheet</t>
  </si>
  <si>
    <t>UEC (Unit Energy Consumption) kWh/year</t>
  </si>
  <si>
    <t>Codes and Standards Enhancement Initiative For PY2004: Title 20 Standards Development - 
Draft Analysis of Standards Options For Portable Room Air Cleaners</t>
  </si>
  <si>
    <t>ENERGY STAR certified air cleaners</t>
  </si>
  <si>
    <t>California certified air cleaners</t>
  </si>
  <si>
    <t>California Environmental Protection Agency: Air Resources Board</t>
  </si>
  <si>
    <t>Last updated 1/22/15</t>
  </si>
  <si>
    <t>California Certified Air Cleaning Devices</t>
  </si>
  <si>
    <t>http://www.arb.ca.gov/research/indoor/aircleaners/certified.htm</t>
  </si>
  <si>
    <t>2.0 CADR/Watt (Dust)</t>
  </si>
  <si>
    <t>http://www.energystar.gov/productfinder/product/certified-room-air-cleaners/results</t>
  </si>
  <si>
    <t>ENERGY STAR Certified Room Air Cleaners</t>
  </si>
  <si>
    <t>Lifecycle (years)</t>
  </si>
  <si>
    <t>Overview of Residential Appliance Programs in the United States and Canada</t>
  </si>
  <si>
    <t>Consortium for Energy Efficiency (CEE)</t>
  </si>
  <si>
    <t>9, 12, 13</t>
  </si>
  <si>
    <t>July, 2014</t>
  </si>
  <si>
    <t>February, 2008</t>
  </si>
  <si>
    <t>Room Air Cleaner Certification Program Procedural Guide</t>
  </si>
  <si>
    <t>http://www.aham.org/ht/a/GetDocumentAction/i/31753</t>
  </si>
  <si>
    <t>Environmental Protection Agency</t>
  </si>
  <si>
    <t xml:space="preserve">n.d. </t>
  </si>
  <si>
    <t>Ozone Generators that are Sold as Air Cleaners</t>
  </si>
  <si>
    <t>http://www.epa.gov/iaq/pubs/ozonegen.html</t>
  </si>
  <si>
    <t>http://www.epa.gov/iaq/pubs/residair.html#Inability-to-Remove-Some-Odors</t>
  </si>
  <si>
    <t>Residential Air Cleaners (Second Edition): A Summary of Available Information</t>
  </si>
  <si>
    <t>August, 2009</t>
  </si>
  <si>
    <t>Usage trends in the West</t>
  </si>
  <si>
    <t>http://www.energystar.gov/sites/default/files/specs//private/Room_Air_Cleaners_V1.2_Comment_Responses.pdf</t>
  </si>
  <si>
    <t>Email to EPA from AHAM regarding ENERGY STAR program requirements product specification for room air cleaners, eligibility criteria, draft, version 1.2</t>
  </si>
  <si>
    <t>15, 16</t>
  </si>
  <si>
    <t>User Notes:</t>
  </si>
  <si>
    <t>Data</t>
  </si>
  <si>
    <t>cells link to data tab location</t>
  </si>
  <si>
    <t>Air Cleaner Residential Solutions Workbook</t>
  </si>
  <si>
    <t>Market Data Summary</t>
  </si>
  <si>
    <t>Air Cleaner Measure</t>
  </si>
  <si>
    <t xml:space="preserve">Air Cleaner  </t>
  </si>
  <si>
    <t>UEC</t>
  </si>
  <si>
    <t>UES</t>
  </si>
  <si>
    <t>Benefits and Barriers</t>
  </si>
  <si>
    <t>Programs Incenting Measure</t>
  </si>
  <si>
    <t>Barriers</t>
  </si>
  <si>
    <t xml:space="preserve">Average Cost </t>
  </si>
  <si>
    <t>Average number of models online</t>
  </si>
  <si>
    <t>Average number of models in store</t>
  </si>
  <si>
    <t>&gt;400</t>
  </si>
  <si>
    <t>&lt;400</t>
  </si>
  <si>
    <t xml:space="preserve">SF    </t>
  </si>
  <si>
    <t>Easily Findable</t>
  </si>
  <si>
    <t>Findable with difficulty</t>
  </si>
  <si>
    <t>None</t>
  </si>
  <si>
    <t>Lowes</t>
  </si>
  <si>
    <t>Home Dept</t>
  </si>
  <si>
    <t>Estimated ENERGY STAR Market Penetration</t>
  </si>
  <si>
    <t xml:space="preserve">The CADR testing approach was revised in 2011 when AHAM expressed concern about the variability in test results due to the difficulty measuring fine dust particles. They suggested using multiple samples for verification testing. The EPA accepted this as long as the mean of the multiple tests was equal or better to the ENERGY STAR requirements.  </t>
  </si>
  <si>
    <t xml:space="preserve">Some produce ozone as a byproduct which, at ground level, is a respiratory irritant. This prompted California to create regulations around the maximum allowable limit of ozone emitted. The EPA guidelines and the California standard is no more than .050ppm. </t>
  </si>
  <si>
    <t>err up</t>
  </si>
  <si>
    <t>err down</t>
  </si>
  <si>
    <t>box hi</t>
  </si>
  <si>
    <t>box mid</t>
  </si>
  <si>
    <t>box lo</t>
  </si>
  <si>
    <t>max</t>
  </si>
  <si>
    <t>q3</t>
  </si>
  <si>
    <t>q2</t>
  </si>
  <si>
    <t>q1</t>
  </si>
  <si>
    <t>min</t>
  </si>
  <si>
    <t xml:space="preserve">Air cleaners are not a product that needs to be on every day nor all day nor all year. AHAM has updated regional data on the usage of air cleaners available for purchase. 
2004 data from AHAM suggests 1/3rd of people in the Western region of the US use the air cleaner 24 hours a day while 1/4th use air cleaners 1-4 hours a day. 1/4th use air cleaners 5-8 hours a
day and 1/5th use air cleaners from 9-23 hours a day. Further, 71% of families in the West region use air cleaners year-round while 29% use them only in allergy season.
</t>
  </si>
  <si>
    <r>
      <rPr>
        <b/>
        <sz val="10"/>
        <color theme="1"/>
        <rFont val="Calibri"/>
        <family val="2"/>
        <scheme val="minor"/>
      </rPr>
      <t>Product Diversity</t>
    </r>
    <r>
      <rPr>
        <sz val="10"/>
        <color theme="1"/>
        <rFont val="Calibri"/>
        <family val="2"/>
        <scheme val="minor"/>
      </rPr>
      <t xml:space="preserve"> - There is substantial diversity of air cleaners and numerous features to consider when making a purchasing decision.
The </t>
    </r>
    <r>
      <rPr>
        <b/>
        <sz val="10"/>
        <color theme="1"/>
        <rFont val="Calibri"/>
        <family val="2"/>
        <scheme val="minor"/>
      </rPr>
      <t xml:space="preserve">efficiency metric </t>
    </r>
    <r>
      <rPr>
        <sz val="10"/>
        <color theme="1"/>
        <rFont val="Calibri"/>
        <family val="2"/>
        <scheme val="minor"/>
      </rPr>
      <t>(CADR/watt) is not used in marketing the products and the ENERGY STAR designation is only sometimes used in marketing.  
There is substantial variation in the efficiency metric of ENERGY STAR air cleaners (CADR/Watt). It ranges from 2.0 to 89.2, making it unclear what a "good" efficiency rating is.</t>
    </r>
  </si>
  <si>
    <t>Manufacturers: 48 different brands make models that are ES certified
Major brands of any air cleaner type include:  Blueair, GE, Germ Guardian, Holmes, Honeywell, Hunter, Idylis, Kenmore, Oreck, and Whirlpool.
Retailers: Include online and in-store retailers. Air cleaners are sold at appliance stores like Sears, Home Depot, and Lowe's. But also at more general retail stores like Wal-Mart and Target.</t>
  </si>
  <si>
    <t>CEE lists 12 members who run rebate programs for purchasing an ENERGY STAR air cleaner. They are mostly in the Northeastern United States with Iowa being the farthest West.
Alliant Energy (IA, WI)
Cape Light Compact (MA)                      
Liberty Utilities (NH)                          
National Grid (MA)                                 
National Grid (RI)                                        
New Hampshire Electric Cooperative (NH)  
NSTAR Electric (MA)                                 
PSEG Long Island (NY)                                            
Public Service Company of New Hampshire (NH)                                           
Unitil (MA)                                                      
Unitil (NH)                                                   
Western Massachusetts Electric Company (MA)</t>
  </si>
  <si>
    <t>yes</t>
  </si>
  <si>
    <t xml:space="preserve"> - Lack of CADR/watt efficiency label
 - Substantial variation in CADR/watt
- ENERGY STAR designation not always marketed</t>
  </si>
  <si>
    <t>2015 (current)</t>
  </si>
  <si>
    <t>Price</t>
  </si>
  <si>
    <t>Store</t>
  </si>
  <si>
    <t>Size</t>
  </si>
  <si>
    <t>ES &gt;400</t>
  </si>
  <si>
    <t>ES &lt;400</t>
  </si>
  <si>
    <t>Greater</t>
  </si>
  <si>
    <t>Less Than</t>
  </si>
  <si>
    <t>Energy Star</t>
  </si>
  <si>
    <t>Average Cost</t>
  </si>
  <si>
    <t>http://www.lowes.com/Heating-Cooling/Air-Purifiers-Accessories/Air-Purifiers/_/N-1z11on2/pl?Ntt=air+purifier#!&amp;Va=false&amp;page=1&amp;rpp=48&amp;N%5B%5D=1z11on2</t>
  </si>
  <si>
    <t>http://www.staples.com/air+purifier/directory_air+purifier?fids=141886&amp;rpp=54&amp;pn=1&amp;sr=true</t>
  </si>
  <si>
    <t>Staples Website</t>
  </si>
  <si>
    <t>Sears Website</t>
  </si>
  <si>
    <t>Lowe's Website</t>
  </si>
  <si>
    <t>http://www.walmart.com/search/?query=air%20purifier&amp;page=4&amp;sort=price_high&amp;cat_id=1072864_133032_46324&amp;facet=category:Air%20Purifiers%7C%7Cretailer:Walmart.com</t>
  </si>
  <si>
    <t>Walmart Website</t>
  </si>
  <si>
    <t xml:space="preserve"> http://www.homedepot.com/b/ENERGY-STAR-Certified/N-5yc1vZ1z0tlzw/Ntk-Extended/Ntt-air%2Bpurifier?Ntx=mode+matchpartialmax&amp;NCNI-5</t>
  </si>
  <si>
    <t>Home Depot website</t>
  </si>
  <si>
    <t>http://www.sears.com/search=air%20purifiers&amp;Sears?filter=storeOrigin&amp;catalogId=12605&amp;viewItems=50&amp;storeId=10153&amp;levels=Appliances_Air+Purifiers+%26+Dehumidifiers_Air+Purifiers</t>
  </si>
  <si>
    <t>Date Accessed</t>
  </si>
  <si>
    <t>Idylis</t>
  </si>
  <si>
    <t>Germ Guardian</t>
  </si>
  <si>
    <t>BlueAir</t>
  </si>
  <si>
    <t>Fellowes</t>
  </si>
  <si>
    <t>Crane</t>
  </si>
  <si>
    <t>Alen</t>
  </si>
  <si>
    <t>Air Oasis</t>
  </si>
  <si>
    <t>Honeywell</t>
  </si>
  <si>
    <t>Winix</t>
  </si>
  <si>
    <t>Y</t>
  </si>
  <si>
    <t>3M</t>
  </si>
  <si>
    <t>APC</t>
  </si>
  <si>
    <t>Bell &amp; Howell</t>
  </si>
  <si>
    <t>Delonghi</t>
  </si>
  <si>
    <t>DK Publishing</t>
  </si>
  <si>
    <t>Envion</t>
  </si>
  <si>
    <t>Febreze</t>
  </si>
  <si>
    <t>Hamilton Beach</t>
  </si>
  <si>
    <t>Holmes</t>
  </si>
  <si>
    <t>Hoover</t>
  </si>
  <si>
    <t>Ionic Pro</t>
  </si>
  <si>
    <t>Jarden</t>
  </si>
  <si>
    <t>Kaz</t>
  </si>
  <si>
    <t>P3</t>
  </si>
  <si>
    <t>Sharp</t>
  </si>
  <si>
    <t>Soleus</t>
  </si>
  <si>
    <t>Trademark</t>
  </si>
  <si>
    <t>Tuttle pub</t>
  </si>
  <si>
    <t>HoMedics</t>
  </si>
  <si>
    <t>Bionaire</t>
  </si>
  <si>
    <t>Whirlpool</t>
  </si>
  <si>
    <t>Crane USA</t>
  </si>
  <si>
    <t>Filtrete</t>
  </si>
  <si>
    <t>Lasko</t>
  </si>
  <si>
    <t>Luma Comfort</t>
  </si>
  <si>
    <t>Black &amp; Decker</t>
  </si>
  <si>
    <t>Electrolux</t>
  </si>
  <si>
    <t>Hunter</t>
  </si>
  <si>
    <t>Oreck</t>
  </si>
  <si>
    <t>Rabbit Air</t>
  </si>
  <si>
    <t>Therapure</t>
  </si>
  <si>
    <t>Vornado</t>
  </si>
  <si>
    <t>Kenmore</t>
  </si>
  <si>
    <t>SPT</t>
  </si>
  <si>
    <t>Claritin</t>
  </si>
  <si>
    <t>EcoGecko</t>
  </si>
  <si>
    <t>Aerus</t>
  </si>
  <si>
    <t>Airgle</t>
  </si>
  <si>
    <t>Allergy Pro</t>
  </si>
  <si>
    <t>Atmosphere</t>
  </si>
  <si>
    <t xml:space="preserve">BLUE </t>
  </si>
  <si>
    <t>Coway</t>
  </si>
  <si>
    <t>Doctor's Air Purifier</t>
  </si>
  <si>
    <t>Friedrich</t>
  </si>
  <si>
    <t>Frigidaire</t>
  </si>
  <si>
    <t>Cairs</t>
  </si>
  <si>
    <t>Guardian Technologies</t>
  </si>
  <si>
    <t>Haverhill</t>
  </si>
  <si>
    <t>Ionic Comfort Plus</t>
  </si>
  <si>
    <t>IQAir</t>
  </si>
  <si>
    <t>KoolCoh</t>
  </si>
  <si>
    <t>NUK</t>
  </si>
  <si>
    <t>ORANSI</t>
  </si>
  <si>
    <t>Pure Ion Pro</t>
  </si>
  <si>
    <t>Ricaar</t>
  </si>
  <si>
    <t>Sharper Image</t>
  </si>
  <si>
    <t>Simplicity</t>
  </si>
  <si>
    <t>True Air</t>
  </si>
  <si>
    <t>Woongjin</t>
  </si>
  <si>
    <t>Energy Star list</t>
  </si>
  <si>
    <t>10, 17-21</t>
  </si>
  <si>
    <t># Qualifying Models</t>
  </si>
  <si>
    <t>Air Health</t>
  </si>
  <si>
    <t>American Comfort</t>
  </si>
  <si>
    <t>ATI</t>
  </si>
  <si>
    <t>CleanAirBall</t>
  </si>
  <si>
    <t>GE</t>
  </si>
  <si>
    <t>HomeSelects</t>
  </si>
  <si>
    <t xml:space="preserve">Ionic Pro </t>
  </si>
  <si>
    <t>Mountainaire By Sunheat</t>
  </si>
  <si>
    <t>Purely Products</t>
  </si>
  <si>
    <t>RGF</t>
  </si>
  <si>
    <t>SmartTek</t>
  </si>
  <si>
    <t>Whynter</t>
  </si>
  <si>
    <t>Average Unit Cost &gt;400 sf</t>
  </si>
  <si>
    <t>Average Unit Cost &lt;400 sf</t>
  </si>
  <si>
    <t>17-21</t>
  </si>
  <si>
    <t># of Stores that stock in store (out of Top 6)</t>
  </si>
  <si>
    <t>Average Cost &gt;400</t>
  </si>
  <si>
    <t>Average Cost &lt;400</t>
  </si>
  <si>
    <t># of Stores that stock in store (out of 6)</t>
  </si>
  <si>
    <t># of Stores that stock in store*</t>
  </si>
  <si>
    <t>* out of 6 retail stores</t>
  </si>
  <si>
    <t>Non-Energy Star</t>
  </si>
  <si>
    <t>&gt;$600</t>
  </si>
  <si>
    <t>&lt; $200</t>
  </si>
  <si>
    <t>$200 - $600</t>
  </si>
  <si>
    <t>Non ES &gt;400</t>
  </si>
  <si>
    <t>Non ES &lt;400</t>
  </si>
  <si>
    <t>5+</t>
  </si>
  <si>
    <t xml:space="preserve"> 2-3</t>
  </si>
  <si>
    <t xml:space="preserve"> 3-4</t>
  </si>
  <si>
    <t xml:space="preserve"> 4-5</t>
  </si>
  <si>
    <t>Note</t>
  </si>
  <si>
    <t>CEE Programs Incenting Measure</t>
  </si>
  <si>
    <t>Sources of Savings Uncertainty</t>
  </si>
  <si>
    <t xml:space="preserve"> - Usage variation (hours per day; days per week; seasonally)
- Unit size</t>
  </si>
  <si>
    <t>&lt; $100</t>
  </si>
  <si>
    <r>
      <t xml:space="preserve">ENERGY STAR Designation on Website 
</t>
    </r>
    <r>
      <rPr>
        <b/>
        <sz val="8"/>
        <color theme="1"/>
        <rFont val="Arial"/>
        <family val="2"/>
      </rPr>
      <t>(out of 8  stores)</t>
    </r>
  </si>
  <si>
    <t>Penetration</t>
  </si>
  <si>
    <t>The ENERGY STAR specification for room air purifiers measures energy efficiency by using a Clean Air Delivery Rate-to-Watt ratio. Clean Air Delivery Rate (CADR) is a measure of the amount of contaminant-free air delivered by the room air purifier.</t>
  </si>
  <si>
    <t>All Sizes</t>
  </si>
  <si>
    <t>Select size</t>
  </si>
  <si>
    <t>ENERGY STAR Designation on Website 
(out of 8  stores)</t>
  </si>
  <si>
    <t>http://www.energystar.gov/index.cfm?c=room_airclean.pr_crit_room_airclean</t>
  </si>
  <si>
    <t>An electric cord-connected, portable appliance with the primary function of removing particulate matter from the air and which can be moved from room to room</t>
  </si>
  <si>
    <t>http://energy.gov/sites/prod/files/2014/01/f6/aham_estar_comment.pdf</t>
  </si>
  <si>
    <t>May, 2011</t>
  </si>
  <si>
    <t>ENERGY STAR Version 1.2 Room Air Cleaners Specification Draft Stakeholder Comment Response Summary</t>
  </si>
  <si>
    <t>Target, Costco, and Walgreens do not designate whether or not air cleaners are ENERGY STAR certified</t>
  </si>
  <si>
    <t>17, 19, 20, 21</t>
  </si>
  <si>
    <t>Target Website</t>
  </si>
  <si>
    <t>Costco Website</t>
  </si>
  <si>
    <t>Walgreens Website</t>
  </si>
  <si>
    <t>http://www.target.com/s?searchTerm=air+purifier&amp;category=0%7CAll%7Cmatchallpartial%7Call+categories&amp;lnk=snav_sbox_air+purifier#</t>
  </si>
  <si>
    <t>http://www.costco.com/CatalogSearch?storeId=10301&amp;catalogId=10701&amp;langId=-1&amp;refine=30051&amp;keyword=Air+Purifiers</t>
  </si>
  <si>
    <t>http://www.walgreens.com/search/results.jsp?Erp=96&amp;N=2000011205&amp;Ntt=air%20purifiers</t>
  </si>
  <si>
    <t>22-24</t>
  </si>
  <si>
    <t>Average Design Life</t>
  </si>
  <si>
    <t>Room Air Cleaners Key Product Criteria</t>
  </si>
  <si>
    <t>To be considered for ENERGY STAR certification, minimum of 50 CADR (Dust)</t>
  </si>
  <si>
    <t>Standby Power Requirement = 2.0 Watts</t>
  </si>
  <si>
    <t>Ozone emission concentration less than 50ppb</t>
  </si>
  <si>
    <t>Unpublished, provided by ENERGY STAR</t>
  </si>
  <si>
    <t>ENERGY STAR Specification 1.0</t>
  </si>
  <si>
    <t>ENERGY STAR Specification 1.2</t>
  </si>
  <si>
    <t>* Added across 3 retailers, approximates customer choice but may include duplicate models.</t>
  </si>
  <si>
    <t>% In-store Assortment - Sears</t>
  </si>
  <si>
    <t>% Online Assortment - Sears</t>
  </si>
  <si>
    <t>Sears ENERGY STAR designation</t>
  </si>
  <si>
    <t>% Online Assortment - Home Depot</t>
  </si>
  <si>
    <t>% In-store Assortment - Home Depot</t>
  </si>
  <si>
    <t>Home Depot ENERGY STAR designation</t>
  </si>
  <si>
    <t>% Online Assortment - Lowe's</t>
  </si>
  <si>
    <t>% In-store Assortment - Lowe's</t>
  </si>
  <si>
    <t>Lowes ENERGY STAR designation</t>
  </si>
  <si>
    <t>% Online Assortment - Staples</t>
  </si>
  <si>
    <t>% In-store Assortment - Staples</t>
  </si>
  <si>
    <t>Wal Mart ES designation</t>
  </si>
  <si>
    <t>Staples ES designation</t>
  </si>
  <si>
    <t>% Online Assortment- Wal-mart</t>
  </si>
  <si>
    <t>% In-store Assortment- Wal-Mart</t>
  </si>
  <si>
    <t>Retail Online Availability (Percent that carry) (n=5)</t>
  </si>
  <si>
    <t>Retail In-store Availability (Percent that carry) (n=5)</t>
  </si>
  <si>
    <t>Retailer ENERGY STAR Designation on Website 
(out of 8  stores)</t>
  </si>
  <si>
    <t>Unknown</t>
  </si>
  <si>
    <t>Blank</t>
  </si>
  <si>
    <t>Major programs targeting ENERGY STAR measure</t>
  </si>
  <si>
    <t>UL Safety Requirement = ozone emission concentration less than 50ppb</t>
  </si>
  <si>
    <t xml:space="preserve">There are no NEBs of efficient air cleaners over inefficient ones. </t>
  </si>
  <si>
    <t>$100-$200</t>
  </si>
  <si>
    <t>$200-$300</t>
  </si>
  <si>
    <t>$300-$400</t>
  </si>
  <si>
    <t>$500-$600</t>
  </si>
  <si>
    <t>$600+</t>
  </si>
  <si>
    <t>$400-$500</t>
  </si>
  <si>
    <t>The use of air cleaners (including those with high efficincy particulate air or HEPA filters) may help reduce the amount of airborne pollutants, but do not consistently and effectively reduce adverse health effects caused by these pollutants.</t>
  </si>
  <si>
    <t>% Households with Air Cleaner</t>
  </si>
  <si>
    <t xml:space="preserve"> </t>
  </si>
  <si>
    <t>- Marketed to improve indoor air quality. Research on health benefits is inconclusive. Some "ionizing" products emit ozone, which is a health risk.</t>
  </si>
  <si>
    <t>Description</t>
  </si>
  <si>
    <t>Product Health Benefits</t>
  </si>
  <si>
    <t>Energy savings sources of uncertainty</t>
  </si>
  <si>
    <t>Technology features</t>
  </si>
  <si>
    <r>
      <t>Air cleaners include several different type of filter systems. 
Some air cleaners include an</t>
    </r>
    <r>
      <rPr>
        <b/>
        <sz val="10"/>
        <color theme="1"/>
        <rFont val="Calibri"/>
        <family val="2"/>
        <scheme val="minor"/>
      </rPr>
      <t xml:space="preserve"> ionizer</t>
    </r>
    <r>
      <rPr>
        <sz val="10"/>
        <color theme="1"/>
        <rFont val="Calibri"/>
        <family val="2"/>
        <scheme val="minor"/>
      </rPr>
      <t>. Ionizers create charged particles, which are heavier, so they fall to the ground more quickly. Some research has shown that charged particles deposit in the lungs at a greater rate than uncharged particles. 
HEPA (High efficiency particulate air) filters capture ultrafine particles and can be helpful to people who have allergies.</t>
    </r>
  </si>
  <si>
    <t>Test method and measurement concerns</t>
  </si>
  <si>
    <t>All Air Cleaners</t>
  </si>
  <si>
    <t>Efficiency Specifications</t>
  </si>
  <si>
    <t>&gt;400 Sq ft</t>
  </si>
  <si>
    <t>&lt;400 Sq ft</t>
  </si>
  <si>
    <t>Product Assortment Cost Comparison</t>
  </si>
  <si>
    <t>What is the ENERGY STAR market share in California?</t>
  </si>
  <si>
    <t>How does usage behavior impact savings (proper unit sizing, filter changes, etc)?</t>
  </si>
  <si>
    <t>What is the typical usage profile in California (square feet and hours of operation)?</t>
  </si>
  <si>
    <t>READ ME</t>
  </si>
  <si>
    <t>Designed by: Research Into Action</t>
  </si>
  <si>
    <t>Tab Overview</t>
  </si>
  <si>
    <t>Summary View</t>
  </si>
  <si>
    <t>An overview of key data points collected.</t>
  </si>
  <si>
    <t>Measure Quantitative Data</t>
  </si>
  <si>
    <t>The main data table for all measure-level, numerical data included in the workbook.</t>
  </si>
  <si>
    <t>Measure Qualitiative Data</t>
  </si>
  <si>
    <t>The main data table for all qualitative data included in the workbook.</t>
  </si>
  <si>
    <t>Codes and Specs Data</t>
  </si>
  <si>
    <t>The main data table for all Codes and Voluntary Specifications data.</t>
  </si>
  <si>
    <t>List of all sources consulted. Source numbers correspond to data tab source #s.</t>
  </si>
  <si>
    <t>Source Info</t>
  </si>
  <si>
    <t>Market Indicators Collected</t>
  </si>
  <si>
    <t>Measure Descriptions</t>
  </si>
  <si>
    <t>Retail Availability</t>
  </si>
  <si>
    <t>Penetration and Shipments</t>
  </si>
  <si>
    <t>Energy Savings</t>
  </si>
  <si>
    <t>Codes and Specifications</t>
  </si>
  <si>
    <t>Health risks</t>
  </si>
  <si>
    <t>Health benefits</t>
  </si>
  <si>
    <t xml:space="preserve">Product Characteristics
</t>
  </si>
  <si>
    <r>
      <t xml:space="preserve">This workbook is designed  to inform the California Statewide PLA team's air cleaner program planning. The tool aggregates air cleaner measure market data from a variety of sources. Measures were defined based on efficiency specifications. 
</t>
    </r>
    <r>
      <rPr>
        <b/>
        <sz val="10"/>
        <color theme="1"/>
        <rFont val="Arial"/>
        <family val="2"/>
      </rPr>
      <t>Intended use:</t>
    </r>
    <r>
      <rPr>
        <sz val="10"/>
        <color theme="1"/>
        <rFont val="Arial"/>
        <family val="2"/>
      </rPr>
      <t xml:space="preserve"> These data are intended to provide a starting point in program planning; they are not intended to inform forecasting or reporting. The applicable year, territory, and source have been tracked for each data point collected. Consult these sources for specific questions on data interpretation.</t>
    </r>
  </si>
  <si>
    <t>* for 3 ESTAR was a sortable feature</t>
  </si>
  <si>
    <t>NEEA Territory</t>
  </si>
  <si>
    <t>Model List</t>
  </si>
  <si>
    <t>Workpapers</t>
  </si>
  <si>
    <t>AHAM Verification Program for Portable Electric Room Air Cleaners</t>
  </si>
  <si>
    <t>http://www.ahamdir.com/aham_cm/site/pages/index.html;jsessionid=A9EBA318D7633416B70CB756E3AD449E.node2?code=r.rac.AboutThisProgram</t>
  </si>
  <si>
    <t>7, 26</t>
  </si>
  <si>
    <t>2014/2015</t>
  </si>
  <si>
    <t xml:space="preserve">2014 ENERGY STAR Product Data Book Worksheet
2015 AHAM Verification </t>
  </si>
  <si>
    <t>Notes for Future Updates</t>
  </si>
  <si>
    <t>Efficiency specifications: years, variables and values  were entered mannually</t>
  </si>
  <si>
    <t>Percent of Energy Star Air Cleaners within a range</t>
  </si>
  <si>
    <t>Percent of Energy Star Air Cleaners within a range, all manually entered</t>
  </si>
  <si>
    <t>Findability</t>
  </si>
  <si>
    <t>Findability manually entered, removed from summary table</t>
  </si>
  <si>
    <t>Product Assortment Cost Comparison References</t>
  </si>
  <si>
    <t>Format control reference</t>
  </si>
  <si>
    <t>Display values</t>
  </si>
  <si>
    <t>v-lookup reference</t>
  </si>
  <si>
    <t>The product assortment cost comparison uses a combination of format control for the drop down, vlookups and choose formula to select the image</t>
  </si>
  <si>
    <t xml:space="preserve">V1.0 </t>
  </si>
  <si>
    <t>National/NEEA</t>
  </si>
  <si>
    <t>ENERGY STAR  Market Share</t>
  </si>
  <si>
    <t>2013/2014</t>
  </si>
  <si>
    <t>Energy Solutions</t>
  </si>
  <si>
    <t>NEEA Air Cleaner ENERGY STAR Market Penetration Estimate</t>
  </si>
  <si>
    <t>Personal communication</t>
  </si>
  <si>
    <t>Background</t>
  </si>
  <si>
    <t>Kema</t>
  </si>
  <si>
    <t>California Statewide Residential Appliance Saturation Study (RASS)</t>
  </si>
  <si>
    <t>https://websafe.kemainc.com/RASS2009/Query.aspx?QType=1&amp;tabid=1</t>
  </si>
  <si>
    <t>% of Existing Homes with Air Cleaner (Market Penetration)</t>
  </si>
  <si>
    <t>Average Number of Air Cleaners Per Home (Market Saturation)</t>
  </si>
  <si>
    <t>Efficiency unknown - any air cleaner</t>
  </si>
  <si>
    <t>PG&amp;E</t>
  </si>
  <si>
    <t>Average Number of Air Cleaners Per Home (Market Saturation) PG&amp;E</t>
  </si>
  <si>
    <t xml:space="preserve">What is the 2015 California market penetration? </t>
  </si>
  <si>
    <t>Availability summary: Calculated from retailer data to right</t>
  </si>
  <si>
    <t>Retailer raw availability data</t>
  </si>
  <si>
    <t>Calculated from retail data</t>
  </si>
  <si>
    <t>ENERGY STAR Efficiency requirement CADR/Watt</t>
  </si>
  <si>
    <t>See codes and specs data tab</t>
  </si>
  <si>
    <t>SCE</t>
  </si>
  <si>
    <t>SCG</t>
  </si>
  <si>
    <t>SDG&amp;E</t>
  </si>
  <si>
    <t>Average Number of Air Cleaners Per Home (Market Saturation) SCE</t>
  </si>
  <si>
    <t>Average Number of Air Cleaners Per Home (Market Saturation) SCG</t>
  </si>
  <si>
    <t>Average Number of Air Cleaners Per Home (Market Saturation) SDG&amp;E</t>
  </si>
  <si>
    <t>% of Existing Homes with Air Cleaner (Market Penetration) PG&amp;E</t>
  </si>
  <si>
    <t>% of Existing Homes with Air Cleaner (Market Penetration) SCE</t>
  </si>
  <si>
    <t>% of Existing Homes with Air Cleaner (Market Penetration) SCG</t>
  </si>
  <si>
    <t>% of Existing Homes with Air Cleaner (Market Penetration) SDG&amp;E</t>
  </si>
  <si>
    <t xml:space="preserve">Average # of Air Cleaners Per Home </t>
  </si>
  <si>
    <t>ALL</t>
  </si>
  <si>
    <t>vlookup reference</t>
  </si>
  <si>
    <t>Drop down values</t>
  </si>
  <si>
    <t>Format Control lookup value</t>
  </si>
  <si>
    <t>Penetration and Saturation  References</t>
  </si>
  <si>
    <t xml:space="preserve">IOU  </t>
  </si>
  <si>
    <t>Non-energy benefits and impacts</t>
  </si>
  <si>
    <t>Davis Energy Group</t>
  </si>
  <si>
    <t>Future Research Questions</t>
  </si>
  <si>
    <t>PG&amp;E Program Manager: Julie Colvin</t>
  </si>
  <si>
    <t>PG&amp;E Product Manager: Oriana Tiell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</si>
</sst>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quot;$&quot;#,##0.00"/>
    <numFmt numFmtId="168" formatCode="&quot;$&quot;#,##0"/>
  </numFmts>
  <fonts count="57"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b/>
      <sz val="13"/>
      <color theme="3"/>
      <name val="Calibri"/>
      <family val="2"/>
      <scheme val="minor"/>
    </font>
    <font>
      <u/>
      <sz val="11"/>
      <color theme="10"/>
      <name val="Calibri"/>
      <family val="2"/>
      <scheme val="minor"/>
    </font>
    <font>
      <i/>
      <sz val="11"/>
      <color theme="1"/>
      <name val="Calibri"/>
      <family val="2"/>
      <scheme val="minor"/>
    </font>
    <font>
      <b/>
      <sz val="11"/>
      <color theme="1"/>
      <name val="Calibri"/>
      <family val="2"/>
    </font>
    <font>
      <sz val="9"/>
      <name val="Calibri"/>
      <family val="2"/>
      <scheme val="minor"/>
    </font>
    <font>
      <sz val="10"/>
      <color theme="1" tint="0.2499465926084170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b/>
      <sz val="20"/>
      <color theme="1"/>
      <name val="Calibri"/>
      <family val="2"/>
      <scheme val="minor"/>
    </font>
    <font>
      <u/>
      <sz val="9"/>
      <color theme="1" tint="0.499984740745262"/>
      <name val="Arial"/>
      <family val="2"/>
    </font>
    <font>
      <b/>
      <sz val="18"/>
      <color theme="1"/>
      <name val="Calibri"/>
      <family val="2"/>
      <scheme val="minor"/>
    </font>
    <font>
      <b/>
      <sz val="11"/>
      <color theme="1"/>
      <name val="Arial"/>
      <family val="2"/>
    </font>
    <font>
      <sz val="10"/>
      <color theme="1"/>
      <name val="Arial"/>
      <family val="2"/>
    </font>
    <font>
      <b/>
      <sz val="10"/>
      <color theme="1"/>
      <name val="Arial"/>
      <family val="2"/>
    </font>
    <font>
      <b/>
      <i/>
      <sz val="12"/>
      <color theme="1"/>
      <name val="Calibri"/>
      <family val="2"/>
      <scheme val="minor"/>
    </font>
    <font>
      <b/>
      <i/>
      <sz val="11"/>
      <color theme="0"/>
      <name val="Arial"/>
      <family val="2"/>
    </font>
    <font>
      <sz val="9"/>
      <color rgb="FFFF0000"/>
      <name val="Calibri"/>
      <family val="2"/>
      <scheme val="minor"/>
    </font>
    <font>
      <b/>
      <sz val="9"/>
      <color rgb="FF666666"/>
      <name val="Arial"/>
      <family val="2"/>
    </font>
    <font>
      <sz val="9"/>
      <color indexed="81"/>
      <name val="Tahoma"/>
      <family val="2"/>
    </font>
    <font>
      <b/>
      <sz val="9"/>
      <color indexed="81"/>
      <name val="Tahoma"/>
      <family val="2"/>
    </font>
    <font>
      <u/>
      <sz val="10"/>
      <color theme="0" tint="-0.499984740745262"/>
      <name val="Calibri"/>
      <family val="2"/>
      <scheme val="minor"/>
    </font>
    <font>
      <sz val="8"/>
      <color theme="0" tint="-0.499984740745262"/>
      <name val="Calibri"/>
      <family val="2"/>
      <scheme val="minor"/>
    </font>
    <font>
      <b/>
      <sz val="8"/>
      <color theme="1"/>
      <name val="Arial"/>
      <family val="2"/>
    </font>
    <font>
      <sz val="8"/>
      <color theme="1"/>
      <name val="Calibri"/>
      <family val="2"/>
      <scheme val="minor"/>
    </font>
    <font>
      <b/>
      <i/>
      <sz val="14"/>
      <color theme="0"/>
      <name val="Calibri"/>
      <family val="2"/>
      <scheme val="minor"/>
    </font>
    <font>
      <sz val="11"/>
      <color theme="1"/>
      <name val="Calibri"/>
      <family val="2"/>
      <scheme val="minor"/>
    </font>
    <font>
      <sz val="11"/>
      <color rgb="FFFF0000"/>
      <name val="Calibri"/>
      <family val="2"/>
      <scheme val="minor"/>
    </font>
    <font>
      <sz val="12"/>
      <color theme="1"/>
      <name val="Calibri"/>
      <family val="2"/>
      <scheme val="minor"/>
    </font>
    <font>
      <b/>
      <sz val="9"/>
      <name val="Arial"/>
      <family val="2"/>
    </font>
    <font>
      <b/>
      <sz val="12"/>
      <color theme="1"/>
      <name val="Calibri"/>
      <family val="2"/>
      <scheme val="minor"/>
    </font>
    <font>
      <b/>
      <sz val="10"/>
      <color theme="1" tint="0.499984740745262"/>
      <name val="Calibri"/>
      <family val="2"/>
      <scheme val="minor"/>
    </font>
    <font>
      <b/>
      <sz val="9"/>
      <color theme="1"/>
      <name val="Arial"/>
      <family val="2"/>
    </font>
  </fonts>
  <fills count="30">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6"/>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38B"/>
        <bgColor indexed="64"/>
      </patternFill>
    </fill>
    <fill>
      <patternFill patternType="solid">
        <fgColor rgb="FFC00000"/>
        <bgColor indexed="64"/>
      </patternFill>
    </fill>
    <fill>
      <patternFill patternType="solid">
        <fgColor rgb="FFFFFFFF"/>
        <bgColor indexed="64"/>
      </patternFill>
    </fill>
    <fill>
      <patternFill patternType="solid">
        <fgColor rgb="FFFF0000"/>
        <bgColor indexed="64"/>
      </patternFill>
    </fill>
    <fill>
      <patternFill patternType="solid">
        <fgColor rgb="FF99CCFF"/>
        <bgColor indexed="64"/>
      </patternFill>
    </fill>
    <fill>
      <patternFill patternType="solid">
        <fgColor theme="5"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diagonal/>
    </border>
    <border>
      <left/>
      <right/>
      <top/>
      <bottom style="thick">
        <color theme="4" tint="0.499984740745262"/>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right style="thick">
        <color theme="0"/>
      </right>
      <top/>
      <bottom/>
      <diagonal/>
    </border>
    <border>
      <left style="thick">
        <color theme="0"/>
      </left>
      <right/>
      <top style="thin">
        <color indexed="64"/>
      </top>
      <bottom/>
      <diagonal/>
    </border>
    <border>
      <left style="thick">
        <color theme="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rgb="FF2592FF"/>
      </left>
      <right style="medium">
        <color rgb="FF2592FF"/>
      </right>
      <top style="medium">
        <color rgb="FF2592FF"/>
      </top>
      <bottom style="medium">
        <color rgb="FF2592FF"/>
      </bottom>
      <diagonal/>
    </border>
    <border>
      <left/>
      <right style="thick">
        <color theme="0"/>
      </right>
      <top style="thin">
        <color indexed="64"/>
      </top>
      <bottom/>
      <diagonal/>
    </border>
    <border>
      <left style="thick">
        <color theme="0"/>
      </left>
      <right style="thick">
        <color theme="0"/>
      </right>
      <top style="thin">
        <color indexed="64"/>
      </top>
      <bottom/>
      <diagonal/>
    </border>
    <border>
      <left style="thick">
        <color theme="0"/>
      </left>
      <right style="thick">
        <color theme="0"/>
      </right>
      <top/>
      <bottom/>
      <diagonal/>
    </border>
  </borders>
  <cellStyleXfs count="22">
    <xf numFmtId="0" fontId="0" fillId="0" borderId="0"/>
    <xf numFmtId="0" fontId="19" fillId="0" borderId="0"/>
    <xf numFmtId="9" fontId="21" fillId="0" borderId="0" applyFont="0" applyFill="0" applyBorder="0" applyAlignment="0" applyProtection="0"/>
    <xf numFmtId="0" fontId="18" fillId="0" borderId="0"/>
    <xf numFmtId="44" fontId="21" fillId="0" borderId="0" applyFont="0" applyFill="0" applyBorder="0" applyAlignment="0" applyProtection="0"/>
    <xf numFmtId="0" fontId="24" fillId="0" borderId="8" applyNumberFormat="0" applyFill="0" applyAlignment="0" applyProtection="0"/>
    <xf numFmtId="0" fontId="25" fillId="0" borderId="0" applyNumberFormat="0" applyFill="0" applyBorder="0" applyAlignment="0" applyProtection="0"/>
    <xf numFmtId="0" fontId="17" fillId="0" borderId="0"/>
    <xf numFmtId="0" fontId="21" fillId="0" borderId="0"/>
    <xf numFmtId="0" fontId="17" fillId="0" borderId="0"/>
    <xf numFmtId="9" fontId="21" fillId="0" borderId="0" applyFont="0" applyFill="0" applyBorder="0" applyAlignment="0" applyProtection="0"/>
    <xf numFmtId="0" fontId="17" fillId="0" borderId="0"/>
    <xf numFmtId="44" fontId="21" fillId="0" borderId="0" applyFont="0" applyFill="0" applyBorder="0" applyAlignment="0" applyProtection="0"/>
    <xf numFmtId="0" fontId="16" fillId="0" borderId="0"/>
    <xf numFmtId="0" fontId="16" fillId="0" borderId="0"/>
    <xf numFmtId="0" fontId="16" fillId="0" borderId="0"/>
    <xf numFmtId="0" fontId="29" fillId="0" borderId="0" applyNumberFormat="0" applyFill="0" applyBorder="0" applyAlignment="0" applyProtection="0"/>
    <xf numFmtId="43" fontId="21" fillId="0" borderId="0" applyFont="0" applyFill="0" applyBorder="0" applyAlignment="0" applyProtection="0"/>
    <xf numFmtId="0" fontId="30" fillId="21" borderId="0" applyNumberFormat="0" applyBorder="0" applyAlignment="0" applyProtection="0"/>
    <xf numFmtId="0" fontId="31" fillId="22" borderId="0" applyNumberFormat="0" applyBorder="0" applyAlignment="0" applyProtection="0"/>
    <xf numFmtId="0" fontId="32" fillId="23" borderId="0" applyNumberFormat="0" applyBorder="0" applyAlignment="0" applyProtection="0"/>
    <xf numFmtId="0" fontId="5" fillId="0" borderId="0"/>
  </cellStyleXfs>
  <cellXfs count="283">
    <xf numFmtId="0" fontId="0" fillId="0" borderId="0" xfId="0"/>
    <xf numFmtId="0" fontId="19" fillId="0" borderId="0" xfId="1"/>
    <xf numFmtId="0" fontId="0" fillId="0" borderId="0" xfId="0" applyBorder="1"/>
    <xf numFmtId="0" fontId="0" fillId="0" borderId="2" xfId="0" applyBorder="1"/>
    <xf numFmtId="14" fontId="0" fillId="0" borderId="0" xfId="0" applyNumberFormat="1"/>
    <xf numFmtId="9" fontId="0" fillId="0" borderId="0" xfId="2" applyFont="1"/>
    <xf numFmtId="0" fontId="0" fillId="0" borderId="0" xfId="0" applyAlignment="1">
      <alignment wrapText="1"/>
    </xf>
    <xf numFmtId="0" fontId="0" fillId="0" borderId="0" xfId="0" applyFill="1"/>
    <xf numFmtId="0" fontId="0" fillId="6" borderId="0" xfId="0" applyFill="1" applyBorder="1"/>
    <xf numFmtId="0" fontId="0" fillId="0" borderId="0" xfId="0"/>
    <xf numFmtId="0" fontId="0" fillId="0" borderId="0" xfId="0" applyNumberFormat="1"/>
    <xf numFmtId="164" fontId="0" fillId="0" borderId="0" xfId="0" applyNumberFormat="1"/>
    <xf numFmtId="0" fontId="0" fillId="0" borderId="0" xfId="0" applyFill="1" applyBorder="1"/>
    <xf numFmtId="0" fontId="0" fillId="0" borderId="0" xfId="0" applyBorder="1" applyAlignment="1">
      <alignment wrapText="1"/>
    </xf>
    <xf numFmtId="0" fontId="0" fillId="0" borderId="7" xfId="0" applyBorder="1"/>
    <xf numFmtId="0" fontId="23" fillId="9" borderId="0" xfId="0" applyFont="1" applyFill="1" applyBorder="1"/>
    <xf numFmtId="0" fontId="24" fillId="0" borderId="8" xfId="5"/>
    <xf numFmtId="0" fontId="0" fillId="0" borderId="0" xfId="0" applyFont="1"/>
    <xf numFmtId="0" fontId="25" fillId="0" borderId="0" xfId="6"/>
    <xf numFmtId="0" fontId="0" fillId="0" borderId="0" xfId="0" applyAlignment="1"/>
    <xf numFmtId="0" fontId="26" fillId="0" borderId="0" xfId="0" applyFont="1" applyAlignment="1">
      <alignment horizontal="left"/>
    </xf>
    <xf numFmtId="17" fontId="0" fillId="0" borderId="0" xfId="0" applyNumberFormat="1"/>
    <xf numFmtId="0" fontId="0" fillId="0" borderId="0" xfId="0" applyFont="1" applyFill="1" applyAlignment="1">
      <alignment horizontal="right"/>
    </xf>
    <xf numFmtId="0" fontId="0" fillId="0" borderId="0" xfId="8" applyFont="1"/>
    <xf numFmtId="0" fontId="23" fillId="0" borderId="0" xfId="1" applyFont="1"/>
    <xf numFmtId="9" fontId="0" fillId="0" borderId="0" xfId="2" applyFont="1" applyFill="1"/>
    <xf numFmtId="0" fontId="22" fillId="0" borderId="0" xfId="0" applyFont="1" applyBorder="1"/>
    <xf numFmtId="0" fontId="0" fillId="5" borderId="0" xfId="0" applyFill="1" applyBorder="1"/>
    <xf numFmtId="0" fontId="0" fillId="0" borderId="7" xfId="0" applyBorder="1" applyAlignment="1">
      <alignment wrapText="1"/>
    </xf>
    <xf numFmtId="9" fontId="0" fillId="5" borderId="0" xfId="2" applyFont="1" applyFill="1" applyBorder="1"/>
    <xf numFmtId="165" fontId="0" fillId="5" borderId="0" xfId="4" applyNumberFormat="1" applyFont="1" applyFill="1" applyBorder="1"/>
    <xf numFmtId="0" fontId="0" fillId="5" borderId="11" xfId="0" applyFill="1" applyBorder="1"/>
    <xf numFmtId="0" fontId="0" fillId="0" borderId="12" xfId="0" applyBorder="1" applyAlignment="1">
      <alignment wrapText="1"/>
    </xf>
    <xf numFmtId="0" fontId="0" fillId="4" borderId="16" xfId="0" applyFill="1" applyBorder="1" applyAlignment="1">
      <alignment wrapText="1"/>
    </xf>
    <xf numFmtId="0" fontId="23" fillId="5" borderId="4" xfId="1" applyFont="1" applyFill="1" applyBorder="1" applyAlignment="1">
      <alignment horizontal="right" wrapText="1"/>
    </xf>
    <xf numFmtId="0" fontId="23" fillId="5" borderId="5" xfId="1" applyFont="1" applyFill="1" applyBorder="1" applyAlignment="1">
      <alignment wrapText="1"/>
    </xf>
    <xf numFmtId="0" fontId="0" fillId="7" borderId="10" xfId="0" applyFill="1" applyBorder="1"/>
    <xf numFmtId="0" fontId="0" fillId="7" borderId="13" xfId="0" applyFill="1" applyBorder="1"/>
    <xf numFmtId="0" fontId="22" fillId="0" borderId="6" xfId="0" applyFont="1" applyBorder="1"/>
    <xf numFmtId="0" fontId="0" fillId="0" borderId="6" xfId="0" applyBorder="1"/>
    <xf numFmtId="0" fontId="0" fillId="0" borderId="14" xfId="0" applyBorder="1"/>
    <xf numFmtId="0" fontId="22" fillId="5" borderId="1" xfId="0" applyNumberFormat="1" applyFont="1" applyFill="1" applyBorder="1" applyAlignment="1" applyProtection="1">
      <alignment wrapText="1"/>
    </xf>
    <xf numFmtId="0" fontId="22" fillId="2" borderId="1" xfId="0" applyNumberFormat="1" applyFont="1" applyFill="1" applyBorder="1" applyAlignment="1" applyProtection="1">
      <alignment wrapText="1"/>
    </xf>
    <xf numFmtId="0" fontId="22" fillId="0" borderId="0" xfId="1" applyFont="1"/>
    <xf numFmtId="166" fontId="0" fillId="0" borderId="0" xfId="17" applyNumberFormat="1" applyFont="1" applyFill="1"/>
    <xf numFmtId="0" fontId="23" fillId="0" borderId="0" xfId="0" applyFont="1" applyFill="1" applyBorder="1"/>
    <xf numFmtId="0" fontId="23" fillId="5" borderId="0" xfId="1" applyFont="1" applyFill="1" applyBorder="1" applyAlignment="1">
      <alignment horizontal="right" wrapText="1"/>
    </xf>
    <xf numFmtId="0" fontId="21" fillId="3" borderId="1" xfId="1" applyFont="1" applyFill="1" applyBorder="1" applyAlignment="1">
      <alignment wrapText="1"/>
    </xf>
    <xf numFmtId="0" fontId="22" fillId="8" borderId="1" xfId="0" applyNumberFormat="1" applyFont="1" applyFill="1" applyBorder="1" applyAlignment="1" applyProtection="1">
      <alignment wrapText="1"/>
    </xf>
    <xf numFmtId="0" fontId="23" fillId="5" borderId="4" xfId="1" applyFont="1" applyFill="1" applyBorder="1" applyAlignment="1">
      <alignment horizontal="right" vertical="center" wrapText="1"/>
    </xf>
    <xf numFmtId="0" fontId="23" fillId="5" borderId="5" xfId="1" applyFont="1" applyFill="1" applyBorder="1" applyAlignment="1">
      <alignment horizontal="center" vertical="center" wrapText="1"/>
    </xf>
    <xf numFmtId="0" fontId="20" fillId="2" borderId="1" xfId="0" applyNumberFormat="1" applyFont="1" applyFill="1" applyBorder="1" applyAlignment="1" applyProtection="1">
      <alignment horizontal="center" vertical="center" wrapText="1"/>
    </xf>
    <xf numFmtId="0" fontId="20" fillId="0" borderId="0" xfId="1" applyFont="1" applyAlignment="1">
      <alignment horizontal="center" vertical="center"/>
    </xf>
    <xf numFmtId="0" fontId="19" fillId="11" borderId="1" xfId="1" applyFill="1" applyBorder="1" applyAlignment="1">
      <alignment wrapText="1"/>
    </xf>
    <xf numFmtId="0" fontId="21" fillId="11" borderId="1" xfId="1" applyFont="1" applyFill="1" applyBorder="1" applyAlignment="1">
      <alignment wrapText="1"/>
    </xf>
    <xf numFmtId="0" fontId="28" fillId="8" borderId="1" xfId="0" applyNumberFormat="1" applyFont="1" applyFill="1" applyBorder="1" applyAlignment="1" applyProtection="1">
      <alignment horizontal="center" vertical="center" wrapText="1"/>
    </xf>
    <xf numFmtId="0" fontId="27" fillId="5" borderId="2" xfId="1" applyFont="1" applyFill="1" applyBorder="1" applyAlignment="1"/>
    <xf numFmtId="0" fontId="27" fillId="5" borderId="14" xfId="1" applyFont="1" applyFill="1" applyBorder="1" applyAlignment="1">
      <alignment horizontal="right"/>
    </xf>
    <xf numFmtId="0" fontId="19" fillId="14" borderId="1" xfId="1" applyFill="1" applyBorder="1" applyAlignment="1">
      <alignment wrapText="1"/>
    </xf>
    <xf numFmtId="0" fontId="19" fillId="17" borderId="1" xfId="1" applyFill="1" applyBorder="1" applyAlignment="1">
      <alignment wrapText="1"/>
    </xf>
    <xf numFmtId="0" fontId="21" fillId="14" borderId="1" xfId="1" applyFont="1" applyFill="1" applyBorder="1" applyAlignment="1">
      <alignment wrapText="1"/>
    </xf>
    <xf numFmtId="0" fontId="21" fillId="17" borderId="1" xfId="1" applyFont="1" applyFill="1" applyBorder="1" applyAlignment="1">
      <alignment wrapText="1"/>
    </xf>
    <xf numFmtId="0" fontId="20" fillId="13" borderId="1" xfId="0" applyNumberFormat="1" applyFont="1" applyFill="1" applyBorder="1" applyAlignment="1" applyProtection="1">
      <alignment horizontal="center" wrapText="1"/>
    </xf>
    <xf numFmtId="0" fontId="20" fillId="18" borderId="1" xfId="0" applyNumberFormat="1" applyFont="1" applyFill="1" applyBorder="1" applyAlignment="1" applyProtection="1">
      <alignment wrapText="1"/>
    </xf>
    <xf numFmtId="0" fontId="22" fillId="13" borderId="1" xfId="0" applyNumberFormat="1" applyFont="1" applyFill="1" applyBorder="1" applyAlignment="1" applyProtection="1">
      <alignment wrapText="1"/>
    </xf>
    <xf numFmtId="0" fontId="22" fillId="18" borderId="1" xfId="0" applyNumberFormat="1" applyFont="1" applyFill="1" applyBorder="1" applyAlignment="1" applyProtection="1">
      <alignment wrapText="1"/>
    </xf>
    <xf numFmtId="0" fontId="20" fillId="13" borderId="1" xfId="0" applyNumberFormat="1" applyFont="1" applyFill="1" applyBorder="1" applyAlignment="1" applyProtection="1">
      <alignment horizontal="center" vertical="center" wrapText="1"/>
    </xf>
    <xf numFmtId="0" fontId="0" fillId="8" borderId="1" xfId="0" applyFill="1" applyBorder="1"/>
    <xf numFmtId="0" fontId="0" fillId="16" borderId="1" xfId="0" applyFill="1" applyBorder="1"/>
    <xf numFmtId="0" fontId="15" fillId="3" borderId="0" xfId="1" applyFont="1" applyFill="1"/>
    <xf numFmtId="0" fontId="19" fillId="3" borderId="0" xfId="1" applyFill="1"/>
    <xf numFmtId="0" fontId="15" fillId="0" borderId="0" xfId="1" applyFont="1" applyFill="1"/>
    <xf numFmtId="14" fontId="15" fillId="0" borderId="0" xfId="1" applyNumberFormat="1" applyFont="1"/>
    <xf numFmtId="2" fontId="19" fillId="0" borderId="0" xfId="1" applyNumberFormat="1"/>
    <xf numFmtId="17" fontId="19" fillId="0" borderId="0" xfId="1" applyNumberFormat="1"/>
    <xf numFmtId="0" fontId="19" fillId="0" borderId="0" xfId="1" applyFill="1"/>
    <xf numFmtId="0" fontId="15" fillId="0" borderId="0" xfId="1" applyFont="1"/>
    <xf numFmtId="2" fontId="15" fillId="0" borderId="0" xfId="1" applyNumberFormat="1" applyFont="1"/>
    <xf numFmtId="2" fontId="19" fillId="0" borderId="0" xfId="1" applyNumberFormat="1" applyFill="1"/>
    <xf numFmtId="17" fontId="19" fillId="0" borderId="0" xfId="1" applyNumberFormat="1" applyFill="1"/>
    <xf numFmtId="17" fontId="15" fillId="0" borderId="0" xfId="1" applyNumberFormat="1" applyFont="1"/>
    <xf numFmtId="0" fontId="23" fillId="5" borderId="0" xfId="1" applyFont="1" applyFill="1" applyBorder="1" applyAlignment="1">
      <alignment horizontal="right" vertical="top" wrapText="1"/>
    </xf>
    <xf numFmtId="0" fontId="22" fillId="0" borderId="0" xfId="0" applyFont="1"/>
    <xf numFmtId="0" fontId="22" fillId="8" borderId="15" xfId="0" applyNumberFormat="1" applyFont="1" applyFill="1" applyBorder="1" applyAlignment="1" applyProtection="1">
      <alignment wrapText="1"/>
    </xf>
    <xf numFmtId="0" fontId="30" fillId="21" borderId="0" xfId="18"/>
    <xf numFmtId="0" fontId="31" fillId="22" borderId="0" xfId="19"/>
    <xf numFmtId="0" fontId="31" fillId="22" borderId="0" xfId="19" applyAlignment="1"/>
    <xf numFmtId="0" fontId="0" fillId="0" borderId="0" xfId="2" applyNumberFormat="1" applyFont="1"/>
    <xf numFmtId="0" fontId="14" fillId="14" borderId="1" xfId="1" applyFont="1" applyFill="1" applyBorder="1" applyAlignment="1">
      <alignment wrapText="1"/>
    </xf>
    <xf numFmtId="0" fontId="0" fillId="0" borderId="0" xfId="0" applyFont="1" applyAlignment="1"/>
    <xf numFmtId="0" fontId="0" fillId="11" borderId="1" xfId="1" applyFont="1" applyFill="1" applyBorder="1" applyAlignment="1">
      <alignment wrapText="1"/>
    </xf>
    <xf numFmtId="0" fontId="13" fillId="11" borderId="1" xfId="1" applyFont="1" applyFill="1" applyBorder="1" applyAlignment="1">
      <alignment wrapText="1"/>
    </xf>
    <xf numFmtId="0" fontId="12" fillId="11" borderId="1" xfId="1" applyFont="1" applyFill="1" applyBorder="1" applyAlignment="1">
      <alignment wrapText="1"/>
    </xf>
    <xf numFmtId="0" fontId="12" fillId="3" borderId="1" xfId="1" applyFont="1" applyFill="1" applyBorder="1" applyAlignment="1">
      <alignment wrapText="1"/>
    </xf>
    <xf numFmtId="0" fontId="20" fillId="18" borderId="4" xfId="0" applyNumberFormat="1" applyFont="1" applyFill="1" applyBorder="1" applyAlignment="1" applyProtection="1">
      <alignment horizontal="center" vertical="center" wrapText="1"/>
    </xf>
    <xf numFmtId="0" fontId="11" fillId="14" borderId="1" xfId="1" applyFont="1" applyFill="1" applyBorder="1" applyAlignment="1">
      <alignment wrapText="1"/>
    </xf>
    <xf numFmtId="0" fontId="10" fillId="17" borderId="1" xfId="1" applyFont="1" applyFill="1" applyBorder="1" applyAlignment="1">
      <alignment wrapText="1"/>
    </xf>
    <xf numFmtId="0" fontId="10" fillId="14" borderId="1" xfId="1" applyFont="1" applyFill="1" applyBorder="1" applyAlignment="1">
      <alignment wrapText="1"/>
    </xf>
    <xf numFmtId="14" fontId="10" fillId="0" borderId="0" xfId="1" applyNumberFormat="1" applyFont="1"/>
    <xf numFmtId="0" fontId="19" fillId="0" borderId="0" xfId="1" applyNumberFormat="1"/>
    <xf numFmtId="14" fontId="19" fillId="0" borderId="0" xfId="1" applyNumberFormat="1"/>
    <xf numFmtId="0" fontId="0" fillId="7" borderId="0" xfId="0" applyFill="1" applyBorder="1"/>
    <xf numFmtId="0" fontId="33" fillId="7" borderId="0" xfId="0" applyFont="1" applyFill="1" applyBorder="1" applyAlignment="1"/>
    <xf numFmtId="0" fontId="33" fillId="0" borderId="0" xfId="0" applyFont="1" applyFill="1" applyBorder="1" applyAlignment="1"/>
    <xf numFmtId="0" fontId="0" fillId="7" borderId="0" xfId="0" applyFill="1" applyBorder="1" applyAlignment="1">
      <alignment horizontal="left"/>
    </xf>
    <xf numFmtId="0" fontId="0" fillId="7" borderId="0" xfId="0" applyFill="1" applyBorder="1" applyAlignment="1">
      <alignment horizontal="right" vertical="center"/>
    </xf>
    <xf numFmtId="0" fontId="22" fillId="7" borderId="0" xfId="0" applyFont="1" applyFill="1" applyBorder="1"/>
    <xf numFmtId="0" fontId="33" fillId="7" borderId="0" xfId="0" applyFont="1" applyFill="1" applyBorder="1" applyAlignment="1">
      <alignment horizontal="left"/>
    </xf>
    <xf numFmtId="0" fontId="34" fillId="7" borderId="0" xfId="0" applyFont="1" applyFill="1" applyBorder="1" applyAlignment="1">
      <alignment horizontal="right" vertical="center"/>
    </xf>
    <xf numFmtId="0" fontId="0" fillId="7" borderId="0" xfId="0" applyFill="1" applyBorder="1" applyAlignment="1">
      <alignment vertical="center"/>
    </xf>
    <xf numFmtId="0" fontId="0" fillId="6" borderId="0" xfId="0" applyFill="1"/>
    <xf numFmtId="0" fontId="35" fillId="6" borderId="2" xfId="0" applyFont="1" applyFill="1" applyBorder="1" applyAlignment="1">
      <alignment horizontal="left"/>
    </xf>
    <xf numFmtId="0" fontId="35" fillId="6" borderId="2" xfId="0" applyFont="1" applyFill="1" applyBorder="1"/>
    <xf numFmtId="0" fontId="0" fillId="6" borderId="2" xfId="0" applyFill="1" applyBorder="1"/>
    <xf numFmtId="0" fontId="39" fillId="6" borderId="2" xfId="0" applyFont="1" applyFill="1" applyBorder="1"/>
    <xf numFmtId="0" fontId="41" fillId="8" borderId="1" xfId="0" applyNumberFormat="1" applyFont="1" applyFill="1" applyBorder="1" applyAlignment="1" applyProtection="1">
      <alignment horizontal="center" vertical="center" wrapText="1"/>
    </xf>
    <xf numFmtId="0" fontId="9" fillId="11" borderId="1" xfId="1" applyFont="1" applyFill="1" applyBorder="1" applyAlignment="1">
      <alignment wrapText="1"/>
    </xf>
    <xf numFmtId="0" fontId="42" fillId="26" borderId="20" xfId="0" applyFont="1" applyFill="1" applyBorder="1" applyAlignment="1">
      <alignment vertical="center" wrapText="1"/>
    </xf>
    <xf numFmtId="0" fontId="42" fillId="26" borderId="21" xfId="0" applyFont="1" applyFill="1" applyBorder="1" applyAlignment="1">
      <alignment vertical="center" wrapText="1"/>
    </xf>
    <xf numFmtId="0" fontId="0" fillId="0" borderId="0" xfId="0" applyAlignment="1">
      <alignment vertical="center"/>
    </xf>
    <xf numFmtId="0" fontId="0" fillId="0" borderId="0" xfId="0" applyFill="1" applyBorder="1" applyAlignment="1">
      <alignment vertical="center" wrapText="1"/>
    </xf>
    <xf numFmtId="0" fontId="0" fillId="0" borderId="0" xfId="0" applyAlignment="1">
      <alignment vertical="center" wrapText="1"/>
    </xf>
    <xf numFmtId="0" fontId="23" fillId="12" borderId="1" xfId="1" applyFont="1" applyFill="1" applyBorder="1" applyAlignment="1">
      <alignment horizontal="center" wrapText="1"/>
    </xf>
    <xf numFmtId="166" fontId="0" fillId="0" borderId="0" xfId="17" applyNumberFormat="1" applyFont="1"/>
    <xf numFmtId="49" fontId="0" fillId="0" borderId="0" xfId="0" applyNumberFormat="1"/>
    <xf numFmtId="165" fontId="0" fillId="0" borderId="0" xfId="4" applyNumberFormat="1" applyFont="1"/>
    <xf numFmtId="0" fontId="0" fillId="27" borderId="0" xfId="0" applyFill="1"/>
    <xf numFmtId="0" fontId="8" fillId="11" borderId="1" xfId="1" applyFont="1" applyFill="1" applyBorder="1" applyAlignment="1">
      <alignment wrapText="1"/>
    </xf>
    <xf numFmtId="0" fontId="8" fillId="17" borderId="1" xfId="1" applyFont="1" applyFill="1" applyBorder="1" applyAlignment="1">
      <alignment wrapText="1"/>
    </xf>
    <xf numFmtId="0" fontId="0" fillId="17" borderId="1" xfId="1" applyFont="1" applyFill="1" applyBorder="1" applyAlignment="1">
      <alignment wrapText="1"/>
    </xf>
    <xf numFmtId="0" fontId="0" fillId="4" borderId="0" xfId="0" applyNumberFormat="1" applyFill="1" applyBorder="1" applyAlignment="1">
      <alignment wrapText="1"/>
    </xf>
    <xf numFmtId="0" fontId="22" fillId="5" borderId="0" xfId="0" applyNumberFormat="1" applyFont="1" applyFill="1" applyBorder="1" applyAlignment="1" applyProtection="1">
      <alignment wrapText="1"/>
    </xf>
    <xf numFmtId="0" fontId="0" fillId="5" borderId="0" xfId="2" applyNumberFormat="1" applyFont="1" applyFill="1" applyBorder="1"/>
    <xf numFmtId="0" fontId="0" fillId="6" borderId="0" xfId="0" applyFill="1" applyAlignment="1"/>
    <xf numFmtId="16" fontId="0" fillId="0" borderId="0" xfId="0" applyNumberFormat="1"/>
    <xf numFmtId="0" fontId="22" fillId="5" borderId="0" xfId="0" applyNumberFormat="1" applyFont="1" applyFill="1" applyBorder="1" applyAlignment="1" applyProtection="1">
      <alignment horizontal="right" wrapText="1"/>
    </xf>
    <xf numFmtId="0" fontId="23" fillId="11" borderId="1" xfId="0" applyFont="1" applyFill="1" applyBorder="1" applyAlignment="1">
      <alignment wrapText="1"/>
    </xf>
    <xf numFmtId="0" fontId="23" fillId="20" borderId="1" xfId="0" applyFont="1" applyFill="1" applyBorder="1" applyAlignment="1">
      <alignment wrapText="1"/>
    </xf>
    <xf numFmtId="0" fontId="20" fillId="18" borderId="1" xfId="0" applyNumberFormat="1" applyFont="1" applyFill="1" applyBorder="1" applyAlignment="1" applyProtection="1">
      <alignment vertical="center" wrapText="1"/>
    </xf>
    <xf numFmtId="0" fontId="20" fillId="13" borderId="1" xfId="0" applyNumberFormat="1" applyFont="1" applyFill="1" applyBorder="1" applyAlignment="1" applyProtection="1">
      <alignment vertical="center" wrapText="1"/>
    </xf>
    <xf numFmtId="0" fontId="0" fillId="2" borderId="0" xfId="0" applyFill="1"/>
    <xf numFmtId="1" fontId="0" fillId="0" borderId="0" xfId="0" applyNumberFormat="1"/>
    <xf numFmtId="0" fontId="0" fillId="25" borderId="0" xfId="0" applyFill="1"/>
    <xf numFmtId="0" fontId="49" fillId="6" borderId="10" xfId="0" applyFont="1" applyFill="1" applyBorder="1" applyAlignment="1">
      <alignment vertical="center"/>
    </xf>
    <xf numFmtId="0" fontId="49" fillId="6" borderId="0" xfId="0" applyFont="1" applyFill="1" applyAlignment="1">
      <alignment vertical="center"/>
    </xf>
    <xf numFmtId="0" fontId="0" fillId="6" borderId="0" xfId="0" applyFill="1" applyBorder="1" applyAlignment="1"/>
    <xf numFmtId="0" fontId="22" fillId="7" borderId="22" xfId="0" applyFont="1" applyFill="1" applyBorder="1"/>
    <xf numFmtId="0" fontId="0" fillId="7" borderId="22" xfId="0" applyFill="1" applyBorder="1"/>
    <xf numFmtId="0" fontId="22" fillId="6" borderId="0" xfId="0" applyFont="1" applyFill="1"/>
    <xf numFmtId="14" fontId="0" fillId="0" borderId="0" xfId="0" applyNumberFormat="1" applyFont="1" applyFill="1"/>
    <xf numFmtId="14" fontId="0" fillId="0" borderId="0" xfId="0" applyNumberFormat="1" applyFill="1"/>
    <xf numFmtId="14" fontId="50" fillId="0" borderId="0" xfId="1" applyNumberFormat="1" applyFont="1"/>
    <xf numFmtId="0" fontId="50" fillId="0" borderId="0" xfId="1" applyFont="1" applyFill="1"/>
    <xf numFmtId="2" fontId="7" fillId="0" borderId="0" xfId="1" applyNumberFormat="1" applyFont="1" applyFill="1"/>
    <xf numFmtId="2" fontId="7" fillId="0" borderId="0" xfId="1" applyNumberFormat="1" applyFont="1"/>
    <xf numFmtId="2" fontId="10" fillId="0" borderId="0" xfId="1" applyNumberFormat="1" applyFont="1" applyFill="1"/>
    <xf numFmtId="0" fontId="19" fillId="0" borderId="0" xfId="1" applyNumberFormat="1" applyFill="1"/>
    <xf numFmtId="9" fontId="0" fillId="0" borderId="0" xfId="0" applyNumberFormat="1" applyFill="1"/>
    <xf numFmtId="167" fontId="0" fillId="0" borderId="0" xfId="2" applyNumberFormat="1" applyFont="1" applyFill="1"/>
    <xf numFmtId="0" fontId="0" fillId="0" borderId="10" xfId="2" applyNumberFormat="1" applyFont="1" applyFill="1" applyBorder="1" applyAlignment="1"/>
    <xf numFmtId="0" fontId="0" fillId="0" borderId="0" xfId="2" applyNumberFormat="1" applyFont="1" applyFill="1" applyAlignment="1"/>
    <xf numFmtId="2" fontId="6" fillId="0" borderId="0" xfId="1" applyNumberFormat="1" applyFont="1" applyFill="1"/>
    <xf numFmtId="0" fontId="0" fillId="0" borderId="0" xfId="2" applyNumberFormat="1" applyFont="1" applyFill="1"/>
    <xf numFmtId="0" fontId="0" fillId="0" borderId="0" xfId="0" applyNumberFormat="1" applyFill="1"/>
    <xf numFmtId="0" fontId="0" fillId="0" borderId="0" xfId="0" applyFill="1" applyAlignment="1">
      <alignment wrapText="1"/>
    </xf>
    <xf numFmtId="3" fontId="0" fillId="0" borderId="0" xfId="2" applyNumberFormat="1" applyFont="1" applyFill="1"/>
    <xf numFmtId="3" fontId="0" fillId="0" borderId="0" xfId="0" applyNumberFormat="1" applyFill="1"/>
    <xf numFmtId="0" fontId="0" fillId="0" borderId="10" xfId="0" applyBorder="1" applyAlignment="1">
      <alignment horizontal="center" vertical="center" wrapText="1"/>
    </xf>
    <xf numFmtId="0" fontId="46" fillId="6" borderId="0" xfId="0" applyFont="1" applyFill="1" applyAlignment="1">
      <alignment vertical="top"/>
    </xf>
    <xf numFmtId="9" fontId="0" fillId="5" borderId="0" xfId="2" applyFont="1" applyFill="1" applyBorder="1" applyAlignment="1"/>
    <xf numFmtId="0" fontId="0" fillId="6" borderId="0" xfId="0" quotePrefix="1" applyFill="1" applyAlignment="1">
      <alignment vertical="top" wrapText="1"/>
    </xf>
    <xf numFmtId="0" fontId="0" fillId="6" borderId="0" xfId="0" applyFill="1" applyAlignment="1">
      <alignment vertical="top" wrapText="1"/>
    </xf>
    <xf numFmtId="0" fontId="35" fillId="6" borderId="0" xfId="0" applyFont="1" applyFill="1" applyBorder="1"/>
    <xf numFmtId="0" fontId="39" fillId="6" borderId="0" xfId="0" applyFont="1" applyFill="1" applyBorder="1"/>
    <xf numFmtId="0" fontId="49" fillId="25" borderId="10" xfId="0" applyFont="1" applyFill="1" applyBorder="1" applyAlignment="1">
      <alignment vertical="center"/>
    </xf>
    <xf numFmtId="0" fontId="49" fillId="6" borderId="0" xfId="0" applyFont="1" applyFill="1" applyBorder="1" applyAlignment="1">
      <alignment vertical="center"/>
    </xf>
    <xf numFmtId="0" fontId="52" fillId="6" borderId="2" xfId="0" applyFont="1" applyFill="1" applyBorder="1"/>
    <xf numFmtId="0" fontId="5" fillId="6" borderId="0" xfId="21" applyFill="1"/>
    <xf numFmtId="0" fontId="53" fillId="6" borderId="0" xfId="0" applyFont="1" applyFill="1" applyAlignment="1">
      <alignment horizontal="left"/>
    </xf>
    <xf numFmtId="0" fontId="38" fillId="6" borderId="0" xfId="0" applyFont="1" applyFill="1"/>
    <xf numFmtId="0" fontId="51" fillId="6" borderId="0" xfId="21" applyFont="1" applyFill="1" applyAlignment="1">
      <alignment wrapText="1"/>
    </xf>
    <xf numFmtId="0" fontId="23" fillId="6" borderId="0" xfId="21" applyFont="1" applyFill="1"/>
    <xf numFmtId="0" fontId="37" fillId="6" borderId="0" xfId="0" applyFont="1" applyFill="1" applyAlignment="1">
      <alignment vertical="top" wrapText="1"/>
    </xf>
    <xf numFmtId="0" fontId="37" fillId="7" borderId="0" xfId="21" applyFont="1" applyFill="1"/>
    <xf numFmtId="0" fontId="37" fillId="7" borderId="0" xfId="0" applyFont="1" applyFill="1" applyAlignment="1">
      <alignment horizontal="left" vertical="top" wrapText="1"/>
    </xf>
    <xf numFmtId="0" fontId="37" fillId="6" borderId="0" xfId="0" applyFont="1" applyFill="1" applyAlignment="1">
      <alignment horizontal="left" vertical="top" wrapText="1"/>
    </xf>
    <xf numFmtId="0" fontId="37" fillId="28" borderId="0" xfId="0" applyFont="1" applyFill="1"/>
    <xf numFmtId="0" fontId="37" fillId="28" borderId="0" xfId="0" applyFont="1" applyFill="1" applyAlignment="1">
      <alignment horizontal="left" vertical="top" wrapText="1"/>
    </xf>
    <xf numFmtId="0" fontId="5" fillId="28" borderId="0" xfId="21" applyFill="1"/>
    <xf numFmtId="0" fontId="37" fillId="28" borderId="0" xfId="21" applyFont="1" applyFill="1" applyAlignment="1"/>
    <xf numFmtId="0" fontId="51" fillId="28" borderId="0" xfId="21" applyFont="1" applyFill="1" applyAlignment="1">
      <alignment wrapText="1"/>
    </xf>
    <xf numFmtId="0" fontId="5" fillId="28" borderId="0" xfId="21" applyFill="1" applyAlignment="1">
      <alignment wrapText="1"/>
    </xf>
    <xf numFmtId="0" fontId="54" fillId="6" borderId="2" xfId="0" applyFont="1" applyFill="1" applyBorder="1"/>
    <xf numFmtId="0" fontId="37" fillId="28" borderId="0" xfId="21" applyFont="1" applyFill="1" applyAlignment="1">
      <alignment vertical="top"/>
    </xf>
    <xf numFmtId="0" fontId="4" fillId="14" borderId="1" xfId="1" applyFont="1" applyFill="1" applyBorder="1" applyAlignment="1">
      <alignment wrapText="1"/>
    </xf>
    <xf numFmtId="0" fontId="0" fillId="0" borderId="0" xfId="0" applyAlignment="1">
      <alignment horizontal="left" vertical="top" wrapText="1"/>
    </xf>
    <xf numFmtId="0" fontId="0" fillId="5" borderId="1" xfId="0" applyFill="1" applyBorder="1"/>
    <xf numFmtId="0" fontId="0" fillId="4" borderId="1" xfId="0" applyFill="1" applyBorder="1"/>
    <xf numFmtId="0" fontId="22" fillId="0" borderId="0" xfId="0" applyFont="1" applyFill="1" applyAlignment="1">
      <alignment horizontal="center"/>
    </xf>
    <xf numFmtId="9" fontId="0" fillId="0" borderId="10" xfId="0" applyNumberFormat="1" applyFill="1" applyBorder="1" applyAlignment="1"/>
    <xf numFmtId="0" fontId="0" fillId="0" borderId="0" xfId="0" applyFill="1" applyAlignment="1"/>
    <xf numFmtId="0" fontId="3" fillId="14" borderId="1" xfId="1" applyFont="1" applyFill="1" applyBorder="1" applyAlignment="1">
      <alignment wrapText="1"/>
    </xf>
    <xf numFmtId="0" fontId="0" fillId="0" borderId="0" xfId="8" applyFont="1" applyFill="1"/>
    <xf numFmtId="9" fontId="0" fillId="0" borderId="0" xfId="2" applyFont="1" applyFill="1" applyAlignment="1"/>
    <xf numFmtId="0" fontId="55" fillId="8" borderId="1" xfId="0" applyNumberFormat="1" applyFont="1" applyFill="1" applyBorder="1" applyAlignment="1" applyProtection="1">
      <alignment wrapText="1"/>
    </xf>
    <xf numFmtId="0" fontId="0" fillId="0" borderId="0" xfId="0" applyBorder="1" applyAlignment="1">
      <alignment horizontal="left" vertical="center" wrapText="1"/>
    </xf>
    <xf numFmtId="0" fontId="2" fillId="14" borderId="1" xfId="1" applyFont="1" applyFill="1" applyBorder="1" applyAlignment="1">
      <alignment wrapText="1"/>
    </xf>
    <xf numFmtId="43" fontId="0" fillId="5" borderId="0" xfId="17" applyFont="1" applyFill="1" applyBorder="1"/>
    <xf numFmtId="0" fontId="1" fillId="14" borderId="1" xfId="1" applyFont="1" applyFill="1" applyBorder="1" applyAlignment="1">
      <alignment wrapText="1"/>
    </xf>
    <xf numFmtId="14" fontId="0" fillId="0" borderId="0" xfId="0" applyNumberFormat="1" applyAlignment="1"/>
    <xf numFmtId="17" fontId="0" fillId="0" borderId="0" xfId="0" applyNumberFormat="1" applyAlignment="1"/>
    <xf numFmtId="0" fontId="0" fillId="0" borderId="0" xfId="0" applyNumberFormat="1" applyAlignment="1"/>
    <xf numFmtId="0" fontId="0" fillId="6" borderId="23" xfId="0" applyFill="1" applyBorder="1" applyProtection="1">
      <protection locked="0"/>
    </xf>
    <xf numFmtId="0" fontId="37" fillId="6" borderId="0" xfId="0" applyFont="1" applyFill="1" applyAlignment="1">
      <alignment vertical="top" wrapText="1"/>
    </xf>
    <xf numFmtId="0" fontId="56" fillId="6" borderId="0" xfId="0" applyFont="1" applyFill="1"/>
    <xf numFmtId="0" fontId="37" fillId="6" borderId="0" xfId="0" applyFont="1" applyFill="1" applyAlignment="1">
      <alignment horizontal="left" vertical="top" wrapText="1"/>
    </xf>
    <xf numFmtId="0" fontId="33" fillId="7" borderId="0" xfId="0" applyFont="1" applyFill="1" applyBorder="1" applyAlignment="1">
      <alignment horizontal="left"/>
    </xf>
    <xf numFmtId="0" fontId="36" fillId="7" borderId="0" xfId="0" applyFont="1" applyFill="1" applyBorder="1" applyAlignment="1">
      <alignment horizontal="center" vertical="center" wrapText="1"/>
    </xf>
    <xf numFmtId="0" fontId="36" fillId="7" borderId="17" xfId="0" applyFont="1" applyFill="1" applyBorder="1" applyAlignment="1">
      <alignment horizontal="center" vertical="center" wrapText="1"/>
    </xf>
    <xf numFmtId="0" fontId="38" fillId="5" borderId="19" xfId="4" applyNumberFormat="1" applyFont="1" applyFill="1" applyBorder="1" applyAlignment="1">
      <alignment horizontal="left"/>
    </xf>
    <xf numFmtId="0" fontId="38" fillId="5" borderId="0" xfId="4" applyNumberFormat="1" applyFont="1" applyFill="1" applyBorder="1" applyAlignment="1">
      <alignment horizontal="left"/>
    </xf>
    <xf numFmtId="0" fontId="38" fillId="6" borderId="0" xfId="0" applyFont="1" applyFill="1" applyAlignment="1">
      <alignment horizontal="left"/>
    </xf>
    <xf numFmtId="0" fontId="37" fillId="24" borderId="18" xfId="0" applyFont="1" applyFill="1" applyBorder="1" applyAlignment="1">
      <alignment horizontal="center"/>
    </xf>
    <xf numFmtId="0" fontId="37" fillId="24" borderId="10" xfId="0" applyFont="1" applyFill="1" applyBorder="1" applyAlignment="1">
      <alignment horizontal="center"/>
    </xf>
    <xf numFmtId="0" fontId="37" fillId="24" borderId="19" xfId="0" applyFont="1" applyFill="1" applyBorder="1" applyAlignment="1">
      <alignment horizontal="center"/>
    </xf>
    <xf numFmtId="0" fontId="37" fillId="24" borderId="0" xfId="0" applyFont="1" applyFill="1" applyBorder="1" applyAlignment="1">
      <alignment horizontal="center"/>
    </xf>
    <xf numFmtId="0" fontId="36" fillId="7" borderId="19" xfId="0" applyFont="1" applyFill="1" applyBorder="1" applyAlignment="1">
      <alignment horizontal="center" vertical="center" wrapText="1"/>
    </xf>
    <xf numFmtId="1" fontId="37" fillId="5" borderId="19" xfId="4" applyNumberFormat="1" applyFont="1" applyFill="1" applyBorder="1" applyAlignment="1">
      <alignment horizontal="left"/>
    </xf>
    <xf numFmtId="1" fontId="37" fillId="5" borderId="0" xfId="4" applyNumberFormat="1" applyFont="1" applyFill="1" applyBorder="1" applyAlignment="1">
      <alignment horizontal="left"/>
    </xf>
    <xf numFmtId="1" fontId="37" fillId="5" borderId="17" xfId="4" applyNumberFormat="1" applyFont="1" applyFill="1" applyBorder="1" applyAlignment="1">
      <alignment horizontal="left"/>
    </xf>
    <xf numFmtId="1" fontId="37" fillId="6" borderId="0" xfId="0" applyNumberFormat="1" applyFont="1" applyFill="1" applyAlignment="1">
      <alignment horizontal="left"/>
    </xf>
    <xf numFmtId="0" fontId="0" fillId="6" borderId="0" xfId="0" applyFill="1"/>
    <xf numFmtId="9" fontId="37" fillId="5" borderId="19" xfId="2" applyFont="1" applyFill="1" applyBorder="1" applyAlignment="1">
      <alignment horizontal="center"/>
    </xf>
    <xf numFmtId="9" fontId="37" fillId="5" borderId="0" xfId="2" applyFont="1" applyFill="1" applyBorder="1" applyAlignment="1">
      <alignment horizontal="center"/>
    </xf>
    <xf numFmtId="9" fontId="37" fillId="5" borderId="17" xfId="2" applyFont="1" applyFill="1" applyBorder="1" applyAlignment="1">
      <alignment horizontal="center"/>
    </xf>
    <xf numFmtId="0" fontId="37" fillId="24" borderId="24" xfId="0" applyFont="1" applyFill="1" applyBorder="1" applyAlignment="1">
      <alignment horizontal="center"/>
    </xf>
    <xf numFmtId="2" fontId="37" fillId="6" borderId="0" xfId="0" applyNumberFormat="1" applyFont="1" applyFill="1" applyAlignment="1">
      <alignment horizontal="left" vertical="center"/>
    </xf>
    <xf numFmtId="0" fontId="45" fillId="6" borderId="0" xfId="6" applyFont="1" applyFill="1" applyAlignment="1">
      <alignment horizontal="center"/>
    </xf>
    <xf numFmtId="0" fontId="40" fillId="25" borderId="19" xfId="0" applyFont="1" applyFill="1" applyBorder="1" applyAlignment="1">
      <alignment horizontal="right" vertical="center"/>
    </xf>
    <xf numFmtId="0" fontId="40" fillId="25" borderId="0" xfId="0" applyFont="1" applyFill="1" applyBorder="1" applyAlignment="1">
      <alignment horizontal="right" vertical="center"/>
    </xf>
    <xf numFmtId="0" fontId="40" fillId="25" borderId="17" xfId="0" applyFont="1" applyFill="1" applyBorder="1" applyAlignment="1">
      <alignment horizontal="right" vertical="center"/>
    </xf>
    <xf numFmtId="0" fontId="45" fillId="6" borderId="0" xfId="0" applyFont="1" applyFill="1" applyAlignment="1">
      <alignment horizontal="center"/>
    </xf>
    <xf numFmtId="9" fontId="37" fillId="6" borderId="0" xfId="2" applyFont="1" applyFill="1" applyAlignment="1">
      <alignment horizontal="left" vertical="center"/>
    </xf>
    <xf numFmtId="9" fontId="36" fillId="7" borderId="19" xfId="0" applyNumberFormat="1" applyFont="1" applyFill="1" applyBorder="1" applyAlignment="1">
      <alignment horizontal="center" vertical="center" wrapText="1"/>
    </xf>
    <xf numFmtId="9" fontId="36" fillId="7" borderId="0" xfId="0" applyNumberFormat="1" applyFont="1" applyFill="1" applyBorder="1" applyAlignment="1">
      <alignment horizontal="center" vertical="center" wrapText="1"/>
    </xf>
    <xf numFmtId="168" fontId="37" fillId="5" borderId="19" xfId="4" applyNumberFormat="1" applyFont="1" applyFill="1" applyBorder="1" applyAlignment="1">
      <alignment horizontal="left"/>
    </xf>
    <xf numFmtId="168" fontId="37" fillId="5" borderId="0" xfId="4" applyNumberFormat="1" applyFont="1" applyFill="1" applyBorder="1" applyAlignment="1">
      <alignment horizontal="left"/>
    </xf>
    <xf numFmtId="168" fontId="37" fillId="5" borderId="17" xfId="4" applyNumberFormat="1" applyFont="1" applyFill="1" applyBorder="1" applyAlignment="1">
      <alignment horizontal="left"/>
    </xf>
    <xf numFmtId="168" fontId="37" fillId="6" borderId="0" xfId="4" applyNumberFormat="1" applyFont="1" applyFill="1" applyAlignment="1">
      <alignment horizontal="left"/>
    </xf>
    <xf numFmtId="0" fontId="36" fillId="7" borderId="24" xfId="0" applyFont="1" applyFill="1" applyBorder="1" applyAlignment="1">
      <alignment horizontal="center" vertical="center" wrapText="1"/>
    </xf>
    <xf numFmtId="0" fontId="36" fillId="7" borderId="25" xfId="0" applyFont="1" applyFill="1" applyBorder="1" applyAlignment="1">
      <alignment horizontal="center" vertical="center" wrapText="1"/>
    </xf>
    <xf numFmtId="0" fontId="36" fillId="7" borderId="26" xfId="0" applyFont="1" applyFill="1" applyBorder="1" applyAlignment="1">
      <alignment horizontal="center" vertical="center" wrapText="1"/>
    </xf>
    <xf numFmtId="0" fontId="36" fillId="7" borderId="18" xfId="0" applyFont="1" applyFill="1" applyBorder="1" applyAlignment="1">
      <alignment horizontal="center" vertical="center" wrapText="1"/>
    </xf>
    <xf numFmtId="0" fontId="0" fillId="6" borderId="0" xfId="0" applyFill="1" applyAlignment="1">
      <alignment vertical="top" wrapText="1"/>
    </xf>
    <xf numFmtId="0" fontId="0" fillId="6" borderId="0" xfId="0" quotePrefix="1" applyFill="1" applyAlignment="1">
      <alignment vertical="top" wrapText="1"/>
    </xf>
    <xf numFmtId="0" fontId="48" fillId="2" borderId="0" xfId="0" applyFont="1" applyFill="1" applyAlignment="1">
      <alignment horizontal="center" vertical="center" wrapText="1"/>
    </xf>
    <xf numFmtId="0" fontId="46" fillId="6" borderId="0" xfId="0" applyFont="1" applyFill="1" applyAlignment="1">
      <alignment horizontal="center" wrapText="1"/>
    </xf>
    <xf numFmtId="0" fontId="22" fillId="29" borderId="0" xfId="0" applyFont="1" applyFill="1" applyAlignment="1">
      <alignment horizontal="center"/>
    </xf>
    <xf numFmtId="0" fontId="0" fillId="7" borderId="0" xfId="0" applyFill="1" applyAlignment="1">
      <alignment horizontal="center"/>
    </xf>
    <xf numFmtId="9" fontId="0" fillId="5" borderId="0" xfId="2" applyFont="1" applyFill="1" applyBorder="1" applyAlignment="1">
      <alignment horizontal="center"/>
    </xf>
    <xf numFmtId="0" fontId="23" fillId="19" borderId="9" xfId="1" applyFont="1" applyFill="1" applyBorder="1" applyAlignment="1">
      <alignment horizontal="center" wrapText="1"/>
    </xf>
    <xf numFmtId="0" fontId="23" fillId="19" borderId="2" xfId="1" applyFont="1" applyFill="1" applyBorder="1" applyAlignment="1">
      <alignment horizontal="center" wrapText="1"/>
    </xf>
    <xf numFmtId="0" fontId="23" fillId="5" borderId="1" xfId="1" applyFont="1" applyFill="1" applyBorder="1" applyAlignment="1">
      <alignment horizontal="center" wrapText="1"/>
    </xf>
    <xf numFmtId="0" fontId="23" fillId="19" borderId="3" xfId="1" applyFont="1" applyFill="1" applyBorder="1" applyAlignment="1">
      <alignment horizontal="center" wrapText="1"/>
    </xf>
    <xf numFmtId="0" fontId="23" fillId="19" borderId="5" xfId="1" applyFont="1" applyFill="1" applyBorder="1" applyAlignment="1">
      <alignment horizontal="center" wrapText="1"/>
    </xf>
    <xf numFmtId="0" fontId="23" fillId="15" borderId="9" xfId="1" applyFont="1" applyFill="1" applyBorder="1" applyAlignment="1">
      <alignment horizontal="center" wrapText="1"/>
    </xf>
    <xf numFmtId="0" fontId="23" fillId="15" borderId="2" xfId="1" applyFont="1" applyFill="1" applyBorder="1" applyAlignment="1">
      <alignment horizontal="center" wrapText="1"/>
    </xf>
    <xf numFmtId="0" fontId="23" fillId="15" borderId="14" xfId="1" applyFont="1" applyFill="1" applyBorder="1" applyAlignment="1">
      <alignment horizontal="center" wrapText="1"/>
    </xf>
    <xf numFmtId="0" fontId="28" fillId="8" borderId="3" xfId="0" applyNumberFormat="1" applyFont="1" applyFill="1" applyBorder="1" applyAlignment="1" applyProtection="1">
      <alignment horizontal="center" wrapText="1"/>
    </xf>
    <xf numFmtId="0" fontId="28" fillId="8" borderId="5" xfId="0" applyNumberFormat="1" applyFont="1" applyFill="1" applyBorder="1" applyAlignment="1" applyProtection="1">
      <alignment horizontal="center" wrapText="1"/>
    </xf>
    <xf numFmtId="0" fontId="28" fillId="8" borderId="4" xfId="0" applyNumberFormat="1" applyFont="1" applyFill="1" applyBorder="1" applyAlignment="1" applyProtection="1">
      <alignment horizontal="center" wrapText="1"/>
    </xf>
    <xf numFmtId="0" fontId="28" fillId="8" borderId="3" xfId="0" applyNumberFormat="1" applyFont="1" applyFill="1" applyBorder="1" applyAlignment="1" applyProtection="1">
      <alignment horizontal="center" vertical="center" wrapText="1"/>
    </xf>
    <xf numFmtId="0" fontId="28" fillId="8" borderId="5" xfId="0" applyNumberFormat="1" applyFont="1" applyFill="1" applyBorder="1" applyAlignment="1" applyProtection="1">
      <alignment horizontal="center" vertical="center" wrapText="1"/>
    </xf>
    <xf numFmtId="0" fontId="28" fillId="8" borderId="4" xfId="0" applyNumberFormat="1" applyFont="1" applyFill="1" applyBorder="1" applyAlignment="1" applyProtection="1">
      <alignment horizontal="center" vertical="center" wrapText="1"/>
    </xf>
    <xf numFmtId="0" fontId="28" fillId="18" borderId="3" xfId="0" applyNumberFormat="1" applyFont="1" applyFill="1" applyBorder="1" applyAlignment="1" applyProtection="1">
      <alignment horizontal="center" vertical="center" wrapText="1"/>
    </xf>
    <xf numFmtId="0" fontId="28" fillId="18" borderId="4" xfId="0" applyNumberFormat="1" applyFont="1" applyFill="1" applyBorder="1" applyAlignment="1" applyProtection="1">
      <alignment horizontal="center" vertical="center" wrapText="1"/>
    </xf>
    <xf numFmtId="0" fontId="23" fillId="10" borderId="3" xfId="1" applyFont="1" applyFill="1" applyBorder="1" applyAlignment="1">
      <alignment horizontal="center" wrapText="1"/>
    </xf>
    <xf numFmtId="0" fontId="23" fillId="10" borderId="5" xfId="1" applyFont="1" applyFill="1" applyBorder="1" applyAlignment="1">
      <alignment horizontal="center" wrapText="1"/>
    </xf>
    <xf numFmtId="0" fontId="23" fillId="10" borderId="4" xfId="1" applyFont="1" applyFill="1" applyBorder="1" applyAlignment="1">
      <alignment horizontal="center" wrapText="1"/>
    </xf>
    <xf numFmtId="0" fontId="0" fillId="0" borderId="0" xfId="0" applyAlignment="1">
      <alignment horizontal="center"/>
    </xf>
    <xf numFmtId="0" fontId="15" fillId="2" borderId="0" xfId="1" applyFont="1" applyFill="1" applyBorder="1" applyAlignment="1">
      <alignment horizontal="center" wrapText="1"/>
    </xf>
    <xf numFmtId="0" fontId="32" fillId="23" borderId="0" xfId="20" applyAlignment="1">
      <alignment horizontal="center"/>
    </xf>
    <xf numFmtId="0" fontId="31" fillId="22" borderId="0" xfId="19" applyAlignment="1">
      <alignment horizontal="center"/>
    </xf>
  </cellXfs>
  <cellStyles count="22">
    <cellStyle name="Bad" xfId="19" builtinId="27"/>
    <cellStyle name="Comma" xfId="17" builtinId="3"/>
    <cellStyle name="Currency" xfId="4" builtinId="4"/>
    <cellStyle name="Currency 2" xfId="12"/>
    <cellStyle name="Followed Hyperlink" xfId="16" builtinId="9" customBuiltin="1"/>
    <cellStyle name="Good" xfId="18" builtinId="26"/>
    <cellStyle name="Heading 2" xfId="5" builtinId="17"/>
    <cellStyle name="Hyperlink" xfId="6" builtinId="8"/>
    <cellStyle name="Neutral" xfId="20" builtinId="28"/>
    <cellStyle name="Normal" xfId="0" builtinId="0"/>
    <cellStyle name="Normal 2" xfId="1"/>
    <cellStyle name="Normal 2 2" xfId="3"/>
    <cellStyle name="Normal 2 2 2" xfId="11"/>
    <cellStyle name="Normal 2 2 3" xfId="15"/>
    <cellStyle name="Normal 2 3" xfId="9"/>
    <cellStyle name="Normal 2 4" xfId="14"/>
    <cellStyle name="Normal 3" xfId="8"/>
    <cellStyle name="Normal 4" xfId="7"/>
    <cellStyle name="Normal 5" xfId="13"/>
    <cellStyle name="Normal 7" xfId="21"/>
    <cellStyle name="Percent" xfId="2" builtinId="5"/>
    <cellStyle name="Percent 2" xfId="10"/>
  </cellStyles>
  <dxfs count="9">
    <dxf>
      <font>
        <color rgb="FF9C0006"/>
      </font>
      <fill>
        <patternFill>
          <bgColor rgb="FFFFC7CE"/>
        </patternFill>
      </fill>
    </dxf>
    <dxf>
      <font>
        <color rgb="FF9C0006"/>
      </font>
      <fill>
        <patternFill>
          <bgColor rgb="FFFFC7CE"/>
        </patternFill>
      </fill>
    </dxf>
    <dxf>
      <numFmt numFmtId="22" formatCode="mmm\-yy"/>
    </dxf>
    <dxf>
      <numFmt numFmtId="2" formatCode="0.00"/>
    </dxf>
    <dxf>
      <font>
        <b val="0"/>
        <i val="0"/>
        <strike val="0"/>
        <condense val="0"/>
        <extend val="0"/>
        <outline val="0"/>
        <shadow val="0"/>
        <u val="none"/>
        <vertAlign val="baseline"/>
        <sz val="11"/>
        <color theme="1"/>
        <name val="Calibri"/>
        <scheme val="minor"/>
      </font>
    </dxf>
    <dxf>
      <fill>
        <patternFill patternType="solid">
          <fgColor indexed="64"/>
          <bgColor theme="3" tint="0.59999389629810485"/>
        </patternFill>
      </fill>
    </dxf>
    <dxf>
      <font>
        <color rgb="FF9C0006"/>
      </font>
      <fill>
        <patternFill>
          <bgColor rgb="FFFFC7CE"/>
        </patternFill>
      </fill>
    </dxf>
    <dxf>
      <fill>
        <patternFill>
          <bgColor rgb="FFFF0000"/>
        </patternFill>
      </fill>
    </dxf>
    <dxf>
      <border>
        <left style="thin">
          <color auto="1"/>
        </left>
        <right style="thin">
          <color auto="1"/>
        </right>
        <top style="thin">
          <color auto="1"/>
        </top>
        <bottom style="thin">
          <color auto="1"/>
        </bottom>
      </border>
    </dxf>
  </dxfs>
  <tableStyles count="6" defaultTableStyle="TableStyleMedium2" defaultPivotStyle="PivotStyleLight16">
    <tableStyle name="Slicer Style 1" pivot="0" table="0" count="1">
      <tableStyleElement type="wholeTable" dxfId="8"/>
    </tableStyle>
    <tableStyle name="Slicer Style 2" pivot="0" table="0" count="1"/>
    <tableStyle name="Slicer Style 3" pivot="0" table="0" count="1">
      <tableStyleElement type="wholeTable" dxfId="7"/>
    </tableStyle>
    <tableStyle name="Slicer Style 4" pivot="0" table="0" count="2"/>
    <tableStyle name="Slicer Style 5" pivot="0" table="0" count="1"/>
    <tableStyle name="Slicer Style 6" pivot="0" table="0" count="1"/>
  </tableStyles>
  <colors>
    <mruColors>
      <color rgb="FF2592FF"/>
      <color rgb="FFC9E4FF"/>
      <color rgb="FFE5F2FF"/>
      <color rgb="FFEFF7FF"/>
      <color rgb="FF75BAFF"/>
      <color rgb="FF99CCFF"/>
      <color rgb="FFFFE38B"/>
      <color rgb="FFFF0000"/>
      <color rgb="FF53A9FF"/>
      <color rgb="FFFFD757"/>
    </mruColors>
  </colors>
  <extLst>
    <ext xmlns:x14="http://schemas.microsoft.com/office/spreadsheetml/2009/9/main" uri="{46F421CA-312F-682f-3DD2-61675219B42D}">
      <x14:dxfs count="5">
        <dxf>
          <font>
            <color theme="0"/>
          </font>
        </dxf>
        <dxf>
          <fill>
            <patternFill>
              <bgColor theme="0" tint="-0.24994659260841701"/>
            </patternFill>
          </fill>
        </dxf>
        <dxf>
          <fill>
            <patternFill>
              <bgColor rgb="FFFF85B6"/>
            </patternFill>
          </fill>
        </dxf>
        <dxf>
          <fill>
            <patternFill>
              <bgColor rgb="FFF73186"/>
            </patternFill>
          </fill>
          <border>
            <left/>
            <right/>
            <top/>
            <bottom/>
          </border>
        </dxf>
        <dxf>
          <border diagonalUp="0" diagonalDown="0">
            <left/>
            <right/>
            <top/>
            <bottom/>
            <vertical/>
            <horizontal/>
          </border>
        </dxf>
      </x14:dxfs>
    </ext>
    <ext xmlns:x14="http://schemas.microsoft.com/office/spreadsheetml/2009/9/main" uri="{EB79DEF2-80B8-43e5-95BD-54CBDDF9020C}">
      <x14:slicerStyles defaultSlicerStyle="SlicerStyleLight1">
        <x14:slicerStyle name="Slicer Style 1"/>
        <x14:slicerStyle name="Slicer Style 2">
          <x14:slicerStyleElements>
            <x14:slicerStyleElement type="selectedItemWithData" dxfId="4"/>
          </x14:slicerStyleElements>
        </x14:slicerStyle>
        <x14:slicerStyle name="Slicer Style 3"/>
        <x14:slicerStyle name="Slicer Style 4">
          <x14:slicerStyleElements>
            <x14:slicerStyleElement type="selectedItemWithData" dxfId="3"/>
            <x14:slicerStyleElement type="selectedItemWithNoData" dxfId="2"/>
          </x14:slicerStyleElements>
        </x14:slicerStyle>
        <x14:slicerStyle name="Slicer Style 5">
          <x14:slicerStyleElements>
            <x14:slicerStyleElement type="selectedItemWithData" dxfId="1"/>
          </x14:slicerStyleElements>
        </x14:slicerStyle>
        <x14:slicerStyle name="Slicer Style 6">
          <x14:slicerStyleElements>
            <x14:slicerStyleElement type="un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of Energy</a:t>
            </a:r>
            <a:r>
              <a:rPr lang="en-US" baseline="0"/>
              <a:t> Star Air Cleaners within CADR/Watt Range</a:t>
            </a:r>
            <a:endParaRPr lang="en-US"/>
          </a:p>
        </c:rich>
      </c:tx>
      <c:layout>
        <c:manualLayout>
          <c:xMode val="edge"/>
          <c:yMode val="edge"/>
          <c:x val="0.17248973017445668"/>
          <c:y val="2.67229254571026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333333333333333E-2"/>
          <c:y val="5.0925925925925923E-2"/>
          <c:w val="0.93888888888888888"/>
          <c:h val="0.89814814814814814"/>
        </c:manualLayout>
      </c:layout>
      <c:barChart>
        <c:barDir val="bar"/>
        <c:grouping val="percentStacked"/>
        <c:varyColors val="0"/>
        <c:ser>
          <c:idx val="0"/>
          <c:order val="0"/>
          <c:tx>
            <c:strRef>
              <c:f>'Intermediate Data'!$A$25</c:f>
              <c:strCache>
                <c:ptCount val="1"/>
                <c:pt idx="0">
                  <c:v> 2-3</c:v>
                </c:pt>
              </c:strCache>
            </c:strRef>
          </c:tx>
          <c:spPr>
            <a:solidFill>
              <a:srgbClr val="2592FF"/>
            </a:solidFill>
            <a:ln>
              <a:noFill/>
            </a:ln>
            <a:effectLst/>
          </c:spPr>
          <c:invertIfNegative val="0"/>
          <c:dLbls>
            <c:dLbl>
              <c:idx val="0"/>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'Intermediate Data'!$D$25</c:f>
              <c:numCache>
                <c:formatCode>0%</c:formatCode>
                <c:ptCount val="1"/>
                <c:pt idx="0">
                  <c:v>0.60989010989010994</c:v>
                </c:pt>
              </c:numCache>
            </c:numRef>
          </c:val>
        </c:ser>
        <c:ser>
          <c:idx val="1"/>
          <c:order val="1"/>
          <c:tx>
            <c:strRef>
              <c:f>'Intermediate Data'!$A$26</c:f>
              <c:strCache>
                <c:ptCount val="1"/>
                <c:pt idx="0">
                  <c:v> 3-4</c:v>
                </c:pt>
              </c:strCache>
            </c:strRef>
          </c:tx>
          <c:spPr>
            <a:solidFill>
              <a:schemeClr val="accent2"/>
            </a:solidFill>
            <a:ln>
              <a:noFill/>
            </a:ln>
            <a:effectLst/>
          </c:spPr>
          <c:invertIfNegative val="0"/>
          <c:dPt>
            <c:idx val="0"/>
            <c:invertIfNegative val="0"/>
            <c:bubble3D val="0"/>
            <c:spPr>
              <a:solidFill>
                <a:srgbClr val="75BAFF"/>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'Intermediate Data'!$D$26</c:f>
              <c:numCache>
                <c:formatCode>0%</c:formatCode>
                <c:ptCount val="1"/>
                <c:pt idx="0">
                  <c:v>0.18131868131868131</c:v>
                </c:pt>
              </c:numCache>
            </c:numRef>
          </c:val>
        </c:ser>
        <c:ser>
          <c:idx val="2"/>
          <c:order val="2"/>
          <c:tx>
            <c:strRef>
              <c:f>'Intermediate Data'!$A$27</c:f>
              <c:strCache>
                <c:ptCount val="1"/>
                <c:pt idx="0">
                  <c:v> 4-5</c:v>
                </c:pt>
              </c:strCache>
            </c:strRef>
          </c:tx>
          <c:spPr>
            <a:solidFill>
              <a:srgbClr val="C9E4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'Intermediate Data'!$D$27</c:f>
              <c:numCache>
                <c:formatCode>0%</c:formatCode>
                <c:ptCount val="1"/>
                <c:pt idx="0">
                  <c:v>0.1043956043956044</c:v>
                </c:pt>
              </c:numCache>
            </c:numRef>
          </c:val>
        </c:ser>
        <c:ser>
          <c:idx val="3"/>
          <c:order val="3"/>
          <c:tx>
            <c:strRef>
              <c:f>'Intermediate Data'!$A$28</c:f>
              <c:strCache>
                <c:ptCount val="1"/>
                <c:pt idx="0">
                  <c:v>5+</c:v>
                </c:pt>
              </c:strCache>
            </c:strRef>
          </c:tx>
          <c:spPr>
            <a:solidFill>
              <a:srgbClr val="E5F2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'Intermediate Data'!$D$28</c:f>
              <c:numCache>
                <c:formatCode>0%</c:formatCode>
                <c:ptCount val="1"/>
                <c:pt idx="0">
                  <c:v>0.1043956043956044</c:v>
                </c:pt>
              </c:numCache>
            </c:numRef>
          </c:val>
        </c:ser>
        <c:dLbls>
          <c:dLblPos val="ctr"/>
          <c:showLegendKey val="0"/>
          <c:showVal val="1"/>
          <c:showCatName val="0"/>
          <c:showSerName val="0"/>
          <c:showPercent val="0"/>
          <c:showBubbleSize val="0"/>
        </c:dLbls>
        <c:gapWidth val="150"/>
        <c:overlap val="100"/>
        <c:axId val="150101808"/>
        <c:axId val="150102368"/>
      </c:barChart>
      <c:catAx>
        <c:axId val="150101808"/>
        <c:scaling>
          <c:orientation val="minMax"/>
        </c:scaling>
        <c:delete val="1"/>
        <c:axPos val="l"/>
        <c:majorTickMark val="none"/>
        <c:minorTickMark val="none"/>
        <c:tickLblPos val="nextTo"/>
        <c:crossAx val="150102368"/>
        <c:crosses val="autoZero"/>
        <c:auto val="1"/>
        <c:lblAlgn val="ctr"/>
        <c:lblOffset val="100"/>
        <c:noMultiLvlLbl val="0"/>
      </c:catAx>
      <c:valAx>
        <c:axId val="1501023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 of ENERGY STAR Air Cleaners</a:t>
                </a:r>
              </a:p>
            </c:rich>
          </c:tx>
          <c:layout>
            <c:manualLayout>
              <c:xMode val="edge"/>
              <c:yMode val="edge"/>
              <c:x val="0.28130498900619166"/>
              <c:y val="0.7999705299995395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0101808"/>
        <c:crosses val="autoZero"/>
        <c:crossBetween val="between"/>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Cost!$O$11</c:f>
              <c:strCache>
                <c:ptCount val="1"/>
                <c:pt idx="0">
                  <c:v>Energy Star</c:v>
                </c:pt>
              </c:strCache>
            </c:strRef>
          </c:tx>
          <c:spPr>
            <a:solidFill>
              <a:schemeClr val="accent1"/>
            </a:solidFill>
            <a:ln>
              <a:noFill/>
            </a:ln>
            <a:effectLst/>
          </c:spPr>
          <c:invertIfNegative val="0"/>
          <c:cat>
            <c:strRef>
              <c:f>Cost!$M$12:$M$18</c:f>
              <c:strCache>
                <c:ptCount val="7"/>
                <c:pt idx="0">
                  <c:v>&lt; $100</c:v>
                </c:pt>
                <c:pt idx="1">
                  <c:v>$100-$200</c:v>
                </c:pt>
                <c:pt idx="2">
                  <c:v>$200-$300</c:v>
                </c:pt>
                <c:pt idx="3">
                  <c:v>$300-$400</c:v>
                </c:pt>
                <c:pt idx="4">
                  <c:v>$400-$500</c:v>
                </c:pt>
                <c:pt idx="5">
                  <c:v>$500-$600</c:v>
                </c:pt>
                <c:pt idx="6">
                  <c:v>$600+</c:v>
                </c:pt>
              </c:strCache>
            </c:strRef>
          </c:cat>
          <c:val>
            <c:numRef>
              <c:f>Cost!$O$12:$O$18</c:f>
              <c:numCache>
                <c:formatCode>General</c:formatCode>
                <c:ptCount val="7"/>
                <c:pt idx="0">
                  <c:v>0</c:v>
                </c:pt>
                <c:pt idx="1">
                  <c:v>0</c:v>
                </c:pt>
                <c:pt idx="2">
                  <c:v>5</c:v>
                </c:pt>
                <c:pt idx="3">
                  <c:v>4</c:v>
                </c:pt>
                <c:pt idx="4">
                  <c:v>4</c:v>
                </c:pt>
                <c:pt idx="5">
                  <c:v>1</c:v>
                </c:pt>
                <c:pt idx="6">
                  <c:v>7</c:v>
                </c:pt>
              </c:numCache>
            </c:numRef>
          </c:val>
        </c:ser>
        <c:ser>
          <c:idx val="1"/>
          <c:order val="1"/>
          <c:tx>
            <c:strRef>
              <c:f>Cost!$P$11</c:f>
              <c:strCache>
                <c:ptCount val="1"/>
                <c:pt idx="0">
                  <c:v>Non-Energy Star</c:v>
                </c:pt>
              </c:strCache>
            </c:strRef>
          </c:tx>
          <c:spPr>
            <a:solidFill>
              <a:schemeClr val="accent2"/>
            </a:solidFill>
            <a:ln>
              <a:noFill/>
            </a:ln>
            <a:effectLst/>
          </c:spPr>
          <c:invertIfNegative val="0"/>
          <c:cat>
            <c:strRef>
              <c:f>Cost!$M$12:$M$18</c:f>
              <c:strCache>
                <c:ptCount val="7"/>
                <c:pt idx="0">
                  <c:v>&lt; $100</c:v>
                </c:pt>
                <c:pt idx="1">
                  <c:v>$100-$200</c:v>
                </c:pt>
                <c:pt idx="2">
                  <c:v>$200-$300</c:v>
                </c:pt>
                <c:pt idx="3">
                  <c:v>$300-$400</c:v>
                </c:pt>
                <c:pt idx="4">
                  <c:v>$400-$500</c:v>
                </c:pt>
                <c:pt idx="5">
                  <c:v>$500-$600</c:v>
                </c:pt>
                <c:pt idx="6">
                  <c:v>$600+</c:v>
                </c:pt>
              </c:strCache>
            </c:strRef>
          </c:cat>
          <c:val>
            <c:numRef>
              <c:f>Cost!$P$12:$P$18</c:f>
              <c:numCache>
                <c:formatCode>General</c:formatCode>
                <c:ptCount val="7"/>
                <c:pt idx="0">
                  <c:v>2</c:v>
                </c:pt>
                <c:pt idx="1">
                  <c:v>1</c:v>
                </c:pt>
                <c:pt idx="2">
                  <c:v>3</c:v>
                </c:pt>
                <c:pt idx="3">
                  <c:v>1</c:v>
                </c:pt>
                <c:pt idx="4">
                  <c:v>1</c:v>
                </c:pt>
                <c:pt idx="5">
                  <c:v>0</c:v>
                </c:pt>
                <c:pt idx="6">
                  <c:v>0</c:v>
                </c:pt>
              </c:numCache>
            </c:numRef>
          </c:val>
        </c:ser>
        <c:dLbls>
          <c:showLegendKey val="0"/>
          <c:showVal val="0"/>
          <c:showCatName val="0"/>
          <c:showSerName val="0"/>
          <c:showPercent val="0"/>
          <c:showBubbleSize val="0"/>
        </c:dLbls>
        <c:gapWidth val="219"/>
        <c:overlap val="-27"/>
        <c:axId val="153231760"/>
        <c:axId val="153232320"/>
      </c:barChart>
      <c:catAx>
        <c:axId val="15323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32320"/>
        <c:crosses val="autoZero"/>
        <c:auto val="1"/>
        <c:lblAlgn val="ctr"/>
        <c:lblOffset val="100"/>
        <c:noMultiLvlLbl val="0"/>
      </c:catAx>
      <c:valAx>
        <c:axId val="153232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31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Cost!$V$11</c:f>
              <c:strCache>
                <c:ptCount val="1"/>
                <c:pt idx="0">
                  <c:v>Energy Star</c:v>
                </c:pt>
              </c:strCache>
            </c:strRef>
          </c:tx>
          <c:spPr>
            <a:solidFill>
              <a:schemeClr val="accent1"/>
            </a:solidFill>
            <a:ln>
              <a:noFill/>
            </a:ln>
            <a:effectLst/>
          </c:spPr>
          <c:invertIfNegative val="0"/>
          <c:cat>
            <c:strRef>
              <c:f>Cost!$T$12:$T$18</c:f>
              <c:strCache>
                <c:ptCount val="7"/>
                <c:pt idx="0">
                  <c:v>&lt; $100</c:v>
                </c:pt>
                <c:pt idx="1">
                  <c:v>$100-$200</c:v>
                </c:pt>
                <c:pt idx="2">
                  <c:v>$200-$300</c:v>
                </c:pt>
                <c:pt idx="3">
                  <c:v>$300-$400</c:v>
                </c:pt>
                <c:pt idx="4">
                  <c:v>$400-$500</c:v>
                </c:pt>
                <c:pt idx="5">
                  <c:v>$500-$600</c:v>
                </c:pt>
                <c:pt idx="6">
                  <c:v>$600+</c:v>
                </c:pt>
              </c:strCache>
            </c:strRef>
          </c:cat>
          <c:val>
            <c:numRef>
              <c:f>Cost!$V$12:$V$18</c:f>
              <c:numCache>
                <c:formatCode>General</c:formatCode>
                <c:ptCount val="7"/>
                <c:pt idx="0">
                  <c:v>2</c:v>
                </c:pt>
                <c:pt idx="1">
                  <c:v>24</c:v>
                </c:pt>
                <c:pt idx="2">
                  <c:v>9</c:v>
                </c:pt>
                <c:pt idx="3">
                  <c:v>5</c:v>
                </c:pt>
                <c:pt idx="4">
                  <c:v>2</c:v>
                </c:pt>
                <c:pt idx="5">
                  <c:v>2</c:v>
                </c:pt>
                <c:pt idx="6">
                  <c:v>3</c:v>
                </c:pt>
              </c:numCache>
            </c:numRef>
          </c:val>
        </c:ser>
        <c:ser>
          <c:idx val="1"/>
          <c:order val="1"/>
          <c:tx>
            <c:strRef>
              <c:f>Cost!$W$11</c:f>
              <c:strCache>
                <c:ptCount val="1"/>
                <c:pt idx="0">
                  <c:v>Non-Energy Star</c:v>
                </c:pt>
              </c:strCache>
            </c:strRef>
          </c:tx>
          <c:spPr>
            <a:solidFill>
              <a:schemeClr val="accent2"/>
            </a:solidFill>
            <a:ln>
              <a:noFill/>
            </a:ln>
            <a:effectLst/>
          </c:spPr>
          <c:invertIfNegative val="0"/>
          <c:cat>
            <c:strRef>
              <c:f>Cost!$T$12:$T$18</c:f>
              <c:strCache>
                <c:ptCount val="7"/>
                <c:pt idx="0">
                  <c:v>&lt; $100</c:v>
                </c:pt>
                <c:pt idx="1">
                  <c:v>$100-$200</c:v>
                </c:pt>
                <c:pt idx="2">
                  <c:v>$200-$300</c:v>
                </c:pt>
                <c:pt idx="3">
                  <c:v>$300-$400</c:v>
                </c:pt>
                <c:pt idx="4">
                  <c:v>$400-$500</c:v>
                </c:pt>
                <c:pt idx="5">
                  <c:v>$500-$600</c:v>
                </c:pt>
                <c:pt idx="6">
                  <c:v>$600+</c:v>
                </c:pt>
              </c:strCache>
            </c:strRef>
          </c:cat>
          <c:val>
            <c:numRef>
              <c:f>Cost!$W$12:$W$18</c:f>
              <c:numCache>
                <c:formatCode>General</c:formatCode>
                <c:ptCount val="7"/>
                <c:pt idx="0">
                  <c:v>18</c:v>
                </c:pt>
                <c:pt idx="1">
                  <c:v>18</c:v>
                </c:pt>
                <c:pt idx="2">
                  <c:v>4</c:v>
                </c:pt>
                <c:pt idx="3">
                  <c:v>1</c:v>
                </c:pt>
                <c:pt idx="4">
                  <c:v>0</c:v>
                </c:pt>
                <c:pt idx="5">
                  <c:v>0</c:v>
                </c:pt>
                <c:pt idx="6">
                  <c:v>0</c:v>
                </c:pt>
              </c:numCache>
            </c:numRef>
          </c:val>
        </c:ser>
        <c:dLbls>
          <c:showLegendKey val="0"/>
          <c:showVal val="0"/>
          <c:showCatName val="0"/>
          <c:showSerName val="0"/>
          <c:showPercent val="0"/>
          <c:showBubbleSize val="0"/>
        </c:dLbls>
        <c:gapWidth val="219"/>
        <c:overlap val="-27"/>
        <c:axId val="153235680"/>
        <c:axId val="153236240"/>
      </c:barChart>
      <c:catAx>
        <c:axId val="15323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36240"/>
        <c:crosses val="autoZero"/>
        <c:auto val="1"/>
        <c:lblAlgn val="ctr"/>
        <c:lblOffset val="100"/>
        <c:noMultiLvlLbl val="0"/>
      </c:catAx>
      <c:valAx>
        <c:axId val="153236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235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ENERGY</a:t>
            </a:r>
            <a:r>
              <a:rPr lang="en-US" baseline="0"/>
              <a:t> STAR </a:t>
            </a:r>
            <a:r>
              <a:rPr lang="en-US"/>
              <a:t>CADR/Watt  Qualifications </a:t>
            </a:r>
          </a:p>
        </c:rich>
      </c:tx>
      <c:layout>
        <c:manualLayout>
          <c:xMode val="edge"/>
          <c:yMode val="edge"/>
          <c:x val="0.16444095849447521"/>
          <c:y val="1.34003350083752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4485703615013674"/>
          <c:y val="0.24120437775466746"/>
          <c:w val="0.65514296384986326"/>
          <c:h val="0.32732040653508626"/>
        </c:manualLayout>
      </c:layout>
      <c:lineChart>
        <c:grouping val="standard"/>
        <c:varyColors val="0"/>
        <c:ser>
          <c:idx val="0"/>
          <c:order val="0"/>
          <c:tx>
            <c:strRef>
              <c:f>'Intermediate Data'!$A$32</c:f>
              <c:strCache>
                <c:ptCount val="1"/>
                <c:pt idx="0">
                  <c:v>ENERGY STAR Specification 1.0</c:v>
                </c:pt>
              </c:strCache>
            </c:strRef>
          </c:tx>
          <c:spPr>
            <a:ln w="28575" cap="rnd">
              <a:solidFill>
                <a:srgbClr val="2592FF"/>
              </a:solidFill>
              <a:round/>
            </a:ln>
            <a:effectLst/>
          </c:spPr>
          <c:marker>
            <c:symbol val="none"/>
          </c:marker>
          <c:dPt>
            <c:idx val="2"/>
            <c:marker>
              <c:symbol val="none"/>
            </c:marker>
            <c:bubble3D val="0"/>
            <c:spPr>
              <a:ln w="28575" cap="rnd">
                <a:solidFill>
                  <a:srgbClr val="2592FF"/>
                </a:solidFill>
                <a:prstDash val="sysDot"/>
                <a:round/>
              </a:ln>
              <a:effectLst/>
            </c:spPr>
          </c:dPt>
          <c:cat>
            <c:numRef>
              <c:f>'Intermediate Data'!$B$31:$D$31</c:f>
              <c:numCache>
                <c:formatCode>General</c:formatCode>
                <c:ptCount val="3"/>
                <c:pt idx="0">
                  <c:v>2004</c:v>
                </c:pt>
                <c:pt idx="1">
                  <c:v>2011</c:v>
                </c:pt>
                <c:pt idx="2">
                  <c:v>2015</c:v>
                </c:pt>
              </c:numCache>
            </c:numRef>
          </c:cat>
          <c:val>
            <c:numRef>
              <c:f>'Intermediate Data'!$B$32:$D$32</c:f>
              <c:numCache>
                <c:formatCode>0</c:formatCode>
                <c:ptCount val="3"/>
                <c:pt idx="0" formatCode="General">
                  <c:v>2</c:v>
                </c:pt>
                <c:pt idx="1">
                  <c:v>2</c:v>
                </c:pt>
              </c:numCache>
            </c:numRef>
          </c:val>
          <c:smooth val="0"/>
        </c:ser>
        <c:ser>
          <c:idx val="1"/>
          <c:order val="1"/>
          <c:tx>
            <c:strRef>
              <c:f>'Intermediate Data'!$A$33</c:f>
              <c:strCache>
                <c:ptCount val="1"/>
                <c:pt idx="0">
                  <c:v>ENERGY STAR Specification 1.2</c:v>
                </c:pt>
              </c:strCache>
            </c:strRef>
          </c:tx>
          <c:spPr>
            <a:ln w="28575" cap="rnd">
              <a:solidFill>
                <a:schemeClr val="tx1">
                  <a:lumMod val="50000"/>
                  <a:lumOff val="50000"/>
                </a:schemeClr>
              </a:solidFill>
              <a:prstDash val="solid"/>
              <a:round/>
              <a:tailEnd type="triangle"/>
            </a:ln>
            <a:effectLst/>
          </c:spPr>
          <c:marker>
            <c:symbol val="none"/>
          </c:marker>
          <c:cat>
            <c:numRef>
              <c:f>'Intermediate Data'!$B$31:$D$31</c:f>
              <c:numCache>
                <c:formatCode>General</c:formatCode>
                <c:ptCount val="3"/>
                <c:pt idx="0">
                  <c:v>2004</c:v>
                </c:pt>
                <c:pt idx="1">
                  <c:v>2011</c:v>
                </c:pt>
                <c:pt idx="2">
                  <c:v>2015</c:v>
                </c:pt>
              </c:numCache>
            </c:numRef>
          </c:cat>
          <c:val>
            <c:numRef>
              <c:f>'Intermediate Data'!$B$33:$D$33</c:f>
              <c:numCache>
                <c:formatCode>General</c:formatCode>
                <c:ptCount val="3"/>
                <c:pt idx="1">
                  <c:v>2</c:v>
                </c:pt>
                <c:pt idx="2">
                  <c:v>2</c:v>
                </c:pt>
              </c:numCache>
            </c:numRef>
          </c:val>
          <c:smooth val="0"/>
        </c:ser>
        <c:dLbls>
          <c:showLegendKey val="0"/>
          <c:showVal val="0"/>
          <c:showCatName val="0"/>
          <c:showSerName val="0"/>
          <c:showPercent val="0"/>
          <c:showBubbleSize val="0"/>
        </c:dLbls>
        <c:smooth val="0"/>
        <c:axId val="151614480"/>
        <c:axId val="151615040"/>
      </c:lineChart>
      <c:catAx>
        <c:axId val="15161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615040"/>
        <c:crosses val="autoZero"/>
        <c:auto val="1"/>
        <c:lblAlgn val="ctr"/>
        <c:lblOffset val="100"/>
        <c:noMultiLvlLbl val="0"/>
      </c:catAx>
      <c:valAx>
        <c:axId val="151615040"/>
        <c:scaling>
          <c:orientation val="minMax"/>
          <c:min val="1"/>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CADR/WATT</a:t>
                </a:r>
              </a:p>
            </c:rich>
          </c:tx>
          <c:layout>
            <c:manualLayout>
              <c:xMode val="edge"/>
              <c:yMode val="edge"/>
              <c:x val="0.18268575323790048"/>
              <c:y val="0.2059620521003156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614480"/>
        <c:crosses val="autoZero"/>
        <c:crossBetween val="between"/>
        <c:majorUnit val="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111111111111111E-2"/>
          <c:y val="0.32850141579697728"/>
          <c:w val="0.91111111111111109"/>
          <c:h val="0.57488052073332352"/>
        </c:manualLayout>
      </c:layout>
      <c:barChart>
        <c:barDir val="bar"/>
        <c:grouping val="stacked"/>
        <c:varyColors val="0"/>
        <c:ser>
          <c:idx val="0"/>
          <c:order val="0"/>
          <c:tx>
            <c:strRef>
              <c:f>'Intermediate Data'!$N$8</c:f>
              <c:strCache>
                <c:ptCount val="1"/>
                <c:pt idx="0">
                  <c:v>31%</c:v>
                </c:pt>
              </c:strCache>
            </c:strRef>
          </c:tx>
          <c:spPr>
            <a:solidFill>
              <a:srgbClr val="2592FF"/>
            </a:solidFill>
            <a:ln>
              <a:noFill/>
            </a:ln>
            <a:effectLst/>
          </c:spPr>
          <c:invertIfNegative val="0"/>
          <c:val>
            <c:numRef>
              <c:f>'Intermediate Data'!$N$8</c:f>
              <c:numCache>
                <c:formatCode>0%</c:formatCode>
                <c:ptCount val="1"/>
                <c:pt idx="0">
                  <c:v>0.31</c:v>
                </c:pt>
              </c:numCache>
            </c:numRef>
          </c:val>
        </c:ser>
        <c:ser>
          <c:idx val="1"/>
          <c:order val="1"/>
          <c:tx>
            <c:strRef>
              <c:f>'Intermediate Data'!$P$8</c:f>
              <c:strCache>
                <c:ptCount val="1"/>
                <c:pt idx="0">
                  <c:v>20%</c:v>
                </c:pt>
              </c:strCache>
            </c:strRef>
          </c:tx>
          <c:spPr>
            <a:pattFill prst="dkUpDiag">
              <a:fgClr>
                <a:srgbClr val="2592FF"/>
              </a:fgClr>
              <a:bgClr>
                <a:schemeClr val="bg1"/>
              </a:bgClr>
            </a:pattFill>
            <a:ln>
              <a:noFill/>
            </a:ln>
            <a:effectLst/>
          </c:spPr>
          <c:invertIfNegative val="0"/>
          <c:val>
            <c:numRef>
              <c:f>'Intermediate Data'!$P$8</c:f>
              <c:numCache>
                <c:formatCode>0%</c:formatCode>
                <c:ptCount val="1"/>
                <c:pt idx="0">
                  <c:v>0.2</c:v>
                </c:pt>
              </c:numCache>
            </c:numRef>
          </c:val>
        </c:ser>
        <c:dLbls>
          <c:showLegendKey val="0"/>
          <c:showVal val="0"/>
          <c:showCatName val="0"/>
          <c:showSerName val="0"/>
          <c:showPercent val="0"/>
          <c:showBubbleSize val="0"/>
        </c:dLbls>
        <c:gapWidth val="150"/>
        <c:overlap val="100"/>
        <c:axId val="151618960"/>
        <c:axId val="151619520"/>
      </c:barChart>
      <c:catAx>
        <c:axId val="151618960"/>
        <c:scaling>
          <c:orientation val="minMax"/>
        </c:scaling>
        <c:delete val="1"/>
        <c:axPos val="l"/>
        <c:majorTickMark val="none"/>
        <c:minorTickMark val="none"/>
        <c:tickLblPos val="nextTo"/>
        <c:crossAx val="151619520"/>
        <c:crosses val="autoZero"/>
        <c:auto val="1"/>
        <c:lblAlgn val="ctr"/>
        <c:lblOffset val="100"/>
        <c:noMultiLvlLbl val="0"/>
      </c:catAx>
      <c:valAx>
        <c:axId val="151619520"/>
        <c:scaling>
          <c:orientation val="minMax"/>
        </c:scaling>
        <c:delete val="1"/>
        <c:axPos val="b"/>
        <c:numFmt formatCode="0%" sourceLinked="1"/>
        <c:majorTickMark val="none"/>
        <c:minorTickMark val="none"/>
        <c:tickLblPos val="nextTo"/>
        <c:crossAx val="1516189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Cost!$H$11</c:f>
              <c:strCache>
                <c:ptCount val="1"/>
                <c:pt idx="0">
                  <c:v>Energy Star</c:v>
                </c:pt>
              </c:strCache>
            </c:strRef>
          </c:tx>
          <c:spPr>
            <a:solidFill>
              <a:srgbClr val="2592FF"/>
            </a:solidFill>
            <a:ln>
              <a:noFill/>
            </a:ln>
            <a:effectLst/>
          </c:spPr>
          <c:invertIfNegative val="0"/>
          <c:cat>
            <c:strRef>
              <c:f>Cost!$F$12:$F$18</c:f>
              <c:strCache>
                <c:ptCount val="7"/>
                <c:pt idx="0">
                  <c:v>&lt; $100</c:v>
                </c:pt>
                <c:pt idx="1">
                  <c:v>$100-$200</c:v>
                </c:pt>
                <c:pt idx="2">
                  <c:v>$200-$300</c:v>
                </c:pt>
                <c:pt idx="3">
                  <c:v>$300-$400</c:v>
                </c:pt>
                <c:pt idx="4">
                  <c:v>$400-$500</c:v>
                </c:pt>
                <c:pt idx="5">
                  <c:v>$500-$600</c:v>
                </c:pt>
                <c:pt idx="6">
                  <c:v>$600+</c:v>
                </c:pt>
              </c:strCache>
            </c:strRef>
          </c:cat>
          <c:val>
            <c:numRef>
              <c:f>Cost!$H$12:$H$18</c:f>
              <c:numCache>
                <c:formatCode>General</c:formatCode>
                <c:ptCount val="7"/>
                <c:pt idx="0">
                  <c:v>2</c:v>
                </c:pt>
                <c:pt idx="1">
                  <c:v>24</c:v>
                </c:pt>
                <c:pt idx="2">
                  <c:v>14</c:v>
                </c:pt>
                <c:pt idx="3">
                  <c:v>9</c:v>
                </c:pt>
                <c:pt idx="4">
                  <c:v>6</c:v>
                </c:pt>
                <c:pt idx="5">
                  <c:v>3</c:v>
                </c:pt>
                <c:pt idx="6">
                  <c:v>10</c:v>
                </c:pt>
              </c:numCache>
            </c:numRef>
          </c:val>
        </c:ser>
        <c:ser>
          <c:idx val="1"/>
          <c:order val="1"/>
          <c:tx>
            <c:strRef>
              <c:f>Cost!$I$11</c:f>
              <c:strCache>
                <c:ptCount val="1"/>
                <c:pt idx="0">
                  <c:v>Non-Energy Star</c:v>
                </c:pt>
              </c:strCache>
            </c:strRef>
          </c:tx>
          <c:spPr>
            <a:solidFill>
              <a:schemeClr val="bg1">
                <a:lumMod val="85000"/>
              </a:schemeClr>
            </a:solidFill>
            <a:ln>
              <a:noFill/>
            </a:ln>
            <a:effectLst/>
          </c:spPr>
          <c:invertIfNegative val="0"/>
          <c:cat>
            <c:strRef>
              <c:f>Cost!$F$12:$F$18</c:f>
              <c:strCache>
                <c:ptCount val="7"/>
                <c:pt idx="0">
                  <c:v>&lt; $100</c:v>
                </c:pt>
                <c:pt idx="1">
                  <c:v>$100-$200</c:v>
                </c:pt>
                <c:pt idx="2">
                  <c:v>$200-$300</c:v>
                </c:pt>
                <c:pt idx="3">
                  <c:v>$300-$400</c:v>
                </c:pt>
                <c:pt idx="4">
                  <c:v>$400-$500</c:v>
                </c:pt>
                <c:pt idx="5">
                  <c:v>$500-$600</c:v>
                </c:pt>
                <c:pt idx="6">
                  <c:v>$600+</c:v>
                </c:pt>
              </c:strCache>
            </c:strRef>
          </c:cat>
          <c:val>
            <c:numRef>
              <c:f>Cost!$I$12:$I$18</c:f>
              <c:numCache>
                <c:formatCode>General</c:formatCode>
                <c:ptCount val="7"/>
                <c:pt idx="0">
                  <c:v>20</c:v>
                </c:pt>
                <c:pt idx="1">
                  <c:v>19</c:v>
                </c:pt>
                <c:pt idx="2">
                  <c:v>7</c:v>
                </c:pt>
                <c:pt idx="3">
                  <c:v>2</c:v>
                </c:pt>
                <c:pt idx="4">
                  <c:v>1</c:v>
                </c:pt>
                <c:pt idx="5">
                  <c:v>0</c:v>
                </c:pt>
                <c:pt idx="6">
                  <c:v>0</c:v>
                </c:pt>
              </c:numCache>
            </c:numRef>
          </c:val>
        </c:ser>
        <c:dLbls>
          <c:showLegendKey val="0"/>
          <c:showVal val="0"/>
          <c:showCatName val="0"/>
          <c:showSerName val="0"/>
          <c:showPercent val="0"/>
          <c:showBubbleSize val="0"/>
        </c:dLbls>
        <c:gapWidth val="150"/>
        <c:axId val="151270096"/>
        <c:axId val="151270656"/>
      </c:barChart>
      <c:catAx>
        <c:axId val="15127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70656"/>
        <c:crosses val="autoZero"/>
        <c:auto val="1"/>
        <c:lblAlgn val="ctr"/>
        <c:lblOffset val="100"/>
        <c:noMultiLvlLbl val="0"/>
      </c:catAx>
      <c:valAx>
        <c:axId val="1512706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Models Available*</a:t>
                </a:r>
              </a:p>
            </c:rich>
          </c:tx>
          <c:layout>
            <c:manualLayout>
              <c:xMode val="edge"/>
              <c:yMode val="edge"/>
              <c:x val="3.0555555555555555E-2"/>
              <c:y val="0.136924759405074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70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Cost!$O$11</c:f>
              <c:strCache>
                <c:ptCount val="1"/>
                <c:pt idx="0">
                  <c:v>Energy Star</c:v>
                </c:pt>
              </c:strCache>
            </c:strRef>
          </c:tx>
          <c:spPr>
            <a:solidFill>
              <a:srgbClr val="2592FF"/>
            </a:solidFill>
            <a:ln>
              <a:noFill/>
            </a:ln>
            <a:effectLst/>
          </c:spPr>
          <c:invertIfNegative val="0"/>
          <c:cat>
            <c:strRef>
              <c:f>Cost!$M$12:$M$18</c:f>
              <c:strCache>
                <c:ptCount val="7"/>
                <c:pt idx="0">
                  <c:v>&lt; $100</c:v>
                </c:pt>
                <c:pt idx="1">
                  <c:v>$100-$200</c:v>
                </c:pt>
                <c:pt idx="2">
                  <c:v>$200-$300</c:v>
                </c:pt>
                <c:pt idx="3">
                  <c:v>$300-$400</c:v>
                </c:pt>
                <c:pt idx="4">
                  <c:v>$400-$500</c:v>
                </c:pt>
                <c:pt idx="5">
                  <c:v>$500-$600</c:v>
                </c:pt>
                <c:pt idx="6">
                  <c:v>$600+</c:v>
                </c:pt>
              </c:strCache>
            </c:strRef>
          </c:cat>
          <c:val>
            <c:numRef>
              <c:f>Cost!$O$12:$O$18</c:f>
              <c:numCache>
                <c:formatCode>General</c:formatCode>
                <c:ptCount val="7"/>
                <c:pt idx="0">
                  <c:v>0</c:v>
                </c:pt>
                <c:pt idx="1">
                  <c:v>0</c:v>
                </c:pt>
                <c:pt idx="2">
                  <c:v>5</c:v>
                </c:pt>
                <c:pt idx="3">
                  <c:v>4</c:v>
                </c:pt>
                <c:pt idx="4">
                  <c:v>4</c:v>
                </c:pt>
                <c:pt idx="5">
                  <c:v>1</c:v>
                </c:pt>
                <c:pt idx="6">
                  <c:v>7</c:v>
                </c:pt>
              </c:numCache>
            </c:numRef>
          </c:val>
        </c:ser>
        <c:ser>
          <c:idx val="1"/>
          <c:order val="1"/>
          <c:tx>
            <c:strRef>
              <c:f>Cost!$P$11</c:f>
              <c:strCache>
                <c:ptCount val="1"/>
                <c:pt idx="0">
                  <c:v>Non-Energy Star</c:v>
                </c:pt>
              </c:strCache>
            </c:strRef>
          </c:tx>
          <c:spPr>
            <a:solidFill>
              <a:schemeClr val="bg1">
                <a:lumMod val="85000"/>
              </a:schemeClr>
            </a:solidFill>
            <a:ln>
              <a:noFill/>
            </a:ln>
            <a:effectLst/>
          </c:spPr>
          <c:invertIfNegative val="0"/>
          <c:cat>
            <c:strRef>
              <c:f>Cost!$M$12:$M$18</c:f>
              <c:strCache>
                <c:ptCount val="7"/>
                <c:pt idx="0">
                  <c:v>&lt; $100</c:v>
                </c:pt>
                <c:pt idx="1">
                  <c:v>$100-$200</c:v>
                </c:pt>
                <c:pt idx="2">
                  <c:v>$200-$300</c:v>
                </c:pt>
                <c:pt idx="3">
                  <c:v>$300-$400</c:v>
                </c:pt>
                <c:pt idx="4">
                  <c:v>$400-$500</c:v>
                </c:pt>
                <c:pt idx="5">
                  <c:v>$500-$600</c:v>
                </c:pt>
                <c:pt idx="6">
                  <c:v>$600+</c:v>
                </c:pt>
              </c:strCache>
            </c:strRef>
          </c:cat>
          <c:val>
            <c:numRef>
              <c:f>Cost!$P$12:$P$18</c:f>
              <c:numCache>
                <c:formatCode>General</c:formatCode>
                <c:ptCount val="7"/>
                <c:pt idx="0">
                  <c:v>2</c:v>
                </c:pt>
                <c:pt idx="1">
                  <c:v>1</c:v>
                </c:pt>
                <c:pt idx="2">
                  <c:v>3</c:v>
                </c:pt>
                <c:pt idx="3">
                  <c:v>1</c:v>
                </c:pt>
                <c:pt idx="4">
                  <c:v>1</c:v>
                </c:pt>
                <c:pt idx="5">
                  <c:v>0</c:v>
                </c:pt>
                <c:pt idx="6">
                  <c:v>0</c:v>
                </c:pt>
              </c:numCache>
            </c:numRef>
          </c:val>
        </c:ser>
        <c:dLbls>
          <c:showLegendKey val="0"/>
          <c:showVal val="0"/>
          <c:showCatName val="0"/>
          <c:showSerName val="0"/>
          <c:showPercent val="0"/>
          <c:showBubbleSize val="0"/>
        </c:dLbls>
        <c:gapWidth val="219"/>
        <c:overlap val="-27"/>
        <c:axId val="151274016"/>
        <c:axId val="151274576"/>
      </c:barChart>
      <c:catAx>
        <c:axId val="15127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74576"/>
        <c:crosses val="autoZero"/>
        <c:auto val="1"/>
        <c:lblAlgn val="ctr"/>
        <c:lblOffset val="100"/>
        <c:noMultiLvlLbl val="0"/>
      </c:catAx>
      <c:valAx>
        <c:axId val="15127457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Number of Models Available*</a:t>
                </a:r>
                <a:endParaRPr lang="en-US" sz="400">
                  <a:effectLst/>
                </a:endParaRPr>
              </a:p>
            </c:rich>
          </c:tx>
          <c:layout>
            <c:manualLayout>
              <c:xMode val="edge"/>
              <c:yMode val="edge"/>
              <c:x val="1.9444444444444445E-2"/>
              <c:y val="0.1554432779235928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12740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304450937343521"/>
          <c:y val="2.5428331875182269E-2"/>
          <c:w val="0.84297925023523002"/>
          <c:h val="0.73577136191309422"/>
        </c:manualLayout>
      </c:layout>
      <c:barChart>
        <c:barDir val="col"/>
        <c:grouping val="clustered"/>
        <c:varyColors val="0"/>
        <c:ser>
          <c:idx val="0"/>
          <c:order val="0"/>
          <c:tx>
            <c:strRef>
              <c:f>Cost!$V$11</c:f>
              <c:strCache>
                <c:ptCount val="1"/>
                <c:pt idx="0">
                  <c:v>Energy Star</c:v>
                </c:pt>
              </c:strCache>
            </c:strRef>
          </c:tx>
          <c:spPr>
            <a:solidFill>
              <a:srgbClr val="2592FF"/>
            </a:solidFill>
            <a:ln>
              <a:noFill/>
            </a:ln>
            <a:effectLst/>
          </c:spPr>
          <c:invertIfNegative val="0"/>
          <c:cat>
            <c:strRef>
              <c:f>Cost!$T$12:$T$18</c:f>
              <c:strCache>
                <c:ptCount val="7"/>
                <c:pt idx="0">
                  <c:v>&lt; $100</c:v>
                </c:pt>
                <c:pt idx="1">
                  <c:v>$100-$200</c:v>
                </c:pt>
                <c:pt idx="2">
                  <c:v>$200-$300</c:v>
                </c:pt>
                <c:pt idx="3">
                  <c:v>$300-$400</c:v>
                </c:pt>
                <c:pt idx="4">
                  <c:v>$400-$500</c:v>
                </c:pt>
                <c:pt idx="5">
                  <c:v>$500-$600</c:v>
                </c:pt>
                <c:pt idx="6">
                  <c:v>$600+</c:v>
                </c:pt>
              </c:strCache>
            </c:strRef>
          </c:cat>
          <c:val>
            <c:numRef>
              <c:f>Cost!$V$12:$V$18</c:f>
              <c:numCache>
                <c:formatCode>General</c:formatCode>
                <c:ptCount val="7"/>
                <c:pt idx="0">
                  <c:v>2</c:v>
                </c:pt>
                <c:pt idx="1">
                  <c:v>24</c:v>
                </c:pt>
                <c:pt idx="2">
                  <c:v>9</c:v>
                </c:pt>
                <c:pt idx="3">
                  <c:v>5</c:v>
                </c:pt>
                <c:pt idx="4">
                  <c:v>2</c:v>
                </c:pt>
                <c:pt idx="5">
                  <c:v>2</c:v>
                </c:pt>
                <c:pt idx="6">
                  <c:v>3</c:v>
                </c:pt>
              </c:numCache>
            </c:numRef>
          </c:val>
        </c:ser>
        <c:ser>
          <c:idx val="1"/>
          <c:order val="1"/>
          <c:tx>
            <c:strRef>
              <c:f>Cost!$W$11</c:f>
              <c:strCache>
                <c:ptCount val="1"/>
                <c:pt idx="0">
                  <c:v>Non-Energy Star</c:v>
                </c:pt>
              </c:strCache>
            </c:strRef>
          </c:tx>
          <c:spPr>
            <a:solidFill>
              <a:schemeClr val="bg1">
                <a:lumMod val="85000"/>
              </a:schemeClr>
            </a:solidFill>
            <a:ln>
              <a:noFill/>
            </a:ln>
            <a:effectLst/>
          </c:spPr>
          <c:invertIfNegative val="0"/>
          <c:cat>
            <c:strRef>
              <c:f>Cost!$T$12:$T$18</c:f>
              <c:strCache>
                <c:ptCount val="7"/>
                <c:pt idx="0">
                  <c:v>&lt; $100</c:v>
                </c:pt>
                <c:pt idx="1">
                  <c:v>$100-$200</c:v>
                </c:pt>
                <c:pt idx="2">
                  <c:v>$200-$300</c:v>
                </c:pt>
                <c:pt idx="3">
                  <c:v>$300-$400</c:v>
                </c:pt>
                <c:pt idx="4">
                  <c:v>$400-$500</c:v>
                </c:pt>
                <c:pt idx="5">
                  <c:v>$500-$600</c:v>
                </c:pt>
                <c:pt idx="6">
                  <c:v>$600+</c:v>
                </c:pt>
              </c:strCache>
            </c:strRef>
          </c:cat>
          <c:val>
            <c:numRef>
              <c:f>Cost!$W$12:$W$18</c:f>
              <c:numCache>
                <c:formatCode>General</c:formatCode>
                <c:ptCount val="7"/>
                <c:pt idx="0">
                  <c:v>18</c:v>
                </c:pt>
                <c:pt idx="1">
                  <c:v>18</c:v>
                </c:pt>
                <c:pt idx="2">
                  <c:v>4</c:v>
                </c:pt>
                <c:pt idx="3">
                  <c:v>1</c:v>
                </c:pt>
                <c:pt idx="4">
                  <c:v>0</c:v>
                </c:pt>
                <c:pt idx="5">
                  <c:v>0</c:v>
                </c:pt>
                <c:pt idx="6">
                  <c:v>0</c:v>
                </c:pt>
              </c:numCache>
            </c:numRef>
          </c:val>
        </c:ser>
        <c:dLbls>
          <c:showLegendKey val="0"/>
          <c:showVal val="0"/>
          <c:showCatName val="0"/>
          <c:showSerName val="0"/>
          <c:showPercent val="0"/>
          <c:showBubbleSize val="0"/>
        </c:dLbls>
        <c:gapWidth val="219"/>
        <c:overlap val="-27"/>
        <c:axId val="152688304"/>
        <c:axId val="152688864"/>
      </c:barChart>
      <c:catAx>
        <c:axId val="15268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88864"/>
        <c:crosses val="autoZero"/>
        <c:auto val="1"/>
        <c:lblAlgn val="ctr"/>
        <c:lblOffset val="100"/>
        <c:noMultiLvlLbl val="0"/>
      </c:catAx>
      <c:valAx>
        <c:axId val="1526888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Number of Models Available*</a:t>
                </a:r>
                <a:endParaRPr lang="en-US" sz="1000">
                  <a:effectLst/>
                </a:endParaRPr>
              </a:p>
            </c:rich>
          </c:tx>
          <c:layout>
            <c:manualLayout>
              <c:xMode val="edge"/>
              <c:yMode val="edge"/>
              <c:x val="1.3888888888888888E-2"/>
              <c:y val="0.1415543890347039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88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Cost!$F$28</c:f>
              <c:strCache>
                <c:ptCount val="1"/>
                <c:pt idx="0">
                  <c:v>box lo</c:v>
                </c:pt>
              </c:strCache>
            </c:strRef>
          </c:tx>
          <c:spPr>
            <a:solidFill>
              <a:schemeClr val="bg1">
                <a:alpha val="0"/>
              </a:schemeClr>
            </a:solidFill>
            <a:ln>
              <a:noFill/>
            </a:ln>
            <a:effectLst/>
          </c:spPr>
          <c:invertIfNegative val="0"/>
          <c:errBars>
            <c:errBarType val="both"/>
            <c:errValType val="cust"/>
            <c:noEndCap val="0"/>
            <c:plus>
              <c:numRef>
                <c:f>Cost!$G$32:$J$32</c:f>
                <c:numCache>
                  <c:formatCode>General</c:formatCode>
                  <c:ptCount val="4"/>
                  <c:pt idx="0">
                    <c:v>520</c:v>
                  </c:pt>
                  <c:pt idx="1">
                    <c:v>540.75</c:v>
                  </c:pt>
                  <c:pt idx="2">
                    <c:v>275</c:v>
                  </c:pt>
                  <c:pt idx="3">
                    <c:v>286</c:v>
                  </c:pt>
                </c:numCache>
              </c:numRef>
            </c:plus>
            <c:minus>
              <c:numRef>
                <c:f>Cost!$G$31:$J$31</c:f>
                <c:numCache>
                  <c:formatCode>General</c:formatCode>
                  <c:ptCount val="4"/>
                  <c:pt idx="0">
                    <c:v>81</c:v>
                  </c:pt>
                  <c:pt idx="1">
                    <c:v>99.25</c:v>
                  </c:pt>
                  <c:pt idx="2">
                    <c:v>76.59</c:v>
                  </c:pt>
                  <c:pt idx="3">
                    <c:v>40</c:v>
                  </c:pt>
                </c:numCache>
              </c:numRef>
            </c:minus>
            <c:spPr>
              <a:noFill/>
              <a:ln w="9525" cap="flat" cmpd="sng" algn="ctr">
                <a:solidFill>
                  <a:schemeClr val="tx1">
                    <a:lumMod val="65000"/>
                    <a:lumOff val="35000"/>
                  </a:schemeClr>
                </a:solidFill>
                <a:round/>
              </a:ln>
              <a:effectLst/>
            </c:spPr>
          </c:errBars>
          <c:val>
            <c:numRef>
              <c:f>Cost!$G$28:$J$28</c:f>
              <c:numCache>
                <c:formatCode>General</c:formatCode>
                <c:ptCount val="4"/>
                <c:pt idx="0">
                  <c:v>329</c:v>
                </c:pt>
                <c:pt idx="1">
                  <c:v>158.25</c:v>
                </c:pt>
                <c:pt idx="2">
                  <c:v>174</c:v>
                </c:pt>
                <c:pt idx="3">
                  <c:v>74</c:v>
                </c:pt>
              </c:numCache>
            </c:numRef>
          </c:val>
          <c:extLst>
            <c:ext xmlns:c15="http://schemas.microsoft.com/office/drawing/2012/chart" uri="{02D57815-91ED-43cb-92C2-25804820EDAC}">
              <c15:filteredCategoryTitle>
                <c15:cat>
                  <c:strRef>
                    <c:extLst>
                      <c:ext uri="{02D57815-91ED-43cb-92C2-25804820EDAC}">
                        <c15:formulaRef>
                          <c15:sqref>Cost!$G$22:$J$22</c15:sqref>
                        </c15:formulaRef>
                      </c:ext>
                    </c:extLst>
                    <c:strCache>
                      <c:ptCount val="4"/>
                      <c:pt idx="0">
                        <c:v>ES &gt;400</c:v>
                      </c:pt>
                      <c:pt idx="1">
                        <c:v>ES &lt;400</c:v>
                      </c:pt>
                      <c:pt idx="2">
                        <c:v>Non ES &gt;400</c:v>
                      </c:pt>
                      <c:pt idx="3">
                        <c:v>Non ES &lt;400</c:v>
                      </c:pt>
                    </c:strCache>
                  </c:strRef>
                </c15:cat>
              </c15:filteredCategoryTitle>
            </c:ext>
          </c:extLst>
        </c:ser>
        <c:ser>
          <c:idx val="1"/>
          <c:order val="1"/>
          <c:tx>
            <c:strRef>
              <c:f>Cost!$F$29</c:f>
              <c:strCache>
                <c:ptCount val="1"/>
                <c:pt idx="0">
                  <c:v>box mid</c:v>
                </c:pt>
              </c:strCache>
            </c:strRef>
          </c:tx>
          <c:spPr>
            <a:solidFill>
              <a:schemeClr val="accent2"/>
            </a:solidFill>
            <a:ln>
              <a:noFill/>
            </a:ln>
            <a:effectLst/>
          </c:spPr>
          <c:invertIfNegative val="0"/>
          <c:val>
            <c:numRef>
              <c:f>Cost!$G$29:$J$29</c:f>
              <c:numCache>
                <c:formatCode>General</c:formatCode>
                <c:ptCount val="4"/>
                <c:pt idx="0">
                  <c:v>130</c:v>
                </c:pt>
                <c:pt idx="1">
                  <c:v>40.25</c:v>
                </c:pt>
                <c:pt idx="2">
                  <c:v>110</c:v>
                </c:pt>
                <c:pt idx="3">
                  <c:v>26</c:v>
                </c:pt>
              </c:numCache>
            </c:numRef>
          </c:val>
          <c:extLst>
            <c:ext xmlns:c15="http://schemas.microsoft.com/office/drawing/2012/chart" uri="{02D57815-91ED-43cb-92C2-25804820EDAC}">
              <c15:filteredCategoryTitle>
                <c15:cat>
                  <c:strRef>
                    <c:extLst>
                      <c:ext uri="{02D57815-91ED-43cb-92C2-25804820EDAC}">
                        <c15:formulaRef>
                          <c15:sqref>Cost!$G$22:$J$22</c15:sqref>
                        </c15:formulaRef>
                      </c:ext>
                    </c:extLst>
                    <c:strCache>
                      <c:ptCount val="4"/>
                      <c:pt idx="0">
                        <c:v>ES &gt;400</c:v>
                      </c:pt>
                      <c:pt idx="1">
                        <c:v>ES &lt;400</c:v>
                      </c:pt>
                      <c:pt idx="2">
                        <c:v>Non ES &gt;400</c:v>
                      </c:pt>
                      <c:pt idx="3">
                        <c:v>Non ES &lt;400</c:v>
                      </c:pt>
                    </c:strCache>
                  </c:strRef>
                </c15:cat>
              </c15:filteredCategoryTitle>
            </c:ext>
          </c:extLst>
        </c:ser>
        <c:ser>
          <c:idx val="2"/>
          <c:order val="2"/>
          <c:tx>
            <c:strRef>
              <c:f>Cost!$F$30</c:f>
              <c:strCache>
                <c:ptCount val="1"/>
                <c:pt idx="0">
                  <c:v>box hi</c:v>
                </c:pt>
              </c:strCache>
            </c:strRef>
          </c:tx>
          <c:spPr>
            <a:solidFill>
              <a:schemeClr val="accent3"/>
            </a:solidFill>
            <a:ln>
              <a:noFill/>
            </a:ln>
            <a:effectLst/>
          </c:spPr>
          <c:invertIfNegative val="0"/>
          <c:val>
            <c:numRef>
              <c:f>Cost!$G$30:$J$30</c:f>
              <c:numCache>
                <c:formatCode>0.0</c:formatCode>
                <c:ptCount val="4"/>
                <c:pt idx="0">
                  <c:v>170</c:v>
                </c:pt>
                <c:pt idx="1">
                  <c:v>101.25</c:v>
                </c:pt>
                <c:pt idx="2">
                  <c:v>16.074999999999989</c:v>
                </c:pt>
                <c:pt idx="3">
                  <c:v>26</c:v>
                </c:pt>
              </c:numCache>
            </c:numRef>
          </c:val>
          <c:extLst>
            <c:ext xmlns:c15="http://schemas.microsoft.com/office/drawing/2012/chart" uri="{02D57815-91ED-43cb-92C2-25804820EDAC}">
              <c15:filteredCategoryTitle>
                <c15:cat>
                  <c:strRef>
                    <c:extLst>
                      <c:ext uri="{02D57815-91ED-43cb-92C2-25804820EDAC}">
                        <c15:formulaRef>
                          <c15:sqref>Cost!$G$22:$J$22</c15:sqref>
                        </c15:formulaRef>
                      </c:ext>
                    </c:extLst>
                    <c:strCache>
                      <c:ptCount val="4"/>
                      <c:pt idx="0">
                        <c:v>ES &gt;400</c:v>
                      </c:pt>
                      <c:pt idx="1">
                        <c:v>ES &lt;400</c:v>
                      </c:pt>
                      <c:pt idx="2">
                        <c:v>Non ES &gt;400</c:v>
                      </c:pt>
                      <c:pt idx="3">
                        <c:v>Non ES &lt;400</c:v>
                      </c:pt>
                    </c:strCache>
                  </c:strRef>
                </c15:cat>
              </c15:filteredCategoryTitle>
            </c:ext>
          </c:extLst>
        </c:ser>
        <c:dLbls>
          <c:showLegendKey val="0"/>
          <c:showVal val="0"/>
          <c:showCatName val="0"/>
          <c:showSerName val="0"/>
          <c:showPercent val="0"/>
          <c:showBubbleSize val="0"/>
        </c:dLbls>
        <c:gapWidth val="150"/>
        <c:overlap val="100"/>
        <c:axId val="152692784"/>
        <c:axId val="152693344"/>
      </c:barChart>
      <c:catAx>
        <c:axId val="15269278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93344"/>
        <c:crosses val="autoZero"/>
        <c:auto val="1"/>
        <c:lblAlgn val="ctr"/>
        <c:lblOffset val="100"/>
        <c:noMultiLvlLbl val="0"/>
      </c:catAx>
      <c:valAx>
        <c:axId val="152693344"/>
        <c:scaling>
          <c:orientation val="minMax"/>
          <c:max val="1000"/>
          <c:min val="0"/>
        </c:scaling>
        <c:delete val="0"/>
        <c:axPos val="b"/>
        <c:numFmt formatCode="_(&quot;$&quot;* #,##0_);_(&quot;$&quot;* \(#,##0\);_(&quot;$&quot;* &quot;-&quot;_);_(@_)"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692784"/>
        <c:crosses val="autoZero"/>
        <c:crossBetween val="between"/>
        <c:majorUnit val="1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 of Air Cleaner</a:t>
            </a:r>
            <a:r>
              <a:rPr lang="en-US" baseline="0"/>
              <a:t>s that are Energy Star within a given cost range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(Cost!$F$9,Cost!$F$8,Cost!$F$7)</c:f>
              <c:strCache>
                <c:ptCount val="3"/>
                <c:pt idx="0">
                  <c:v>&gt;$600</c:v>
                </c:pt>
                <c:pt idx="1">
                  <c:v>$200 - $600</c:v>
                </c:pt>
                <c:pt idx="2">
                  <c:v>&lt; $200</c:v>
                </c:pt>
              </c:strCache>
            </c:strRef>
          </c:cat>
          <c:val>
            <c:numRef>
              <c:f>(Cost!$J$9,Cost!$J$8,Cost!$J$7)</c:f>
              <c:numCache>
                <c:formatCode>0%</c:formatCode>
                <c:ptCount val="3"/>
                <c:pt idx="0">
                  <c:v>0.9</c:v>
                </c:pt>
                <c:pt idx="1">
                  <c:v>0.71875</c:v>
                </c:pt>
                <c:pt idx="2">
                  <c:v>0.4</c:v>
                </c:pt>
              </c:numCache>
            </c:numRef>
          </c:val>
        </c:ser>
        <c:dLbls>
          <c:showLegendKey val="0"/>
          <c:showVal val="0"/>
          <c:showCatName val="0"/>
          <c:showSerName val="0"/>
          <c:showPercent val="0"/>
          <c:showBubbleSize val="0"/>
        </c:dLbls>
        <c:gapWidth val="182"/>
        <c:axId val="152883088"/>
        <c:axId val="152883648"/>
      </c:barChart>
      <c:catAx>
        <c:axId val="1528830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883648"/>
        <c:crosses val="autoZero"/>
        <c:auto val="1"/>
        <c:lblAlgn val="ctr"/>
        <c:lblOffset val="100"/>
        <c:noMultiLvlLbl val="0"/>
      </c:catAx>
      <c:valAx>
        <c:axId val="15288364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883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Cost!$H$11</c:f>
              <c:strCache>
                <c:ptCount val="1"/>
                <c:pt idx="0">
                  <c:v>Energy Star</c:v>
                </c:pt>
              </c:strCache>
            </c:strRef>
          </c:tx>
          <c:spPr>
            <a:solidFill>
              <a:schemeClr val="accent1"/>
            </a:solidFill>
            <a:ln>
              <a:noFill/>
            </a:ln>
            <a:effectLst/>
          </c:spPr>
          <c:invertIfNegative val="0"/>
          <c:cat>
            <c:strRef>
              <c:f>Cost!$F$12:$F$18</c:f>
              <c:strCache>
                <c:ptCount val="7"/>
                <c:pt idx="0">
                  <c:v>&lt; $100</c:v>
                </c:pt>
                <c:pt idx="1">
                  <c:v>$100-$200</c:v>
                </c:pt>
                <c:pt idx="2">
                  <c:v>$200-$300</c:v>
                </c:pt>
                <c:pt idx="3">
                  <c:v>$300-$400</c:v>
                </c:pt>
                <c:pt idx="4">
                  <c:v>$400-$500</c:v>
                </c:pt>
                <c:pt idx="5">
                  <c:v>$500-$600</c:v>
                </c:pt>
                <c:pt idx="6">
                  <c:v>$600+</c:v>
                </c:pt>
              </c:strCache>
            </c:strRef>
          </c:cat>
          <c:val>
            <c:numRef>
              <c:f>Cost!$H$12:$H$18</c:f>
              <c:numCache>
                <c:formatCode>General</c:formatCode>
                <c:ptCount val="7"/>
                <c:pt idx="0">
                  <c:v>2</c:v>
                </c:pt>
                <c:pt idx="1">
                  <c:v>24</c:v>
                </c:pt>
                <c:pt idx="2">
                  <c:v>14</c:v>
                </c:pt>
                <c:pt idx="3">
                  <c:v>9</c:v>
                </c:pt>
                <c:pt idx="4">
                  <c:v>6</c:v>
                </c:pt>
                <c:pt idx="5">
                  <c:v>3</c:v>
                </c:pt>
                <c:pt idx="6">
                  <c:v>10</c:v>
                </c:pt>
              </c:numCache>
            </c:numRef>
          </c:val>
        </c:ser>
        <c:ser>
          <c:idx val="1"/>
          <c:order val="1"/>
          <c:tx>
            <c:strRef>
              <c:f>Cost!$I$11</c:f>
              <c:strCache>
                <c:ptCount val="1"/>
                <c:pt idx="0">
                  <c:v>Non-Energy Star</c:v>
                </c:pt>
              </c:strCache>
            </c:strRef>
          </c:tx>
          <c:spPr>
            <a:solidFill>
              <a:schemeClr val="accent2"/>
            </a:solidFill>
            <a:ln>
              <a:noFill/>
            </a:ln>
            <a:effectLst/>
          </c:spPr>
          <c:invertIfNegative val="0"/>
          <c:cat>
            <c:strRef>
              <c:f>Cost!$F$12:$F$18</c:f>
              <c:strCache>
                <c:ptCount val="7"/>
                <c:pt idx="0">
                  <c:v>&lt; $100</c:v>
                </c:pt>
                <c:pt idx="1">
                  <c:v>$100-$200</c:v>
                </c:pt>
                <c:pt idx="2">
                  <c:v>$200-$300</c:v>
                </c:pt>
                <c:pt idx="3">
                  <c:v>$300-$400</c:v>
                </c:pt>
                <c:pt idx="4">
                  <c:v>$400-$500</c:v>
                </c:pt>
                <c:pt idx="5">
                  <c:v>$500-$600</c:v>
                </c:pt>
                <c:pt idx="6">
                  <c:v>$600+</c:v>
                </c:pt>
              </c:strCache>
            </c:strRef>
          </c:cat>
          <c:val>
            <c:numRef>
              <c:f>Cost!$I$12:$I$18</c:f>
              <c:numCache>
                <c:formatCode>General</c:formatCode>
                <c:ptCount val="7"/>
                <c:pt idx="0">
                  <c:v>20</c:v>
                </c:pt>
                <c:pt idx="1">
                  <c:v>19</c:v>
                </c:pt>
                <c:pt idx="2">
                  <c:v>7</c:v>
                </c:pt>
                <c:pt idx="3">
                  <c:v>2</c:v>
                </c:pt>
                <c:pt idx="4">
                  <c:v>1</c:v>
                </c:pt>
                <c:pt idx="5">
                  <c:v>0</c:v>
                </c:pt>
                <c:pt idx="6">
                  <c:v>0</c:v>
                </c:pt>
              </c:numCache>
            </c:numRef>
          </c:val>
        </c:ser>
        <c:dLbls>
          <c:showLegendKey val="0"/>
          <c:showVal val="0"/>
          <c:showCatName val="0"/>
          <c:showSerName val="0"/>
          <c:showPercent val="0"/>
          <c:showBubbleSize val="0"/>
        </c:dLbls>
        <c:gapWidth val="150"/>
        <c:axId val="153054400"/>
        <c:axId val="153054960"/>
      </c:barChart>
      <c:catAx>
        <c:axId val="153054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054960"/>
        <c:crosses val="autoZero"/>
        <c:auto val="1"/>
        <c:lblAlgn val="ctr"/>
        <c:lblOffset val="100"/>
        <c:noMultiLvlLbl val="0"/>
      </c:catAx>
      <c:valAx>
        <c:axId val="153054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054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2" dropStyle="combo" dx="16" fmlaLink="'Intermediate Data'!$C$37" fmlaRange="'Intermediate Data'!$B$37:$B$38" noThreeD="1" sel="2" val="0"/>
</file>

<file path=xl/ctrlProps/ctrlProp2.xml><?xml version="1.0" encoding="utf-8"?>
<formControlPr xmlns="http://schemas.microsoft.com/office/spreadsheetml/2009/9/main" objectType="Drop" dropLines="3" dropStyle="combo" dx="20" fmlaLink="'Cost view figures'!$C$1" fmlaRange="'Cost view figures'!$B$1:$B$3" noThreeD="1" sel="1" val="0"/>
</file>

<file path=xl/ctrlProps/ctrlProp3.xml><?xml version="1.0" encoding="utf-8"?>
<formControlPr xmlns="http://schemas.microsoft.com/office/spreadsheetml/2009/9/main" objectType="Drop" dropLines="5" dropStyle="combo" dx="16" fmlaLink="'Intermediate Data'!$C$41" fmlaRange="'Intermediate Data'!$B$41:$B$45"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66675</xdr:colOff>
          <xdr:row>5</xdr:row>
          <xdr:rowOff>28575</xdr:rowOff>
        </xdr:from>
        <xdr:to>
          <xdr:col>18</xdr:col>
          <xdr:colOff>266700</xdr:colOff>
          <xdr:row>6</xdr:row>
          <xdr:rowOff>85725</xdr:rowOff>
        </xdr:to>
        <xdr:sp macro="" textlink="">
          <xdr:nvSpPr>
            <xdr:cNvPr id="2053" name="Drop Down 5" hidden="1">
              <a:extLst>
                <a:ext uri="{63B3BB69-23CF-44E3-9099-C40C66FF867C}">
                  <a14:compatExt spid="_x0000_s2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14</xdr:col>
      <xdr:colOff>142875</xdr:colOff>
      <xdr:row>29</xdr:row>
      <xdr:rowOff>133351</xdr:rowOff>
    </xdr:from>
    <xdr:to>
      <xdr:col>26</xdr:col>
      <xdr:colOff>266700</xdr:colOff>
      <xdr:row>42</xdr:row>
      <xdr:rowOff>66676</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180975</xdr:colOff>
      <xdr:row>15</xdr:row>
      <xdr:rowOff>133350</xdr:rowOff>
    </xdr:from>
    <xdr:to>
      <xdr:col>26</xdr:col>
      <xdr:colOff>266700</xdr:colOff>
      <xdr:row>26</xdr:row>
      <xdr:rowOff>142875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11</xdr:row>
      <xdr:rowOff>161925</xdr:rowOff>
    </xdr:from>
    <xdr:to>
      <xdr:col>6</xdr:col>
      <xdr:colOff>19050</xdr:colOff>
      <xdr:row>11</xdr:row>
      <xdr:rowOff>390525</xdr:rowOff>
    </xdr:to>
    <xdr:sp macro="" textlink="">
      <xdr:nvSpPr>
        <xdr:cNvPr id="2" name="TextBox 1"/>
        <xdr:cNvSpPr txBox="1"/>
      </xdr:nvSpPr>
      <xdr:spPr>
        <a:xfrm>
          <a:off x="2057400" y="2333625"/>
          <a:ext cx="4000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mc:AlternateContent xmlns:mc="http://schemas.openxmlformats.org/markup-compatibility/2006">
    <mc:Choice xmlns:a14="http://schemas.microsoft.com/office/drawing/2010/main" Requires="a14">
      <xdr:twoCellAnchor editAs="oneCell">
        <xdr:from>
          <xdr:col>28</xdr:col>
          <xdr:colOff>57150</xdr:colOff>
          <xdr:row>15</xdr:row>
          <xdr:rowOff>28575</xdr:rowOff>
        </xdr:from>
        <xdr:to>
          <xdr:col>30</xdr:col>
          <xdr:colOff>247650</xdr:colOff>
          <xdr:row>15</xdr:row>
          <xdr:rowOff>247650</xdr:rowOff>
        </xdr:to>
        <xdr:sp macro="" textlink="">
          <xdr:nvSpPr>
            <xdr:cNvPr id="2054" name="Drop Down 6" hidden="1">
              <a:extLst>
                <a:ext uri="{63B3BB69-23CF-44E3-9099-C40C66FF867C}">
                  <a14:compatExt spid="_x0000_s20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76201</xdr:colOff>
          <xdr:row>16</xdr:row>
          <xdr:rowOff>104776</xdr:rowOff>
        </xdr:from>
        <xdr:to>
          <xdr:col>40</xdr:col>
          <xdr:colOff>285751</xdr:colOff>
          <xdr:row>30</xdr:row>
          <xdr:rowOff>285751</xdr:rowOff>
        </xdr:to>
        <xdr:pic>
          <xdr:nvPicPr>
            <xdr:cNvPr id="5" name="Picture 4"/>
            <xdr:cNvPicPr>
              <a:picLocks noChangeAspect="1"/>
              <a:extLst>
                <a:ext uri="{84589F7E-364E-4C9E-8A38-B11213B215E9}">
                  <a14:cameraTool cellRange="Choose2" spid="_x0000_s2163"/>
                </a:ext>
              </a:extLst>
            </xdr:cNvPicPr>
          </xdr:nvPicPr>
          <xdr:blipFill>
            <a:blip xmlns:r="http://schemas.openxmlformats.org/officeDocument/2006/relationships" r:embed="rId3"/>
            <a:stretch>
              <a:fillRect/>
            </a:stretch>
          </xdr:blipFill>
          <xdr:spPr>
            <a:xfrm>
              <a:off x="11096626" y="3686176"/>
              <a:ext cx="4781550" cy="2838450"/>
            </a:xfrm>
            <a:prstGeom prst="rect">
              <a:avLst/>
            </a:prstGeom>
            <a:ln>
              <a:noFill/>
            </a:ln>
          </xdr:spPr>
        </xdr:pic>
        <xdr:clientData/>
      </xdr:twoCellAnchor>
    </mc:Choice>
    <mc:Fallback/>
  </mc:AlternateContent>
  <xdr:twoCellAnchor>
    <xdr:from>
      <xdr:col>31</xdr:col>
      <xdr:colOff>333374</xdr:colOff>
      <xdr:row>10</xdr:row>
      <xdr:rowOff>142874</xdr:rowOff>
    </xdr:from>
    <xdr:to>
      <xdr:col>35</xdr:col>
      <xdr:colOff>209549</xdr:colOff>
      <xdr:row>12</xdr:row>
      <xdr:rowOff>9526</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26</xdr:col>
          <xdr:colOff>66675</xdr:colOff>
          <xdr:row>5</xdr:row>
          <xdr:rowOff>28575</xdr:rowOff>
        </xdr:from>
        <xdr:to>
          <xdr:col>30</xdr:col>
          <xdr:colOff>142875</xdr:colOff>
          <xdr:row>6</xdr:row>
          <xdr:rowOff>85725</xdr:rowOff>
        </xdr:to>
        <xdr:sp macro="" textlink="">
          <xdr:nvSpPr>
            <xdr:cNvPr id="2151" name="Drop Down 103" hidden="1">
              <a:extLst>
                <a:ext uri="{63B3BB69-23CF-44E3-9099-C40C66FF867C}">
                  <a14:compatExt spid="_x0000_s21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0.27586</cdr:x>
      <cdr:y>0.62281</cdr:y>
    </cdr:from>
    <cdr:to>
      <cdr:x>0.44828</cdr:x>
      <cdr:y>0.74123</cdr:y>
    </cdr:to>
    <cdr:sp macro="" textlink="">
      <cdr:nvSpPr>
        <cdr:cNvPr id="2" name="TextBox 1"/>
        <cdr:cNvSpPr txBox="1"/>
      </cdr:nvSpPr>
      <cdr:spPr>
        <a:xfrm xmlns:a="http://schemas.openxmlformats.org/drawingml/2006/main">
          <a:off x="1295400" y="1352549"/>
          <a:ext cx="8096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solidFill>
                <a:schemeClr val="bg1">
                  <a:lumMod val="50000"/>
                </a:schemeClr>
              </a:solidFill>
            </a:rPr>
            <a:t>2-3</a:t>
          </a:r>
        </a:p>
      </cdr:txBody>
    </cdr:sp>
  </cdr:relSizeAnchor>
  <cdr:relSizeAnchor xmlns:cdr="http://schemas.openxmlformats.org/drawingml/2006/chartDrawing">
    <cdr:from>
      <cdr:x>0.6288</cdr:x>
      <cdr:y>0.62719</cdr:y>
    </cdr:from>
    <cdr:to>
      <cdr:x>0.72008</cdr:x>
      <cdr:y>0.74561</cdr:y>
    </cdr:to>
    <cdr:sp macro="" textlink="">
      <cdr:nvSpPr>
        <cdr:cNvPr id="3" name="TextBox 2"/>
        <cdr:cNvSpPr txBox="1"/>
      </cdr:nvSpPr>
      <cdr:spPr>
        <a:xfrm xmlns:a="http://schemas.openxmlformats.org/drawingml/2006/main">
          <a:off x="2952750" y="1362074"/>
          <a:ext cx="4286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solidFill>
                <a:schemeClr val="bg1">
                  <a:lumMod val="50000"/>
                </a:schemeClr>
              </a:solidFill>
            </a:rPr>
            <a:t>3-4</a:t>
          </a:r>
        </a:p>
      </cdr:txBody>
    </cdr:sp>
  </cdr:relSizeAnchor>
  <cdr:relSizeAnchor xmlns:cdr="http://schemas.openxmlformats.org/drawingml/2006/chartDrawing">
    <cdr:from>
      <cdr:x>0.76673</cdr:x>
      <cdr:y>0.63158</cdr:y>
    </cdr:from>
    <cdr:to>
      <cdr:x>0.85801</cdr:x>
      <cdr:y>0.75</cdr:y>
    </cdr:to>
    <cdr:sp macro="" textlink="">
      <cdr:nvSpPr>
        <cdr:cNvPr id="4" name="TextBox 3"/>
        <cdr:cNvSpPr txBox="1"/>
      </cdr:nvSpPr>
      <cdr:spPr>
        <a:xfrm xmlns:a="http://schemas.openxmlformats.org/drawingml/2006/main">
          <a:off x="3600450" y="1371599"/>
          <a:ext cx="4286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solidFill>
                <a:schemeClr val="bg1">
                  <a:lumMod val="50000"/>
                </a:schemeClr>
              </a:solidFill>
            </a:rPr>
            <a:t>4-5</a:t>
          </a:r>
        </a:p>
      </cdr:txBody>
    </cdr:sp>
  </cdr:relSizeAnchor>
  <cdr:relSizeAnchor xmlns:cdr="http://schemas.openxmlformats.org/drawingml/2006/chartDrawing">
    <cdr:from>
      <cdr:x>0.86207</cdr:x>
      <cdr:y>0.63158</cdr:y>
    </cdr:from>
    <cdr:to>
      <cdr:x>0.95335</cdr:x>
      <cdr:y>0.75</cdr:y>
    </cdr:to>
    <cdr:sp macro="" textlink="">
      <cdr:nvSpPr>
        <cdr:cNvPr id="5" name="TextBox 4"/>
        <cdr:cNvSpPr txBox="1"/>
      </cdr:nvSpPr>
      <cdr:spPr>
        <a:xfrm xmlns:a="http://schemas.openxmlformats.org/drawingml/2006/main">
          <a:off x="4048125" y="1371599"/>
          <a:ext cx="4286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aseline="0">
              <a:solidFill>
                <a:schemeClr val="bg1">
                  <a:lumMod val="50000"/>
                </a:schemeClr>
              </a:solidFill>
            </a:rPr>
            <a:t> 5+</a:t>
          </a:r>
          <a:endParaRPr lang="en-US" sz="1000">
            <a:solidFill>
              <a:schemeClr val="bg1">
                <a:lumMod val="50000"/>
              </a:schemeClr>
            </a:solidFil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4657725</xdr:colOff>
      <xdr:row>0</xdr:row>
      <xdr:rowOff>2686051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1</xdr:row>
      <xdr:rowOff>38100</xdr:rowOff>
    </xdr:from>
    <xdr:to>
      <xdr:col>0</xdr:col>
      <xdr:colOff>4857750</xdr:colOff>
      <xdr:row>1</xdr:row>
      <xdr:rowOff>2743200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xdr:row>
      <xdr:rowOff>76200</xdr:rowOff>
    </xdr:from>
    <xdr:to>
      <xdr:col>0</xdr:col>
      <xdr:colOff>4829175</xdr:colOff>
      <xdr:row>2</xdr:row>
      <xdr:rowOff>2819400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485775</xdr:colOff>
      <xdr:row>20</xdr:row>
      <xdr:rowOff>9525</xdr:rowOff>
    </xdr:from>
    <xdr:to>
      <xdr:col>11</xdr:col>
      <xdr:colOff>485775</xdr:colOff>
      <xdr:row>37</xdr:row>
      <xdr:rowOff>28575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195262</xdr:colOff>
      <xdr:row>20</xdr:row>
      <xdr:rowOff>33337</xdr:rowOff>
    </xdr:from>
    <xdr:to>
      <xdr:col>19</xdr:col>
      <xdr:colOff>500062</xdr:colOff>
      <xdr:row>37</xdr:row>
      <xdr:rowOff>23812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19</xdr:row>
      <xdr:rowOff>33337</xdr:rowOff>
    </xdr:from>
    <xdr:to>
      <xdr:col>11</xdr:col>
      <xdr:colOff>47625</xdr:colOff>
      <xdr:row>36</xdr:row>
      <xdr:rowOff>23812</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257175</xdr:colOff>
      <xdr:row>21</xdr:row>
      <xdr:rowOff>71437</xdr:rowOff>
    </xdr:from>
    <xdr:to>
      <xdr:col>23</xdr:col>
      <xdr:colOff>561975</xdr:colOff>
      <xdr:row>38</xdr:row>
      <xdr:rowOff>61912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361950</xdr:colOff>
      <xdr:row>23</xdr:row>
      <xdr:rowOff>138112</xdr:rowOff>
    </xdr:from>
    <xdr:to>
      <xdr:col>28</xdr:col>
      <xdr:colOff>57150</xdr:colOff>
      <xdr:row>40</xdr:row>
      <xdr:rowOff>128587</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323%20PG&amp;E%20RSW%20Phase%20II\06%20RSW%20I%20Additions\Old\Residential%20Solutions%20Workbook%20I%20v2%2010-2-14%20-%20no%20conditio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P323%20PG&amp;E%20RSW%20Phase%20II\03%20Build%20and%20Populate\Advanced%20Power%20Strips\RSW%20II%20APS%202.6.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s"/>
      <sheetName val="Read Me"/>
      <sheetName val="Household View"/>
      <sheetName val="Device View"/>
      <sheetName val="DATA"/>
      <sheetName val="Category Data"/>
      <sheetName val="Price Point Data"/>
      <sheetName val="DATA SOURCE #s"/>
      <sheetName val="SOURCE Info"/>
      <sheetName val="Intermediat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12">
          <cell r="E212">
            <v>4</v>
          </cell>
          <cell r="Q212">
            <v>0.25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View"/>
      <sheetName val="Additional Research Questions"/>
      <sheetName val="Notes"/>
      <sheetName val="Intermediate Data"/>
      <sheetName val="Measure Description"/>
      <sheetName val="Measure Market Data"/>
      <sheetName val="Measure Features &amp; Trends"/>
      <sheetName val="Device Barriers &amp; Opportunities"/>
      <sheetName val="Program Data"/>
      <sheetName val="Program Data Old"/>
      <sheetName val="Source Info"/>
      <sheetName val="Availability"/>
      <sheetName val="Savings"/>
      <sheetName val="Program Info"/>
    </sheetNames>
    <sheetDataSet>
      <sheetData sheetId="0"/>
      <sheetData sheetId="1"/>
      <sheetData sheetId="2"/>
      <sheetData sheetId="3">
        <row r="18">
          <cell r="H18" t="str">
            <v>All IOUs</v>
          </cell>
        </row>
        <row r="19">
          <cell r="H19" t="str">
            <v>PG&amp;E</v>
          </cell>
        </row>
        <row r="20">
          <cell r="H20" t="str">
            <v>SCE</v>
          </cell>
        </row>
        <row r="21">
          <cell r="H21" t="str">
            <v>SDG&amp;E</v>
          </cell>
        </row>
      </sheetData>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id="1" name="CodesandSpecs" displayName="CodesandSpecs" ref="A2:D8" totalsRowShown="0" headerRowDxfId="5">
  <autoFilter ref="A2:D8"/>
  <tableColumns count="4">
    <tableColumn id="4" name="Spec" dataDxfId="4"/>
    <tableColumn id="5" name="Requirement" dataDxfId="3"/>
    <tableColumn id="6" name="Effective Date" dataDxfId="2"/>
    <tableColumn id="9" name="Source ID"/>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8" Type="http://schemas.openxmlformats.org/officeDocument/2006/relationships/hyperlink" Target="http://www.energystar.gov/sites/default/files/specs/private/Room_Air_Cleaners_V1.2_Comment_Responses.pdf" TargetMode="External"/><Relationship Id="rId3" Type="http://schemas.openxmlformats.org/officeDocument/2006/relationships/hyperlink" Target="http://www.staples.com/air+purifier/directory_air+purifier?fids=141886&amp;rpp=54&amp;pn=1&amp;sr=true" TargetMode="External"/><Relationship Id="rId7" Type="http://schemas.openxmlformats.org/officeDocument/2006/relationships/hyperlink" Target="http://www.epa.gov/iaq/pubs/residair.html" TargetMode="External"/><Relationship Id="rId12" Type="http://schemas.openxmlformats.org/officeDocument/2006/relationships/printerSettings" Target="../printerSettings/printerSettings5.bin"/><Relationship Id="rId2" Type="http://schemas.openxmlformats.org/officeDocument/2006/relationships/hyperlink" Target="http://www.lowes.com/Heating-Cooling/Air-Purifiers-Accessories/Air-Purifiers/_/N-1z11on2/pl?Ntt=air+purifier" TargetMode="External"/><Relationship Id="rId1" Type="http://schemas.openxmlformats.org/officeDocument/2006/relationships/hyperlink" Target="http://www.epa.gov/iaq/pubs/ozonegen.html" TargetMode="External"/><Relationship Id="rId6" Type="http://schemas.openxmlformats.org/officeDocument/2006/relationships/hyperlink" Target="http://energy.gov/sites/prod/files/2014/01/f6/aham_estar_comment.pdf" TargetMode="External"/><Relationship Id="rId11" Type="http://schemas.openxmlformats.org/officeDocument/2006/relationships/hyperlink" Target="https://websafe.kemainc.com/RASS2009/Query.aspx?QType=1&amp;tabid=1" TargetMode="External"/><Relationship Id="rId5" Type="http://schemas.openxmlformats.org/officeDocument/2006/relationships/hyperlink" Target="http://www.sears.com/search=air%20purifiers&amp;Sears?filter=storeOrigin&amp;catalogId=12605&amp;viewItems=50&amp;storeId=10153&amp;levels=Appliances_Air+Purifiers+%26+Dehumidifiers_Air+Purifiers" TargetMode="External"/><Relationship Id="rId10" Type="http://schemas.openxmlformats.org/officeDocument/2006/relationships/hyperlink" Target="https://www.energystar.gov/ia/partners/downloads/unit_shipment_data/2013_USD_Summary_Report.pdf?df30-e6f6" TargetMode="External"/><Relationship Id="rId4" Type="http://schemas.openxmlformats.org/officeDocument/2006/relationships/hyperlink" Target="http://www.walmart.com/search/?query=air%20purifier&amp;page=4&amp;sort=price_high&amp;cat_id=1072864_133032_46324&amp;facet=category:Air%20Purifiers%7C%7Cretailer:Walmart.com" TargetMode="External"/><Relationship Id="rId9" Type="http://schemas.openxmlformats.org/officeDocument/2006/relationships/hyperlink" Target="http://library.cee1.org/sites/default/files/library/11671/2014CEEResAppliancesProgramOverview.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T53"/>
  <sheetViews>
    <sheetView tabSelected="1" zoomScaleNormal="100" workbookViewId="0">
      <pane ySplit="2" topLeftCell="A3" activePane="bottomLeft" state="frozen"/>
      <selection pane="bottomLeft" sqref="A1:O2"/>
    </sheetView>
  </sheetViews>
  <sheetFormatPr defaultColWidth="0" defaultRowHeight="12.75" zeroHeight="1" x14ac:dyDescent="0.2"/>
  <cols>
    <col min="1" max="2" width="5.7109375" style="110" customWidth="1"/>
    <col min="3" max="3" width="7.140625" style="110" bestFit="1" customWidth="1"/>
    <col min="4" max="4" width="5.7109375" style="110" customWidth="1"/>
    <col min="5" max="5" width="8" style="110" customWidth="1"/>
    <col min="6" max="6" width="5.7109375" style="110" customWidth="1"/>
    <col min="7" max="7" width="7.28515625" style="110" bestFit="1" customWidth="1"/>
    <col min="8" max="45" width="5.7109375" style="110" customWidth="1"/>
    <col min="46" max="46" width="0" style="110" hidden="1" customWidth="1"/>
    <col min="47" max="16384" width="5.7109375" style="110" hidden="1"/>
  </cols>
  <sheetData>
    <row r="1" spans="1:46" s="103" customFormat="1" ht="12.75" customHeight="1" x14ac:dyDescent="0.4">
      <c r="A1" s="216" t="s">
        <v>170</v>
      </c>
      <c r="B1" s="216"/>
      <c r="C1" s="216"/>
      <c r="D1" s="216"/>
      <c r="E1" s="216"/>
      <c r="F1" s="216"/>
      <c r="G1" s="216"/>
      <c r="H1" s="216"/>
      <c r="I1" s="216"/>
      <c r="J1" s="216"/>
      <c r="K1" s="216"/>
      <c r="L1" s="216"/>
      <c r="M1" s="216"/>
      <c r="N1" s="216"/>
      <c r="O1" s="216"/>
      <c r="P1" s="101"/>
      <c r="Q1" s="101"/>
      <c r="R1" s="101"/>
      <c r="S1" s="101"/>
      <c r="T1" s="101"/>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row>
    <row r="2" spans="1:46" s="103" customFormat="1" ht="12.75" customHeight="1" thickBot="1" x14ac:dyDescent="0.45">
      <c r="A2" s="216"/>
      <c r="B2" s="216"/>
      <c r="C2" s="216"/>
      <c r="D2" s="216"/>
      <c r="E2" s="216"/>
      <c r="F2" s="216"/>
      <c r="G2" s="216"/>
      <c r="H2" s="216"/>
      <c r="I2" s="216"/>
      <c r="J2" s="216"/>
      <c r="K2" s="216"/>
      <c r="L2" s="216"/>
      <c r="M2" s="216"/>
      <c r="N2" s="216"/>
      <c r="O2" s="216"/>
      <c r="P2" s="104" t="s">
        <v>457</v>
      </c>
      <c r="Q2" s="105"/>
      <c r="R2" s="105"/>
      <c r="S2" s="105"/>
      <c r="T2" s="105"/>
      <c r="U2" s="102"/>
      <c r="V2" s="102"/>
      <c r="W2" s="102"/>
      <c r="X2" s="102"/>
      <c r="Y2" s="102"/>
      <c r="Z2" s="102"/>
      <c r="AA2" s="102"/>
      <c r="AB2" s="102"/>
      <c r="AC2" s="106" t="s">
        <v>167</v>
      </c>
      <c r="AD2" s="107"/>
      <c r="AE2" s="108" t="s">
        <v>168</v>
      </c>
      <c r="AF2" s="109" t="s">
        <v>169</v>
      </c>
      <c r="AG2" s="109"/>
      <c r="AH2" s="109"/>
      <c r="AI2" s="102"/>
      <c r="AJ2" s="102"/>
      <c r="AK2" s="102"/>
      <c r="AL2" s="102"/>
      <c r="AM2" s="102"/>
      <c r="AN2" s="102"/>
      <c r="AO2" s="102"/>
      <c r="AP2" s="102"/>
      <c r="AQ2" s="102"/>
      <c r="AR2" s="102"/>
      <c r="AS2" s="102"/>
      <c r="AT2" s="102"/>
    </row>
    <row r="3" spans="1:46" ht="13.5" thickBot="1" x14ac:dyDescent="0.25">
      <c r="AI3" s="212" t="s">
        <v>398</v>
      </c>
    </row>
    <row r="4" spans="1:46" ht="23.25" x14ac:dyDescent="0.35">
      <c r="B4" s="111" t="s">
        <v>171</v>
      </c>
      <c r="C4" s="111"/>
      <c r="D4" s="111"/>
      <c r="E4" s="111"/>
      <c r="F4" s="111"/>
      <c r="G4" s="111"/>
      <c r="AN4" s="192" t="s">
        <v>427</v>
      </c>
      <c r="AO4" s="113"/>
      <c r="AP4" s="113"/>
      <c r="AQ4" s="113"/>
      <c r="AR4" s="113"/>
    </row>
    <row r="5" spans="1:46" ht="15" x14ac:dyDescent="0.25">
      <c r="B5" s="217" t="s">
        <v>172</v>
      </c>
      <c r="C5" s="217"/>
      <c r="D5" s="217"/>
      <c r="E5" s="218"/>
      <c r="F5" s="222">
        <f ca="1">'Intermediate Data'!L3</f>
        <v>2015</v>
      </c>
      <c r="G5" s="223"/>
      <c r="H5" s="223"/>
      <c r="I5" s="222">
        <f ca="1">'Intermediate Data'!D3</f>
        <v>2015</v>
      </c>
      <c r="J5" s="223"/>
      <c r="K5" s="223"/>
      <c r="L5" s="222">
        <f ca="1">'Intermediate Data'!E3</f>
        <v>2015</v>
      </c>
      <c r="M5" s="223"/>
      <c r="N5" s="223"/>
      <c r="O5" s="222">
        <f ca="1">'Intermediate Data'!F3</f>
        <v>2015</v>
      </c>
      <c r="P5" s="223"/>
      <c r="Q5" s="223"/>
      <c r="R5" s="222">
        <f ca="1">'Intermediate Data'!G3</f>
        <v>2015</v>
      </c>
      <c r="S5" s="223"/>
      <c r="T5" s="223"/>
      <c r="U5" s="222">
        <f ca="1">'Intermediate Data'!I3</f>
        <v>2014</v>
      </c>
      <c r="V5" s="223"/>
      <c r="W5" s="223"/>
      <c r="X5" s="222">
        <f ca="1">'Intermediate Data'!J3</f>
        <v>2014</v>
      </c>
      <c r="Y5" s="223"/>
      <c r="Z5" s="223"/>
      <c r="AA5" s="222">
        <f ca="1">'Intermediate Data'!Q3</f>
        <v>2009</v>
      </c>
      <c r="AB5" s="223"/>
      <c r="AC5" s="223"/>
      <c r="AD5" s="223"/>
      <c r="AE5" s="223"/>
      <c r="AF5" s="235"/>
      <c r="AG5" s="222" t="s">
        <v>460</v>
      </c>
      <c r="AH5" s="223"/>
      <c r="AI5" s="223"/>
      <c r="AJ5" s="222">
        <f ca="1">'Intermediate Data'!K3</f>
        <v>2014</v>
      </c>
      <c r="AK5" s="223"/>
      <c r="AL5" s="223"/>
      <c r="AN5" s="189" t="s">
        <v>428</v>
      </c>
      <c r="AO5" s="190"/>
      <c r="AP5" s="191"/>
      <c r="AQ5" s="191"/>
      <c r="AR5" s="190"/>
    </row>
    <row r="6" spans="1:46" ht="15" x14ac:dyDescent="0.25">
      <c r="B6" s="217"/>
      <c r="C6" s="217"/>
      <c r="D6" s="217"/>
      <c r="E6" s="218"/>
      <c r="F6" s="224" t="str">
        <f ca="1">'Intermediate Data'!L4</f>
        <v>National</v>
      </c>
      <c r="G6" s="225"/>
      <c r="H6" s="225"/>
      <c r="I6" s="224" t="str">
        <f ca="1">'Intermediate Data'!D4</f>
        <v>National</v>
      </c>
      <c r="J6" s="225"/>
      <c r="K6" s="225"/>
      <c r="L6" s="224" t="str">
        <f ca="1">'Intermediate Data'!E4</f>
        <v>California</v>
      </c>
      <c r="M6" s="225"/>
      <c r="N6" s="225"/>
      <c r="O6" s="224" t="str">
        <f ca="1">'Intermediate Data'!F4</f>
        <v>California</v>
      </c>
      <c r="P6" s="225"/>
      <c r="Q6" s="225"/>
      <c r="R6" s="238" t="s">
        <v>184</v>
      </c>
      <c r="S6" s="239"/>
      <c r="T6" s="240"/>
      <c r="U6" s="224" t="str">
        <f ca="1">'Intermediate Data'!I4</f>
        <v>National</v>
      </c>
      <c r="V6" s="225"/>
      <c r="W6" s="225"/>
      <c r="X6" s="224" t="str">
        <f ca="1">'Intermediate Data'!J4</f>
        <v>National</v>
      </c>
      <c r="Y6" s="225"/>
      <c r="Z6" s="225"/>
      <c r="AA6" s="238" t="s">
        <v>495</v>
      </c>
      <c r="AB6" s="239"/>
      <c r="AC6" s="239"/>
      <c r="AD6" s="239"/>
      <c r="AE6" s="239"/>
      <c r="AF6" s="240"/>
      <c r="AG6" s="224" t="s">
        <v>458</v>
      </c>
      <c r="AH6" s="225"/>
      <c r="AI6" s="225"/>
      <c r="AJ6" s="224" t="s">
        <v>9</v>
      </c>
      <c r="AK6" s="225"/>
      <c r="AL6" s="225"/>
      <c r="AN6" s="189" t="s">
        <v>429</v>
      </c>
      <c r="AO6" s="188"/>
      <c r="AP6" s="188"/>
      <c r="AQ6" s="188"/>
      <c r="AR6" s="188"/>
    </row>
    <row r="7" spans="1:46" ht="12.75" customHeight="1" x14ac:dyDescent="0.25">
      <c r="B7" s="217"/>
      <c r="C7" s="217"/>
      <c r="D7" s="217"/>
      <c r="E7" s="218"/>
      <c r="F7" s="226" t="s">
        <v>338</v>
      </c>
      <c r="G7" s="217"/>
      <c r="H7" s="218"/>
      <c r="I7" s="226" t="s">
        <v>180</v>
      </c>
      <c r="J7" s="217"/>
      <c r="K7" s="218"/>
      <c r="L7" s="226" t="s">
        <v>181</v>
      </c>
      <c r="M7" s="217"/>
      <c r="N7" s="218"/>
      <c r="O7" s="226" t="s">
        <v>321</v>
      </c>
      <c r="P7" s="217"/>
      <c r="Q7" s="218"/>
      <c r="R7" s="238"/>
      <c r="S7" s="239"/>
      <c r="T7" s="240"/>
      <c r="U7" s="226" t="s">
        <v>174</v>
      </c>
      <c r="V7" s="217"/>
      <c r="W7" s="218"/>
      <c r="X7" s="226" t="s">
        <v>175</v>
      </c>
      <c r="Y7" s="217"/>
      <c r="Z7" s="218"/>
      <c r="AA7" s="238"/>
      <c r="AB7" s="239"/>
      <c r="AC7" s="239"/>
      <c r="AD7" s="239"/>
      <c r="AE7" s="239"/>
      <c r="AF7" s="240"/>
      <c r="AG7" s="226" t="s">
        <v>459</v>
      </c>
      <c r="AH7" s="217"/>
      <c r="AI7" s="218"/>
      <c r="AJ7" s="226" t="s">
        <v>334</v>
      </c>
      <c r="AK7" s="217"/>
      <c r="AL7" s="218"/>
      <c r="AN7" s="189" t="s">
        <v>34</v>
      </c>
      <c r="AO7" s="188"/>
      <c r="AP7" s="188"/>
      <c r="AQ7" s="188"/>
      <c r="AR7" s="188"/>
    </row>
    <row r="8" spans="1:46" ht="12.75" customHeight="1" x14ac:dyDescent="0.25">
      <c r="B8" s="217"/>
      <c r="C8" s="217"/>
      <c r="D8" s="217"/>
      <c r="E8" s="218"/>
      <c r="F8" s="226"/>
      <c r="G8" s="217"/>
      <c r="H8" s="218"/>
      <c r="I8" s="226"/>
      <c r="J8" s="217"/>
      <c r="K8" s="218"/>
      <c r="L8" s="226"/>
      <c r="M8" s="217"/>
      <c r="N8" s="218"/>
      <c r="O8" s="226"/>
      <c r="P8" s="217"/>
      <c r="Q8" s="218"/>
      <c r="R8" s="243" t="s">
        <v>179</v>
      </c>
      <c r="S8" s="244"/>
      <c r="T8" s="244"/>
      <c r="U8" s="226"/>
      <c r="V8" s="217"/>
      <c r="W8" s="218"/>
      <c r="X8" s="226"/>
      <c r="Y8" s="217"/>
      <c r="Z8" s="218"/>
      <c r="AA8" s="226" t="s">
        <v>397</v>
      </c>
      <c r="AB8" s="217"/>
      <c r="AC8" s="218"/>
      <c r="AD8" s="226" t="s">
        <v>489</v>
      </c>
      <c r="AE8" s="217"/>
      <c r="AF8" s="218"/>
      <c r="AG8" s="226"/>
      <c r="AH8" s="217"/>
      <c r="AI8" s="218"/>
      <c r="AJ8" s="226"/>
      <c r="AK8" s="217"/>
      <c r="AL8" s="218"/>
      <c r="AN8" s="189" t="s">
        <v>430</v>
      </c>
      <c r="AO8" s="188"/>
      <c r="AP8" s="188"/>
      <c r="AQ8" s="188"/>
      <c r="AR8" s="188"/>
    </row>
    <row r="9" spans="1:46" ht="12.75" customHeight="1" x14ac:dyDescent="0.25">
      <c r="B9" s="217"/>
      <c r="C9" s="217"/>
      <c r="D9" s="217"/>
      <c r="E9" s="218"/>
      <c r="F9" s="226"/>
      <c r="G9" s="217"/>
      <c r="H9" s="218"/>
      <c r="I9" s="226"/>
      <c r="J9" s="217"/>
      <c r="K9" s="218"/>
      <c r="L9" s="226"/>
      <c r="M9" s="217"/>
      <c r="N9" s="218"/>
      <c r="O9" s="226"/>
      <c r="P9" s="217"/>
      <c r="Q9" s="218"/>
      <c r="R9" s="243"/>
      <c r="S9" s="244"/>
      <c r="T9" s="244"/>
      <c r="U9" s="226"/>
      <c r="V9" s="217"/>
      <c r="W9" s="218"/>
      <c r="X9" s="226"/>
      <c r="Y9" s="217"/>
      <c r="Z9" s="218"/>
      <c r="AA9" s="226"/>
      <c r="AB9" s="217"/>
      <c r="AC9" s="218"/>
      <c r="AD9" s="226"/>
      <c r="AE9" s="217"/>
      <c r="AF9" s="218"/>
      <c r="AG9" s="226"/>
      <c r="AH9" s="217"/>
      <c r="AI9" s="218"/>
      <c r="AJ9" s="226"/>
      <c r="AK9" s="217"/>
      <c r="AL9" s="218"/>
      <c r="AN9" s="189" t="s">
        <v>431</v>
      </c>
      <c r="AO9" s="188"/>
      <c r="AP9" s="188"/>
      <c r="AQ9" s="188"/>
      <c r="AR9" s="188"/>
    </row>
    <row r="10" spans="1:46" ht="15" customHeight="1" x14ac:dyDescent="0.25">
      <c r="B10" s="217"/>
      <c r="C10" s="217"/>
      <c r="D10" s="217"/>
      <c r="E10" s="218"/>
      <c r="F10" s="226"/>
      <c r="G10" s="217"/>
      <c r="H10" s="218"/>
      <c r="I10" s="226"/>
      <c r="J10" s="217"/>
      <c r="K10" s="218"/>
      <c r="L10" s="226"/>
      <c r="M10" s="217"/>
      <c r="N10" s="218"/>
      <c r="O10" s="226"/>
      <c r="P10" s="217"/>
      <c r="Q10" s="218"/>
      <c r="R10" s="243"/>
      <c r="S10" s="244"/>
      <c r="T10" s="244"/>
      <c r="U10" s="226"/>
      <c r="V10" s="217"/>
      <c r="W10" s="218"/>
      <c r="X10" s="226"/>
      <c r="Y10" s="217"/>
      <c r="Z10" s="218"/>
      <c r="AA10" s="226"/>
      <c r="AB10" s="217"/>
      <c r="AC10" s="218"/>
      <c r="AD10" s="226"/>
      <c r="AE10" s="217"/>
      <c r="AF10" s="218"/>
      <c r="AG10" s="226"/>
      <c r="AH10" s="217"/>
      <c r="AI10" s="218"/>
      <c r="AJ10" s="226"/>
      <c r="AK10" s="217"/>
      <c r="AL10" s="218"/>
      <c r="AN10" s="189" t="s">
        <v>432</v>
      </c>
      <c r="AO10" s="188"/>
      <c r="AP10" s="188"/>
      <c r="AQ10" s="188"/>
      <c r="AR10" s="188"/>
    </row>
    <row r="11" spans="1:46" ht="30.75" customHeight="1" x14ac:dyDescent="0.25">
      <c r="B11" s="221" t="s">
        <v>173</v>
      </c>
      <c r="C11" s="221"/>
      <c r="D11" s="221"/>
      <c r="E11" s="221"/>
      <c r="F11" s="230" t="str">
        <f ca="1">IF('Intermediate Data'!L7=0,$AI$3,'Intermediate Data'!L7)</f>
        <v xml:space="preserve"> </v>
      </c>
      <c r="G11" s="230"/>
      <c r="H11" s="230"/>
      <c r="I11" s="230">
        <f ca="1">'Intermediate Data'!D7</f>
        <v>35.200000000000003</v>
      </c>
      <c r="J11" s="230"/>
      <c r="K11" s="230"/>
      <c r="L11" s="230">
        <f ca="1">'Intermediate Data'!E7</f>
        <v>9.4</v>
      </c>
      <c r="M11" s="230"/>
      <c r="N11" s="230"/>
      <c r="O11" s="230">
        <f ca="1">'Intermediate Data'!F7</f>
        <v>3</v>
      </c>
      <c r="P11" s="230"/>
      <c r="Q11" s="230"/>
      <c r="R11" s="248">
        <f ca="1">IF('Intermediate Data'!C37=1,'Intermediate Data'!G7,IF('Intermediate Data'!C37=2,'Intermediate Data'!H7,""))</f>
        <v>116.47682926829269</v>
      </c>
      <c r="S11" s="248"/>
      <c r="T11" s="248"/>
      <c r="U11" s="230">
        <f ca="1">'Intermediate Data'!I7</f>
        <v>544</v>
      </c>
      <c r="V11" s="230"/>
      <c r="W11" s="230"/>
      <c r="X11" s="230">
        <f ca="1">'Intermediate Data'!J7</f>
        <v>0</v>
      </c>
      <c r="Y11" s="230"/>
      <c r="Z11" s="230"/>
      <c r="AA11" s="242">
        <f ca="1">IFERROR(IF(HLOOKUP(VLOOKUP('Intermediate Data'!C41,'Intermediate Data'!$A$41:$B$45,2,FALSE),'Intermediate Data'!$Q$2:$U$7,6,FALSE)=0,AI3,HLOOKUP(VLOOKUP('Intermediate Data'!C41,'Intermediate Data'!$A$41:$B$45,2,FALSE),'Intermediate Data'!$Q$2:$U$7,6,FALSE)),AI3)</f>
        <v>7.0000000000000007E-2</v>
      </c>
      <c r="AB11" s="242"/>
      <c r="AC11" s="242"/>
      <c r="AD11" s="236">
        <f ca="1">IFERROR(IF(HLOOKUP(VLOOKUP('Intermediate Data'!C41,'Intermediate Data'!$A$41:$B$45,2,FALSE),'Intermediate Data'!$V$2:$Z$7,6,FALSE)=0,AI3,HLOOKUP(VLOOKUP('Intermediate Data'!C41,'Intermediate Data'!$A$41:$B$45,2,FALSE),'Intermediate Data'!$V$2:$Z$7,6,FALSE)),AI3)</f>
        <v>0.09</v>
      </c>
      <c r="AE11" s="236"/>
      <c r="AF11" s="236"/>
      <c r="AG11" s="231" t="str">
        <f>AI3</f>
        <v xml:space="preserve"> </v>
      </c>
      <c r="AH11" s="231"/>
      <c r="AI11" s="231"/>
      <c r="AJ11" s="230" t="str">
        <f>AI3</f>
        <v xml:space="preserve"> </v>
      </c>
      <c r="AK11" s="230"/>
      <c r="AL11" s="230"/>
      <c r="AN11" s="193" t="s">
        <v>435</v>
      </c>
      <c r="AO11" s="188"/>
      <c r="AP11" s="188"/>
      <c r="AQ11" s="188"/>
      <c r="AR11" s="188"/>
    </row>
    <row r="12" spans="1:46" ht="31.5" customHeight="1" x14ac:dyDescent="0.2">
      <c r="B12" s="219" t="s">
        <v>41</v>
      </c>
      <c r="C12" s="220"/>
      <c r="D12" s="220"/>
      <c r="E12" s="220"/>
      <c r="F12" s="227">
        <f ca="1">'Intermediate Data'!L8</f>
        <v>5</v>
      </c>
      <c r="G12" s="228"/>
      <c r="H12" s="229"/>
      <c r="I12" s="227">
        <f ca="1">'Intermediate Data'!D8</f>
        <v>22.2</v>
      </c>
      <c r="J12" s="228"/>
      <c r="K12" s="229"/>
      <c r="L12" s="227">
        <f ca="1">'Intermediate Data'!E8</f>
        <v>7</v>
      </c>
      <c r="M12" s="228"/>
      <c r="N12" s="229"/>
      <c r="O12" s="227">
        <f ca="1">'Intermediate Data'!F8</f>
        <v>5</v>
      </c>
      <c r="P12" s="228"/>
      <c r="Q12" s="229"/>
      <c r="R12" s="245">
        <f ca="1">IF('Intermediate Data'!C37=1,'Intermediate Data'!G8,IF('Intermediate Data'!C37=2,'Intermediate Data'!H8,""))</f>
        <v>252.77170212765958</v>
      </c>
      <c r="S12" s="246"/>
      <c r="T12" s="247"/>
      <c r="U12" s="227">
        <f ca="1">'Intermediate Data'!I8</f>
        <v>317</v>
      </c>
      <c r="V12" s="228"/>
      <c r="W12" s="229"/>
      <c r="X12" s="227">
        <f ca="1">'Intermediate Data'!J8</f>
        <v>227</v>
      </c>
      <c r="Y12" s="228"/>
      <c r="Z12" s="229"/>
      <c r="AA12" s="242"/>
      <c r="AB12" s="242"/>
      <c r="AC12" s="242"/>
      <c r="AD12" s="236"/>
      <c r="AE12" s="236"/>
      <c r="AF12" s="236"/>
      <c r="AG12" s="232" t="str">
        <f ca="1">CONCATENATE(MID('Intermediate Data'!N8,3,2)," - ",MID('Intermediate Data'!O8,3,2),"%")</f>
        <v>31 - 51%</v>
      </c>
      <c r="AH12" s="233"/>
      <c r="AI12" s="234"/>
      <c r="AJ12" s="227">
        <v>12</v>
      </c>
      <c r="AK12" s="228"/>
      <c r="AL12" s="229"/>
    </row>
    <row r="13" spans="1:46" x14ac:dyDescent="0.2">
      <c r="F13" s="237" t="str">
        <f ca="1">HYPERLINK("#"&amp;ADDRESS(7,'Intermediate Data'!L6,1,1,"Measure Quantitative Data"),"Data")</f>
        <v>Data</v>
      </c>
      <c r="G13" s="241"/>
      <c r="H13" s="241"/>
      <c r="I13" s="237" t="str">
        <f ca="1">HYPERLINK("#"&amp;ADDRESS(7,'Intermediate Data'!D6,1,1,"Measure Quantitative Data"),"Data")</f>
        <v>Data</v>
      </c>
      <c r="J13" s="241"/>
      <c r="K13" s="241"/>
      <c r="L13" s="237" t="str">
        <f ca="1">HYPERLINK("#"&amp;ADDRESS(7,'Intermediate Data'!E6,1,1,"Measure Quantitative Data"),"Data")</f>
        <v>Data</v>
      </c>
      <c r="M13" s="237"/>
      <c r="N13" s="237"/>
      <c r="O13" s="237" t="str">
        <f ca="1">HYPERLINK("#"&amp;ADDRESS(7,'Intermediate Data'!F6,1,1,"Measure Quantitative Data"),"Data")</f>
        <v>Data</v>
      </c>
      <c r="P13" s="237"/>
      <c r="Q13" s="237"/>
      <c r="R13" s="237" t="str">
        <f ca="1">HYPERLINK("#"&amp;ADDRESS(7,'Intermediate Data'!G6,1,1,"Measure Quantitative Data"),"Data")</f>
        <v>Data</v>
      </c>
      <c r="S13" s="237"/>
      <c r="T13" s="237"/>
      <c r="U13" s="237" t="str">
        <f ca="1">HYPERLINK("#"&amp;ADDRESS(8,'Intermediate Data'!I6,1,1,"Measure Quantitative Data"),"Data")</f>
        <v>Data</v>
      </c>
      <c r="V13" s="237"/>
      <c r="W13" s="237"/>
      <c r="X13" s="237" t="str">
        <f ca="1">HYPERLINK("#"&amp;ADDRESS(7,'Intermediate Data'!J6,1,1,"Measure Quantitative Data"),"Data")</f>
        <v>Data</v>
      </c>
      <c r="Y13" s="237"/>
      <c r="Z13" s="237"/>
      <c r="AA13" s="237" t="str">
        <f ca="1">HYPERLINK("#"&amp;ADDRESS(7,HLOOKUP(VLOOKUP('Intermediate Data'!C41,'Intermediate Data'!$A$41:$B$45,2,FALSE),'Intermediate Data'!$Q$2:$U$6,5,FALSE),1,1,"Measure Quantitative Data"),"Data")</f>
        <v>Data</v>
      </c>
      <c r="AB13" s="237"/>
      <c r="AC13" s="237"/>
      <c r="AD13" s="237" t="str">
        <f ca="1">HYPERLINK("#"&amp;ADDRESS(7,HLOOKUP(VLOOKUP('Intermediate Data'!C41,'Intermediate Data'!$A$41:$B$45,2,FALSE),'Intermediate Data'!$V$2:$Z$6,5,FALSE),1,1,"Measure Quantitative Data"),"Data")</f>
        <v>Data</v>
      </c>
      <c r="AE13" s="237"/>
      <c r="AF13" s="237"/>
      <c r="AG13" s="237" t="str">
        <f ca="1">HYPERLINK("#"&amp;ADDRESS(7,'Intermediate Data'!N6,1,1,"Measure Quantitative Data"),"Data")</f>
        <v>Data</v>
      </c>
      <c r="AH13" s="237"/>
      <c r="AI13" s="237"/>
      <c r="AJ13" s="237" t="str">
        <f ca="1">HYPERLINK("#"&amp;ADDRESS(2,'Intermediate Data'!K6,1,1,"Measure Qualitative Data"),"Data")</f>
        <v>Data</v>
      </c>
      <c r="AK13" s="237"/>
      <c r="AL13" s="237"/>
    </row>
    <row r="14" spans="1:46" ht="21" customHeight="1" x14ac:dyDescent="0.2">
      <c r="F14" s="256" t="s">
        <v>437</v>
      </c>
      <c r="G14" s="256"/>
      <c r="H14" s="256"/>
      <c r="O14" s="168" t="s">
        <v>322</v>
      </c>
    </row>
    <row r="15" spans="1:46" ht="23.25" x14ac:dyDescent="0.35">
      <c r="B15" s="172" t="s">
        <v>176</v>
      </c>
      <c r="C15" s="172"/>
      <c r="D15" s="8"/>
      <c r="E15" s="173"/>
      <c r="F15" s="173"/>
      <c r="G15" s="8"/>
      <c r="H15" s="8"/>
      <c r="I15" s="8"/>
      <c r="J15" s="8"/>
      <c r="K15" s="8"/>
      <c r="L15" s="8"/>
      <c r="M15" s="8"/>
      <c r="O15" s="112" t="s">
        <v>407</v>
      </c>
      <c r="P15" s="112"/>
      <c r="Q15" s="113"/>
      <c r="R15" s="113"/>
      <c r="S15" s="113"/>
      <c r="T15" s="113"/>
      <c r="U15" s="114"/>
      <c r="V15" s="114"/>
      <c r="W15" s="113"/>
      <c r="X15" s="113"/>
      <c r="Y15" s="113"/>
      <c r="Z15" s="113"/>
      <c r="AA15" s="113"/>
      <c r="AC15" s="112" t="s">
        <v>410</v>
      </c>
      <c r="AD15" s="113"/>
      <c r="AE15" s="113"/>
      <c r="AF15" s="113"/>
      <c r="AG15" s="113"/>
      <c r="AH15" s="113"/>
      <c r="AI15" s="113"/>
      <c r="AJ15" s="113"/>
      <c r="AK15" s="113"/>
      <c r="AL15" s="113"/>
      <c r="AM15" s="113"/>
      <c r="AN15" s="113"/>
      <c r="AO15" s="113"/>
    </row>
    <row r="16" spans="1:46" ht="21.75" customHeight="1" x14ac:dyDescent="0.2">
      <c r="B16" s="249" t="s">
        <v>401</v>
      </c>
      <c r="C16" s="250"/>
      <c r="D16" s="250"/>
      <c r="E16" s="250"/>
      <c r="F16" s="250" t="s">
        <v>335</v>
      </c>
      <c r="G16" s="250"/>
      <c r="H16" s="250"/>
      <c r="I16" s="250"/>
      <c r="J16" s="250" t="s">
        <v>178</v>
      </c>
      <c r="K16" s="250"/>
      <c r="L16" s="250"/>
      <c r="M16" s="252"/>
      <c r="O16" s="140"/>
      <c r="P16" s="140"/>
      <c r="Q16" s="140"/>
      <c r="R16" s="140"/>
      <c r="S16" s="140"/>
      <c r="T16" s="140"/>
      <c r="U16" s="140"/>
      <c r="V16" s="140"/>
      <c r="W16" s="140"/>
      <c r="X16" s="140"/>
      <c r="Y16" s="140"/>
      <c r="Z16" s="140"/>
      <c r="AA16" s="140"/>
      <c r="AC16" s="142"/>
      <c r="AD16" s="142"/>
      <c r="AE16" s="142"/>
      <c r="AF16" s="174" t="s">
        <v>342</v>
      </c>
      <c r="AG16" s="174"/>
      <c r="AH16" s="174"/>
      <c r="AI16" s="143"/>
    </row>
    <row r="17" spans="2:41" ht="19.5" customHeight="1" x14ac:dyDescent="0.2">
      <c r="B17" s="218"/>
      <c r="C17" s="251"/>
      <c r="D17" s="251"/>
      <c r="E17" s="251"/>
      <c r="F17" s="251"/>
      <c r="G17" s="251"/>
      <c r="H17" s="251"/>
      <c r="I17" s="251"/>
      <c r="J17" s="251"/>
      <c r="K17" s="251"/>
      <c r="L17" s="251"/>
      <c r="M17" s="226"/>
      <c r="O17" s="140"/>
      <c r="P17" s="140"/>
      <c r="Q17" s="140"/>
      <c r="R17" s="140"/>
      <c r="S17" s="140"/>
      <c r="T17" s="140"/>
      <c r="U17" s="140"/>
      <c r="V17" s="140"/>
      <c r="W17" s="140"/>
      <c r="X17" s="140"/>
      <c r="Y17" s="140"/>
      <c r="Z17" s="140"/>
      <c r="AA17" s="140"/>
      <c r="AC17" s="140"/>
      <c r="AD17" s="140"/>
      <c r="AE17" s="140"/>
      <c r="AF17" s="140"/>
      <c r="AG17" s="140"/>
      <c r="AH17" s="140"/>
      <c r="AI17" s="140"/>
      <c r="AJ17" s="140"/>
      <c r="AK17" s="140"/>
      <c r="AL17" s="140"/>
      <c r="AM17" s="140"/>
      <c r="AN17" s="140"/>
      <c r="AO17" s="140"/>
    </row>
    <row r="18" spans="2:41" ht="23.25" customHeight="1" x14ac:dyDescent="0.2">
      <c r="B18" s="254" t="s">
        <v>399</v>
      </c>
      <c r="C18" s="254"/>
      <c r="D18" s="254"/>
      <c r="E18" s="254"/>
      <c r="F18" s="253" t="s">
        <v>336</v>
      </c>
      <c r="G18" s="253"/>
      <c r="H18" s="253"/>
      <c r="I18" s="253"/>
      <c r="J18" s="253" t="s">
        <v>208</v>
      </c>
      <c r="K18" s="253"/>
      <c r="L18" s="253"/>
      <c r="M18" s="253"/>
      <c r="O18" s="140"/>
      <c r="P18" s="140"/>
      <c r="Q18" s="140"/>
      <c r="R18" s="140"/>
      <c r="S18" s="140"/>
      <c r="T18" s="140"/>
      <c r="U18" s="140"/>
      <c r="V18" s="140"/>
      <c r="W18" s="140"/>
      <c r="X18" s="140"/>
      <c r="Y18" s="140"/>
      <c r="Z18" s="140"/>
      <c r="AA18" s="140"/>
      <c r="AC18" s="140"/>
      <c r="AD18" s="140"/>
      <c r="AE18" s="140"/>
      <c r="AF18" s="140"/>
      <c r="AG18" s="140"/>
      <c r="AH18" s="140"/>
      <c r="AI18" s="140"/>
      <c r="AJ18" s="140"/>
      <c r="AK18" s="140"/>
      <c r="AL18" s="140"/>
      <c r="AM18" s="140"/>
      <c r="AN18" s="140"/>
      <c r="AO18" s="140"/>
    </row>
    <row r="19" spans="2:41" ht="14.25" customHeight="1" x14ac:dyDescent="0.2">
      <c r="B19" s="254"/>
      <c r="C19" s="254"/>
      <c r="D19" s="254"/>
      <c r="E19" s="254"/>
      <c r="F19" s="253"/>
      <c r="G19" s="253"/>
      <c r="H19" s="253"/>
      <c r="I19" s="253"/>
      <c r="J19" s="253"/>
      <c r="K19" s="253"/>
      <c r="L19" s="253"/>
      <c r="M19" s="253"/>
      <c r="O19" s="140"/>
      <c r="P19" s="140"/>
      <c r="Q19" s="140"/>
      <c r="R19" s="140"/>
      <c r="S19" s="140"/>
      <c r="T19" s="140"/>
      <c r="U19" s="140"/>
      <c r="V19" s="140"/>
      <c r="W19" s="140"/>
      <c r="X19" s="140"/>
      <c r="Y19" s="140"/>
      <c r="Z19" s="140"/>
      <c r="AA19" s="140"/>
      <c r="AC19" s="140"/>
      <c r="AD19" s="140"/>
      <c r="AE19" s="140"/>
      <c r="AF19" s="140"/>
      <c r="AG19" s="140"/>
      <c r="AH19" s="140"/>
      <c r="AI19" s="140"/>
      <c r="AJ19" s="140"/>
      <c r="AK19" s="140"/>
      <c r="AL19" s="140"/>
      <c r="AM19" s="140"/>
      <c r="AN19" s="140"/>
      <c r="AO19" s="140"/>
    </row>
    <row r="20" spans="2:41" ht="14.25" customHeight="1" x14ac:dyDescent="0.2">
      <c r="B20" s="254"/>
      <c r="C20" s="254"/>
      <c r="D20" s="254"/>
      <c r="E20" s="254"/>
      <c r="F20" s="253"/>
      <c r="G20" s="253"/>
      <c r="H20" s="253"/>
      <c r="I20" s="253"/>
      <c r="J20" s="253"/>
      <c r="K20" s="253"/>
      <c r="L20" s="253"/>
      <c r="M20" s="253"/>
      <c r="O20" s="140"/>
      <c r="P20" s="140"/>
      <c r="Q20" s="140"/>
      <c r="R20" s="140"/>
      <c r="S20" s="140"/>
      <c r="T20" s="140"/>
      <c r="U20" s="140"/>
      <c r="V20" s="140"/>
      <c r="W20" s="140"/>
      <c r="X20" s="140"/>
      <c r="Y20" s="140"/>
      <c r="Z20" s="140"/>
      <c r="AA20" s="140"/>
      <c r="AC20" s="140"/>
      <c r="AD20" s="140"/>
      <c r="AE20" s="140"/>
      <c r="AF20" s="140"/>
      <c r="AG20" s="140"/>
      <c r="AH20" s="140"/>
      <c r="AI20" s="140"/>
      <c r="AJ20" s="140"/>
      <c r="AK20" s="140"/>
      <c r="AL20" s="140"/>
      <c r="AM20" s="140"/>
      <c r="AN20" s="140"/>
      <c r="AO20" s="140"/>
    </row>
    <row r="21" spans="2:41" x14ac:dyDescent="0.2">
      <c r="B21" s="254"/>
      <c r="C21" s="254"/>
      <c r="D21" s="254"/>
      <c r="E21" s="254"/>
      <c r="F21" s="253"/>
      <c r="G21" s="253"/>
      <c r="H21" s="253"/>
      <c r="I21" s="253"/>
      <c r="J21" s="253"/>
      <c r="K21" s="253"/>
      <c r="L21" s="253"/>
      <c r="M21" s="253"/>
      <c r="O21" s="140"/>
      <c r="P21" s="140"/>
      <c r="Q21" s="140"/>
      <c r="R21" s="140"/>
      <c r="S21" s="140"/>
      <c r="T21" s="140"/>
      <c r="U21" s="140"/>
      <c r="V21" s="140"/>
      <c r="W21" s="140"/>
      <c r="X21" s="140"/>
      <c r="Y21" s="140"/>
      <c r="Z21" s="140"/>
      <c r="AA21" s="140"/>
      <c r="AC21" s="140"/>
      <c r="AD21" s="140"/>
      <c r="AE21" s="140"/>
      <c r="AF21" s="140"/>
      <c r="AG21" s="140"/>
      <c r="AH21" s="140"/>
      <c r="AI21" s="140"/>
      <c r="AJ21" s="140"/>
      <c r="AK21" s="140"/>
      <c r="AL21" s="140"/>
      <c r="AM21" s="140"/>
      <c r="AN21" s="140"/>
      <c r="AO21" s="140"/>
    </row>
    <row r="22" spans="2:41" ht="12.75" customHeight="1" x14ac:dyDescent="0.2">
      <c r="B22" s="254"/>
      <c r="C22" s="254"/>
      <c r="D22" s="254"/>
      <c r="E22" s="254"/>
      <c r="F22" s="253"/>
      <c r="G22" s="253"/>
      <c r="H22" s="253"/>
      <c r="I22" s="253"/>
      <c r="J22" s="253"/>
      <c r="K22" s="253"/>
      <c r="L22" s="253"/>
      <c r="M22" s="253"/>
      <c r="O22" s="140"/>
      <c r="P22" s="140"/>
      <c r="Q22" s="140"/>
      <c r="R22" s="140"/>
      <c r="S22" s="140"/>
      <c r="T22" s="140"/>
      <c r="U22" s="140"/>
      <c r="V22" s="140"/>
      <c r="W22" s="140"/>
      <c r="X22" s="140"/>
      <c r="Y22" s="140"/>
      <c r="Z22" s="140"/>
      <c r="AA22" s="140"/>
      <c r="AC22" s="140"/>
      <c r="AD22" s="140"/>
      <c r="AE22" s="140"/>
      <c r="AF22" s="140"/>
      <c r="AG22" s="140"/>
      <c r="AH22" s="140"/>
      <c r="AI22" s="140"/>
      <c r="AJ22" s="140"/>
      <c r="AK22" s="140"/>
      <c r="AL22" s="140"/>
      <c r="AM22" s="140"/>
      <c r="AN22" s="140"/>
      <c r="AO22" s="140"/>
    </row>
    <row r="23" spans="2:41" x14ac:dyDescent="0.2">
      <c r="B23" s="241" t="str">
        <f>HYPERLINK("#"&amp;ADDRESS(2,3,1,1,"Measure Qualitative Data"),"Data")</f>
        <v>Data</v>
      </c>
      <c r="C23" s="241"/>
      <c r="D23" s="241"/>
      <c r="E23" s="241"/>
      <c r="F23" s="241" t="str">
        <f>HYPERLINK("#"&amp;ADDRESS(2,5,1,1,"Measure Qualitative Data"),"Data")</f>
        <v>Data</v>
      </c>
      <c r="G23" s="241"/>
      <c r="H23" s="241"/>
      <c r="I23" s="241"/>
      <c r="J23" s="241" t="str">
        <f>HYPERLINK("#"&amp;ADDRESS(2,7,1,1,"Measure Qualitative Data"),"Data")</f>
        <v>Data</v>
      </c>
      <c r="K23" s="241"/>
      <c r="L23" s="241"/>
      <c r="O23" s="140"/>
      <c r="P23" s="140"/>
      <c r="Q23" s="140"/>
      <c r="R23" s="140"/>
      <c r="S23" s="140"/>
      <c r="T23" s="140"/>
      <c r="U23" s="140"/>
      <c r="V23" s="140"/>
      <c r="W23" s="140"/>
      <c r="X23" s="140"/>
      <c r="Y23" s="140"/>
      <c r="Z23" s="140"/>
      <c r="AA23" s="140"/>
      <c r="AC23" s="140"/>
      <c r="AD23" s="140"/>
      <c r="AE23" s="140"/>
      <c r="AF23" s="140"/>
      <c r="AG23" s="140"/>
      <c r="AH23" s="140"/>
      <c r="AI23" s="140"/>
      <c r="AJ23" s="140"/>
      <c r="AK23" s="140"/>
      <c r="AL23" s="140"/>
      <c r="AM23" s="140"/>
      <c r="AN23" s="140"/>
      <c r="AO23" s="140"/>
    </row>
    <row r="24" spans="2:41" x14ac:dyDescent="0.2">
      <c r="O24" s="140"/>
      <c r="P24" s="140"/>
      <c r="Q24" s="140"/>
      <c r="R24" s="140"/>
      <c r="S24" s="140"/>
      <c r="T24" s="140"/>
      <c r="U24" s="140"/>
      <c r="V24" s="140"/>
      <c r="W24" s="140"/>
      <c r="X24" s="140"/>
      <c r="Y24" s="140"/>
      <c r="Z24" s="140"/>
      <c r="AA24" s="140"/>
      <c r="AC24" s="140"/>
      <c r="AD24" s="140"/>
      <c r="AE24" s="140"/>
      <c r="AF24" s="140"/>
      <c r="AG24" s="140"/>
      <c r="AH24" s="140"/>
      <c r="AI24" s="140"/>
      <c r="AJ24" s="140"/>
      <c r="AK24" s="140"/>
      <c r="AL24" s="140"/>
      <c r="AM24" s="140"/>
      <c r="AN24" s="140"/>
      <c r="AO24" s="140"/>
    </row>
    <row r="25" spans="2:41" ht="23.25" x14ac:dyDescent="0.35">
      <c r="B25" s="112" t="s">
        <v>498</v>
      </c>
      <c r="C25" s="112"/>
      <c r="D25" s="112"/>
      <c r="E25" s="112"/>
      <c r="F25" s="112"/>
      <c r="G25" s="112"/>
      <c r="H25" s="112"/>
      <c r="I25" s="112"/>
      <c r="J25" s="112"/>
      <c r="K25" s="112"/>
      <c r="L25" s="112"/>
      <c r="M25" s="112"/>
      <c r="O25" s="140"/>
      <c r="P25" s="140"/>
      <c r="Q25" s="140"/>
      <c r="R25" s="140"/>
      <c r="S25" s="140"/>
      <c r="T25" s="140"/>
      <c r="U25" s="140"/>
      <c r="V25" s="140"/>
      <c r="W25" s="140"/>
      <c r="X25" s="140"/>
      <c r="Y25" s="140"/>
      <c r="Z25" s="140"/>
      <c r="AA25" s="140"/>
      <c r="AC25" s="140"/>
      <c r="AD25" s="140"/>
      <c r="AE25" s="140"/>
      <c r="AF25" s="140"/>
      <c r="AG25" s="140"/>
      <c r="AH25" s="140"/>
      <c r="AI25" s="140"/>
      <c r="AJ25" s="140"/>
      <c r="AK25" s="140"/>
      <c r="AL25" s="140"/>
      <c r="AM25" s="140"/>
      <c r="AN25" s="140"/>
      <c r="AO25" s="140"/>
    </row>
    <row r="26" spans="2:41" ht="12.75" customHeight="1" x14ac:dyDescent="0.2">
      <c r="B26" s="110" t="s">
        <v>473</v>
      </c>
      <c r="O26" s="140"/>
      <c r="P26" s="140"/>
      <c r="Q26" s="140"/>
      <c r="R26" s="140"/>
      <c r="S26" s="140"/>
      <c r="T26" s="140"/>
      <c r="U26" s="140"/>
      <c r="V26" s="140"/>
      <c r="W26" s="140"/>
      <c r="X26" s="140"/>
      <c r="Y26" s="140"/>
      <c r="Z26" s="140"/>
      <c r="AA26" s="140"/>
      <c r="AC26" s="140"/>
      <c r="AD26" s="140"/>
      <c r="AE26" s="140"/>
      <c r="AF26" s="140"/>
      <c r="AG26" s="140"/>
      <c r="AH26" s="140"/>
      <c r="AI26" s="140"/>
      <c r="AJ26" s="140"/>
      <c r="AK26" s="140"/>
      <c r="AL26" s="140"/>
      <c r="AM26" s="140"/>
      <c r="AN26" s="140"/>
      <c r="AO26" s="140"/>
    </row>
    <row r="27" spans="2:41" ht="12.75" customHeight="1" x14ac:dyDescent="0.2">
      <c r="B27" s="110" t="s">
        <v>411</v>
      </c>
      <c r="O27" s="140"/>
      <c r="P27" s="140"/>
      <c r="Q27" s="140"/>
      <c r="R27" s="140"/>
      <c r="S27" s="140"/>
      <c r="T27" s="140"/>
      <c r="U27" s="140"/>
      <c r="V27" s="140"/>
      <c r="W27" s="140"/>
      <c r="X27" s="140"/>
      <c r="Y27" s="140"/>
      <c r="Z27" s="140"/>
      <c r="AA27" s="140"/>
      <c r="AC27" s="140"/>
      <c r="AD27" s="140"/>
      <c r="AE27" s="140"/>
      <c r="AF27" s="140"/>
      <c r="AG27" s="140"/>
      <c r="AH27" s="140"/>
      <c r="AI27" s="140"/>
      <c r="AJ27" s="140"/>
      <c r="AK27" s="140"/>
      <c r="AL27" s="140"/>
      <c r="AM27" s="140"/>
      <c r="AN27" s="140"/>
      <c r="AO27" s="140"/>
    </row>
    <row r="28" spans="2:41" ht="12.75" customHeight="1" x14ac:dyDescent="0.2">
      <c r="B28" s="110" t="s">
        <v>413</v>
      </c>
      <c r="O28" s="140"/>
      <c r="P28" s="255" t="s">
        <v>340</v>
      </c>
      <c r="Q28" s="255"/>
      <c r="R28" s="255"/>
      <c r="S28" s="255"/>
      <c r="T28" s="255"/>
      <c r="U28" s="255"/>
      <c r="V28" s="255"/>
      <c r="W28" s="255"/>
      <c r="X28" s="255"/>
      <c r="Y28" s="255"/>
      <c r="Z28" s="255"/>
      <c r="AA28" s="140"/>
      <c r="AC28" s="140"/>
      <c r="AD28" s="140"/>
      <c r="AE28" s="140"/>
      <c r="AF28" s="140"/>
      <c r="AG28" s="140"/>
      <c r="AH28" s="140"/>
      <c r="AI28" s="140"/>
      <c r="AJ28" s="140"/>
      <c r="AK28" s="140"/>
      <c r="AL28" s="140"/>
      <c r="AM28" s="140"/>
      <c r="AN28" s="140"/>
      <c r="AO28" s="140"/>
    </row>
    <row r="29" spans="2:41" ht="12.75" customHeight="1" x14ac:dyDescent="0.2">
      <c r="B29" s="110" t="s">
        <v>412</v>
      </c>
      <c r="O29" s="140"/>
      <c r="P29" s="255"/>
      <c r="Q29" s="255"/>
      <c r="R29" s="255"/>
      <c r="S29" s="255"/>
      <c r="T29" s="255"/>
      <c r="U29" s="255"/>
      <c r="V29" s="255"/>
      <c r="W29" s="255"/>
      <c r="X29" s="255"/>
      <c r="Y29" s="255"/>
      <c r="Z29" s="255"/>
      <c r="AA29" s="140"/>
      <c r="AC29" s="140"/>
      <c r="AD29" s="140"/>
      <c r="AE29" s="140"/>
      <c r="AF29" s="140"/>
      <c r="AG29" s="140"/>
      <c r="AH29" s="140"/>
      <c r="AI29" s="140"/>
      <c r="AJ29" s="140"/>
      <c r="AK29" s="140"/>
      <c r="AL29" s="140"/>
      <c r="AM29" s="140"/>
      <c r="AN29" s="140"/>
      <c r="AO29" s="140"/>
    </row>
    <row r="30" spans="2:41" ht="12.75" customHeight="1" x14ac:dyDescent="0.2">
      <c r="O30" s="140"/>
      <c r="P30" s="255"/>
      <c r="Q30" s="255"/>
      <c r="R30" s="255"/>
      <c r="S30" s="255"/>
      <c r="T30" s="255"/>
      <c r="U30" s="255"/>
      <c r="V30" s="255"/>
      <c r="W30" s="255"/>
      <c r="X30" s="255"/>
      <c r="Y30" s="255"/>
      <c r="Z30" s="255"/>
      <c r="AA30" s="140"/>
      <c r="AC30" s="140"/>
      <c r="AD30" s="140"/>
      <c r="AE30" s="140"/>
      <c r="AF30" s="140"/>
      <c r="AG30" s="140"/>
      <c r="AH30" s="140"/>
      <c r="AI30" s="140"/>
      <c r="AJ30" s="140"/>
      <c r="AK30" s="140"/>
      <c r="AL30" s="140"/>
      <c r="AM30" s="140"/>
      <c r="AN30" s="140"/>
      <c r="AO30" s="140"/>
    </row>
    <row r="31" spans="2:41" ht="23.25" x14ac:dyDescent="0.35">
      <c r="B31" s="112" t="s">
        <v>414</v>
      </c>
      <c r="C31" s="113"/>
      <c r="D31" s="113"/>
      <c r="E31" s="113"/>
      <c r="F31" s="113"/>
      <c r="G31" s="113"/>
      <c r="H31" s="113"/>
      <c r="I31" s="113"/>
      <c r="J31" s="113"/>
      <c r="K31" s="113"/>
      <c r="L31" s="113"/>
      <c r="M31" s="176"/>
      <c r="N31" s="177"/>
      <c r="O31" s="140"/>
      <c r="P31" s="140"/>
      <c r="Q31" s="140"/>
      <c r="R31" s="140"/>
      <c r="S31" s="140"/>
      <c r="T31" s="140"/>
      <c r="U31" s="140"/>
      <c r="V31" s="140"/>
      <c r="W31" s="140"/>
      <c r="X31" s="140"/>
      <c r="Y31" s="140"/>
      <c r="Z31" s="140"/>
      <c r="AA31" s="140"/>
      <c r="AC31" s="140"/>
      <c r="AD31" s="140"/>
      <c r="AE31" s="140"/>
      <c r="AF31" s="140"/>
      <c r="AG31" s="140"/>
      <c r="AH31" s="140"/>
      <c r="AI31" s="140"/>
      <c r="AJ31" s="140"/>
      <c r="AK31" s="140"/>
      <c r="AL31" s="140"/>
      <c r="AM31" s="140"/>
      <c r="AN31" s="140"/>
      <c r="AO31" s="140"/>
    </row>
    <row r="32" spans="2:41" ht="12.75" customHeight="1" x14ac:dyDescent="0.25">
      <c r="B32" s="178" t="s">
        <v>499</v>
      </c>
      <c r="H32" s="179" t="s">
        <v>415</v>
      </c>
      <c r="N32" s="180"/>
      <c r="O32" s="140"/>
      <c r="P32" s="140"/>
      <c r="Q32" s="140"/>
      <c r="R32" s="140"/>
      <c r="S32" s="140"/>
      <c r="T32" s="140"/>
      <c r="U32" s="140"/>
      <c r="V32" s="140"/>
      <c r="W32" s="140"/>
      <c r="X32" s="140"/>
      <c r="Y32" s="140"/>
      <c r="Z32" s="140"/>
      <c r="AA32" s="140"/>
      <c r="AC32" s="140"/>
      <c r="AD32" s="140"/>
      <c r="AE32" s="140"/>
      <c r="AF32" s="140"/>
      <c r="AG32" s="140"/>
      <c r="AH32" s="140"/>
      <c r="AI32" s="140"/>
      <c r="AJ32" s="140"/>
      <c r="AK32" s="140"/>
      <c r="AL32" s="140"/>
      <c r="AM32" s="140"/>
      <c r="AN32" s="140"/>
      <c r="AO32" s="140"/>
    </row>
    <row r="33" spans="1:41" ht="12.75" customHeight="1" x14ac:dyDescent="0.2">
      <c r="B33" s="214" t="s">
        <v>500</v>
      </c>
      <c r="C33" s="213"/>
      <c r="D33" s="213"/>
      <c r="E33" s="213"/>
      <c r="F33" s="213"/>
      <c r="G33" s="213"/>
      <c r="H33" s="213"/>
      <c r="I33" s="213"/>
      <c r="J33" s="213"/>
      <c r="K33" s="213"/>
      <c r="L33" s="213"/>
      <c r="M33" s="213"/>
      <c r="N33" s="182"/>
      <c r="O33" s="140"/>
      <c r="P33" s="140"/>
      <c r="Q33" s="140"/>
      <c r="R33" s="140"/>
      <c r="S33" s="140"/>
      <c r="T33" s="140"/>
      <c r="U33" s="140"/>
      <c r="V33" s="140"/>
      <c r="W33" s="140"/>
      <c r="X33" s="140"/>
      <c r="Y33" s="140"/>
      <c r="Z33" s="140"/>
      <c r="AA33" s="140"/>
      <c r="AC33" s="140"/>
      <c r="AD33" s="140"/>
      <c r="AE33" s="140"/>
      <c r="AF33" s="140"/>
      <c r="AG33" s="140"/>
      <c r="AH33" s="140"/>
      <c r="AI33" s="140"/>
      <c r="AJ33" s="140"/>
      <c r="AK33" s="140"/>
      <c r="AL33" s="140"/>
      <c r="AM33" s="140"/>
      <c r="AN33" s="140"/>
      <c r="AO33" s="140"/>
    </row>
    <row r="34" spans="1:41" x14ac:dyDescent="0.2">
      <c r="A34" s="182"/>
      <c r="B34" s="215" t="s">
        <v>436</v>
      </c>
      <c r="C34" s="215"/>
      <c r="D34" s="215"/>
      <c r="E34" s="215"/>
      <c r="F34" s="215"/>
      <c r="G34" s="215"/>
      <c r="H34" s="215"/>
      <c r="I34" s="215"/>
      <c r="J34" s="215"/>
      <c r="K34" s="215"/>
      <c r="L34" s="215"/>
      <c r="M34" s="215"/>
      <c r="N34" s="182"/>
      <c r="O34" s="140"/>
      <c r="P34" s="140"/>
      <c r="Q34" s="140"/>
      <c r="R34" s="140"/>
      <c r="S34" s="140"/>
      <c r="T34" s="140"/>
      <c r="U34" s="140"/>
      <c r="V34" s="140"/>
      <c r="W34" s="140"/>
      <c r="X34" s="140"/>
      <c r="Y34" s="140"/>
      <c r="Z34" s="140"/>
      <c r="AA34" s="140"/>
      <c r="AC34" s="140" t="s">
        <v>366</v>
      </c>
      <c r="AD34" s="140"/>
      <c r="AE34" s="140"/>
      <c r="AF34" s="140"/>
      <c r="AG34" s="140"/>
      <c r="AH34" s="140"/>
      <c r="AI34" s="140"/>
      <c r="AJ34" s="140"/>
      <c r="AK34" s="140"/>
      <c r="AL34" s="140"/>
      <c r="AM34" s="140"/>
      <c r="AN34" s="140"/>
      <c r="AO34" s="140"/>
    </row>
    <row r="35" spans="1:41" x14ac:dyDescent="0.2">
      <c r="A35" s="182"/>
      <c r="B35" s="215"/>
      <c r="C35" s="215"/>
      <c r="D35" s="215"/>
      <c r="E35" s="215"/>
      <c r="F35" s="215"/>
      <c r="G35" s="215"/>
      <c r="H35" s="215"/>
      <c r="I35" s="215"/>
      <c r="J35" s="215"/>
      <c r="K35" s="215"/>
      <c r="L35" s="215"/>
      <c r="M35" s="215"/>
      <c r="N35" s="182"/>
      <c r="O35" s="140"/>
      <c r="P35" s="140"/>
      <c r="Q35" s="140"/>
      <c r="R35" s="140"/>
      <c r="S35" s="140"/>
      <c r="T35" s="140"/>
      <c r="U35" s="140"/>
      <c r="V35" s="140"/>
      <c r="W35" s="140"/>
      <c r="X35" s="140"/>
      <c r="Y35" s="140"/>
      <c r="Z35" s="140"/>
      <c r="AA35" s="140"/>
    </row>
    <row r="36" spans="1:41" x14ac:dyDescent="0.2">
      <c r="A36" s="182"/>
      <c r="B36" s="215"/>
      <c r="C36" s="215"/>
      <c r="D36" s="215"/>
      <c r="E36" s="215"/>
      <c r="F36" s="215"/>
      <c r="G36" s="215"/>
      <c r="H36" s="215"/>
      <c r="I36" s="215"/>
      <c r="J36" s="215"/>
      <c r="K36" s="215"/>
      <c r="L36" s="215"/>
      <c r="M36" s="215"/>
      <c r="N36" s="182"/>
      <c r="O36" s="140"/>
      <c r="P36" s="140"/>
      <c r="Q36" s="140"/>
      <c r="R36" s="140"/>
      <c r="S36" s="140"/>
      <c r="T36" s="140"/>
      <c r="U36" s="140"/>
      <c r="V36" s="140"/>
      <c r="W36" s="140"/>
      <c r="X36" s="140"/>
      <c r="Y36" s="140"/>
      <c r="Z36" s="140"/>
      <c r="AA36" s="140"/>
    </row>
    <row r="37" spans="1:41" ht="18.75" x14ac:dyDescent="0.2">
      <c r="A37" s="182"/>
      <c r="B37" s="215"/>
      <c r="C37" s="215"/>
      <c r="D37" s="215"/>
      <c r="E37" s="215"/>
      <c r="F37" s="215"/>
      <c r="G37" s="215"/>
      <c r="H37" s="215"/>
      <c r="I37" s="215"/>
      <c r="J37" s="215"/>
      <c r="K37" s="215"/>
      <c r="L37" s="215"/>
      <c r="M37" s="215"/>
      <c r="N37" s="182"/>
      <c r="O37" s="140"/>
      <c r="P37" s="140"/>
      <c r="Q37" s="140"/>
      <c r="R37" s="140"/>
      <c r="S37" s="140"/>
      <c r="T37" s="140"/>
      <c r="U37" s="140"/>
      <c r="V37" s="140"/>
      <c r="W37" s="140"/>
      <c r="X37" s="140"/>
      <c r="Y37" s="140"/>
      <c r="Z37" s="140"/>
      <c r="AA37" s="140"/>
      <c r="AF37" s="175"/>
      <c r="AG37" s="175"/>
      <c r="AH37" s="144"/>
      <c r="AI37" s="144"/>
    </row>
    <row r="38" spans="1:41" x14ac:dyDescent="0.2">
      <c r="A38" s="182"/>
      <c r="B38" s="215"/>
      <c r="C38" s="215"/>
      <c r="D38" s="215"/>
      <c r="E38" s="215"/>
      <c r="F38" s="215"/>
      <c r="G38" s="215"/>
      <c r="H38" s="215"/>
      <c r="I38" s="215"/>
      <c r="J38" s="215"/>
      <c r="K38" s="215"/>
      <c r="L38" s="215"/>
      <c r="M38" s="215"/>
      <c r="N38" s="182"/>
      <c r="O38" s="140"/>
      <c r="P38" s="140"/>
      <c r="Q38" s="140"/>
      <c r="R38" s="140"/>
      <c r="S38" s="140"/>
      <c r="T38" s="140"/>
      <c r="U38" s="140"/>
      <c r="V38" s="140"/>
      <c r="W38" s="140"/>
      <c r="X38" s="140"/>
      <c r="Y38" s="140"/>
      <c r="Z38" s="140"/>
      <c r="AA38" s="140"/>
    </row>
    <row r="39" spans="1:41" x14ac:dyDescent="0.2">
      <c r="A39" s="182"/>
      <c r="B39" s="215"/>
      <c r="C39" s="215"/>
      <c r="D39" s="215"/>
      <c r="E39" s="215"/>
      <c r="F39" s="215"/>
      <c r="G39" s="215"/>
      <c r="H39" s="215"/>
      <c r="I39" s="215"/>
      <c r="J39" s="215"/>
      <c r="K39" s="215"/>
      <c r="L39" s="215"/>
      <c r="M39" s="215"/>
      <c r="N39" s="182"/>
      <c r="O39" s="140"/>
      <c r="P39" s="140"/>
      <c r="Q39" s="140"/>
      <c r="R39" s="140"/>
      <c r="S39" s="140"/>
      <c r="T39" s="140"/>
      <c r="U39" s="140"/>
      <c r="V39" s="140"/>
      <c r="W39" s="140"/>
      <c r="X39" s="140"/>
      <c r="Y39" s="140"/>
      <c r="Z39" s="140"/>
      <c r="AA39" s="140"/>
    </row>
    <row r="40" spans="1:41" ht="15" x14ac:dyDescent="0.25">
      <c r="B40" s="215"/>
      <c r="C40" s="215"/>
      <c r="D40" s="215"/>
      <c r="E40" s="215"/>
      <c r="F40" s="215"/>
      <c r="G40" s="215"/>
      <c r="H40" s="215"/>
      <c r="I40" s="215"/>
      <c r="J40" s="215"/>
      <c r="K40" s="215"/>
      <c r="L40" s="215"/>
      <c r="M40" s="215"/>
      <c r="N40" s="177"/>
      <c r="O40" s="140"/>
      <c r="P40" s="140"/>
      <c r="Q40" s="140"/>
      <c r="R40" s="140"/>
      <c r="S40" s="140"/>
      <c r="T40" s="140"/>
      <c r="U40" s="140"/>
      <c r="V40" s="140"/>
      <c r="W40" s="140"/>
      <c r="X40" s="140"/>
      <c r="Y40" s="140"/>
      <c r="Z40" s="140"/>
      <c r="AA40" s="140"/>
    </row>
    <row r="41" spans="1:41" ht="15" x14ac:dyDescent="0.25">
      <c r="B41" s="213"/>
      <c r="C41" s="213"/>
      <c r="D41" s="213"/>
      <c r="E41" s="213"/>
      <c r="F41" s="213"/>
      <c r="G41" s="213"/>
      <c r="H41" s="213"/>
      <c r="I41" s="213"/>
      <c r="J41" s="213"/>
      <c r="K41" s="213"/>
      <c r="L41" s="213"/>
      <c r="M41" s="213"/>
      <c r="N41" s="177"/>
      <c r="O41" s="140"/>
      <c r="P41" s="140"/>
      <c r="Q41" s="140"/>
      <c r="R41" s="140"/>
      <c r="S41" s="140"/>
      <c r="T41" s="140"/>
      <c r="U41" s="140"/>
      <c r="V41" s="140"/>
      <c r="W41" s="140"/>
      <c r="X41" s="140"/>
      <c r="Y41" s="140"/>
      <c r="Z41" s="140"/>
      <c r="AA41" s="140"/>
    </row>
    <row r="42" spans="1:41" ht="15" x14ac:dyDescent="0.25">
      <c r="A42" s="182"/>
      <c r="B42" s="181" t="s">
        <v>416</v>
      </c>
      <c r="C42" s="182"/>
      <c r="D42" s="182"/>
      <c r="E42" s="182"/>
      <c r="F42" s="182"/>
      <c r="G42" s="182"/>
      <c r="H42" s="182"/>
      <c r="I42" s="182"/>
      <c r="J42" s="182"/>
      <c r="K42" s="182"/>
      <c r="L42" s="182"/>
      <c r="M42" s="182"/>
      <c r="N42" s="177"/>
      <c r="O42" s="140"/>
      <c r="P42" s="140"/>
      <c r="Q42" s="140"/>
      <c r="R42" s="140"/>
      <c r="S42" s="140"/>
      <c r="T42" s="140"/>
      <c r="U42" s="140"/>
      <c r="V42" s="140"/>
      <c r="W42" s="140"/>
      <c r="X42" s="140"/>
      <c r="Y42" s="140"/>
      <c r="Z42" s="140"/>
      <c r="AA42" s="140"/>
    </row>
    <row r="43" spans="1:41" ht="15" x14ac:dyDescent="0.25">
      <c r="A43" s="185"/>
      <c r="B43" s="183" t="s">
        <v>417</v>
      </c>
      <c r="C43" s="184"/>
      <c r="D43" s="184"/>
      <c r="E43" s="184"/>
      <c r="F43" s="184"/>
      <c r="G43" s="110" t="s">
        <v>418</v>
      </c>
      <c r="H43" s="185"/>
      <c r="I43" s="185"/>
      <c r="J43" s="185"/>
      <c r="K43" s="185"/>
      <c r="L43" s="185"/>
      <c r="M43" s="185"/>
      <c r="N43" s="177"/>
      <c r="O43" s="140"/>
      <c r="P43" s="140"/>
      <c r="Q43" s="140"/>
      <c r="R43" s="140"/>
      <c r="S43" s="140"/>
      <c r="T43" s="140"/>
      <c r="U43" s="140"/>
      <c r="V43" s="140"/>
      <c r="W43" s="140"/>
      <c r="X43" s="140"/>
      <c r="Y43" s="140"/>
      <c r="Z43" s="140"/>
      <c r="AA43" s="140"/>
    </row>
    <row r="44" spans="1:41" ht="15" x14ac:dyDescent="0.25">
      <c r="A44" s="185"/>
      <c r="B44" s="186" t="s">
        <v>419</v>
      </c>
      <c r="C44" s="187"/>
      <c r="D44" s="187"/>
      <c r="E44" s="187"/>
      <c r="F44" s="187"/>
      <c r="G44" s="110" t="s">
        <v>420</v>
      </c>
      <c r="H44" s="185"/>
      <c r="I44" s="185"/>
      <c r="J44" s="185"/>
      <c r="K44" s="185"/>
      <c r="L44" s="185"/>
      <c r="M44" s="185"/>
      <c r="N44" s="177"/>
    </row>
    <row r="45" spans="1:41" ht="15" x14ac:dyDescent="0.25">
      <c r="A45" s="185"/>
      <c r="B45" s="186" t="s">
        <v>421</v>
      </c>
      <c r="C45" s="188"/>
      <c r="D45" s="188"/>
      <c r="E45" s="188"/>
      <c r="F45" s="188"/>
      <c r="G45" s="110" t="s">
        <v>422</v>
      </c>
      <c r="H45" s="185"/>
      <c r="I45" s="185"/>
      <c r="J45" s="185"/>
      <c r="K45" s="185"/>
      <c r="L45" s="185"/>
      <c r="M45" s="185"/>
      <c r="N45" s="177"/>
      <c r="O45" s="133"/>
      <c r="P45" s="133"/>
      <c r="Q45" s="133"/>
      <c r="R45" s="133"/>
      <c r="S45" s="133"/>
      <c r="T45" s="133"/>
      <c r="U45" s="133"/>
      <c r="V45" s="133"/>
      <c r="W45" s="133"/>
      <c r="X45" s="133"/>
      <c r="Y45" s="133"/>
      <c r="Z45" s="133"/>
      <c r="AA45" s="133"/>
    </row>
    <row r="46" spans="1:41" ht="15" x14ac:dyDescent="0.25">
      <c r="A46" s="177"/>
      <c r="B46" s="186" t="s">
        <v>423</v>
      </c>
      <c r="C46" s="188"/>
      <c r="D46" s="188"/>
      <c r="E46" s="188"/>
      <c r="F46" s="188"/>
      <c r="G46" s="110" t="s">
        <v>424</v>
      </c>
      <c r="H46" s="177"/>
      <c r="I46" s="177"/>
      <c r="J46" s="177"/>
      <c r="K46" s="177"/>
      <c r="L46" s="177"/>
      <c r="M46" s="177"/>
      <c r="N46" s="177"/>
    </row>
    <row r="47" spans="1:41" ht="15" x14ac:dyDescent="0.25">
      <c r="A47" s="177"/>
      <c r="B47" s="186" t="s">
        <v>426</v>
      </c>
      <c r="C47" s="188"/>
      <c r="D47" s="188"/>
      <c r="E47" s="188"/>
      <c r="F47" s="188"/>
      <c r="G47" s="110" t="s">
        <v>425</v>
      </c>
      <c r="H47" s="177"/>
      <c r="I47" s="177"/>
      <c r="J47" s="177"/>
      <c r="K47" s="177"/>
      <c r="L47" s="177"/>
      <c r="M47" s="177"/>
      <c r="N47" s="177"/>
    </row>
    <row r="48" spans="1:41" ht="15" x14ac:dyDescent="0.25">
      <c r="A48" s="177"/>
      <c r="H48" s="177"/>
      <c r="I48" s="177"/>
      <c r="J48" s="177"/>
      <c r="K48" s="177"/>
      <c r="L48" s="177"/>
      <c r="M48" s="177"/>
      <c r="N48" s="177"/>
    </row>
    <row r="49" spans="2:13" hidden="1" x14ac:dyDescent="0.2">
      <c r="B49" s="170"/>
      <c r="C49" s="170"/>
      <c r="D49" s="170"/>
      <c r="E49" s="170"/>
      <c r="F49" s="171"/>
      <c r="G49" s="171"/>
      <c r="H49" s="171"/>
      <c r="I49" s="171"/>
      <c r="J49" s="171"/>
      <c r="K49" s="171"/>
      <c r="L49" s="171"/>
      <c r="M49" s="171"/>
    </row>
    <row r="50" spans="2:13" hidden="1" x14ac:dyDescent="0.2"/>
    <row r="51" spans="2:13" hidden="1" x14ac:dyDescent="0.2">
      <c r="B51" s="171"/>
      <c r="C51" s="171"/>
      <c r="D51" s="171"/>
      <c r="E51" s="171"/>
      <c r="F51" s="171"/>
      <c r="G51" s="171"/>
      <c r="H51" s="171"/>
      <c r="I51" s="171"/>
      <c r="J51" s="171"/>
    </row>
    <row r="52" spans="2:13" hidden="1" x14ac:dyDescent="0.2">
      <c r="B52" s="171"/>
      <c r="C52" s="171"/>
      <c r="D52" s="171"/>
      <c r="E52" s="171"/>
      <c r="F52" s="171"/>
      <c r="G52" s="171"/>
      <c r="H52" s="171"/>
      <c r="I52" s="171"/>
      <c r="J52" s="171"/>
    </row>
    <row r="53" spans="2:13" hidden="1" x14ac:dyDescent="0.2">
      <c r="B53" s="171"/>
      <c r="C53" s="171"/>
      <c r="D53" s="171"/>
      <c r="E53" s="171"/>
      <c r="F53" s="171"/>
      <c r="G53" s="171"/>
      <c r="H53" s="171"/>
      <c r="I53" s="171"/>
      <c r="J53" s="171"/>
    </row>
  </sheetData>
  <sheetProtection algorithmName="SHA-512" hashValue="f70VyDzzW8+odGKFp6WDB5igPmgVvGHqdqsnzzdZ5j363As2V+SA4dZlJiTocZo3xycWrkajltzDj6KS+0hnpw==" saltValue="eMX+sNZ+YxjV9/iw9HYTyA==" spinCount="100000" sheet="1" objects="1" scenarios="1"/>
  <mergeCells count="78">
    <mergeCell ref="B23:E23"/>
    <mergeCell ref="F23:I23"/>
    <mergeCell ref="AG13:AI13"/>
    <mergeCell ref="B16:E17"/>
    <mergeCell ref="F16:I17"/>
    <mergeCell ref="J16:M17"/>
    <mergeCell ref="J18:M22"/>
    <mergeCell ref="F18:I22"/>
    <mergeCell ref="B18:E22"/>
    <mergeCell ref="O13:Q13"/>
    <mergeCell ref="L13:N13"/>
    <mergeCell ref="I13:K13"/>
    <mergeCell ref="F14:H14"/>
    <mergeCell ref="X5:Z5"/>
    <mergeCell ref="U6:W6"/>
    <mergeCell ref="X6:Z6"/>
    <mergeCell ref="R5:T5"/>
    <mergeCell ref="U5:W5"/>
    <mergeCell ref="X13:Z13"/>
    <mergeCell ref="U13:W13"/>
    <mergeCell ref="R13:T13"/>
    <mergeCell ref="I6:K6"/>
    <mergeCell ref="L6:N6"/>
    <mergeCell ref="R12:T12"/>
    <mergeCell ref="L12:N12"/>
    <mergeCell ref="L11:N11"/>
    <mergeCell ref="R11:T11"/>
    <mergeCell ref="I12:K12"/>
    <mergeCell ref="I11:K11"/>
    <mergeCell ref="U7:W10"/>
    <mergeCell ref="X7:Z10"/>
    <mergeCell ref="AJ7:AL10"/>
    <mergeCell ref="AJ13:AL13"/>
    <mergeCell ref="AA6:AF7"/>
    <mergeCell ref="F7:H10"/>
    <mergeCell ref="F11:H11"/>
    <mergeCell ref="F12:H12"/>
    <mergeCell ref="F13:H13"/>
    <mergeCell ref="AA13:AC13"/>
    <mergeCell ref="AA11:AC12"/>
    <mergeCell ref="AJ11:AL11"/>
    <mergeCell ref="AD13:AF13"/>
    <mergeCell ref="I7:K10"/>
    <mergeCell ref="L7:N10"/>
    <mergeCell ref="R8:T10"/>
    <mergeCell ref="R6:T7"/>
    <mergeCell ref="AJ5:AL5"/>
    <mergeCell ref="AJ6:AL6"/>
    <mergeCell ref="AJ12:AL12"/>
    <mergeCell ref="X12:Z12"/>
    <mergeCell ref="U12:W12"/>
    <mergeCell ref="U11:W11"/>
    <mergeCell ref="X11:Z11"/>
    <mergeCell ref="AG5:AI5"/>
    <mergeCell ref="AG6:AI6"/>
    <mergeCell ref="AG7:AI10"/>
    <mergeCell ref="AG11:AI11"/>
    <mergeCell ref="AG12:AI12"/>
    <mergeCell ref="AA8:AC10"/>
    <mergeCell ref="AA5:AF5"/>
    <mergeCell ref="AD8:AF10"/>
    <mergeCell ref="AD11:AF12"/>
    <mergeCell ref="B34:M40"/>
    <mergeCell ref="A1:O2"/>
    <mergeCell ref="B5:E10"/>
    <mergeCell ref="B12:E12"/>
    <mergeCell ref="B11:E11"/>
    <mergeCell ref="I5:K5"/>
    <mergeCell ref="L5:N5"/>
    <mergeCell ref="O5:Q5"/>
    <mergeCell ref="O6:Q6"/>
    <mergeCell ref="O7:Q10"/>
    <mergeCell ref="O12:Q12"/>
    <mergeCell ref="O11:Q11"/>
    <mergeCell ref="F5:H5"/>
    <mergeCell ref="F6:H6"/>
    <mergeCell ref="P28:Z30"/>
    <mergeCell ref="J23:L23"/>
  </mergeCells>
  <conditionalFormatting sqref="B12">
    <cfRule type="dataBar" priority="23">
      <dataBar>
        <cfvo type="num" val="-75"/>
        <cfvo type="num" val="400"/>
        <color rgb="FF008AEF"/>
      </dataBar>
      <extLst>
        <ext xmlns:x14="http://schemas.microsoft.com/office/spreadsheetml/2009/9/main" uri="{B025F937-C7B1-47D3-B67F-A62EFF666E3E}">
          <x14:id>{CE521819-CEDA-4114-A352-44AE5682BC94}</x14:id>
        </ext>
      </extLst>
    </cfRule>
  </conditionalFormatting>
  <conditionalFormatting sqref="I11:I12">
    <cfRule type="dataBar" priority="21">
      <dataBar>
        <cfvo type="num" val="-15"/>
        <cfvo type="num" val="50"/>
        <color rgb="FF008AEF"/>
      </dataBar>
      <extLst>
        <ext xmlns:x14="http://schemas.microsoft.com/office/spreadsheetml/2009/9/main" uri="{B025F937-C7B1-47D3-B67F-A62EFF666E3E}">
          <x14:id>{F9DDC01D-6229-4596-A705-042244CC2D71}</x14:id>
        </ext>
      </extLst>
    </cfRule>
  </conditionalFormatting>
  <conditionalFormatting sqref="L11:L12">
    <cfRule type="dataBar" priority="15">
      <dataBar>
        <cfvo type="num" val="-1"/>
        <cfvo type="num" val="10"/>
        <color rgb="FF008AEF"/>
      </dataBar>
      <extLst>
        <ext xmlns:x14="http://schemas.microsoft.com/office/spreadsheetml/2009/9/main" uri="{B025F937-C7B1-47D3-B67F-A62EFF666E3E}">
          <x14:id>{400C5BB4-CBC5-4CCF-890A-4E6BAAADC3C6}</x14:id>
        </ext>
      </extLst>
    </cfRule>
  </conditionalFormatting>
  <conditionalFormatting sqref="R11:R12">
    <cfRule type="dataBar" priority="13">
      <dataBar>
        <cfvo type="num" val="-250"/>
        <cfvo type="num" val="600"/>
        <color rgb="FF008AEF"/>
      </dataBar>
      <extLst>
        <ext xmlns:x14="http://schemas.microsoft.com/office/spreadsheetml/2009/9/main" uri="{B025F937-C7B1-47D3-B67F-A62EFF666E3E}">
          <x14:id>{E2B0F652-94DD-475A-8E4A-CEAECF8E45B4}</x14:id>
        </ext>
      </extLst>
    </cfRule>
  </conditionalFormatting>
  <conditionalFormatting sqref="U11:W12">
    <cfRule type="dataBar" priority="10">
      <dataBar>
        <cfvo type="num" val="-150"/>
        <cfvo type="num" val="600"/>
        <color rgb="FF008AEF"/>
      </dataBar>
      <extLst>
        <ext xmlns:x14="http://schemas.microsoft.com/office/spreadsheetml/2009/9/main" uri="{B025F937-C7B1-47D3-B67F-A62EFF666E3E}">
          <x14:id>{CB9319CC-BC0F-4C30-BD0F-82C71478C318}</x14:id>
        </ext>
      </extLst>
    </cfRule>
  </conditionalFormatting>
  <conditionalFormatting sqref="O11:O12">
    <cfRule type="dataBar" priority="9">
      <dataBar>
        <cfvo type="num" val="-1"/>
        <cfvo type="num" val="10"/>
        <color rgb="FF008AEF"/>
      </dataBar>
      <extLst>
        <ext xmlns:x14="http://schemas.microsoft.com/office/spreadsheetml/2009/9/main" uri="{B025F937-C7B1-47D3-B67F-A62EFF666E3E}">
          <x14:id>{52986A6D-D5AF-41BF-9092-4ADE99AAF0BE}</x14:id>
        </ext>
      </extLst>
    </cfRule>
  </conditionalFormatting>
  <conditionalFormatting sqref="X11:Z12">
    <cfRule type="dataBar" priority="8">
      <dataBar>
        <cfvo type="num" val="-175"/>
        <cfvo type="num" val="600"/>
        <color rgb="FF008AEF"/>
      </dataBar>
      <extLst>
        <ext xmlns:x14="http://schemas.microsoft.com/office/spreadsheetml/2009/9/main" uri="{B025F937-C7B1-47D3-B67F-A62EFF666E3E}">
          <x14:id>{D14B4FD3-1952-4E53-A468-042D6B602943}</x14:id>
        </ext>
      </extLst>
    </cfRule>
  </conditionalFormatting>
  <conditionalFormatting sqref="AJ11:AL12">
    <cfRule type="dataBar" priority="7">
      <dataBar>
        <cfvo type="num" val="-5"/>
        <cfvo type="num" val="20"/>
        <color rgb="FF008AEF"/>
      </dataBar>
      <extLst>
        <ext xmlns:x14="http://schemas.microsoft.com/office/spreadsheetml/2009/9/main" uri="{B025F937-C7B1-47D3-B67F-A62EFF666E3E}">
          <x14:id>{A48786A6-60EE-49AF-A6E9-FF6929456EC8}</x14:id>
        </ext>
      </extLst>
    </cfRule>
  </conditionalFormatting>
  <conditionalFormatting sqref="F11:F12">
    <cfRule type="dataBar" priority="6">
      <dataBar>
        <cfvo type="num" val="-2"/>
        <cfvo type="num" val="10"/>
        <color rgb="FF008AEF"/>
      </dataBar>
      <extLst>
        <ext xmlns:x14="http://schemas.microsoft.com/office/spreadsheetml/2009/9/main" uri="{B025F937-C7B1-47D3-B67F-A62EFF666E3E}">
          <x14:id>{E4B35C63-94EE-4112-B016-A3BD369E9F3B}</x14:id>
        </ext>
      </extLst>
    </cfRule>
  </conditionalFormatting>
  <conditionalFormatting sqref="AA11">
    <cfRule type="dataBar" priority="4">
      <dataBar>
        <cfvo type="num" val="-0.33"/>
        <cfvo type="num" val="1"/>
        <color rgb="FF008AEF"/>
      </dataBar>
      <extLst>
        <ext xmlns:x14="http://schemas.microsoft.com/office/spreadsheetml/2009/9/main" uri="{B025F937-C7B1-47D3-B67F-A62EFF666E3E}">
          <x14:id>{AC34F706-078F-4C09-8310-4177B1B1B9B4}</x14:id>
        </ext>
      </extLst>
    </cfRule>
  </conditionalFormatting>
  <conditionalFormatting sqref="AG12:AI12">
    <cfRule type="dataBar" priority="3">
      <dataBar>
        <cfvo type="num" val="-0.33"/>
        <cfvo type="num" val="1"/>
        <color rgb="FF008AEF"/>
      </dataBar>
      <extLst>
        <ext xmlns:x14="http://schemas.microsoft.com/office/spreadsheetml/2009/9/main" uri="{B025F937-C7B1-47D3-B67F-A62EFF666E3E}">
          <x14:id>{06D657DE-091F-4CD4-8192-022061199B8C}</x14:id>
        </ext>
      </extLst>
    </cfRule>
  </conditionalFormatting>
  <conditionalFormatting sqref="AD11">
    <cfRule type="dataBar" priority="1">
      <dataBar>
        <cfvo type="num" val="-2"/>
        <cfvo type="num" val="5"/>
        <color rgb="FF008AEF"/>
      </dataBar>
      <extLst>
        <ext xmlns:x14="http://schemas.microsoft.com/office/spreadsheetml/2009/9/main" uri="{B025F937-C7B1-47D3-B67F-A62EFF666E3E}">
          <x14:id>{11BD0DBA-0EAA-470C-A0EE-1A9F45545F53}</x14:id>
        </ext>
      </extLst>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Drop Down 5">
              <controlPr defaultSize="0" autoLine="0" autoPict="0">
                <anchor moveWithCells="1">
                  <from>
                    <xdr:col>17</xdr:col>
                    <xdr:colOff>66675</xdr:colOff>
                    <xdr:row>5</xdr:row>
                    <xdr:rowOff>28575</xdr:rowOff>
                  </from>
                  <to>
                    <xdr:col>18</xdr:col>
                    <xdr:colOff>266700</xdr:colOff>
                    <xdr:row>6</xdr:row>
                    <xdr:rowOff>85725</xdr:rowOff>
                  </to>
                </anchor>
              </controlPr>
            </control>
          </mc:Choice>
        </mc:AlternateContent>
        <mc:AlternateContent xmlns:mc="http://schemas.openxmlformats.org/markup-compatibility/2006">
          <mc:Choice Requires="x14">
            <control shapeId="2054" r:id="rId5" name="Drop Down 6">
              <controlPr defaultSize="0" autoLine="0" autoPict="0">
                <anchor moveWithCells="1">
                  <from>
                    <xdr:col>28</xdr:col>
                    <xdr:colOff>57150</xdr:colOff>
                    <xdr:row>15</xdr:row>
                    <xdr:rowOff>28575</xdr:rowOff>
                  </from>
                  <to>
                    <xdr:col>30</xdr:col>
                    <xdr:colOff>247650</xdr:colOff>
                    <xdr:row>15</xdr:row>
                    <xdr:rowOff>247650</xdr:rowOff>
                  </to>
                </anchor>
              </controlPr>
            </control>
          </mc:Choice>
        </mc:AlternateContent>
        <mc:AlternateContent xmlns:mc="http://schemas.openxmlformats.org/markup-compatibility/2006">
          <mc:Choice Requires="x14">
            <control shapeId="2151" r:id="rId6" name="Drop Down 103">
              <controlPr defaultSize="0" autoLine="0" autoPict="0">
                <anchor moveWithCells="1">
                  <from>
                    <xdr:col>26</xdr:col>
                    <xdr:colOff>66675</xdr:colOff>
                    <xdr:row>5</xdr:row>
                    <xdr:rowOff>28575</xdr:rowOff>
                  </from>
                  <to>
                    <xdr:col>30</xdr:col>
                    <xdr:colOff>142875</xdr:colOff>
                    <xdr:row>6</xdr:row>
                    <xdr:rowOff>85725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CE521819-CEDA-4114-A352-44AE5682BC94}">
            <x14:dataBar minLength="0" maxLength="100" gradient="0">
              <x14:cfvo type="num">
                <xm:f>-75</xm:f>
              </x14:cfvo>
              <x14:cfvo type="num">
                <xm:f>400</xm:f>
              </x14:cfvo>
              <x14:negativeFillColor rgb="FFFF0000"/>
              <x14:axisColor theme="0" tint="-0.14999847407452621"/>
            </x14:dataBar>
          </x14:cfRule>
          <xm:sqref>B12</xm:sqref>
        </x14:conditionalFormatting>
        <x14:conditionalFormatting xmlns:xm="http://schemas.microsoft.com/office/excel/2006/main">
          <x14:cfRule type="dataBar" id="{F9DDC01D-6229-4596-A705-042244CC2D71}">
            <x14:dataBar minLength="0" maxLength="100" gradient="0">
              <x14:cfvo type="num">
                <xm:f>-15</xm:f>
              </x14:cfvo>
              <x14:cfvo type="num">
                <xm:f>50</xm:f>
              </x14:cfvo>
              <x14:negativeFillColor rgb="FFFF0000"/>
              <x14:axisColor theme="0" tint="-0.14999847407452621"/>
            </x14:dataBar>
          </x14:cfRule>
          <xm:sqref>I11:I12</xm:sqref>
        </x14:conditionalFormatting>
        <x14:conditionalFormatting xmlns:xm="http://schemas.microsoft.com/office/excel/2006/main">
          <x14:cfRule type="dataBar" id="{400C5BB4-CBC5-4CCF-890A-4E6BAAADC3C6}">
            <x14:dataBar minLength="0" maxLength="100" gradient="0">
              <x14:cfvo type="num">
                <xm:f>-1</xm:f>
              </x14:cfvo>
              <x14:cfvo type="num">
                <xm:f>10</xm:f>
              </x14:cfvo>
              <x14:negativeFillColor rgb="FFFF0000"/>
              <x14:axisColor theme="0" tint="-0.14999847407452621"/>
            </x14:dataBar>
          </x14:cfRule>
          <xm:sqref>L11:L12</xm:sqref>
        </x14:conditionalFormatting>
        <x14:conditionalFormatting xmlns:xm="http://schemas.microsoft.com/office/excel/2006/main">
          <x14:cfRule type="dataBar" id="{E2B0F652-94DD-475A-8E4A-CEAECF8E45B4}">
            <x14:dataBar minLength="0" maxLength="100" gradient="0">
              <x14:cfvo type="num">
                <xm:f>-250</xm:f>
              </x14:cfvo>
              <x14:cfvo type="num">
                <xm:f>600</xm:f>
              </x14:cfvo>
              <x14:negativeFillColor rgb="FFFF0000"/>
              <x14:axisColor theme="0" tint="-0.14999847407452621"/>
            </x14:dataBar>
          </x14:cfRule>
          <xm:sqref>R11:R12</xm:sqref>
        </x14:conditionalFormatting>
        <x14:conditionalFormatting xmlns:xm="http://schemas.microsoft.com/office/excel/2006/main">
          <x14:cfRule type="dataBar" id="{CB9319CC-BC0F-4C30-BD0F-82C71478C318}">
            <x14:dataBar minLength="0" maxLength="100" gradient="0">
              <x14:cfvo type="num">
                <xm:f>-150</xm:f>
              </x14:cfvo>
              <x14:cfvo type="num">
                <xm:f>600</xm:f>
              </x14:cfvo>
              <x14:negativeFillColor rgb="FFFF0000"/>
              <x14:axisColor theme="0" tint="-0.14999847407452621"/>
            </x14:dataBar>
          </x14:cfRule>
          <xm:sqref>U11:W12</xm:sqref>
        </x14:conditionalFormatting>
        <x14:conditionalFormatting xmlns:xm="http://schemas.microsoft.com/office/excel/2006/main">
          <x14:cfRule type="dataBar" id="{52986A6D-D5AF-41BF-9092-4ADE99AAF0BE}">
            <x14:dataBar minLength="0" maxLength="100" gradient="0">
              <x14:cfvo type="num">
                <xm:f>-1</xm:f>
              </x14:cfvo>
              <x14:cfvo type="num">
                <xm:f>10</xm:f>
              </x14:cfvo>
              <x14:negativeFillColor rgb="FFFF0000"/>
              <x14:axisColor theme="0" tint="-0.14999847407452621"/>
            </x14:dataBar>
          </x14:cfRule>
          <xm:sqref>O11:O12</xm:sqref>
        </x14:conditionalFormatting>
        <x14:conditionalFormatting xmlns:xm="http://schemas.microsoft.com/office/excel/2006/main">
          <x14:cfRule type="dataBar" id="{D14B4FD3-1952-4E53-A468-042D6B602943}">
            <x14:dataBar minLength="0" maxLength="100" gradient="0">
              <x14:cfvo type="num">
                <xm:f>-175</xm:f>
              </x14:cfvo>
              <x14:cfvo type="num">
                <xm:f>600</xm:f>
              </x14:cfvo>
              <x14:negativeFillColor rgb="FFFF0000"/>
              <x14:axisColor theme="0" tint="-0.14999847407452621"/>
            </x14:dataBar>
          </x14:cfRule>
          <xm:sqref>X11:Z12</xm:sqref>
        </x14:conditionalFormatting>
        <x14:conditionalFormatting xmlns:xm="http://schemas.microsoft.com/office/excel/2006/main">
          <x14:cfRule type="dataBar" id="{A48786A6-60EE-49AF-A6E9-FF6929456EC8}">
            <x14:dataBar minLength="0" maxLength="100" gradient="0">
              <x14:cfvo type="num">
                <xm:f>-5</xm:f>
              </x14:cfvo>
              <x14:cfvo type="num">
                <xm:f>20</xm:f>
              </x14:cfvo>
              <x14:negativeFillColor rgb="FFFF0000"/>
              <x14:axisColor theme="0" tint="-0.14999847407452621"/>
            </x14:dataBar>
          </x14:cfRule>
          <xm:sqref>AJ11:AL12</xm:sqref>
        </x14:conditionalFormatting>
        <x14:conditionalFormatting xmlns:xm="http://schemas.microsoft.com/office/excel/2006/main">
          <x14:cfRule type="dataBar" id="{E4B35C63-94EE-4112-B016-A3BD369E9F3B}">
            <x14:dataBar minLength="0" maxLength="100" gradient="0">
              <x14:cfvo type="num">
                <xm:f>-2</xm:f>
              </x14:cfvo>
              <x14:cfvo type="num">
                <xm:f>10</xm:f>
              </x14:cfvo>
              <x14:negativeFillColor rgb="FFFF0000"/>
              <x14:axisColor theme="0" tint="-0.14999847407452621"/>
            </x14:dataBar>
          </x14:cfRule>
          <xm:sqref>F11:F12</xm:sqref>
        </x14:conditionalFormatting>
        <x14:conditionalFormatting xmlns:xm="http://schemas.microsoft.com/office/excel/2006/main">
          <x14:cfRule type="dataBar" id="{AC34F706-078F-4C09-8310-4177B1B1B9B4}">
            <x14:dataBar minLength="0" maxLength="100" gradient="0" direction="leftToRight">
              <x14:cfvo type="num">
                <xm:f>-0.33</xm:f>
              </x14:cfvo>
              <x14:cfvo type="num">
                <xm:f>1</xm:f>
              </x14:cfvo>
              <x14:negativeFillColor rgb="FFFF0000"/>
              <x14:axisColor theme="0" tint="-0.14999847407452621"/>
            </x14:dataBar>
          </x14:cfRule>
          <xm:sqref>AA11</xm:sqref>
        </x14:conditionalFormatting>
        <x14:conditionalFormatting xmlns:xm="http://schemas.microsoft.com/office/excel/2006/main">
          <x14:cfRule type="dataBar" id="{06D657DE-091F-4CD4-8192-022061199B8C}">
            <x14:dataBar minLength="0" maxLength="100" gradient="0">
              <x14:cfvo type="num">
                <xm:f>-0.33</xm:f>
              </x14:cfvo>
              <x14:cfvo type="num">
                <xm:f>1</xm:f>
              </x14:cfvo>
              <x14:negativeFillColor rgb="FFFF0000"/>
              <x14:axisColor theme="0" tint="-0.14999847407452621"/>
            </x14:dataBar>
          </x14:cfRule>
          <xm:sqref>AG12:AI12</xm:sqref>
        </x14:conditionalFormatting>
        <x14:conditionalFormatting xmlns:xm="http://schemas.microsoft.com/office/excel/2006/main">
          <x14:cfRule type="dataBar" id="{11BD0DBA-0EAA-470C-A0EE-1A9F45545F53}">
            <x14:dataBar minLength="0" maxLength="100" gradient="0">
              <x14:cfvo type="num">
                <xm:f>-2</xm:f>
              </x14:cfvo>
              <x14:cfvo type="num">
                <xm:f>5</xm:f>
              </x14:cfvo>
              <x14:negativeFillColor rgb="FFFF0000"/>
              <x14:axisColor theme="0" tint="-0.14999847407452621"/>
            </x14:dataBar>
          </x14:cfRule>
          <xm:sqref>AD11</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2"/>
  <sheetViews>
    <sheetView workbookViewId="0">
      <selection activeCell="D37" sqref="D37"/>
    </sheetView>
  </sheetViews>
  <sheetFormatPr defaultRowHeight="12.75" x14ac:dyDescent="0.2"/>
  <cols>
    <col min="1" max="1" width="26.42578125" style="9" customWidth="1"/>
    <col min="2" max="2" width="14.42578125" customWidth="1"/>
    <col min="3" max="3" width="13.7109375" customWidth="1"/>
    <col min="4" max="4" width="16.7109375" customWidth="1"/>
    <col min="5" max="5" width="17.42578125" customWidth="1"/>
    <col min="6" max="6" width="13.42578125" customWidth="1"/>
    <col min="15" max="15" width="16.85546875" customWidth="1"/>
  </cols>
  <sheetData>
    <row r="1" spans="1:27" x14ac:dyDescent="0.2">
      <c r="B1" s="82" t="s">
        <v>43</v>
      </c>
      <c r="C1" s="9"/>
    </row>
    <row r="2" spans="1:27" x14ac:dyDescent="0.2">
      <c r="C2" s="9"/>
    </row>
    <row r="3" spans="1:27" ht="15" x14ac:dyDescent="0.25">
      <c r="A3" s="9" t="s">
        <v>62</v>
      </c>
      <c r="B3" s="282" t="s">
        <v>42</v>
      </c>
      <c r="C3" s="282"/>
      <c r="D3" s="282"/>
      <c r="E3" s="282"/>
      <c r="F3" s="282"/>
      <c r="G3" s="282"/>
      <c r="H3" s="282"/>
      <c r="I3" s="282"/>
      <c r="J3" s="282"/>
      <c r="O3" s="85"/>
      <c r="P3" s="85"/>
      <c r="Q3" s="85"/>
      <c r="R3" s="85"/>
      <c r="S3" s="86" t="s">
        <v>97</v>
      </c>
      <c r="T3" s="86"/>
      <c r="U3" s="86"/>
      <c r="V3" s="86"/>
      <c r="W3" s="86"/>
      <c r="X3" s="85"/>
      <c r="Y3" s="85"/>
      <c r="Z3" s="85"/>
      <c r="AA3" s="85"/>
    </row>
    <row r="4" spans="1:27" ht="25.5" x14ac:dyDescent="0.2">
      <c r="B4" s="83" t="s">
        <v>70</v>
      </c>
      <c r="C4" s="48" t="s">
        <v>50</v>
      </c>
      <c r="D4" s="48" t="s">
        <v>51</v>
      </c>
      <c r="E4" s="48" t="s">
        <v>52</v>
      </c>
      <c r="F4" s="48" t="s">
        <v>53</v>
      </c>
      <c r="G4" s="48" t="s">
        <v>54</v>
      </c>
      <c r="H4" s="83" t="s">
        <v>77</v>
      </c>
      <c r="I4" s="83" t="s">
        <v>78</v>
      </c>
      <c r="J4" s="83" t="s">
        <v>79</v>
      </c>
    </row>
    <row r="5" spans="1:27" s="9" customFormat="1" x14ac:dyDescent="0.2"/>
    <row r="6" spans="1:27" s="9" customFormat="1" ht="15" x14ac:dyDescent="0.25">
      <c r="A6" s="9" t="s">
        <v>60</v>
      </c>
      <c r="B6" s="9">
        <v>36</v>
      </c>
      <c r="D6" s="9">
        <v>94</v>
      </c>
      <c r="E6" s="9">
        <v>42</v>
      </c>
      <c r="F6" s="9">
        <v>53</v>
      </c>
      <c r="G6" s="9">
        <v>62</v>
      </c>
      <c r="J6" s="9">
        <v>10</v>
      </c>
      <c r="O6" s="9" t="s">
        <v>86</v>
      </c>
      <c r="Q6" s="281" t="s">
        <v>92</v>
      </c>
      <c r="R6" s="281"/>
      <c r="S6" s="281"/>
      <c r="U6" s="281" t="s">
        <v>99</v>
      </c>
      <c r="V6" s="281"/>
      <c r="W6" s="281"/>
      <c r="X6" s="281"/>
      <c r="Y6" s="281"/>
      <c r="Z6" s="281"/>
      <c r="AA6" s="281"/>
    </row>
    <row r="7" spans="1:27" s="9" customFormat="1" x14ac:dyDescent="0.2">
      <c r="A7" s="9" t="s">
        <v>61</v>
      </c>
      <c r="B7" s="9">
        <v>6</v>
      </c>
      <c r="D7" s="9">
        <v>9</v>
      </c>
      <c r="E7" s="9">
        <v>12</v>
      </c>
      <c r="F7" s="9">
        <v>0</v>
      </c>
      <c r="G7" s="9">
        <v>55</v>
      </c>
      <c r="H7" s="9" t="s">
        <v>75</v>
      </c>
      <c r="O7" s="9" t="s">
        <v>87</v>
      </c>
      <c r="Q7" s="9" t="s">
        <v>93</v>
      </c>
      <c r="S7" s="9" t="s">
        <v>94</v>
      </c>
      <c r="U7" s="9" t="s">
        <v>100</v>
      </c>
      <c r="W7" s="9" t="s">
        <v>94</v>
      </c>
      <c r="Y7" t="s">
        <v>95</v>
      </c>
      <c r="Z7"/>
      <c r="AA7" t="s">
        <v>96</v>
      </c>
    </row>
    <row r="8" spans="1:27" x14ac:dyDescent="0.2">
      <c r="A8" s="9" t="s">
        <v>55</v>
      </c>
      <c r="O8">
        <v>34</v>
      </c>
      <c r="Q8">
        <v>699</v>
      </c>
      <c r="S8">
        <v>849</v>
      </c>
      <c r="U8">
        <v>699</v>
      </c>
      <c r="W8">
        <v>849</v>
      </c>
      <c r="Y8">
        <v>249</v>
      </c>
      <c r="AA8">
        <v>449</v>
      </c>
    </row>
    <row r="9" spans="1:27" x14ac:dyDescent="0.2">
      <c r="A9" s="9" t="s">
        <v>56</v>
      </c>
      <c r="B9">
        <v>18</v>
      </c>
      <c r="C9">
        <v>17</v>
      </c>
      <c r="D9">
        <v>53</v>
      </c>
      <c r="E9">
        <v>23</v>
      </c>
      <c r="F9">
        <v>3</v>
      </c>
      <c r="G9">
        <v>14</v>
      </c>
      <c r="O9">
        <v>55</v>
      </c>
      <c r="Q9">
        <v>629</v>
      </c>
      <c r="S9">
        <v>659</v>
      </c>
      <c r="U9">
        <v>549</v>
      </c>
      <c r="W9">
        <v>769</v>
      </c>
      <c r="Y9">
        <v>219</v>
      </c>
      <c r="AA9">
        <v>299</v>
      </c>
    </row>
    <row r="10" spans="1:27" s="9" customFormat="1" x14ac:dyDescent="0.2">
      <c r="A10" s="9" t="s">
        <v>84</v>
      </c>
      <c r="B10" s="5">
        <f>B9/B6</f>
        <v>0.5</v>
      </c>
      <c r="C10" s="5"/>
      <c r="D10" s="5">
        <f t="shared" ref="D10:G10" si="0">D9/D6</f>
        <v>0.56382978723404253</v>
      </c>
      <c r="E10" s="5">
        <f t="shared" si="0"/>
        <v>0.54761904761904767</v>
      </c>
      <c r="F10" s="5">
        <f t="shared" si="0"/>
        <v>5.6603773584905662E-2</v>
      </c>
      <c r="G10" s="5">
        <f t="shared" si="0"/>
        <v>0.22580645161290322</v>
      </c>
      <c r="O10" s="9">
        <v>72.5</v>
      </c>
      <c r="Q10" s="9">
        <v>549</v>
      </c>
      <c r="S10" s="9">
        <v>629</v>
      </c>
      <c r="U10" s="9">
        <v>439</v>
      </c>
      <c r="W10" s="9">
        <v>659</v>
      </c>
      <c r="Y10" s="9">
        <v>219</v>
      </c>
      <c r="AA10" s="9">
        <v>299</v>
      </c>
    </row>
    <row r="11" spans="1:27" x14ac:dyDescent="0.2">
      <c r="A11" s="9" t="s">
        <v>57</v>
      </c>
      <c r="B11">
        <v>6</v>
      </c>
      <c r="C11" t="s">
        <v>207</v>
      </c>
      <c r="D11">
        <v>9</v>
      </c>
      <c r="E11">
        <v>6</v>
      </c>
      <c r="F11">
        <v>0</v>
      </c>
      <c r="G11">
        <v>14</v>
      </c>
      <c r="O11">
        <v>74</v>
      </c>
      <c r="Q11">
        <v>329</v>
      </c>
      <c r="S11">
        <v>297</v>
      </c>
      <c r="U11">
        <v>400</v>
      </c>
      <c r="W11">
        <v>628</v>
      </c>
      <c r="Y11">
        <v>183</v>
      </c>
      <c r="AA11">
        <v>269</v>
      </c>
    </row>
    <row r="12" spans="1:27" x14ac:dyDescent="0.2">
      <c r="A12" s="9" t="s">
        <v>85</v>
      </c>
      <c r="B12" s="5">
        <f>B11/B7</f>
        <v>1</v>
      </c>
      <c r="C12" s="5"/>
      <c r="D12" s="5">
        <f t="shared" ref="D12:G12" si="1">D11/D7</f>
        <v>1</v>
      </c>
      <c r="E12" s="5">
        <f t="shared" si="1"/>
        <v>0.5</v>
      </c>
      <c r="F12" s="5" t="s">
        <v>2</v>
      </c>
      <c r="G12" s="5">
        <f t="shared" si="1"/>
        <v>0.25454545454545452</v>
      </c>
      <c r="O12">
        <v>114</v>
      </c>
      <c r="Q12">
        <v>300</v>
      </c>
      <c r="S12">
        <v>287</v>
      </c>
      <c r="U12">
        <v>379</v>
      </c>
      <c r="W12">
        <v>599</v>
      </c>
      <c r="Y12">
        <v>183</v>
      </c>
      <c r="AA12">
        <v>199</v>
      </c>
    </row>
    <row r="13" spans="1:27" s="9" customFormat="1" ht="15" x14ac:dyDescent="0.25">
      <c r="N13" s="9" t="s">
        <v>88</v>
      </c>
      <c r="O13" s="9">
        <f>AVERAGE(O8:O12)</f>
        <v>69.900000000000006</v>
      </c>
      <c r="Q13" s="9">
        <v>190</v>
      </c>
      <c r="S13" s="84">
        <f>AVERAGE(S8:S12)</f>
        <v>544.20000000000005</v>
      </c>
      <c r="U13" s="9">
        <v>350</v>
      </c>
      <c r="W13" s="9">
        <v>499</v>
      </c>
      <c r="Y13" s="9">
        <v>149</v>
      </c>
      <c r="AA13" s="9">
        <v>99</v>
      </c>
    </row>
    <row r="14" spans="1:27" ht="15" x14ac:dyDescent="0.25">
      <c r="A14" s="12" t="s">
        <v>58</v>
      </c>
      <c r="O14" t="s">
        <v>89</v>
      </c>
      <c r="Q14">
        <v>183</v>
      </c>
      <c r="U14">
        <v>329</v>
      </c>
      <c r="W14">
        <v>459</v>
      </c>
      <c r="Y14">
        <v>149</v>
      </c>
      <c r="AA14" s="84">
        <f>AVERAGE(AA8:AA13)</f>
        <v>269</v>
      </c>
    </row>
    <row r="15" spans="1:27" x14ac:dyDescent="0.2">
      <c r="A15" s="12" t="s">
        <v>59</v>
      </c>
      <c r="B15">
        <v>18</v>
      </c>
      <c r="D15">
        <v>41</v>
      </c>
      <c r="E15">
        <v>19</v>
      </c>
      <c r="F15">
        <v>50</v>
      </c>
      <c r="G15">
        <v>48</v>
      </c>
      <c r="Q15">
        <v>150</v>
      </c>
      <c r="U15">
        <v>299</v>
      </c>
      <c r="W15">
        <v>459</v>
      </c>
      <c r="Y15">
        <v>129</v>
      </c>
    </row>
    <row r="16" spans="1:27" s="9" customFormat="1" x14ac:dyDescent="0.2">
      <c r="A16" s="12"/>
      <c r="Q16" s="9">
        <v>138</v>
      </c>
      <c r="U16" s="9">
        <v>279</v>
      </c>
      <c r="W16" s="9">
        <v>459</v>
      </c>
      <c r="Y16" s="9">
        <v>126</v>
      </c>
    </row>
    <row r="17" spans="1:25" x14ac:dyDescent="0.2">
      <c r="A17" s="12" t="s">
        <v>57</v>
      </c>
      <c r="B17">
        <v>0</v>
      </c>
      <c r="C17" t="s">
        <v>207</v>
      </c>
      <c r="D17">
        <v>0</v>
      </c>
      <c r="E17">
        <v>6</v>
      </c>
      <c r="F17">
        <v>0</v>
      </c>
      <c r="G17">
        <v>41</v>
      </c>
      <c r="O17" t="s">
        <v>90</v>
      </c>
      <c r="Q17">
        <v>130</v>
      </c>
      <c r="U17">
        <v>238</v>
      </c>
      <c r="W17">
        <v>399</v>
      </c>
      <c r="Y17">
        <v>126</v>
      </c>
    </row>
    <row r="18" spans="1:25" x14ac:dyDescent="0.2">
      <c r="O18">
        <v>237.27</v>
      </c>
      <c r="Q18">
        <v>120</v>
      </c>
      <c r="U18">
        <v>238</v>
      </c>
      <c r="W18">
        <v>399</v>
      </c>
      <c r="Y18">
        <v>109</v>
      </c>
    </row>
    <row r="19" spans="1:25" ht="15" x14ac:dyDescent="0.25">
      <c r="O19" t="s">
        <v>91</v>
      </c>
      <c r="Q19" s="84">
        <f>AVERAGE(Q8:Q18)</f>
        <v>310.63636363636363</v>
      </c>
      <c r="U19">
        <v>229</v>
      </c>
      <c r="W19">
        <v>369</v>
      </c>
      <c r="Y19">
        <v>108</v>
      </c>
    </row>
    <row r="20" spans="1:25" s="9" customFormat="1" x14ac:dyDescent="0.2">
      <c r="A20" s="9" t="s">
        <v>72</v>
      </c>
      <c r="B20" s="9" t="s">
        <v>73</v>
      </c>
      <c r="C20" s="9" t="s">
        <v>73</v>
      </c>
      <c r="D20" s="9" t="s">
        <v>73</v>
      </c>
      <c r="E20" s="9" t="s">
        <v>73</v>
      </c>
      <c r="F20" s="9" t="s">
        <v>80</v>
      </c>
      <c r="G20" s="9" t="s">
        <v>73</v>
      </c>
      <c r="H20" s="9" t="s">
        <v>81</v>
      </c>
      <c r="I20" s="9" t="s">
        <v>81</v>
      </c>
      <c r="J20" s="9" t="s">
        <v>81</v>
      </c>
      <c r="U20" s="9">
        <v>219</v>
      </c>
      <c r="W20" s="9">
        <v>329</v>
      </c>
      <c r="Y20" s="9">
        <v>108</v>
      </c>
    </row>
    <row r="21" spans="1:25" s="9" customFormat="1" ht="25.5" x14ac:dyDescent="0.2">
      <c r="A21" s="9" t="s">
        <v>74</v>
      </c>
      <c r="B21" s="9" t="s">
        <v>75</v>
      </c>
      <c r="C21" s="9" t="s">
        <v>76</v>
      </c>
      <c r="D21" s="9" t="s">
        <v>75</v>
      </c>
      <c r="E21" s="9" t="s">
        <v>76</v>
      </c>
      <c r="F21" s="9" t="s">
        <v>75</v>
      </c>
      <c r="G21" s="9" t="s">
        <v>75</v>
      </c>
      <c r="H21" s="9" t="s">
        <v>75</v>
      </c>
      <c r="I21" s="9" t="s">
        <v>76</v>
      </c>
      <c r="J21" s="9" t="s">
        <v>76</v>
      </c>
      <c r="O21" s="6" t="s">
        <v>98</v>
      </c>
      <c r="Q21" t="s">
        <v>92</v>
      </c>
      <c r="R21"/>
      <c r="S21"/>
      <c r="U21" s="9">
        <v>219</v>
      </c>
      <c r="W21" s="9">
        <v>299</v>
      </c>
      <c r="Y21" s="9">
        <v>100</v>
      </c>
    </row>
    <row r="22" spans="1:25" x14ac:dyDescent="0.2">
      <c r="Q22" t="s">
        <v>95</v>
      </c>
      <c r="S22" t="s">
        <v>96</v>
      </c>
      <c r="U22">
        <v>200</v>
      </c>
      <c r="W22">
        <v>299</v>
      </c>
      <c r="Y22">
        <v>100</v>
      </c>
    </row>
    <row r="23" spans="1:25" x14ac:dyDescent="0.2">
      <c r="Q23">
        <v>360</v>
      </c>
      <c r="S23">
        <v>303.3</v>
      </c>
      <c r="U23">
        <v>199</v>
      </c>
      <c r="W23">
        <v>248</v>
      </c>
      <c r="Y23">
        <v>99</v>
      </c>
    </row>
    <row r="24" spans="1:25" ht="15" x14ac:dyDescent="0.25">
      <c r="Q24">
        <v>120</v>
      </c>
      <c r="S24">
        <v>97.41</v>
      </c>
      <c r="U24">
        <v>199</v>
      </c>
      <c r="W24" s="84">
        <f>AVERAGE(W8:W23)</f>
        <v>482.625</v>
      </c>
      <c r="Y24">
        <v>80</v>
      </c>
    </row>
    <row r="25" spans="1:25" ht="15" x14ac:dyDescent="0.25">
      <c r="Q25">
        <v>123.3</v>
      </c>
      <c r="S25" s="84">
        <f>AVERAGE(S23:S24)</f>
        <v>200.35500000000002</v>
      </c>
      <c r="U25">
        <v>199</v>
      </c>
      <c r="Y25">
        <v>80</v>
      </c>
    </row>
    <row r="26" spans="1:25" x14ac:dyDescent="0.2">
      <c r="B26" t="s">
        <v>69</v>
      </c>
      <c r="Q26">
        <v>100</v>
      </c>
      <c r="U26">
        <v>198</v>
      </c>
      <c r="Y26">
        <v>80</v>
      </c>
    </row>
    <row r="27" spans="1:25" x14ac:dyDescent="0.2">
      <c r="Q27">
        <v>100</v>
      </c>
      <c r="U27">
        <v>189</v>
      </c>
      <c r="Y27">
        <v>75</v>
      </c>
    </row>
    <row r="28" spans="1:25" x14ac:dyDescent="0.2">
      <c r="Q28">
        <v>99.5</v>
      </c>
      <c r="U28">
        <v>179</v>
      </c>
      <c r="Y28">
        <v>74</v>
      </c>
    </row>
    <row r="29" spans="1:25" x14ac:dyDescent="0.2">
      <c r="Q29">
        <v>115</v>
      </c>
      <c r="U29">
        <v>179</v>
      </c>
      <c r="Y29">
        <v>74</v>
      </c>
    </row>
    <row r="30" spans="1:25" x14ac:dyDescent="0.2">
      <c r="Q30">
        <v>70</v>
      </c>
      <c r="U30">
        <v>179</v>
      </c>
      <c r="Y30">
        <v>60</v>
      </c>
    </row>
    <row r="31" spans="1:25" x14ac:dyDescent="0.2">
      <c r="Q31">
        <v>74.25</v>
      </c>
      <c r="U31">
        <v>169</v>
      </c>
      <c r="Y31">
        <v>50</v>
      </c>
    </row>
    <row r="32" spans="1:25" ht="15" x14ac:dyDescent="0.25">
      <c r="C32" t="s">
        <v>63</v>
      </c>
      <c r="Q32">
        <v>55</v>
      </c>
      <c r="U32">
        <v>168</v>
      </c>
      <c r="Y32" s="84">
        <f>AVERAGE(Y8:Y31)</f>
        <v>122.04166666666667</v>
      </c>
    </row>
    <row r="33" spans="3:21" x14ac:dyDescent="0.2">
      <c r="C33" t="s">
        <v>64</v>
      </c>
      <c r="Q33">
        <v>50</v>
      </c>
      <c r="U33">
        <v>164</v>
      </c>
    </row>
    <row r="34" spans="3:21" x14ac:dyDescent="0.2">
      <c r="C34" t="s">
        <v>65</v>
      </c>
      <c r="Q34">
        <v>230</v>
      </c>
      <c r="U34">
        <v>159</v>
      </c>
    </row>
    <row r="35" spans="3:21" ht="15" x14ac:dyDescent="0.25">
      <c r="C35" t="s">
        <v>66</v>
      </c>
      <c r="Q35" s="84">
        <f>AVERAGE(Q23:Q34)</f>
        <v>124.75416666666666</v>
      </c>
      <c r="U35">
        <v>158</v>
      </c>
    </row>
    <row r="36" spans="3:21" x14ac:dyDescent="0.2">
      <c r="C36" t="s">
        <v>71</v>
      </c>
      <c r="U36">
        <v>149</v>
      </c>
    </row>
    <row r="37" spans="3:21" x14ac:dyDescent="0.2">
      <c r="U37">
        <v>138</v>
      </c>
    </row>
    <row r="38" spans="3:21" x14ac:dyDescent="0.2">
      <c r="U38">
        <v>138</v>
      </c>
    </row>
    <row r="39" spans="3:21" x14ac:dyDescent="0.2">
      <c r="U39">
        <v>129</v>
      </c>
    </row>
    <row r="40" spans="3:21" x14ac:dyDescent="0.2">
      <c r="U40">
        <v>109</v>
      </c>
    </row>
    <row r="41" spans="3:21" x14ac:dyDescent="0.2">
      <c r="U41">
        <v>99</v>
      </c>
    </row>
    <row r="42" spans="3:21" x14ac:dyDescent="0.2">
      <c r="U42">
        <v>59</v>
      </c>
    </row>
    <row r="43" spans="3:21" ht="15" x14ac:dyDescent="0.25">
      <c r="U43" s="84">
        <f>AVERAGE(U8:U42)</f>
        <v>235.02857142857144</v>
      </c>
    </row>
    <row r="46" spans="3:21" x14ac:dyDescent="0.2">
      <c r="C46" s="9" t="s">
        <v>67</v>
      </c>
      <c r="F46" t="s">
        <v>68</v>
      </c>
    </row>
    <row r="48" spans="3:21" x14ac:dyDescent="0.2">
      <c r="F48" s="9" t="s">
        <v>122</v>
      </c>
    </row>
    <row r="49" spans="3:16" x14ac:dyDescent="0.2">
      <c r="F49" s="9" t="s">
        <v>123</v>
      </c>
    </row>
    <row r="50" spans="3:16" x14ac:dyDescent="0.2">
      <c r="F50" s="9" t="s">
        <v>124</v>
      </c>
    </row>
    <row r="51" spans="3:16" x14ac:dyDescent="0.2">
      <c r="F51" s="9" t="s">
        <v>125</v>
      </c>
    </row>
    <row r="52" spans="3:16" x14ac:dyDescent="0.2">
      <c r="F52" s="9" t="s">
        <v>126</v>
      </c>
    </row>
    <row r="54" spans="3:16" x14ac:dyDescent="0.2">
      <c r="D54" t="s">
        <v>130</v>
      </c>
    </row>
    <row r="55" spans="3:16" x14ac:dyDescent="0.2">
      <c r="O55" t="s">
        <v>132</v>
      </c>
      <c r="P55">
        <v>4</v>
      </c>
    </row>
    <row r="56" spans="3:16" x14ac:dyDescent="0.2">
      <c r="P56">
        <v>4.2</v>
      </c>
    </row>
    <row r="57" spans="3:16" x14ac:dyDescent="0.2">
      <c r="C57" s="9" t="s">
        <v>127</v>
      </c>
      <c r="P57">
        <v>5</v>
      </c>
    </row>
    <row r="58" spans="3:16" x14ac:dyDescent="0.2">
      <c r="P58">
        <v>5.2</v>
      </c>
    </row>
    <row r="59" spans="3:16" x14ac:dyDescent="0.2">
      <c r="D59" t="s">
        <v>131</v>
      </c>
      <c r="E59" t="s">
        <v>128</v>
      </c>
      <c r="F59" t="s">
        <v>70</v>
      </c>
      <c r="G59">
        <v>28.9</v>
      </c>
      <c r="P59">
        <v>5.7</v>
      </c>
    </row>
    <row r="60" spans="3:16" x14ac:dyDescent="0.2">
      <c r="F60" t="s">
        <v>52</v>
      </c>
      <c r="G60">
        <v>19.100000000000001</v>
      </c>
      <c r="P60">
        <f>AVERAGE(P55:P59)</f>
        <v>4.8199999999999994</v>
      </c>
    </row>
    <row r="61" spans="3:16" x14ac:dyDescent="0.2">
      <c r="F61" t="s">
        <v>51</v>
      </c>
      <c r="G61">
        <v>12.1</v>
      </c>
    </row>
    <row r="62" spans="3:16" x14ac:dyDescent="0.2">
      <c r="F62" t="s">
        <v>129</v>
      </c>
      <c r="G62">
        <f>SUM(G59:G61)</f>
        <v>60.1</v>
      </c>
    </row>
  </sheetData>
  <mergeCells count="3">
    <mergeCell ref="Q6:S6"/>
    <mergeCell ref="U6:AA6"/>
    <mergeCell ref="B3:J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AG51"/>
  <sheetViews>
    <sheetView workbookViewId="0">
      <selection activeCell="J15" sqref="J15"/>
    </sheetView>
  </sheetViews>
  <sheetFormatPr defaultRowHeight="12.75" x14ac:dyDescent="0.2"/>
  <cols>
    <col min="1" max="1" width="11.7109375" style="9" customWidth="1"/>
    <col min="2" max="2" width="17.28515625" style="9" customWidth="1"/>
    <col min="3" max="3" width="20.42578125" style="9" bestFit="1" customWidth="1"/>
    <col min="4" max="8" width="10.140625" style="9" customWidth="1"/>
    <col min="9" max="13" width="10" style="9" customWidth="1"/>
    <col min="14" max="26" width="20.5703125" style="9" customWidth="1"/>
    <col min="27" max="27" width="26.28515625" style="9" customWidth="1"/>
    <col min="28" max="28" width="16" style="9" customWidth="1"/>
    <col min="29" max="32" width="5" style="9" customWidth="1"/>
    <col min="33" max="33" width="6" style="9" customWidth="1"/>
    <col min="34" max="34" width="17.140625" style="9" customWidth="1"/>
    <col min="35" max="35" width="5" style="9" customWidth="1"/>
    <col min="36" max="36" width="19.7109375" style="9" customWidth="1"/>
    <col min="37" max="37" width="16.140625" style="9" customWidth="1"/>
    <col min="38" max="39" width="5" style="9" customWidth="1"/>
    <col min="40" max="40" width="18.7109375" style="9" customWidth="1"/>
    <col min="41" max="41" width="18.28515625" style="9" customWidth="1"/>
    <col min="42" max="45" width="5" style="9" customWidth="1"/>
    <col min="46" max="46" width="20.85546875" style="9" bestFit="1" customWidth="1"/>
    <col min="47" max="47" width="18.7109375" style="9" bestFit="1" customWidth="1"/>
    <col min="48" max="49" width="5" style="9" customWidth="1"/>
    <col min="50" max="50" width="21.42578125" style="9" bestFit="1" customWidth="1"/>
    <col min="51" max="51" width="9.5703125" style="9" customWidth="1"/>
    <col min="52" max="52" width="5" style="9" customWidth="1"/>
    <col min="53" max="53" width="12" style="9" customWidth="1"/>
    <col min="54" max="54" width="10" style="9" customWidth="1"/>
    <col min="55" max="56" width="18.28515625" style="9" bestFit="1" customWidth="1"/>
    <col min="57" max="57" width="20.85546875" style="9" bestFit="1" customWidth="1"/>
    <col min="58" max="60" width="18.7109375" style="9" bestFit="1" customWidth="1"/>
    <col min="61" max="61" width="21.42578125" style="9" bestFit="1" customWidth="1"/>
    <col min="62" max="63" width="9.5703125" style="9" bestFit="1" customWidth="1"/>
    <col min="64" max="64" width="12" style="9" bestFit="1" customWidth="1"/>
    <col min="65" max="65" width="8" style="9" customWidth="1"/>
    <col min="66" max="66" width="16.140625" style="9" bestFit="1" customWidth="1"/>
    <col min="67" max="67" width="18.7109375" style="9" bestFit="1" customWidth="1"/>
    <col min="68" max="68" width="9.140625" style="9"/>
    <col min="69" max="70" width="16.140625" style="9" bestFit="1" customWidth="1"/>
    <col min="71" max="71" width="18.7109375" style="9" bestFit="1" customWidth="1"/>
    <col min="72" max="72" width="17.85546875" style="9" bestFit="1" customWidth="1"/>
    <col min="73" max="74" width="16.140625" style="9" bestFit="1" customWidth="1"/>
    <col min="75" max="75" width="18.7109375" style="9" bestFit="1" customWidth="1"/>
    <col min="76" max="76" width="14.42578125" style="9" bestFit="1" customWidth="1"/>
    <col min="77" max="77" width="10" style="9" bestFit="1" customWidth="1"/>
    <col min="78" max="16384" width="9.140625" style="9"/>
  </cols>
  <sheetData>
    <row r="1" spans="1:27" ht="13.5" thickBot="1" x14ac:dyDescent="0.25">
      <c r="A1" s="146" t="s">
        <v>26</v>
      </c>
      <c r="B1" s="147"/>
      <c r="C1" s="147"/>
      <c r="D1" s="147"/>
      <c r="E1" s="147"/>
      <c r="F1" s="147"/>
      <c r="G1" s="147"/>
      <c r="H1" s="147"/>
      <c r="I1" s="147"/>
      <c r="J1" s="147"/>
      <c r="K1" s="147"/>
      <c r="L1" s="147"/>
      <c r="M1" s="147"/>
      <c r="N1" s="9">
        <v>1</v>
      </c>
      <c r="AA1" s="9" t="s">
        <v>30</v>
      </c>
    </row>
    <row r="2" spans="1:27" x14ac:dyDescent="0.2">
      <c r="A2" s="14"/>
      <c r="B2" s="2" t="s">
        <v>24</v>
      </c>
      <c r="C2" s="2" t="s">
        <v>23</v>
      </c>
      <c r="D2" s="9" t="s">
        <v>180</v>
      </c>
      <c r="E2" s="9" t="s">
        <v>181</v>
      </c>
      <c r="F2" s="9" t="s">
        <v>317</v>
      </c>
      <c r="G2" s="2" t="s">
        <v>318</v>
      </c>
      <c r="H2" s="2" t="s">
        <v>319</v>
      </c>
      <c r="I2" s="2" t="s">
        <v>174</v>
      </c>
      <c r="J2" s="2" t="s">
        <v>175</v>
      </c>
      <c r="K2" s="2" t="s">
        <v>177</v>
      </c>
      <c r="L2" s="2" t="s">
        <v>343</v>
      </c>
      <c r="M2" s="2" t="s">
        <v>339</v>
      </c>
      <c r="Q2" s="9" t="s">
        <v>490</v>
      </c>
      <c r="R2" s="9" t="s">
        <v>471</v>
      </c>
      <c r="S2" s="9" t="s">
        <v>479</v>
      </c>
      <c r="T2" s="9" t="s">
        <v>480</v>
      </c>
      <c r="U2" s="9" t="s">
        <v>481</v>
      </c>
      <c r="V2" s="9" t="s">
        <v>490</v>
      </c>
      <c r="W2" s="9" t="s">
        <v>471</v>
      </c>
      <c r="X2" s="9" t="s">
        <v>479</v>
      </c>
      <c r="Y2" s="9" t="s">
        <v>480</v>
      </c>
      <c r="Z2" s="9" t="s">
        <v>481</v>
      </c>
      <c r="AA2" s="31" t="s">
        <v>27</v>
      </c>
    </row>
    <row r="3" spans="1:27" s="6" customFormat="1" ht="25.5" x14ac:dyDescent="0.2">
      <c r="A3" s="28"/>
      <c r="B3" s="13"/>
      <c r="C3" s="13"/>
      <c r="D3" s="130">
        <f ca="1">OFFSET('Measure Quantitative Data'!I2,0,($N$1-1)*2)</f>
        <v>2015</v>
      </c>
      <c r="E3" s="130">
        <f ca="1">OFFSET('Measure Quantitative Data'!J2,0,($N$1-1)*2)</f>
        <v>2015</v>
      </c>
      <c r="F3" s="130">
        <f ca="1">OFFSET('Measure Quantitative Data'!K2,0,($N$1-1)*2)</f>
        <v>2015</v>
      </c>
      <c r="G3" s="130">
        <f ca="1">OFFSET('Measure Quantitative Data'!AL2,0,($N$1-1)*2)</f>
        <v>2015</v>
      </c>
      <c r="H3" s="130">
        <f ca="1">OFFSET('Measure Quantitative Data'!AM2,0,($N$1-1)*2)</f>
        <v>2015</v>
      </c>
      <c r="I3" s="130">
        <f ca="1">OFFSET('Measure Quantitative Data'!BE2,0,($N$1-1)*2)</f>
        <v>2014</v>
      </c>
      <c r="J3" s="130">
        <f ca="1">OFFSET('Measure Quantitative Data'!BF2,0,($N$1-1)*2)</f>
        <v>2014</v>
      </c>
      <c r="K3" s="130">
        <f ca="1">OFFSET('Measure Qualitative Data'!K2,0,($N$1-1)*2)</f>
        <v>2014</v>
      </c>
      <c r="L3" s="130">
        <f ca="1">OFFSET('Measure Quantitative Data'!H2,0,($N$1-1)*2)</f>
        <v>2015</v>
      </c>
      <c r="M3" s="130">
        <f ca="1">OFFSET('Measure Quantitative Data'!AU2,0,($N$1-1)*2)</f>
        <v>2009</v>
      </c>
      <c r="N3" s="130">
        <f ca="1">OFFSET('Measure Quantitative Data'!AS2,0,($N$1-1)*2)</f>
        <v>2013</v>
      </c>
      <c r="O3" s="130">
        <f ca="1">OFFSET('Measure Quantitative Data'!AT2,0,($N$1-1)*2)</f>
        <v>2015</v>
      </c>
      <c r="P3" s="130"/>
      <c r="Q3" s="130">
        <f ca="1">OFFSET('Measure Quantitative Data'!AU2,0,($N$1-1)*2)</f>
        <v>2009</v>
      </c>
      <c r="R3" s="130">
        <f ca="1">OFFSET('Measure Quantitative Data'!AV2,0,($N$1-1)*2)</f>
        <v>2009</v>
      </c>
      <c r="S3" s="130">
        <f ca="1">OFFSET('Measure Quantitative Data'!AW2,0,($N$1-1)*2)</f>
        <v>2009</v>
      </c>
      <c r="T3" s="130">
        <f ca="1">OFFSET('Measure Quantitative Data'!AX2,0,($N$1-1)*2)</f>
        <v>2009</v>
      </c>
      <c r="U3" s="130">
        <f ca="1">OFFSET('Measure Quantitative Data'!AY2,0,($N$1-1)*2)</f>
        <v>2009</v>
      </c>
      <c r="V3" s="130">
        <f ca="1">OFFSET('Measure Quantitative Data'!AZ2,0,($N$1-1)*2)</f>
        <v>2009</v>
      </c>
      <c r="W3" s="130">
        <f ca="1">OFFSET('Measure Quantitative Data'!BA2,0,($N$1-1)*2)</f>
        <v>2009</v>
      </c>
      <c r="X3" s="130">
        <f ca="1">OFFSET('Measure Quantitative Data'!BB2,0,($N$1-1)*2)</f>
        <v>2009</v>
      </c>
      <c r="Y3" s="130">
        <f ca="1">OFFSET('Measure Quantitative Data'!BC2,0,($N$1-1)*2)</f>
        <v>2009</v>
      </c>
      <c r="Z3" s="130">
        <f ca="1">OFFSET('Measure Quantitative Data'!BD2,0,($N$1-1)*2)</f>
        <v>2009</v>
      </c>
      <c r="AA3" s="33" t="s">
        <v>28</v>
      </c>
    </row>
    <row r="4" spans="1:27" ht="13.5" thickBot="1" x14ac:dyDescent="0.25">
      <c r="A4" s="14" t="s">
        <v>25</v>
      </c>
      <c r="B4" s="2"/>
      <c r="C4" s="2"/>
      <c r="D4" s="130" t="str">
        <f ca="1">OFFSET('Measure Quantitative Data'!I3,0,($N$1-1)*2)</f>
        <v>National</v>
      </c>
      <c r="E4" s="130" t="str">
        <f ca="1">OFFSET('Measure Quantitative Data'!J3,0,($N$1-1)*2)</f>
        <v>California</v>
      </c>
      <c r="F4" s="130" t="str">
        <f ca="1">OFFSET('Measure Quantitative Data'!K3,0,($N$1-1)*2)</f>
        <v>California</v>
      </c>
      <c r="G4" s="130" t="str">
        <f ca="1">OFFSET('Measure Quantitative Data'!AL3,0,($N$1-1)*2)</f>
        <v>National</v>
      </c>
      <c r="H4" s="130" t="str">
        <f ca="1">OFFSET('Measure Quantitative Data'!AM3,0,($N$1-1)*2)</f>
        <v>National</v>
      </c>
      <c r="I4" s="130" t="str">
        <f ca="1">OFFSET('Measure Quantitative Data'!BE3,0,($N$1-1)*2)</f>
        <v>National</v>
      </c>
      <c r="J4" s="130" t="str">
        <f ca="1">OFFSET('Measure Quantitative Data'!BF3,0,($N$1-1)*2)</f>
        <v>National</v>
      </c>
      <c r="K4" s="130"/>
      <c r="L4" s="130" t="str">
        <f ca="1">OFFSET('Measure Quantitative Data'!H3,0,($N$1-1)*2)</f>
        <v>National</v>
      </c>
      <c r="M4" s="130" t="str">
        <f ca="1">OFFSET('Measure Quantitative Data'!AU3,0,($N$1-1)*2)</f>
        <v>California</v>
      </c>
      <c r="N4" s="130" t="str">
        <f ca="1">OFFSET('Measure Quantitative Data'!AS3,0,($N$1-1)*2)</f>
        <v>National</v>
      </c>
      <c r="O4" s="130" t="str">
        <f ca="1">OFFSET('Measure Quantitative Data'!AT3,0,($N$1-1)*2)</f>
        <v>NEEA Territory</v>
      </c>
      <c r="P4" s="130"/>
      <c r="Q4" s="130" t="str">
        <f ca="1">OFFSET('Measure Quantitative Data'!AU3,0,($N$1-1)*2)</f>
        <v>California</v>
      </c>
      <c r="R4" s="130" t="str">
        <f ca="1">OFFSET('Measure Quantitative Data'!AV3,0,($N$1-1)*2)</f>
        <v>PG&amp;E</v>
      </c>
      <c r="S4" s="130" t="str">
        <f ca="1">OFFSET('Measure Quantitative Data'!AW3,0,($N$1-1)*2)</f>
        <v>SCE</v>
      </c>
      <c r="T4" s="130" t="str">
        <f ca="1">OFFSET('Measure Quantitative Data'!AX3,0,($N$1-1)*2)</f>
        <v>SCG</v>
      </c>
      <c r="U4" s="130" t="str">
        <f ca="1">OFFSET('Measure Quantitative Data'!AY3,0,($N$1-1)*2)</f>
        <v>SDG&amp;E</v>
      </c>
      <c r="V4" s="130" t="str">
        <f ca="1">OFFSET('Measure Quantitative Data'!AZ3,0,($N$1-1)*2)</f>
        <v>California</v>
      </c>
      <c r="W4" s="130" t="str">
        <f ca="1">OFFSET('Measure Quantitative Data'!BA3,0,($N$1-1)*2)</f>
        <v>PG&amp;E</v>
      </c>
      <c r="X4" s="130" t="str">
        <f ca="1">OFFSET('Measure Quantitative Data'!BB3,0,($N$1-1)*2)</f>
        <v>SCE</v>
      </c>
      <c r="Y4" s="130" t="str">
        <f ca="1">OFFSET('Measure Quantitative Data'!BC3,0,($N$1-1)*2)</f>
        <v>SCG</v>
      </c>
      <c r="Z4" s="130" t="str">
        <f ca="1">OFFSET('Measure Quantitative Data'!BD3,0,($N$1-1)*2)</f>
        <v>SDG&amp;E</v>
      </c>
      <c r="AA4" s="32" t="s">
        <v>29</v>
      </c>
    </row>
    <row r="5" spans="1:27" ht="102" x14ac:dyDescent="0.2">
      <c r="A5" s="14"/>
      <c r="B5" s="2"/>
      <c r="D5" s="130" t="str">
        <f ca="1">OFFSET('Measure Quantitative Data'!I6,0,($N$1-1)*2)</f>
        <v xml:space="preserve">Average # Models Available Online </v>
      </c>
      <c r="E5" s="130" t="str">
        <f ca="1">OFFSET('Measure Quantitative Data'!J6,0,($N$1-1)*2)</f>
        <v>Average # Models Available In-store</v>
      </c>
      <c r="F5" s="130" t="str">
        <f ca="1">OFFSET('Measure Quantitative Data'!K6,0,($N$1-1)*2)</f>
        <v># of Stores that stock in store (out of 6)</v>
      </c>
      <c r="G5" s="130" t="str">
        <f ca="1">OFFSET('Measure Quantitative Data'!AL6,0,($N$1-1)*2)</f>
        <v>Average Unit Cost &gt;400 sf</v>
      </c>
      <c r="H5" s="130" t="str">
        <f ca="1">OFFSET('Measure Quantitative Data'!AM6,0,($N$1-1)*2)</f>
        <v>Average Unit Cost &lt;400 sf</v>
      </c>
      <c r="I5" s="130" t="str">
        <f ca="1">OFFSET('Measure Quantitative Data'!BE6,0,($N$1-1)*2)</f>
        <v>UEC (Unit Energy Consumption) kWh/year</v>
      </c>
      <c r="J5" s="130" t="str">
        <f ca="1">OFFSET('Measure Quantitative Data'!BF6,0,($N$1-1)*2)</f>
        <v xml:space="preserve">UES (Unit Energy Savings) - kWh </v>
      </c>
      <c r="K5" s="130" t="str">
        <f ca="1">OFFSET('Measure Qualitative Data'!K1,0,($N$1-1)*2)</f>
        <v>Major programs targeting ENERGY STAR measure</v>
      </c>
      <c r="L5" s="130" t="str">
        <f ca="1">OFFSET('Measure Quantitative Data'!H6,0,($N$1-1)*2)</f>
        <v>Retailer ENERGY STAR Designation on Website 
(out of 8  stores)</v>
      </c>
      <c r="M5" s="130" t="str">
        <f ca="1">OFFSET('Measure Quantitative Data'!AU6,0,($N$1-1)*2)</f>
        <v>% of Existing Homes with Air Cleaner (Market Penetration)</v>
      </c>
      <c r="N5" s="130" t="str">
        <f ca="1">OFFSET('Measure Quantitative Data'!AS6,0,($N$1-1)*2)</f>
        <v>Estimated ENERGY STAR Market Penetration</v>
      </c>
      <c r="O5" s="130" t="str">
        <f ca="1">OFFSET('Measure Quantitative Data'!AT6,0,($N$1-1)*2)</f>
        <v>Estimated ENERGY STAR Market Penetration</v>
      </c>
      <c r="P5" s="130"/>
      <c r="Q5" s="130" t="str">
        <f ca="1">OFFSET('Measure Quantitative Data'!AU6,0,($N$1-1)*2)</f>
        <v>% of Existing Homes with Air Cleaner (Market Penetration)</v>
      </c>
      <c r="R5" s="130" t="str">
        <f ca="1">OFFSET('Measure Quantitative Data'!AV6,0,($N$1-1)*2)</f>
        <v>% of Existing Homes with Air Cleaner (Market Penetration) PG&amp;E</v>
      </c>
      <c r="S5" s="130" t="str">
        <f ca="1">OFFSET('Measure Quantitative Data'!AW6,0,($N$1-1)*2)</f>
        <v>% of Existing Homes with Air Cleaner (Market Penetration) SCE</v>
      </c>
      <c r="T5" s="130" t="str">
        <f ca="1">OFFSET('Measure Quantitative Data'!AX6,0,($N$1-1)*2)</f>
        <v>% of Existing Homes with Air Cleaner (Market Penetration) SCG</v>
      </c>
      <c r="U5" s="130" t="str">
        <f ca="1">OFFSET('Measure Quantitative Data'!AY6,0,($N$1-1)*2)</f>
        <v>% of Existing Homes with Air Cleaner (Market Penetration) SDG&amp;E</v>
      </c>
      <c r="V5" s="130" t="str">
        <f ca="1">OFFSET('Measure Quantitative Data'!AZ6,0,($N$1-1)*2)</f>
        <v>Average Number of Air Cleaners Per Home (Market Saturation)</v>
      </c>
      <c r="W5" s="130" t="str">
        <f ca="1">OFFSET('Measure Quantitative Data'!BA6,0,($N$1-1)*2)</f>
        <v>Average Number of Air Cleaners Per Home (Market Saturation) PG&amp;E</v>
      </c>
      <c r="X5" s="130" t="str">
        <f ca="1">OFFSET('Measure Quantitative Data'!BB6,0,($N$1-1)*2)</f>
        <v>Average Number of Air Cleaners Per Home (Market Saturation) SCE</v>
      </c>
      <c r="Y5" s="130" t="str">
        <f ca="1">OFFSET('Measure Quantitative Data'!BC6,0,($N$1-1)*2)</f>
        <v>Average Number of Air Cleaners Per Home (Market Saturation) SCG</v>
      </c>
      <c r="Z5" s="130" t="str">
        <f ca="1">OFFSET('Measure Quantitative Data'!BD6,0,($N$1-1)*2)</f>
        <v>Average Number of Air Cleaners Per Home (Market Saturation) SDG&amp;E</v>
      </c>
    </row>
    <row r="6" spans="1:27" x14ac:dyDescent="0.2">
      <c r="A6" s="14" t="s">
        <v>0</v>
      </c>
      <c r="B6" s="2"/>
      <c r="C6" s="2"/>
      <c r="D6" s="130">
        <f ca="1">OFFSET('Measure Quantitative Data'!I7,0,($N$1-1)*2)</f>
        <v>9</v>
      </c>
      <c r="E6" s="130">
        <f ca="1">OFFSET('Measure Quantitative Data'!J7,0,($N$1-1)*2)</f>
        <v>10</v>
      </c>
      <c r="F6" s="130">
        <f ca="1">OFFSET('Measure Quantitative Data'!K7,0,($N$1-1)*2)</f>
        <v>11</v>
      </c>
      <c r="G6" s="130">
        <f ca="1">OFFSET('Measure Quantitative Data'!AL7,0,($N$1-1)*2)</f>
        <v>38</v>
      </c>
      <c r="H6" s="130">
        <f ca="1">OFFSET('Measure Quantitative Data'!AM7,0,($N$1-1)*2)</f>
        <v>39</v>
      </c>
      <c r="I6" s="130">
        <f ca="1">OFFSET('Measure Quantitative Data'!BE7,0,($N$1-1)*2)</f>
        <v>57</v>
      </c>
      <c r="J6" s="130">
        <f ca="1">OFFSET('Measure Quantitative Data'!BF7,0,($N$1-1)*2)</f>
        <v>58</v>
      </c>
      <c r="K6" s="130">
        <f ca="1">OFFSET('Measure Qualitative Data'!K5,0,($N$1-1)*2)</f>
        <v>11</v>
      </c>
      <c r="L6" s="130">
        <f ca="1">OFFSET('Measure Quantitative Data'!H7,0,($N$1-1)*2)</f>
        <v>8</v>
      </c>
      <c r="M6" s="130">
        <f ca="1">OFFSET('Measure Quantitative Data'!AU7,0,($N$1-1)*2)</f>
        <v>47</v>
      </c>
      <c r="N6" s="130">
        <f ca="1">OFFSET('Measure Quantitative Data'!AS7,0,($N$1-1)*2)</f>
        <v>45</v>
      </c>
      <c r="O6" s="130">
        <f ca="1">OFFSET('Measure Quantitative Data'!AT7,0,($N$1-1)*2)</f>
        <v>46</v>
      </c>
      <c r="P6" s="130"/>
      <c r="Q6" s="130">
        <f ca="1">OFFSET('Measure Quantitative Data'!AU7,0,($N$1-1)*2)</f>
        <v>47</v>
      </c>
      <c r="R6" s="130">
        <f ca="1">OFFSET('Measure Quantitative Data'!AV7,0,($N$1-1)*2)</f>
        <v>48</v>
      </c>
      <c r="S6" s="130">
        <f ca="1">OFFSET('Measure Quantitative Data'!AW7,0,($N$1-1)*2)</f>
        <v>49</v>
      </c>
      <c r="T6" s="130">
        <f ca="1">OFFSET('Measure Quantitative Data'!AX7,0,($N$1-1)*2)</f>
        <v>50</v>
      </c>
      <c r="U6" s="130">
        <f ca="1">OFFSET('Measure Quantitative Data'!AY7,0,($N$1-1)*2)</f>
        <v>51</v>
      </c>
      <c r="V6" s="130">
        <f ca="1">OFFSET('Measure Quantitative Data'!AZ7,0,($N$1-1)*2)</f>
        <v>52</v>
      </c>
      <c r="W6" s="130">
        <f ca="1">OFFSET('Measure Quantitative Data'!BA7,0,($N$1-1)*2)</f>
        <v>53</v>
      </c>
      <c r="X6" s="130">
        <f ca="1">OFFSET('Measure Quantitative Data'!BB7,0,($N$1-1)*2)</f>
        <v>54</v>
      </c>
      <c r="Y6" s="130">
        <f ca="1">OFFSET('Measure Quantitative Data'!BC7,0,($N$1-1)*2)</f>
        <v>55</v>
      </c>
      <c r="Z6" s="130">
        <f ca="1">OFFSET('Measure Quantitative Data'!BD7,0,($N$1-1)*2)</f>
        <v>56</v>
      </c>
    </row>
    <row r="7" spans="1:27" x14ac:dyDescent="0.2">
      <c r="A7" s="14">
        <v>1</v>
      </c>
      <c r="B7" s="27">
        <f>MATCH('Intermediate Data'!A7,'Measure Quantitative Data'!$A$8:$A$9,0)</f>
        <v>1</v>
      </c>
      <c r="C7" s="27" t="str">
        <f>INDEX('Measure Quantitative Data'!$A$8:$B$9,'Intermediate Data'!B7,2)</f>
        <v>Air Cleaner</v>
      </c>
      <c r="D7" s="132">
        <f ca="1">IF(ISNUMBER(INDEX('Measure Quantitative Data'!$8:$9,'Intermediate Data'!$B7,D$6)),INDEX('Measure Quantitative Data'!$8:$9,'Intermediate Data'!$B7,'Intermediate Data'!D$6),'Summary View'!$AA$3)</f>
        <v>35.200000000000003</v>
      </c>
      <c r="E7" s="132">
        <f ca="1">IF(ISNUMBER(INDEX('Measure Quantitative Data'!$8:$9,'Intermediate Data'!$B7,E$6)),INDEX('Measure Quantitative Data'!$8:$9,'Intermediate Data'!$B7,'Intermediate Data'!E$6),'Summary View'!$AA$3)</f>
        <v>9.4</v>
      </c>
      <c r="F7" s="132">
        <f ca="1">IF(ISNUMBER(INDEX('Measure Quantitative Data'!$8:$9,'Intermediate Data'!$B7,F$6)),INDEX('Measure Quantitative Data'!$8:$9,'Intermediate Data'!$B7,'Intermediate Data'!F$6),'Summary View'!$AA$3)</f>
        <v>3</v>
      </c>
      <c r="G7" s="30">
        <f ca="1">IF(ISNUMBER(INDEX('Measure Quantitative Data'!$8:$9,'Intermediate Data'!$B7,G$6)),INDEX('Measure Quantitative Data'!$8:$9,'Intermediate Data'!$B7,'Intermediate Data'!G$6),'Summary View'!$AA$3)</f>
        <v>251.83875</v>
      </c>
      <c r="H7" s="30">
        <f ca="1">IF(ISNUMBER(INDEX('Measure Quantitative Data'!$8:$9,'Intermediate Data'!$B7,H$6)),INDEX('Measure Quantitative Data'!$8:$9,'Intermediate Data'!$B7,'Intermediate Data'!H$6),'Summary View'!$AA$3)</f>
        <v>116.47682926829269</v>
      </c>
      <c r="I7" s="132">
        <f ca="1">IF(ISNUMBER(INDEX('Measure Quantitative Data'!$8:$9,'Intermediate Data'!$B7,I$6)),INDEX('Measure Quantitative Data'!$8:$9,'Intermediate Data'!$B7,'Intermediate Data'!I$6),'Summary View'!$AA$3)</f>
        <v>544</v>
      </c>
      <c r="J7" s="132">
        <f ca="1">IF(ISNUMBER(INDEX('Measure Quantitative Data'!$8:$9,'Intermediate Data'!$B7,J$6)),INDEX('Measure Quantitative Data'!$8:$9,'Intermediate Data'!$B7,'Intermediate Data'!J$6),'Summary View'!$AA$3)</f>
        <v>0</v>
      </c>
      <c r="K7" s="29"/>
      <c r="L7" s="132">
        <f ca="1">IF(ISNUMBER(INDEX('Measure Quantitative Data'!$8:$9,'Intermediate Data'!$B7,L$6)),INDEX('Measure Quantitative Data'!$8:$9,'Intermediate Data'!$B7,'Intermediate Data'!L$6),'Summary View'!$AA$3)</f>
        <v>0</v>
      </c>
      <c r="M7" s="259">
        <f ca="1">IF(ISNUMBER(INDEX('Measure Quantitative Data'!$8:$9,'Intermediate Data'!$B7,M$6)),INDEX('Measure Quantitative Data'!$8:$9,'Intermediate Data'!$B7,'Intermediate Data'!M$6),'Summary View'!$AA$3)</f>
        <v>7.0000000000000007E-2</v>
      </c>
      <c r="N7" s="169" t="s">
        <v>398</v>
      </c>
      <c r="O7" s="169" t="s">
        <v>398</v>
      </c>
      <c r="P7" s="169" t="e">
        <f>O7-N7</f>
        <v>#VALUE!</v>
      </c>
      <c r="Q7" s="29">
        <f ca="1">IF(ISNUMBER(INDEX('Measure Quantitative Data'!$8:$9,'Intermediate Data'!$B7,Q$6)),INDEX('Measure Quantitative Data'!$8:$9,'Intermediate Data'!$B7,'Intermediate Data'!Q$6),'Summary View'!$AA$3)</f>
        <v>7.0000000000000007E-2</v>
      </c>
      <c r="R7" s="29">
        <f ca="1">IF(ISNUMBER(INDEX('Measure Quantitative Data'!$8:$9,'Intermediate Data'!$B7,R$6)),INDEX('Measure Quantitative Data'!$8:$9,'Intermediate Data'!$B7,'Intermediate Data'!R$6),'Summary View'!$AA$3)</f>
        <v>0.06</v>
      </c>
      <c r="S7" s="29">
        <f ca="1">IF(ISNUMBER(INDEX('Measure Quantitative Data'!$8:$9,'Intermediate Data'!$B7,S$6)),INDEX('Measure Quantitative Data'!$8:$9,'Intermediate Data'!$B7,'Intermediate Data'!S$6),'Summary View'!$AA$3)</f>
        <v>0.05</v>
      </c>
      <c r="T7" s="207">
        <f ca="1">IF(ISNUMBER(INDEX('Measure Quantitative Data'!$8:$9,'Intermediate Data'!$B7,T$6)),INDEX('Measure Quantitative Data'!$8:$9,'Intermediate Data'!$B7,'Intermediate Data'!T$6),'Summary View'!$AA$3)</f>
        <v>0</v>
      </c>
      <c r="U7" s="29">
        <f ca="1">IF(ISNUMBER(INDEX('Measure Quantitative Data'!$8:$9,'Intermediate Data'!$B7,U$6)),INDEX('Measure Quantitative Data'!$8:$9,'Intermediate Data'!$B7,'Intermediate Data'!U$6),'Summary View'!$AA$3)</f>
        <v>0.06</v>
      </c>
      <c r="V7" s="207">
        <f ca="1">IF(ISNUMBER(INDEX('Measure Quantitative Data'!$8:$9,'Intermediate Data'!$B7,V$6)),INDEX('Measure Quantitative Data'!$8:$9,'Intermediate Data'!$B7,'Intermediate Data'!V$6),'Summary View'!$AA$3)</f>
        <v>0.09</v>
      </c>
      <c r="W7" s="207">
        <f ca="1">IF(ISNUMBER(INDEX('Measure Quantitative Data'!$8:$9,'Intermediate Data'!$B7,W$6)),INDEX('Measure Quantitative Data'!$8:$9,'Intermediate Data'!$B7,'Intermediate Data'!W$6),'Summary View'!$AA$3)</f>
        <v>0.1</v>
      </c>
      <c r="X7" s="207">
        <f ca="1">IF(ISNUMBER(INDEX('Measure Quantitative Data'!$8:$9,'Intermediate Data'!$B7,X$6)),INDEX('Measure Quantitative Data'!$8:$9,'Intermediate Data'!$B7,'Intermediate Data'!X$6),'Summary View'!$AA$3)</f>
        <v>0.08</v>
      </c>
      <c r="Y7" s="207">
        <f ca="1">IF(ISNUMBER(INDEX('Measure Quantitative Data'!$8:$9,'Intermediate Data'!$B7,Y$6)),INDEX('Measure Quantitative Data'!$8:$9,'Intermediate Data'!$B7,'Intermediate Data'!Y$6),'Summary View'!$AA$3)</f>
        <v>0</v>
      </c>
      <c r="Z7" s="207">
        <f ca="1">IF(ISNUMBER(INDEX('Measure Quantitative Data'!$8:$9,'Intermediate Data'!$B7,Z$6)),INDEX('Measure Quantitative Data'!$8:$9,'Intermediate Data'!$B7,'Intermediate Data'!Z$6),'Summary View'!$AA$3)</f>
        <v>7.0000000000000007E-2</v>
      </c>
    </row>
    <row r="8" spans="1:27" x14ac:dyDescent="0.2">
      <c r="A8" s="14">
        <v>2</v>
      </c>
      <c r="B8" s="27">
        <f>MATCH('Intermediate Data'!A8,'Measure Quantitative Data'!$A$8:$A$9,0)</f>
        <v>2</v>
      </c>
      <c r="C8" s="27" t="str">
        <f>INDEX('Measure Quantitative Data'!$A$8:$B$9,'Intermediate Data'!B8,2)</f>
        <v>ENERGY STAR Air Cleaner</v>
      </c>
      <c r="D8" s="132">
        <f ca="1">IF(ISNUMBER(INDEX('Measure Quantitative Data'!$8:$9,'Intermediate Data'!$B8,D$6)),INDEX('Measure Quantitative Data'!$8:$9,'Intermediate Data'!$B8,'Intermediate Data'!D$6),'Summary View'!$AA$3)</f>
        <v>22.2</v>
      </c>
      <c r="E8" s="132">
        <f ca="1">IF(ISNUMBER(INDEX('Measure Quantitative Data'!$8:$9,'Intermediate Data'!$B8,E$6)),INDEX('Measure Quantitative Data'!$8:$9,'Intermediate Data'!$B8,'Intermediate Data'!E$6),'Summary View'!$AA$3)</f>
        <v>7</v>
      </c>
      <c r="F8" s="132">
        <f ca="1">IF(ISNUMBER(INDEX('Measure Quantitative Data'!$8:$9,'Intermediate Data'!$B8,F$6)),INDEX('Measure Quantitative Data'!$8:$9,'Intermediate Data'!$B8,'Intermediate Data'!F$6),'Summary View'!$AA$3)</f>
        <v>5</v>
      </c>
      <c r="G8" s="30">
        <f ca="1">IF(ISNUMBER(INDEX('Measure Quantitative Data'!$8:$9,'Intermediate Data'!$B8,G$6)),INDEX('Measure Quantitative Data'!$8:$9,'Intermediate Data'!$B8,'Intermediate Data'!G$6),'Summary View'!$AA$3)</f>
        <v>497.28571428571428</v>
      </c>
      <c r="H8" s="30">
        <f ca="1">IF(ISNUMBER(INDEX('Measure Quantitative Data'!$8:$9,'Intermediate Data'!$B8,H$6)),INDEX('Measure Quantitative Data'!$8:$9,'Intermediate Data'!$B8,'Intermediate Data'!H$6),'Summary View'!$AA$3)</f>
        <v>252.77170212765958</v>
      </c>
      <c r="I8" s="132">
        <f ca="1">IF(ISNUMBER(INDEX('Measure Quantitative Data'!$8:$9,'Intermediate Data'!$B8,I$6)),INDEX('Measure Quantitative Data'!$8:$9,'Intermediate Data'!$B8,'Intermediate Data'!I$6),'Summary View'!$AA$3)</f>
        <v>317</v>
      </c>
      <c r="J8" s="132">
        <f ca="1">IF(ISNUMBER(INDEX('Measure Quantitative Data'!$8:$9,'Intermediate Data'!$B8,J$6)),INDEX('Measure Quantitative Data'!$8:$9,'Intermediate Data'!$B8,'Intermediate Data'!J$6),'Summary View'!$AA$3)</f>
        <v>227</v>
      </c>
      <c r="K8" s="132">
        <v>12</v>
      </c>
      <c r="L8" s="132">
        <f ca="1">IF(ISNUMBER(INDEX('Measure Quantitative Data'!$8:$9,'Intermediate Data'!$B8,L$6)),INDEX('Measure Quantitative Data'!$8:$9,'Intermediate Data'!$B8,'Intermediate Data'!L$6),'Summary View'!$AA$3)</f>
        <v>5</v>
      </c>
      <c r="M8" s="259"/>
      <c r="N8" s="169">
        <f ca="1">IF(ISNUMBER(INDEX('Measure Quantitative Data'!$8:$9,'Intermediate Data'!$B8,N$6)),INDEX('Measure Quantitative Data'!$8:$9,'Intermediate Data'!$B8,'Intermediate Data'!N$6),'Summary View'!$AA$3)</f>
        <v>0.31</v>
      </c>
      <c r="O8" s="169">
        <f ca="1">IF(ISNUMBER(INDEX('Measure Quantitative Data'!$8:$9,'Intermediate Data'!$B8,O$6)),INDEX('Measure Quantitative Data'!$8:$9,'Intermediate Data'!$B8,'Intermediate Data'!O$6),'Summary View'!$AA$3)</f>
        <v>0.51</v>
      </c>
      <c r="P8" s="169">
        <f ca="1">O8-N8</f>
        <v>0.2</v>
      </c>
      <c r="Q8" s="132">
        <f ca="1">IF(ISNUMBER(INDEX('Measure Quantitative Data'!$8:$9,'Intermediate Data'!$B8,Q$6)),INDEX('Measure Quantitative Data'!$8:$9,'Intermediate Data'!$B8,'Intermediate Data'!Q$6),'Summary View'!$AA$3)</f>
        <v>0</v>
      </c>
      <c r="R8" s="132">
        <f ca="1">IF(ISNUMBER(INDEX('Measure Quantitative Data'!$8:$9,'Intermediate Data'!$B8,R$6)),INDEX('Measure Quantitative Data'!$8:$9,'Intermediate Data'!$B8,'Intermediate Data'!R$6),'Summary View'!$AA$3)</f>
        <v>0</v>
      </c>
      <c r="S8" s="132">
        <f ca="1">IF(ISNUMBER(INDEX('Measure Quantitative Data'!$8:$9,'Intermediate Data'!$B8,S$6)),INDEX('Measure Quantitative Data'!$8:$9,'Intermediate Data'!$B8,'Intermediate Data'!S$6),'Summary View'!$AA$3)</f>
        <v>0</v>
      </c>
      <c r="T8" s="132">
        <f ca="1">IF(ISNUMBER(INDEX('Measure Quantitative Data'!$8:$9,'Intermediate Data'!$B8,T$6)),INDEX('Measure Quantitative Data'!$8:$9,'Intermediate Data'!$B8,'Intermediate Data'!T$6),'Summary View'!$AA$3)</f>
        <v>0</v>
      </c>
      <c r="U8" s="132">
        <f ca="1">IF(ISNUMBER(INDEX('Measure Quantitative Data'!$8:$9,'Intermediate Data'!$B8,U$6)),INDEX('Measure Quantitative Data'!$8:$9,'Intermediate Data'!$B8,'Intermediate Data'!U$6),'Summary View'!$AA$3)</f>
        <v>0</v>
      </c>
      <c r="V8" s="132">
        <f ca="1">IF(ISNUMBER(INDEX('Measure Quantitative Data'!$8:$9,'Intermediate Data'!$B8,V$6)),INDEX('Measure Quantitative Data'!$8:$9,'Intermediate Data'!$B8,'Intermediate Data'!V$6),'Summary View'!$AA$3)</f>
        <v>0</v>
      </c>
      <c r="W8" s="132">
        <f ca="1">IF(ISNUMBER(INDEX('Measure Quantitative Data'!$8:$9,'Intermediate Data'!$B8,W$6)),INDEX('Measure Quantitative Data'!$8:$9,'Intermediate Data'!$B8,'Intermediate Data'!W$6),'Summary View'!$AA$3)</f>
        <v>0</v>
      </c>
      <c r="X8" s="132">
        <f ca="1">IF(ISNUMBER(INDEX('Measure Quantitative Data'!$8:$9,'Intermediate Data'!$B8,X$6)),INDEX('Measure Quantitative Data'!$8:$9,'Intermediate Data'!$B8,'Intermediate Data'!X$6),'Summary View'!$AA$3)</f>
        <v>0</v>
      </c>
      <c r="Y8" s="132">
        <f ca="1">IF(ISNUMBER(INDEX('Measure Quantitative Data'!$8:$9,'Intermediate Data'!$B8,Y$6)),INDEX('Measure Quantitative Data'!$8:$9,'Intermediate Data'!$B8,'Intermediate Data'!Y$6),'Summary View'!$AA$3)</f>
        <v>0</v>
      </c>
      <c r="Z8" s="132">
        <f ca="1">IF(ISNUMBER(INDEX('Measure Quantitative Data'!$8:$9,'Intermediate Data'!$B8,Z$6)),INDEX('Measure Quantitative Data'!$8:$9,'Intermediate Data'!$B8,'Intermediate Data'!Z$6),'Summary View'!$AA$3)</f>
        <v>0</v>
      </c>
    </row>
    <row r="10" spans="1:27" x14ac:dyDescent="0.2">
      <c r="A10" s="258" t="s">
        <v>450</v>
      </c>
      <c r="B10" s="258"/>
      <c r="C10" s="258"/>
      <c r="D10" s="258"/>
    </row>
    <row r="11" spans="1:27" x14ac:dyDescent="0.2">
      <c r="A11" s="7" t="s">
        <v>77</v>
      </c>
      <c r="B11" s="7" t="s">
        <v>187</v>
      </c>
    </row>
    <row r="12" spans="1:27" x14ac:dyDescent="0.2">
      <c r="A12" s="7" t="s">
        <v>78</v>
      </c>
      <c r="B12" s="7" t="s">
        <v>187</v>
      </c>
    </row>
    <row r="13" spans="1:27" x14ac:dyDescent="0.2">
      <c r="A13" s="7" t="s">
        <v>79</v>
      </c>
      <c r="B13" s="7" t="s">
        <v>187</v>
      </c>
    </row>
    <row r="14" spans="1:27" x14ac:dyDescent="0.2">
      <c r="A14" s="7" t="s">
        <v>54</v>
      </c>
      <c r="B14" s="7" t="s">
        <v>185</v>
      </c>
    </row>
    <row r="15" spans="1:27" x14ac:dyDescent="0.2">
      <c r="A15" s="7" t="s">
        <v>53</v>
      </c>
      <c r="B15" s="7" t="s">
        <v>186</v>
      </c>
    </row>
    <row r="16" spans="1:27" x14ac:dyDescent="0.2">
      <c r="A16" s="7" t="s">
        <v>189</v>
      </c>
      <c r="B16" s="7" t="s">
        <v>185</v>
      </c>
    </row>
    <row r="17" spans="1:13" x14ac:dyDescent="0.2">
      <c r="A17" s="7" t="s">
        <v>188</v>
      </c>
      <c r="B17" s="7" t="s">
        <v>185</v>
      </c>
    </row>
    <row r="18" spans="1:13" x14ac:dyDescent="0.2">
      <c r="A18" s="7" t="s">
        <v>70</v>
      </c>
      <c r="B18" s="7" t="s">
        <v>185</v>
      </c>
    </row>
    <row r="19" spans="1:13" x14ac:dyDescent="0.2">
      <c r="A19" s="197" t="s">
        <v>187</v>
      </c>
      <c r="B19" s="196">
        <f>COUNTIF($B$11:$B$18,A19)</f>
        <v>3</v>
      </c>
    </row>
    <row r="20" spans="1:13" x14ac:dyDescent="0.2">
      <c r="A20" s="197" t="s">
        <v>186</v>
      </c>
      <c r="B20" s="196">
        <f>COUNTIF($B$11:$B$18,A20)</f>
        <v>1</v>
      </c>
    </row>
    <row r="21" spans="1:13" x14ac:dyDescent="0.2">
      <c r="A21" s="197" t="s">
        <v>185</v>
      </c>
      <c r="B21" s="196">
        <f>COUNTIF($B$11:$B$18,A21)</f>
        <v>4</v>
      </c>
    </row>
    <row r="23" spans="1:13" x14ac:dyDescent="0.2">
      <c r="I23" s="5"/>
      <c r="J23" s="5"/>
      <c r="K23" s="5"/>
      <c r="L23" s="5"/>
      <c r="M23" s="5"/>
    </row>
    <row r="24" spans="1:13" x14ac:dyDescent="0.2">
      <c r="A24" s="258" t="s">
        <v>448</v>
      </c>
      <c r="B24" s="258"/>
      <c r="C24" s="258"/>
      <c r="D24" s="258"/>
      <c r="I24" s="5"/>
      <c r="J24" s="5"/>
      <c r="K24" s="5"/>
      <c r="L24" s="5"/>
      <c r="M24" s="5"/>
    </row>
    <row r="25" spans="1:13" x14ac:dyDescent="0.2">
      <c r="A25" s="134" t="s">
        <v>330</v>
      </c>
      <c r="B25" s="9">
        <v>3</v>
      </c>
      <c r="C25" s="9">
        <v>111</v>
      </c>
      <c r="D25" s="5">
        <v>0.60989010989010994</v>
      </c>
    </row>
    <row r="26" spans="1:13" x14ac:dyDescent="0.2">
      <c r="A26" s="10" t="s">
        <v>331</v>
      </c>
      <c r="B26" s="9">
        <v>4</v>
      </c>
      <c r="C26" s="9">
        <v>33</v>
      </c>
      <c r="D26" s="5">
        <v>0.18131868131868131</v>
      </c>
    </row>
    <row r="27" spans="1:13" x14ac:dyDescent="0.2">
      <c r="A27" s="10" t="s">
        <v>332</v>
      </c>
      <c r="B27" s="87">
        <v>5</v>
      </c>
      <c r="C27" s="9">
        <v>19</v>
      </c>
      <c r="D27" s="5">
        <v>0.1043956043956044</v>
      </c>
    </row>
    <row r="28" spans="1:13" x14ac:dyDescent="0.2">
      <c r="A28" s="9" t="s">
        <v>329</v>
      </c>
      <c r="B28" s="11"/>
      <c r="C28" s="9">
        <v>19</v>
      </c>
      <c r="D28" s="5">
        <v>0.1043956043956044</v>
      </c>
    </row>
    <row r="29" spans="1:13" x14ac:dyDescent="0.2">
      <c r="B29" s="11"/>
      <c r="D29" s="5"/>
    </row>
    <row r="30" spans="1:13" x14ac:dyDescent="0.2">
      <c r="A30" s="258" t="s">
        <v>407</v>
      </c>
      <c r="B30" s="258"/>
      <c r="C30" s="258"/>
      <c r="D30" s="258"/>
    </row>
    <row r="31" spans="1:13" x14ac:dyDescent="0.2">
      <c r="B31" s="9">
        <v>2004</v>
      </c>
      <c r="C31" s="9">
        <v>2011</v>
      </c>
      <c r="D31" s="87">
        <v>2015</v>
      </c>
    </row>
    <row r="32" spans="1:13" ht="15" customHeight="1" x14ac:dyDescent="0.2">
      <c r="A32" s="9" t="s">
        <v>364</v>
      </c>
      <c r="B32" s="9">
        <v>2</v>
      </c>
      <c r="C32" s="141">
        <v>2</v>
      </c>
    </row>
    <row r="33" spans="1:33" x14ac:dyDescent="0.2">
      <c r="A33" s="9" t="s">
        <v>365</v>
      </c>
      <c r="C33" s="9">
        <v>2</v>
      </c>
      <c r="D33" s="87">
        <v>2</v>
      </c>
    </row>
    <row r="34" spans="1:33" x14ac:dyDescent="0.2">
      <c r="D34" s="87"/>
    </row>
    <row r="35" spans="1:33" x14ac:dyDescent="0.2">
      <c r="A35" s="258" t="s">
        <v>452</v>
      </c>
      <c r="B35" s="258"/>
      <c r="C35" s="258"/>
      <c r="D35" s="258"/>
    </row>
    <row r="36" spans="1:33" x14ac:dyDescent="0.2">
      <c r="A36" s="9" t="s">
        <v>455</v>
      </c>
      <c r="B36" s="9" t="s">
        <v>454</v>
      </c>
      <c r="C36" s="9" t="s">
        <v>453</v>
      </c>
      <c r="D36" s="87"/>
      <c r="N36" s="5"/>
      <c r="O36" s="5"/>
      <c r="P36" s="5"/>
      <c r="Q36" s="5"/>
      <c r="R36" s="5"/>
      <c r="S36" s="5"/>
      <c r="T36" s="5"/>
      <c r="U36" s="5"/>
      <c r="V36" s="5"/>
      <c r="W36" s="5"/>
      <c r="X36" s="5"/>
      <c r="Y36" s="5"/>
      <c r="Z36" s="5"/>
      <c r="AC36" s="5"/>
      <c r="AD36" s="5"/>
      <c r="AE36" s="5"/>
      <c r="AF36" s="5"/>
      <c r="AG36" s="5"/>
    </row>
    <row r="37" spans="1:33" x14ac:dyDescent="0.2">
      <c r="A37" s="9">
        <v>1</v>
      </c>
      <c r="B37" s="9" t="s">
        <v>182</v>
      </c>
      <c r="C37" s="9">
        <v>2</v>
      </c>
      <c r="N37" s="5"/>
      <c r="O37" s="5"/>
      <c r="P37" s="5"/>
      <c r="Q37" s="5"/>
      <c r="R37" s="5"/>
      <c r="S37" s="5"/>
      <c r="T37" s="5"/>
      <c r="U37" s="5"/>
      <c r="V37" s="5"/>
      <c r="W37" s="5"/>
      <c r="X37" s="5"/>
      <c r="Y37" s="5"/>
      <c r="Z37" s="5"/>
      <c r="AC37" s="5"/>
      <c r="AD37" s="5"/>
      <c r="AE37" s="5"/>
      <c r="AF37" s="5"/>
      <c r="AG37" s="5"/>
    </row>
    <row r="38" spans="1:33" x14ac:dyDescent="0.2">
      <c r="A38" s="9">
        <v>2</v>
      </c>
      <c r="B38" s="9" t="s">
        <v>183</v>
      </c>
    </row>
    <row r="39" spans="1:33" x14ac:dyDescent="0.2">
      <c r="A39" s="258" t="s">
        <v>494</v>
      </c>
      <c r="B39" s="258"/>
      <c r="C39" s="258"/>
      <c r="D39" s="258"/>
    </row>
    <row r="40" spans="1:33" x14ac:dyDescent="0.2">
      <c r="A40" s="9" t="s">
        <v>491</v>
      </c>
      <c r="B40" s="9" t="s">
        <v>492</v>
      </c>
      <c r="C40" s="9" t="s">
        <v>493</v>
      </c>
    </row>
    <row r="41" spans="1:33" x14ac:dyDescent="0.2">
      <c r="A41" s="9">
        <v>1</v>
      </c>
      <c r="B41" s="9" t="s">
        <v>490</v>
      </c>
      <c r="C41" s="9">
        <v>1</v>
      </c>
    </row>
    <row r="42" spans="1:33" x14ac:dyDescent="0.2">
      <c r="A42" s="9">
        <v>2</v>
      </c>
      <c r="B42" s="9" t="s">
        <v>471</v>
      </c>
    </row>
    <row r="43" spans="1:33" x14ac:dyDescent="0.2">
      <c r="A43" s="9">
        <v>3</v>
      </c>
      <c r="B43" s="9" t="s">
        <v>479</v>
      </c>
    </row>
    <row r="44" spans="1:33" x14ac:dyDescent="0.2">
      <c r="A44" s="9">
        <v>4</v>
      </c>
      <c r="B44" s="9" t="s">
        <v>480</v>
      </c>
      <c r="E44" s="198"/>
      <c r="F44" s="198"/>
      <c r="G44" s="198"/>
      <c r="H44" s="198"/>
      <c r="I44" s="198"/>
      <c r="J44" s="198"/>
      <c r="K44" s="198"/>
      <c r="L44" s="198"/>
      <c r="M44" s="198"/>
      <c r="N44" s="198"/>
    </row>
    <row r="45" spans="1:33" x14ac:dyDescent="0.2">
      <c r="A45" s="9">
        <v>5</v>
      </c>
      <c r="B45" s="9" t="s">
        <v>481</v>
      </c>
    </row>
    <row r="47" spans="1:33" x14ac:dyDescent="0.2">
      <c r="A47" s="257" t="s">
        <v>446</v>
      </c>
      <c r="B47" s="257"/>
      <c r="C47" s="257"/>
      <c r="D47" s="257"/>
    </row>
    <row r="48" spans="1:33" x14ac:dyDescent="0.2">
      <c r="A48" s="9" t="s">
        <v>447</v>
      </c>
    </row>
    <row r="49" spans="1:1" x14ac:dyDescent="0.2">
      <c r="A49" s="9" t="s">
        <v>449</v>
      </c>
    </row>
    <row r="50" spans="1:1" x14ac:dyDescent="0.2">
      <c r="A50" s="9" t="s">
        <v>451</v>
      </c>
    </row>
    <row r="51" spans="1:1" x14ac:dyDescent="0.2">
      <c r="A51" s="9" t="s">
        <v>456</v>
      </c>
    </row>
  </sheetData>
  <mergeCells count="7">
    <mergeCell ref="A47:D47"/>
    <mergeCell ref="A35:D35"/>
    <mergeCell ref="M7:M8"/>
    <mergeCell ref="A30:D30"/>
    <mergeCell ref="A24:D24"/>
    <mergeCell ref="A10:D10"/>
    <mergeCell ref="A39:D3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I15"/>
  <sheetViews>
    <sheetView zoomScaleNormal="100" workbookViewId="0">
      <pane xSplit="2" ySplit="6" topLeftCell="C7" activePane="bottomRight" state="frozen"/>
      <selection pane="topRight" activeCell="D1" sqref="D1"/>
      <selection pane="bottomLeft" activeCell="A7" sqref="A7"/>
      <selection pane="bottomRight" activeCell="AP12" sqref="AP12"/>
    </sheetView>
  </sheetViews>
  <sheetFormatPr defaultRowHeight="12.75" x14ac:dyDescent="0.2"/>
  <cols>
    <col min="1" max="1" width="9.140625" style="9" customWidth="1"/>
    <col min="2" max="2" width="24.7109375" customWidth="1"/>
    <col min="3" max="3" width="15.7109375" style="9" customWidth="1"/>
    <col min="4" max="4" width="13.42578125" style="9" customWidth="1"/>
    <col min="5" max="5" width="11.7109375" style="9" customWidth="1"/>
    <col min="6" max="11" width="15.7109375" style="9" customWidth="1"/>
    <col min="12" max="12" width="15.7109375" customWidth="1"/>
    <col min="13" max="13" width="13.85546875" customWidth="1"/>
    <col min="14" max="17" width="13.85546875" style="9" customWidth="1"/>
    <col min="18" max="18" width="13.85546875" customWidth="1"/>
    <col min="19" max="22" width="13.85546875" style="9" customWidth="1"/>
    <col min="23" max="23" width="13.85546875" customWidth="1"/>
    <col min="24" max="37" width="13.85546875" style="9" customWidth="1"/>
    <col min="38" max="41" width="15.7109375" style="9" customWidth="1"/>
    <col min="42" max="42" width="13.5703125" style="9" customWidth="1"/>
    <col min="43" max="46" width="15.7109375" style="9" customWidth="1"/>
    <col min="47" max="51" width="19.5703125" style="9" customWidth="1"/>
    <col min="52" max="56" width="17.85546875" style="9" customWidth="1"/>
    <col min="57" max="57" width="18.42578125" style="9" customWidth="1"/>
    <col min="58" max="58" width="18.28515625" customWidth="1"/>
    <col min="59" max="60" width="15.7109375" customWidth="1"/>
    <col min="61" max="61" width="15.7109375" style="9" customWidth="1"/>
  </cols>
  <sheetData>
    <row r="1" spans="1:61" s="24" customFormat="1" ht="16.899999999999999" customHeight="1" x14ac:dyDescent="0.25">
      <c r="A1" s="262"/>
      <c r="B1" s="262"/>
      <c r="C1" s="122"/>
      <c r="D1" s="276" t="s">
        <v>429</v>
      </c>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8"/>
      <c r="AL1" s="263" t="s">
        <v>34</v>
      </c>
      <c r="AM1" s="264"/>
      <c r="AN1" s="265" t="s">
        <v>19</v>
      </c>
      <c r="AO1" s="266"/>
      <c r="AP1" s="266"/>
      <c r="AQ1" s="266"/>
      <c r="AR1" s="266"/>
      <c r="AS1" s="266"/>
      <c r="AT1" s="266"/>
      <c r="AU1" s="266"/>
      <c r="AV1" s="266"/>
      <c r="AW1" s="266"/>
      <c r="AX1" s="266"/>
      <c r="AY1" s="266"/>
      <c r="AZ1" s="266"/>
      <c r="BA1" s="266"/>
      <c r="BB1" s="266"/>
      <c r="BC1" s="266"/>
      <c r="BD1" s="267"/>
      <c r="BE1" s="260" t="s">
        <v>22</v>
      </c>
      <c r="BF1" s="261"/>
      <c r="BG1" s="261"/>
      <c r="BH1" s="261"/>
      <c r="BI1" s="261"/>
    </row>
    <row r="2" spans="1:61" s="1" customFormat="1" ht="16.899999999999999" customHeight="1" x14ac:dyDescent="0.25">
      <c r="A2" s="56"/>
      <c r="B2" s="57" t="s">
        <v>8</v>
      </c>
      <c r="C2" s="93" t="s">
        <v>121</v>
      </c>
      <c r="D2" s="53">
        <v>2015</v>
      </c>
      <c r="E2" s="53">
        <v>2015</v>
      </c>
      <c r="F2" s="54">
        <v>2015</v>
      </c>
      <c r="G2" s="54">
        <v>2015</v>
      </c>
      <c r="H2" s="54">
        <v>2015</v>
      </c>
      <c r="I2" s="54">
        <v>2015</v>
      </c>
      <c r="J2" s="54">
        <v>2015</v>
      </c>
      <c r="K2" s="54">
        <v>2015</v>
      </c>
      <c r="L2" s="54">
        <v>2015</v>
      </c>
      <c r="M2" s="54">
        <v>2015</v>
      </c>
      <c r="N2" s="54">
        <v>2015</v>
      </c>
      <c r="O2" s="54">
        <v>2015</v>
      </c>
      <c r="P2" s="54">
        <v>2015</v>
      </c>
      <c r="Q2" s="54">
        <v>2015</v>
      </c>
      <c r="R2" s="54">
        <v>2015</v>
      </c>
      <c r="S2" s="54">
        <v>2015</v>
      </c>
      <c r="T2" s="54">
        <v>2015</v>
      </c>
      <c r="U2" s="54">
        <v>2015</v>
      </c>
      <c r="V2" s="54">
        <v>2015</v>
      </c>
      <c r="W2" s="54">
        <v>2015</v>
      </c>
      <c r="X2" s="54">
        <v>2015</v>
      </c>
      <c r="Y2" s="54">
        <v>2015</v>
      </c>
      <c r="Z2" s="54">
        <v>2015</v>
      </c>
      <c r="AA2" s="54">
        <v>2015</v>
      </c>
      <c r="AB2" s="54">
        <v>2015</v>
      </c>
      <c r="AC2" s="54">
        <v>2015</v>
      </c>
      <c r="AD2" s="54">
        <v>2015</v>
      </c>
      <c r="AE2" s="54">
        <v>2015</v>
      </c>
      <c r="AF2" s="54">
        <v>2015</v>
      </c>
      <c r="AG2" s="54">
        <v>2015</v>
      </c>
      <c r="AH2" s="54">
        <v>2015</v>
      </c>
      <c r="AI2" s="54">
        <v>2015</v>
      </c>
      <c r="AJ2" s="54">
        <v>2015</v>
      </c>
      <c r="AK2" s="54">
        <v>2015</v>
      </c>
      <c r="AL2" s="59">
        <v>2015</v>
      </c>
      <c r="AM2" s="59">
        <v>2015</v>
      </c>
      <c r="AN2" s="58">
        <v>2011</v>
      </c>
      <c r="AO2" s="58">
        <v>2012</v>
      </c>
      <c r="AP2" s="58">
        <v>2013</v>
      </c>
      <c r="AQ2" s="58">
        <v>2011</v>
      </c>
      <c r="AR2" s="58">
        <v>2012</v>
      </c>
      <c r="AS2" s="58">
        <v>2013</v>
      </c>
      <c r="AT2" s="58">
        <v>2015</v>
      </c>
      <c r="AU2" s="58">
        <v>2009</v>
      </c>
      <c r="AV2" s="58">
        <v>2009</v>
      </c>
      <c r="AW2" s="58">
        <v>2009</v>
      </c>
      <c r="AX2" s="58">
        <v>2009</v>
      </c>
      <c r="AY2" s="58">
        <v>2009</v>
      </c>
      <c r="AZ2" s="58">
        <v>2009</v>
      </c>
      <c r="BA2" s="58">
        <v>2009</v>
      </c>
      <c r="BB2" s="58">
        <v>2009</v>
      </c>
      <c r="BC2" s="58">
        <v>2009</v>
      </c>
      <c r="BD2" s="58">
        <v>2009</v>
      </c>
      <c r="BE2" s="59">
        <v>2014</v>
      </c>
      <c r="BF2" s="59">
        <v>2014</v>
      </c>
      <c r="BG2" s="59">
        <v>2014</v>
      </c>
      <c r="BH2" s="59">
        <v>2014</v>
      </c>
      <c r="BI2" s="59">
        <v>2004</v>
      </c>
    </row>
    <row r="3" spans="1:61" s="1" customFormat="1" ht="16.899999999999999" customHeight="1" x14ac:dyDescent="0.25">
      <c r="A3" s="35"/>
      <c r="B3" s="34" t="s">
        <v>10</v>
      </c>
      <c r="C3" s="93" t="s">
        <v>9</v>
      </c>
      <c r="D3" s="116" t="s">
        <v>9</v>
      </c>
      <c r="E3" s="127" t="s">
        <v>9</v>
      </c>
      <c r="F3" s="127" t="s">
        <v>9</v>
      </c>
      <c r="G3" s="127" t="s">
        <v>119</v>
      </c>
      <c r="H3" s="127" t="s">
        <v>9</v>
      </c>
      <c r="I3" s="91" t="s">
        <v>9</v>
      </c>
      <c r="J3" s="91" t="s">
        <v>119</v>
      </c>
      <c r="K3" s="127" t="s">
        <v>119</v>
      </c>
      <c r="L3" s="127" t="s">
        <v>9</v>
      </c>
      <c r="M3" s="91" t="s">
        <v>9</v>
      </c>
      <c r="N3" s="91" t="s">
        <v>119</v>
      </c>
      <c r="O3" s="92" t="s">
        <v>9</v>
      </c>
      <c r="P3" s="92" t="s">
        <v>119</v>
      </c>
      <c r="Q3" s="127" t="s">
        <v>9</v>
      </c>
      <c r="R3" s="91" t="s">
        <v>9</v>
      </c>
      <c r="S3" s="91" t="s">
        <v>119</v>
      </c>
      <c r="T3" s="92" t="s">
        <v>9</v>
      </c>
      <c r="U3" s="92" t="s">
        <v>119</v>
      </c>
      <c r="V3" s="127" t="s">
        <v>9</v>
      </c>
      <c r="W3" s="91" t="s">
        <v>9</v>
      </c>
      <c r="X3" s="91" t="s">
        <v>119</v>
      </c>
      <c r="Y3" s="92" t="s">
        <v>9</v>
      </c>
      <c r="Z3" s="92" t="s">
        <v>119</v>
      </c>
      <c r="AA3" s="127" t="s">
        <v>9</v>
      </c>
      <c r="AB3" s="92" t="s">
        <v>9</v>
      </c>
      <c r="AC3" s="92" t="s">
        <v>119</v>
      </c>
      <c r="AD3" s="92" t="s">
        <v>9</v>
      </c>
      <c r="AE3" s="91" t="s">
        <v>119</v>
      </c>
      <c r="AF3" s="127" t="s">
        <v>9</v>
      </c>
      <c r="AG3" s="92" t="s">
        <v>9</v>
      </c>
      <c r="AH3" s="92" t="s">
        <v>119</v>
      </c>
      <c r="AI3" s="91" t="s">
        <v>9</v>
      </c>
      <c r="AJ3" s="91" t="s">
        <v>119</v>
      </c>
      <c r="AK3" s="127" t="s">
        <v>9</v>
      </c>
      <c r="AL3" s="128" t="s">
        <v>9</v>
      </c>
      <c r="AM3" s="128" t="s">
        <v>9</v>
      </c>
      <c r="AN3" s="88" t="s">
        <v>9</v>
      </c>
      <c r="AO3" s="88" t="s">
        <v>9</v>
      </c>
      <c r="AP3" s="88" t="s">
        <v>9</v>
      </c>
      <c r="AQ3" s="95" t="s">
        <v>9</v>
      </c>
      <c r="AR3" s="88" t="s">
        <v>9</v>
      </c>
      <c r="AS3" s="88" t="s">
        <v>9</v>
      </c>
      <c r="AT3" s="194" t="s">
        <v>438</v>
      </c>
      <c r="AU3" s="201" t="s">
        <v>119</v>
      </c>
      <c r="AV3" s="201" t="s">
        <v>471</v>
      </c>
      <c r="AW3" s="206" t="s">
        <v>479</v>
      </c>
      <c r="AX3" s="206" t="s">
        <v>480</v>
      </c>
      <c r="AY3" s="206" t="s">
        <v>481</v>
      </c>
      <c r="AZ3" s="97" t="s">
        <v>119</v>
      </c>
      <c r="BA3" s="201" t="s">
        <v>471</v>
      </c>
      <c r="BB3" s="208" t="s">
        <v>479</v>
      </c>
      <c r="BC3" s="208" t="s">
        <v>480</v>
      </c>
      <c r="BD3" s="208" t="s">
        <v>481</v>
      </c>
      <c r="BE3" s="96" t="s">
        <v>9</v>
      </c>
      <c r="BF3" s="96" t="s">
        <v>9</v>
      </c>
      <c r="BG3" s="96" t="s">
        <v>9</v>
      </c>
      <c r="BH3" s="96" t="s">
        <v>9</v>
      </c>
      <c r="BI3" s="96" t="s">
        <v>9</v>
      </c>
    </row>
    <row r="4" spans="1:61" s="1" customFormat="1" ht="16.899999999999999" customHeight="1" x14ac:dyDescent="0.25">
      <c r="A4" s="35"/>
      <c r="B4" s="34" t="s">
        <v>31</v>
      </c>
      <c r="C4" s="47">
        <v>1</v>
      </c>
      <c r="D4" s="54">
        <v>10</v>
      </c>
      <c r="E4" s="90" t="s">
        <v>300</v>
      </c>
      <c r="F4" s="54"/>
      <c r="G4" s="54"/>
      <c r="H4" s="90" t="s">
        <v>316</v>
      </c>
      <c r="I4" s="90" t="s">
        <v>316</v>
      </c>
      <c r="J4" s="90" t="s">
        <v>350</v>
      </c>
      <c r="K4" s="90" t="s">
        <v>316</v>
      </c>
      <c r="L4" s="90" t="s">
        <v>357</v>
      </c>
      <c r="M4" s="54">
        <v>21</v>
      </c>
      <c r="N4" s="54">
        <v>21</v>
      </c>
      <c r="O4" s="54">
        <v>21</v>
      </c>
      <c r="P4" s="54">
        <v>21</v>
      </c>
      <c r="Q4" s="54">
        <v>21</v>
      </c>
      <c r="R4" s="54">
        <v>20</v>
      </c>
      <c r="S4" s="54">
        <v>20</v>
      </c>
      <c r="T4" s="54">
        <v>20</v>
      </c>
      <c r="U4" s="54">
        <v>20</v>
      </c>
      <c r="V4" s="54">
        <v>20</v>
      </c>
      <c r="W4" s="54">
        <v>17</v>
      </c>
      <c r="X4" s="54">
        <v>17</v>
      </c>
      <c r="Y4" s="54">
        <v>17</v>
      </c>
      <c r="Z4" s="54">
        <v>17</v>
      </c>
      <c r="AA4" s="54">
        <v>17</v>
      </c>
      <c r="AB4" s="54">
        <v>18</v>
      </c>
      <c r="AC4" s="54">
        <v>18</v>
      </c>
      <c r="AD4" s="54">
        <v>18</v>
      </c>
      <c r="AE4" s="54">
        <v>18</v>
      </c>
      <c r="AF4" s="54">
        <v>18</v>
      </c>
      <c r="AG4" s="54">
        <v>19</v>
      </c>
      <c r="AH4" s="54">
        <v>19</v>
      </c>
      <c r="AI4" s="54">
        <v>19</v>
      </c>
      <c r="AJ4" s="54">
        <v>19</v>
      </c>
      <c r="AK4" s="54">
        <v>19</v>
      </c>
      <c r="AL4" s="129" t="s">
        <v>316</v>
      </c>
      <c r="AM4" s="61" t="s">
        <v>316</v>
      </c>
      <c r="AN4" s="60">
        <v>5</v>
      </c>
      <c r="AO4" s="60">
        <v>3</v>
      </c>
      <c r="AP4" s="60">
        <v>2</v>
      </c>
      <c r="AQ4" s="60">
        <v>5</v>
      </c>
      <c r="AR4" s="60">
        <v>3</v>
      </c>
      <c r="AS4" s="60">
        <v>2</v>
      </c>
      <c r="AT4" s="60">
        <v>27</v>
      </c>
      <c r="AU4" s="60">
        <v>8</v>
      </c>
      <c r="AV4" s="60">
        <v>8</v>
      </c>
      <c r="AW4" s="60">
        <v>8</v>
      </c>
      <c r="AX4" s="60">
        <v>8</v>
      </c>
      <c r="AY4" s="60">
        <v>8</v>
      </c>
      <c r="AZ4" s="60">
        <v>8</v>
      </c>
      <c r="BA4" s="60">
        <v>8</v>
      </c>
      <c r="BB4" s="60">
        <v>8</v>
      </c>
      <c r="BC4" s="60">
        <v>8</v>
      </c>
      <c r="BD4" s="60">
        <v>8</v>
      </c>
      <c r="BE4" s="61">
        <v>7</v>
      </c>
      <c r="BF4" s="61">
        <v>7</v>
      </c>
      <c r="BG4" s="61">
        <v>7</v>
      </c>
      <c r="BH4" s="61">
        <v>7</v>
      </c>
      <c r="BI4" s="61">
        <v>4</v>
      </c>
    </row>
    <row r="5" spans="1:61" s="52" customFormat="1" ht="60.75" customHeight="1" x14ac:dyDescent="0.2">
      <c r="A5" s="50"/>
      <c r="B5" s="49" t="s">
        <v>333</v>
      </c>
      <c r="C5" s="51" t="s">
        <v>478</v>
      </c>
      <c r="D5" s="115"/>
      <c r="E5" s="55"/>
      <c r="F5" s="268" t="s">
        <v>474</v>
      </c>
      <c r="G5" s="269"/>
      <c r="H5" s="269"/>
      <c r="I5" s="269"/>
      <c r="J5" s="269"/>
      <c r="K5" s="269"/>
      <c r="L5" s="270"/>
      <c r="M5" s="271" t="s">
        <v>475</v>
      </c>
      <c r="N5" s="272"/>
      <c r="O5" s="272"/>
      <c r="P5" s="272"/>
      <c r="Q5" s="272"/>
      <c r="R5" s="272"/>
      <c r="S5" s="272"/>
      <c r="T5" s="272"/>
      <c r="U5" s="272"/>
      <c r="V5" s="272"/>
      <c r="W5" s="272"/>
      <c r="X5" s="272"/>
      <c r="Y5" s="272"/>
      <c r="Z5" s="272"/>
      <c r="AA5" s="272"/>
      <c r="AB5" s="272"/>
      <c r="AC5" s="272"/>
      <c r="AD5" s="272"/>
      <c r="AE5" s="272"/>
      <c r="AF5" s="272"/>
      <c r="AG5" s="272"/>
      <c r="AH5" s="272"/>
      <c r="AI5" s="272"/>
      <c r="AJ5" s="272"/>
      <c r="AK5" s="273"/>
      <c r="AL5" s="274" t="s">
        <v>476</v>
      </c>
      <c r="AM5" s="275"/>
      <c r="AN5" s="62"/>
      <c r="AO5" s="66"/>
      <c r="AP5" s="139"/>
      <c r="AQ5" s="139"/>
      <c r="AR5" s="139"/>
      <c r="AS5" s="66" t="s">
        <v>18</v>
      </c>
      <c r="AT5" s="66"/>
      <c r="AU5" s="66" t="s">
        <v>470</v>
      </c>
      <c r="AV5" s="66"/>
      <c r="AW5" s="66"/>
      <c r="AX5" s="66"/>
      <c r="AY5" s="66"/>
      <c r="AZ5" s="66" t="s">
        <v>470</v>
      </c>
      <c r="BA5" s="66"/>
      <c r="BB5" s="66"/>
      <c r="BC5" s="66"/>
      <c r="BD5" s="66"/>
      <c r="BE5" s="63"/>
      <c r="BF5" s="138"/>
      <c r="BG5" s="138"/>
      <c r="BH5" s="138"/>
      <c r="BI5" s="94" t="s">
        <v>358</v>
      </c>
    </row>
    <row r="6" spans="1:61" s="43" customFormat="1" ht="51" x14ac:dyDescent="0.2">
      <c r="A6" s="41" t="s">
        <v>11</v>
      </c>
      <c r="B6" s="41" t="s">
        <v>0</v>
      </c>
      <c r="C6" s="42" t="s">
        <v>477</v>
      </c>
      <c r="D6" s="48" t="s">
        <v>301</v>
      </c>
      <c r="E6" s="48" t="s">
        <v>32</v>
      </c>
      <c r="F6" s="48" t="s">
        <v>382</v>
      </c>
      <c r="G6" s="48" t="s">
        <v>383</v>
      </c>
      <c r="H6" s="48" t="s">
        <v>384</v>
      </c>
      <c r="I6" s="48" t="s">
        <v>111</v>
      </c>
      <c r="J6" s="48" t="s">
        <v>112</v>
      </c>
      <c r="K6" s="48" t="s">
        <v>320</v>
      </c>
      <c r="L6" s="48" t="s">
        <v>33</v>
      </c>
      <c r="M6" s="204" t="s">
        <v>101</v>
      </c>
      <c r="N6" s="204" t="s">
        <v>103</v>
      </c>
      <c r="O6" s="204" t="s">
        <v>368</v>
      </c>
      <c r="P6" s="204" t="s">
        <v>367</v>
      </c>
      <c r="Q6" s="204" t="s">
        <v>369</v>
      </c>
      <c r="R6" s="204" t="s">
        <v>105</v>
      </c>
      <c r="S6" s="204" t="s">
        <v>104</v>
      </c>
      <c r="T6" s="204" t="s">
        <v>370</v>
      </c>
      <c r="U6" s="204" t="s">
        <v>371</v>
      </c>
      <c r="V6" s="204" t="s">
        <v>372</v>
      </c>
      <c r="W6" s="204" t="s">
        <v>102</v>
      </c>
      <c r="X6" s="204" t="s">
        <v>106</v>
      </c>
      <c r="Y6" s="204" t="s">
        <v>373</v>
      </c>
      <c r="Z6" s="204" t="s">
        <v>374</v>
      </c>
      <c r="AA6" s="204" t="s">
        <v>375</v>
      </c>
      <c r="AB6" s="204" t="s">
        <v>108</v>
      </c>
      <c r="AC6" s="204" t="s">
        <v>107</v>
      </c>
      <c r="AD6" s="204" t="s">
        <v>376</v>
      </c>
      <c r="AE6" s="204" t="s">
        <v>377</v>
      </c>
      <c r="AF6" s="204" t="s">
        <v>379</v>
      </c>
      <c r="AG6" s="204" t="s">
        <v>109</v>
      </c>
      <c r="AH6" s="204" t="s">
        <v>110</v>
      </c>
      <c r="AI6" s="204" t="s">
        <v>380</v>
      </c>
      <c r="AJ6" s="204" t="s">
        <v>381</v>
      </c>
      <c r="AK6" s="204" t="s">
        <v>378</v>
      </c>
      <c r="AL6" s="65" t="s">
        <v>314</v>
      </c>
      <c r="AM6" s="65" t="s">
        <v>315</v>
      </c>
      <c r="AN6" s="64" t="s">
        <v>17</v>
      </c>
      <c r="AO6" s="64" t="s">
        <v>17</v>
      </c>
      <c r="AP6" s="64" t="s">
        <v>17</v>
      </c>
      <c r="AQ6" s="64" t="s">
        <v>190</v>
      </c>
      <c r="AR6" s="64" t="s">
        <v>190</v>
      </c>
      <c r="AS6" s="64" t="s">
        <v>190</v>
      </c>
      <c r="AT6" s="64" t="s">
        <v>190</v>
      </c>
      <c r="AU6" s="64" t="s">
        <v>468</v>
      </c>
      <c r="AV6" s="64" t="s">
        <v>485</v>
      </c>
      <c r="AW6" s="64" t="s">
        <v>486</v>
      </c>
      <c r="AX6" s="64" t="s">
        <v>487</v>
      </c>
      <c r="AY6" s="64" t="s">
        <v>488</v>
      </c>
      <c r="AZ6" s="64" t="s">
        <v>469</v>
      </c>
      <c r="BA6" s="64" t="s">
        <v>472</v>
      </c>
      <c r="BB6" s="64" t="s">
        <v>482</v>
      </c>
      <c r="BC6" s="64" t="s">
        <v>483</v>
      </c>
      <c r="BD6" s="64" t="s">
        <v>484</v>
      </c>
      <c r="BE6" s="65" t="s">
        <v>137</v>
      </c>
      <c r="BF6" s="65" t="s">
        <v>20</v>
      </c>
      <c r="BG6" s="65" t="s">
        <v>21</v>
      </c>
      <c r="BH6" s="65" t="s">
        <v>148</v>
      </c>
      <c r="BI6" s="65" t="s">
        <v>148</v>
      </c>
    </row>
    <row r="7" spans="1:61" s="43" customFormat="1" hidden="1" x14ac:dyDescent="0.2">
      <c r="A7" s="131">
        <f t="shared" ref="A7:H7" si="0">COLUMN(A6)</f>
        <v>1</v>
      </c>
      <c r="B7" s="131">
        <f t="shared" si="0"/>
        <v>2</v>
      </c>
      <c r="C7" s="131">
        <f t="shared" si="0"/>
        <v>3</v>
      </c>
      <c r="D7" s="131">
        <f t="shared" si="0"/>
        <v>4</v>
      </c>
      <c r="E7" s="131">
        <f t="shared" si="0"/>
        <v>5</v>
      </c>
      <c r="F7" s="131">
        <f t="shared" si="0"/>
        <v>6</v>
      </c>
      <c r="G7" s="131">
        <f t="shared" si="0"/>
        <v>7</v>
      </c>
      <c r="H7" s="131">
        <f t="shared" si="0"/>
        <v>8</v>
      </c>
      <c r="I7" s="131">
        <f>COLUMN(I6)</f>
        <v>9</v>
      </c>
      <c r="J7" s="131">
        <f>COLUMN(J6)</f>
        <v>10</v>
      </c>
      <c r="K7" s="131">
        <f>COLUMN(K6)</f>
        <v>11</v>
      </c>
      <c r="L7" s="131">
        <f t="shared" ref="L7:BI7" si="1">COLUMN(L6)</f>
        <v>12</v>
      </c>
      <c r="M7" s="131">
        <f t="shared" si="1"/>
        <v>13</v>
      </c>
      <c r="N7" s="131">
        <f t="shared" si="1"/>
        <v>14</v>
      </c>
      <c r="O7" s="131">
        <f t="shared" si="1"/>
        <v>15</v>
      </c>
      <c r="P7" s="131">
        <f t="shared" si="1"/>
        <v>16</v>
      </c>
      <c r="Q7" s="131">
        <f t="shared" si="1"/>
        <v>17</v>
      </c>
      <c r="R7" s="131">
        <f t="shared" si="1"/>
        <v>18</v>
      </c>
      <c r="S7" s="131">
        <f t="shared" si="1"/>
        <v>19</v>
      </c>
      <c r="T7" s="131">
        <f t="shared" si="1"/>
        <v>20</v>
      </c>
      <c r="U7" s="131">
        <f t="shared" si="1"/>
        <v>21</v>
      </c>
      <c r="V7" s="131">
        <f t="shared" si="1"/>
        <v>22</v>
      </c>
      <c r="W7" s="131">
        <f t="shared" si="1"/>
        <v>23</v>
      </c>
      <c r="X7" s="131">
        <f t="shared" si="1"/>
        <v>24</v>
      </c>
      <c r="Y7" s="131">
        <f t="shared" si="1"/>
        <v>25</v>
      </c>
      <c r="Z7" s="131">
        <f t="shared" si="1"/>
        <v>26</v>
      </c>
      <c r="AA7" s="131">
        <f t="shared" si="1"/>
        <v>27</v>
      </c>
      <c r="AB7" s="131">
        <f t="shared" si="1"/>
        <v>28</v>
      </c>
      <c r="AC7" s="131">
        <f t="shared" si="1"/>
        <v>29</v>
      </c>
      <c r="AD7" s="131">
        <f t="shared" si="1"/>
        <v>30</v>
      </c>
      <c r="AE7" s="131">
        <f t="shared" si="1"/>
        <v>31</v>
      </c>
      <c r="AF7" s="131">
        <f t="shared" si="1"/>
        <v>32</v>
      </c>
      <c r="AG7" s="131">
        <f t="shared" si="1"/>
        <v>33</v>
      </c>
      <c r="AH7" s="131">
        <f t="shared" si="1"/>
        <v>34</v>
      </c>
      <c r="AI7" s="131">
        <f t="shared" si="1"/>
        <v>35</v>
      </c>
      <c r="AJ7" s="131">
        <f t="shared" si="1"/>
        <v>36</v>
      </c>
      <c r="AK7" s="131">
        <f t="shared" si="1"/>
        <v>37</v>
      </c>
      <c r="AL7" s="131">
        <f t="shared" si="1"/>
        <v>38</v>
      </c>
      <c r="AM7" s="131">
        <f t="shared" si="1"/>
        <v>39</v>
      </c>
      <c r="AN7" s="131">
        <f t="shared" si="1"/>
        <v>40</v>
      </c>
      <c r="AO7" s="131">
        <f t="shared" si="1"/>
        <v>41</v>
      </c>
      <c r="AP7" s="131">
        <f t="shared" si="1"/>
        <v>42</v>
      </c>
      <c r="AQ7" s="131">
        <f t="shared" si="1"/>
        <v>43</v>
      </c>
      <c r="AR7" s="131">
        <f t="shared" si="1"/>
        <v>44</v>
      </c>
      <c r="AS7" s="131">
        <f t="shared" si="1"/>
        <v>45</v>
      </c>
      <c r="AT7" s="131">
        <f t="shared" si="1"/>
        <v>46</v>
      </c>
      <c r="AU7" s="131">
        <f t="shared" si="1"/>
        <v>47</v>
      </c>
      <c r="AV7" s="131">
        <f t="shared" si="1"/>
        <v>48</v>
      </c>
      <c r="AW7" s="131">
        <f t="shared" si="1"/>
        <v>49</v>
      </c>
      <c r="AX7" s="131">
        <f t="shared" si="1"/>
        <v>50</v>
      </c>
      <c r="AY7" s="131">
        <f t="shared" si="1"/>
        <v>51</v>
      </c>
      <c r="AZ7" s="131">
        <f t="shared" si="1"/>
        <v>52</v>
      </c>
      <c r="BA7" s="131">
        <f t="shared" si="1"/>
        <v>53</v>
      </c>
      <c r="BB7" s="131">
        <f t="shared" si="1"/>
        <v>54</v>
      </c>
      <c r="BC7" s="131">
        <f t="shared" si="1"/>
        <v>55</v>
      </c>
      <c r="BD7" s="131">
        <f t="shared" si="1"/>
        <v>56</v>
      </c>
      <c r="BE7" s="131">
        <f t="shared" si="1"/>
        <v>57</v>
      </c>
      <c r="BF7" s="131">
        <f t="shared" si="1"/>
        <v>58</v>
      </c>
      <c r="BG7" s="131">
        <f t="shared" si="1"/>
        <v>59</v>
      </c>
      <c r="BH7" s="131">
        <f t="shared" si="1"/>
        <v>60</v>
      </c>
      <c r="BI7" s="131">
        <f t="shared" si="1"/>
        <v>61</v>
      </c>
    </row>
    <row r="8" spans="1:61" x14ac:dyDescent="0.2">
      <c r="A8" s="7">
        <v>1</v>
      </c>
      <c r="B8" s="7" t="s">
        <v>40</v>
      </c>
      <c r="C8" s="44" t="s">
        <v>2</v>
      </c>
      <c r="D8" s="7" t="s">
        <v>2</v>
      </c>
      <c r="E8" s="7">
        <v>58</v>
      </c>
      <c r="F8" s="157">
        <v>1</v>
      </c>
      <c r="G8" s="157">
        <v>0.4</v>
      </c>
      <c r="H8" s="157"/>
      <c r="I8" s="7">
        <v>35.200000000000003</v>
      </c>
      <c r="J8" s="7">
        <v>9.4</v>
      </c>
      <c r="K8" s="7">
        <v>3</v>
      </c>
      <c r="L8" s="7"/>
      <c r="M8" s="7">
        <v>18</v>
      </c>
      <c r="N8" s="7">
        <v>0</v>
      </c>
      <c r="O8" s="157">
        <v>0.5</v>
      </c>
      <c r="P8" s="157">
        <v>0</v>
      </c>
      <c r="Q8" s="157"/>
      <c r="R8" s="7">
        <v>41</v>
      </c>
      <c r="S8" s="7">
        <v>0</v>
      </c>
      <c r="T8" s="157">
        <v>0.44</v>
      </c>
      <c r="U8" s="157">
        <v>0</v>
      </c>
      <c r="V8" s="157"/>
      <c r="W8" s="7">
        <v>19</v>
      </c>
      <c r="X8" s="7">
        <v>6</v>
      </c>
      <c r="Y8" s="157">
        <v>0.45</v>
      </c>
      <c r="Z8" s="157">
        <v>0.5</v>
      </c>
      <c r="AA8" s="157"/>
      <c r="AB8" s="7">
        <v>50</v>
      </c>
      <c r="AC8" s="7">
        <v>0</v>
      </c>
      <c r="AD8" s="157">
        <v>0.94</v>
      </c>
      <c r="AE8" s="7" t="s">
        <v>120</v>
      </c>
      <c r="AF8" s="7"/>
      <c r="AG8" s="7">
        <v>48</v>
      </c>
      <c r="AH8" s="7">
        <v>41</v>
      </c>
      <c r="AI8" s="157">
        <v>0.77</v>
      </c>
      <c r="AJ8" s="157">
        <v>0.75</v>
      </c>
      <c r="AK8" s="157"/>
      <c r="AL8" s="158">
        <f>Cost!H4</f>
        <v>251.83875</v>
      </c>
      <c r="AM8" s="158">
        <f>Cost!H5</f>
        <v>116.47682926829269</v>
      </c>
      <c r="AN8" s="162"/>
      <c r="AO8" s="25"/>
      <c r="AP8" s="163"/>
      <c r="AQ8" s="7"/>
      <c r="AR8" s="7"/>
      <c r="AS8" s="7"/>
      <c r="AT8" s="7"/>
      <c r="AU8" s="199">
        <v>7.0000000000000007E-2</v>
      </c>
      <c r="AV8" s="199">
        <v>0.06</v>
      </c>
      <c r="AW8" s="199">
        <v>0.05</v>
      </c>
      <c r="AX8" s="199" t="s">
        <v>385</v>
      </c>
      <c r="AY8" s="199">
        <v>0.06</v>
      </c>
      <c r="AZ8" s="159">
        <v>0.09</v>
      </c>
      <c r="BA8" s="159">
        <v>0.1</v>
      </c>
      <c r="BB8" s="159">
        <v>0.08</v>
      </c>
      <c r="BC8" s="159" t="s">
        <v>385</v>
      </c>
      <c r="BD8" s="159">
        <v>7.0000000000000007E-2</v>
      </c>
      <c r="BE8" s="7">
        <v>544</v>
      </c>
      <c r="BF8" s="7"/>
      <c r="BG8" s="25"/>
      <c r="BH8" s="159">
        <v>9</v>
      </c>
      <c r="BI8" s="159">
        <v>4.8</v>
      </c>
    </row>
    <row r="9" spans="1:61" ht="89.25" x14ac:dyDescent="0.2">
      <c r="A9" s="7">
        <v>2</v>
      </c>
      <c r="B9" s="7" t="s">
        <v>41</v>
      </c>
      <c r="C9" s="44">
        <v>2</v>
      </c>
      <c r="D9" s="7">
        <v>182</v>
      </c>
      <c r="E9" s="7">
        <v>45</v>
      </c>
      <c r="F9" s="157">
        <v>1</v>
      </c>
      <c r="G9" s="157">
        <v>0.8</v>
      </c>
      <c r="H9" s="163">
        <v>5</v>
      </c>
      <c r="I9" s="7">
        <v>22.2</v>
      </c>
      <c r="J9" s="7">
        <v>7</v>
      </c>
      <c r="K9" s="7">
        <v>5</v>
      </c>
      <c r="L9" s="164" t="s">
        <v>349</v>
      </c>
      <c r="M9" s="7">
        <v>18</v>
      </c>
      <c r="N9" s="7">
        <v>6</v>
      </c>
      <c r="O9" s="157">
        <v>0.5</v>
      </c>
      <c r="P9" s="157">
        <v>1</v>
      </c>
      <c r="Q9" s="157" t="s">
        <v>82</v>
      </c>
      <c r="R9" s="7">
        <v>53</v>
      </c>
      <c r="S9" s="7">
        <v>9</v>
      </c>
      <c r="T9" s="157">
        <v>0.56000000000000005</v>
      </c>
      <c r="U9" s="157">
        <v>1</v>
      </c>
      <c r="V9" s="7" t="s">
        <v>82</v>
      </c>
      <c r="W9" s="7">
        <v>23</v>
      </c>
      <c r="X9" s="7">
        <v>6</v>
      </c>
      <c r="Y9" s="157">
        <v>0.55000000000000004</v>
      </c>
      <c r="Z9" s="157">
        <v>0.5</v>
      </c>
      <c r="AA9" s="7" t="s">
        <v>82</v>
      </c>
      <c r="AB9" s="7">
        <v>3</v>
      </c>
      <c r="AC9" s="7">
        <v>0</v>
      </c>
      <c r="AD9" s="157">
        <v>0.06</v>
      </c>
      <c r="AE9" s="7" t="s">
        <v>120</v>
      </c>
      <c r="AF9" s="7" t="s">
        <v>83</v>
      </c>
      <c r="AG9" s="7">
        <v>14</v>
      </c>
      <c r="AH9" s="7">
        <v>14</v>
      </c>
      <c r="AI9" s="157">
        <v>0.23</v>
      </c>
      <c r="AJ9" s="157">
        <v>0.25</v>
      </c>
      <c r="AK9" s="7" t="s">
        <v>82</v>
      </c>
      <c r="AL9" s="158">
        <f>Cost!H2</f>
        <v>497.28571428571428</v>
      </c>
      <c r="AM9" s="158">
        <f>Cost!H3</f>
        <v>252.77170212765958</v>
      </c>
      <c r="AN9" s="165">
        <v>797000</v>
      </c>
      <c r="AO9" s="165">
        <v>806000</v>
      </c>
      <c r="AP9" s="166">
        <v>884000</v>
      </c>
      <c r="AQ9" s="157">
        <v>0.3</v>
      </c>
      <c r="AR9" s="157">
        <v>0.3</v>
      </c>
      <c r="AS9" s="25">
        <v>0.31</v>
      </c>
      <c r="AT9" s="25">
        <v>0.51</v>
      </c>
      <c r="AU9" s="200"/>
      <c r="AV9" s="200"/>
      <c r="AW9" s="200"/>
      <c r="AX9" s="200"/>
      <c r="AY9" s="200"/>
      <c r="AZ9" s="203"/>
      <c r="BA9" s="203"/>
      <c r="BB9" s="203"/>
      <c r="BC9" s="203"/>
      <c r="BD9" s="203"/>
      <c r="BE9" s="7">
        <v>317</v>
      </c>
      <c r="BF9" s="7">
        <v>227</v>
      </c>
      <c r="BG9" s="25">
        <v>0.42</v>
      </c>
      <c r="BH9" s="160">
        <v>9</v>
      </c>
      <c r="BI9" s="160">
        <v>4.8</v>
      </c>
    </row>
    <row r="10" spans="1:61" x14ac:dyDescent="0.2">
      <c r="B10" s="9"/>
      <c r="C10" s="44"/>
      <c r="I10"/>
      <c r="L10" s="9"/>
      <c r="AL10" s="5"/>
      <c r="AM10" s="5"/>
      <c r="AN10" s="87"/>
      <c r="AO10" s="5"/>
      <c r="BF10" s="9"/>
      <c r="BG10" s="5"/>
      <c r="BH10" s="5"/>
      <c r="BI10" s="5"/>
    </row>
    <row r="11" spans="1:61" x14ac:dyDescent="0.2">
      <c r="A11" s="36"/>
      <c r="B11" s="37"/>
      <c r="L11" s="9"/>
      <c r="R11" s="82"/>
      <c r="S11" s="82"/>
      <c r="T11" s="82"/>
      <c r="U11" s="82"/>
      <c r="V11" s="82"/>
      <c r="W11" s="9"/>
      <c r="AN11" s="10"/>
      <c r="AO11" s="10"/>
      <c r="AP11" s="10"/>
    </row>
    <row r="12" spans="1:61" x14ac:dyDescent="0.2">
      <c r="A12" s="26"/>
      <c r="B12" s="38" t="s">
        <v>15</v>
      </c>
      <c r="L12" s="9"/>
      <c r="R12" s="9"/>
      <c r="W12" s="9"/>
    </row>
    <row r="13" spans="1:61" x14ac:dyDescent="0.2">
      <c r="A13" s="2" t="s">
        <v>385</v>
      </c>
      <c r="B13" s="39" t="s">
        <v>13</v>
      </c>
    </row>
    <row r="14" spans="1:61" x14ac:dyDescent="0.2">
      <c r="A14" s="2" t="s">
        <v>2</v>
      </c>
      <c r="B14" s="39" t="s">
        <v>14</v>
      </c>
    </row>
    <row r="15" spans="1:61" x14ac:dyDescent="0.2">
      <c r="A15" s="3" t="s">
        <v>386</v>
      </c>
      <c r="B15" s="40" t="s">
        <v>16</v>
      </c>
    </row>
  </sheetData>
  <sheetProtection algorithmName="SHA-512" hashValue="k2R/UPRNrJz7EnOay+CBdclGVCjspkdhtIB6uiofCHf06fUKR5+7zo9z6YTqu8VwQPQc3hv5eon1tfsDpUwueQ==" saltValue="kLz8LuK/ZriEUkYbZhW6bQ==" spinCount="100000" sheet="1" objects="1" scenarios="1"/>
  <autoFilter ref="A6:BI10"/>
  <mergeCells count="8">
    <mergeCell ref="BE1:BI1"/>
    <mergeCell ref="A1:B1"/>
    <mergeCell ref="AL1:AM1"/>
    <mergeCell ref="AN1:BD1"/>
    <mergeCell ref="F5:L5"/>
    <mergeCell ref="M5:AK5"/>
    <mergeCell ref="AL5:AM5"/>
    <mergeCell ref="D1:AK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topLeftCell="A2" workbookViewId="0">
      <selection activeCell="D3" sqref="D3"/>
    </sheetView>
  </sheetViews>
  <sheetFormatPr defaultRowHeight="12.75" x14ac:dyDescent="0.2"/>
  <cols>
    <col min="1" max="1" width="73.28515625" style="8" customWidth="1"/>
    <col min="2" max="3" width="9.140625" style="110"/>
  </cols>
  <sheetData>
    <row r="1" spans="1:4" ht="221.25" customHeight="1" x14ac:dyDescent="0.2">
      <c r="A1" s="145"/>
      <c r="B1" s="133" t="s">
        <v>341</v>
      </c>
      <c r="C1" s="110">
        <v>1</v>
      </c>
      <c r="D1" s="9" t="str">
        <f>INDEX($B$1:$B$3,C1)</f>
        <v>All Sizes</v>
      </c>
    </row>
    <row r="2" spans="1:4" ht="219" customHeight="1" x14ac:dyDescent="0.2">
      <c r="A2" s="145"/>
      <c r="B2" s="133" t="s">
        <v>408</v>
      </c>
    </row>
    <row r="3" spans="1:4" ht="228.75" customHeight="1" x14ac:dyDescent="0.2">
      <c r="A3" s="145"/>
      <c r="B3" s="133" t="s">
        <v>409</v>
      </c>
    </row>
    <row r="4" spans="1:4" x14ac:dyDescent="0.2">
      <c r="A4" s="145"/>
      <c r="B4" s="133"/>
    </row>
    <row r="5" spans="1:4" x14ac:dyDescent="0.2">
      <c r="A5" s="145"/>
      <c r="B5" s="133"/>
    </row>
    <row r="6" spans="1:4" x14ac:dyDescent="0.2">
      <c r="A6" s="145"/>
      <c r="B6" s="133"/>
    </row>
    <row r="7" spans="1:4" x14ac:dyDescent="0.2">
      <c r="A7" s="145"/>
      <c r="B7" s="133"/>
    </row>
    <row r="8" spans="1:4" x14ac:dyDescent="0.2">
      <c r="A8" s="145"/>
      <c r="B8" s="133"/>
    </row>
    <row r="9" spans="1:4" x14ac:dyDescent="0.2">
      <c r="A9" s="145"/>
      <c r="B9" s="133"/>
    </row>
    <row r="10" spans="1:4" x14ac:dyDescent="0.2">
      <c r="A10" s="145"/>
      <c r="B10" s="133"/>
    </row>
    <row r="11" spans="1:4" x14ac:dyDescent="0.2">
      <c r="A11" s="145"/>
      <c r="B11" s="133"/>
    </row>
    <row r="12" spans="1:4" x14ac:dyDescent="0.2">
      <c r="A12" s="145"/>
      <c r="B12" s="133"/>
    </row>
    <row r="13" spans="1:4" x14ac:dyDescent="0.2">
      <c r="A13" s="145"/>
      <c r="B13" s="133"/>
    </row>
    <row r="14" spans="1:4" x14ac:dyDescent="0.2">
      <c r="A14" s="145"/>
      <c r="B14" s="133"/>
    </row>
    <row r="15" spans="1:4" x14ac:dyDescent="0.2">
      <c r="A15" s="145"/>
      <c r="B15" s="133"/>
    </row>
    <row r="16" spans="1:4" x14ac:dyDescent="0.2">
      <c r="A16" s="145"/>
      <c r="B16" s="133"/>
    </row>
    <row r="17" spans="1:2" x14ac:dyDescent="0.2">
      <c r="A17" s="145"/>
      <c r="B17" s="133"/>
    </row>
    <row r="18" spans="1:2" x14ac:dyDescent="0.2">
      <c r="A18" s="145"/>
      <c r="B18" s="133"/>
    </row>
    <row r="19" spans="1:2" x14ac:dyDescent="0.2">
      <c r="A19" s="145"/>
    </row>
    <row r="20" spans="1:2" x14ac:dyDescent="0.2">
      <c r="A20" s="145"/>
      <c r="B20" s="133"/>
    </row>
    <row r="21" spans="1:2" x14ac:dyDescent="0.2">
      <c r="A21" s="145"/>
      <c r="B21" s="133"/>
    </row>
    <row r="22" spans="1:2" x14ac:dyDescent="0.2">
      <c r="A22" s="145"/>
      <c r="B22" s="133"/>
    </row>
    <row r="23" spans="1:2" x14ac:dyDescent="0.2">
      <c r="A23" s="145"/>
      <c r="B23" s="133"/>
    </row>
    <row r="24" spans="1:2" x14ac:dyDescent="0.2">
      <c r="A24" s="145"/>
      <c r="B24" s="133"/>
    </row>
    <row r="25" spans="1:2" x14ac:dyDescent="0.2">
      <c r="A25" s="145"/>
      <c r="B25" s="133"/>
    </row>
    <row r="26" spans="1:2" x14ac:dyDescent="0.2">
      <c r="A26" s="145"/>
      <c r="B26" s="133"/>
    </row>
    <row r="27" spans="1:2" x14ac:dyDescent="0.2">
      <c r="A27" s="145"/>
      <c r="B27" s="133"/>
    </row>
    <row r="28" spans="1:2" x14ac:dyDescent="0.2">
      <c r="A28" s="145"/>
      <c r="B28" s="133"/>
    </row>
    <row r="29" spans="1:2" x14ac:dyDescent="0.2">
      <c r="A29" s="145"/>
      <c r="B29" s="133"/>
    </row>
    <row r="30" spans="1:2" x14ac:dyDescent="0.2">
      <c r="A30" s="145"/>
      <c r="B30" s="133"/>
    </row>
    <row r="31" spans="1:2" x14ac:dyDescent="0.2">
      <c r="A31" s="145"/>
      <c r="B31" s="133"/>
    </row>
    <row r="32" spans="1:2" x14ac:dyDescent="0.2">
      <c r="A32" s="145"/>
      <c r="B32" s="133"/>
    </row>
    <row r="33" spans="1:2" x14ac:dyDescent="0.2">
      <c r="A33" s="145"/>
      <c r="B33" s="133"/>
    </row>
    <row r="34" spans="1:2" x14ac:dyDescent="0.2">
      <c r="A34" s="145"/>
      <c r="B34" s="133"/>
    </row>
    <row r="35" spans="1:2" x14ac:dyDescent="0.2">
      <c r="A35" s="145"/>
      <c r="B35" s="133"/>
    </row>
    <row r="36" spans="1:2" x14ac:dyDescent="0.2">
      <c r="A36" s="145"/>
      <c r="B36" s="133"/>
    </row>
    <row r="37" spans="1:2" x14ac:dyDescent="0.2">
      <c r="A37" s="145"/>
      <c r="B37" s="133"/>
    </row>
    <row r="38" spans="1:2" x14ac:dyDescent="0.2">
      <c r="A38" s="145"/>
    </row>
    <row r="39" spans="1:2" x14ac:dyDescent="0.2">
      <c r="A39" s="145"/>
      <c r="B39" s="133"/>
    </row>
    <row r="40" spans="1:2" x14ac:dyDescent="0.2">
      <c r="A40" s="145"/>
      <c r="B40" s="133"/>
    </row>
    <row r="41" spans="1:2" x14ac:dyDescent="0.2">
      <c r="A41" s="145"/>
      <c r="B41" s="133"/>
    </row>
    <row r="42" spans="1:2" x14ac:dyDescent="0.2">
      <c r="A42" s="145"/>
      <c r="B42" s="133"/>
    </row>
    <row r="43" spans="1:2" x14ac:dyDescent="0.2">
      <c r="A43" s="145"/>
      <c r="B43" s="133"/>
    </row>
    <row r="44" spans="1:2" x14ac:dyDescent="0.2">
      <c r="A44" s="145"/>
      <c r="B44" s="133"/>
    </row>
    <row r="45" spans="1:2" x14ac:dyDescent="0.2">
      <c r="A45" s="145"/>
      <c r="B45" s="133"/>
    </row>
    <row r="46" spans="1:2" x14ac:dyDescent="0.2">
      <c r="A46" s="145"/>
      <c r="B46" s="133"/>
    </row>
    <row r="47" spans="1:2" x14ac:dyDescent="0.2">
      <c r="A47" s="145"/>
      <c r="B47" s="133"/>
    </row>
    <row r="48" spans="1:2" x14ac:dyDescent="0.2">
      <c r="A48" s="145"/>
      <c r="B48" s="133"/>
    </row>
    <row r="49" spans="1:2" x14ac:dyDescent="0.2">
      <c r="A49" s="145"/>
      <c r="B49" s="133"/>
    </row>
    <row r="50" spans="1:2" x14ac:dyDescent="0.2">
      <c r="A50" s="145"/>
      <c r="B50" s="133"/>
    </row>
    <row r="51" spans="1:2" x14ac:dyDescent="0.2">
      <c r="A51" s="145"/>
      <c r="B51" s="133"/>
    </row>
    <row r="52" spans="1:2" x14ac:dyDescent="0.2">
      <c r="A52" s="145"/>
      <c r="B52" s="133"/>
    </row>
    <row r="53" spans="1:2" x14ac:dyDescent="0.2">
      <c r="A53" s="145"/>
      <c r="B53" s="133"/>
    </row>
    <row r="54" spans="1:2" x14ac:dyDescent="0.2">
      <c r="A54" s="145"/>
      <c r="B54" s="133"/>
    </row>
    <row r="55" spans="1:2" x14ac:dyDescent="0.2">
      <c r="A55" s="145"/>
      <c r="B55" s="133"/>
    </row>
    <row r="56" spans="1:2" x14ac:dyDescent="0.2">
      <c r="A56" s="145"/>
      <c r="B56" s="13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18"/>
  <sheetViews>
    <sheetView workbookViewId="0">
      <selection activeCell="T12" sqref="T12:T18"/>
    </sheetView>
  </sheetViews>
  <sheetFormatPr defaultRowHeight="12.75" x14ac:dyDescent="0.2"/>
  <cols>
    <col min="3" max="3" width="9.140625" style="124"/>
    <col min="4" max="4" width="9.140625" style="123"/>
    <col min="6" max="6" width="10.42578125" bestFit="1" customWidth="1"/>
    <col min="7" max="7" width="12.42578125" bestFit="1" customWidth="1"/>
  </cols>
  <sheetData>
    <row r="1" spans="1:25" x14ac:dyDescent="0.2">
      <c r="A1" t="s">
        <v>211</v>
      </c>
      <c r="B1" t="s">
        <v>91</v>
      </c>
      <c r="C1" s="124" t="s">
        <v>212</v>
      </c>
      <c r="D1" s="123" t="s">
        <v>210</v>
      </c>
      <c r="F1" t="s">
        <v>217</v>
      </c>
      <c r="G1" t="s">
        <v>212</v>
      </c>
      <c r="H1" t="s">
        <v>218</v>
      </c>
    </row>
    <row r="2" spans="1:25" x14ac:dyDescent="0.2">
      <c r="A2" t="s">
        <v>70</v>
      </c>
      <c r="B2" t="s">
        <v>76</v>
      </c>
      <c r="C2" s="124" t="s">
        <v>215</v>
      </c>
      <c r="D2" s="123">
        <v>303.3</v>
      </c>
      <c r="F2" s="279" t="s">
        <v>75</v>
      </c>
      <c r="G2" t="s">
        <v>215</v>
      </c>
      <c r="H2" s="125">
        <f>AVERAGEIFS(D:D,B:B,F2,C:C,G2)</f>
        <v>497.28571428571428</v>
      </c>
    </row>
    <row r="3" spans="1:25" x14ac:dyDescent="0.2">
      <c r="A3" s="9" t="s">
        <v>70</v>
      </c>
      <c r="B3" s="9" t="s">
        <v>76</v>
      </c>
      <c r="C3" s="124" t="s">
        <v>215</v>
      </c>
      <c r="D3" s="123">
        <v>97.41</v>
      </c>
      <c r="F3" s="279"/>
      <c r="G3" t="s">
        <v>216</v>
      </c>
      <c r="H3" s="125">
        <f>AVERAGEIFS(D:D,B:B,F2,C:C,G3)</f>
        <v>252.77170212765958</v>
      </c>
    </row>
    <row r="4" spans="1:25" x14ac:dyDescent="0.2">
      <c r="A4" s="9" t="s">
        <v>51</v>
      </c>
      <c r="B4" s="9" t="s">
        <v>76</v>
      </c>
      <c r="C4" s="124" t="s">
        <v>215</v>
      </c>
      <c r="D4" s="123">
        <v>449</v>
      </c>
      <c r="F4" s="279" t="s">
        <v>76</v>
      </c>
      <c r="G4" s="9" t="s">
        <v>215</v>
      </c>
      <c r="H4" s="125">
        <f>AVERAGEIFS(D:D,B:B,F4,C:C,G4)</f>
        <v>251.83875</v>
      </c>
    </row>
    <row r="5" spans="1:25" x14ac:dyDescent="0.2">
      <c r="A5" s="9" t="s">
        <v>51</v>
      </c>
      <c r="B5" s="9" t="s">
        <v>76</v>
      </c>
      <c r="C5" s="124" t="s">
        <v>215</v>
      </c>
      <c r="D5" s="123">
        <v>299</v>
      </c>
      <c r="F5" s="279"/>
      <c r="G5" s="9" t="s">
        <v>216</v>
      </c>
      <c r="H5" s="125">
        <f>AVERAGEIFS(D:D,B:B,F4,C:C,G5)</f>
        <v>116.47682926829269</v>
      </c>
    </row>
    <row r="6" spans="1:25" x14ac:dyDescent="0.2">
      <c r="A6" s="9" t="s">
        <v>51</v>
      </c>
      <c r="B6" s="9" t="s">
        <v>76</v>
      </c>
      <c r="C6" s="124" t="s">
        <v>215</v>
      </c>
      <c r="D6" s="123">
        <v>299</v>
      </c>
      <c r="H6" t="s">
        <v>217</v>
      </c>
      <c r="I6" t="s">
        <v>323</v>
      </c>
    </row>
    <row r="7" spans="1:25" x14ac:dyDescent="0.2">
      <c r="A7" s="9" t="s">
        <v>51</v>
      </c>
      <c r="B7" s="9" t="s">
        <v>76</v>
      </c>
      <c r="C7" s="124" t="s">
        <v>215</v>
      </c>
      <c r="D7" s="123">
        <v>269</v>
      </c>
      <c r="F7" t="s">
        <v>325</v>
      </c>
      <c r="G7" s="125">
        <v>200</v>
      </c>
      <c r="H7">
        <f>COUNTIFS($D:$D,"&lt;"&amp;$G7,$B:$B,"Yes")</f>
        <v>26</v>
      </c>
      <c r="I7" s="9">
        <f>COUNTIFS($D:$D,"&lt;"&amp;$G7,$B:$B,"No")</f>
        <v>39</v>
      </c>
      <c r="J7" s="5">
        <f>H7/SUM(H7:I7)</f>
        <v>0.4</v>
      </c>
      <c r="K7" s="5">
        <f>I7/SUM(H7:I7)</f>
        <v>0.6</v>
      </c>
    </row>
    <row r="8" spans="1:25" x14ac:dyDescent="0.2">
      <c r="A8" s="9" t="s">
        <v>51</v>
      </c>
      <c r="B8" s="9" t="s">
        <v>76</v>
      </c>
      <c r="C8" s="124" t="s">
        <v>215</v>
      </c>
      <c r="D8" s="123">
        <v>199</v>
      </c>
      <c r="F8" t="s">
        <v>326</v>
      </c>
      <c r="G8" s="125">
        <v>400</v>
      </c>
      <c r="H8" s="9">
        <f>COUNTIFS($D:$D,"&lt;"&amp;$G8,$D:$D,"&gt;="&amp;$G7,$B:$B,"Yes")</f>
        <v>23</v>
      </c>
      <c r="I8" s="9">
        <f>COUNTIFS($D:$D,"&lt;"&amp;$G8,$D:$D,"&gt;="&amp;$G7,$B:$B,"No")</f>
        <v>9</v>
      </c>
      <c r="J8" s="5">
        <f>H8/SUM(H8:I8)</f>
        <v>0.71875</v>
      </c>
      <c r="K8" s="5">
        <f t="shared" ref="K8:K9" si="0">I8/SUM(H8:I8)</f>
        <v>0.28125</v>
      </c>
    </row>
    <row r="9" spans="1:25" x14ac:dyDescent="0.2">
      <c r="A9" s="9" t="s">
        <v>51</v>
      </c>
      <c r="B9" s="9" t="s">
        <v>76</v>
      </c>
      <c r="C9" s="124" t="s">
        <v>215</v>
      </c>
      <c r="D9" s="123">
        <v>99</v>
      </c>
      <c r="F9" t="s">
        <v>324</v>
      </c>
      <c r="G9" s="125">
        <v>600</v>
      </c>
      <c r="H9" s="9">
        <f>COUNTIFS($D:$D,"&lt;"&amp;$G9,$D:$D,"&gt;="&amp;$G8,$B:$B,"Yes")</f>
        <v>9</v>
      </c>
      <c r="I9" s="9">
        <f>COUNTIFS($D:$D,"&lt;"&amp;$G9,$D:$D,"&gt;="&amp;$G8,$B:$B,"No")</f>
        <v>1</v>
      </c>
      <c r="J9" s="5">
        <f t="shared" ref="J9" si="1">H9/SUM(H9:I9)</f>
        <v>0.9</v>
      </c>
      <c r="K9" s="5">
        <f t="shared" si="0"/>
        <v>0.1</v>
      </c>
    </row>
    <row r="10" spans="1:25" x14ac:dyDescent="0.2">
      <c r="A10" s="9" t="s">
        <v>70</v>
      </c>
      <c r="B10" s="9" t="s">
        <v>76</v>
      </c>
      <c r="C10" s="124" t="s">
        <v>216</v>
      </c>
      <c r="D10" s="123">
        <v>360</v>
      </c>
    </row>
    <row r="11" spans="1:25" x14ac:dyDescent="0.2">
      <c r="A11" s="9" t="s">
        <v>70</v>
      </c>
      <c r="B11" s="9" t="s">
        <v>76</v>
      </c>
      <c r="C11" s="124" t="s">
        <v>216</v>
      </c>
      <c r="D11" s="123">
        <v>120</v>
      </c>
      <c r="F11" s="9"/>
      <c r="G11" s="9"/>
      <c r="H11" s="9" t="s">
        <v>217</v>
      </c>
      <c r="I11" s="9" t="s">
        <v>323</v>
      </c>
      <c r="J11" s="9"/>
      <c r="K11" s="9"/>
      <c r="M11" s="9"/>
      <c r="N11" s="9"/>
      <c r="O11" s="9" t="s">
        <v>217</v>
      </c>
      <c r="P11" s="9" t="s">
        <v>323</v>
      </c>
      <c r="Q11" s="9"/>
      <c r="R11" s="9"/>
      <c r="T11" s="9"/>
      <c r="U11" s="9"/>
      <c r="V11" s="9" t="s">
        <v>217</v>
      </c>
      <c r="W11" s="9" t="s">
        <v>323</v>
      </c>
      <c r="X11" s="9"/>
      <c r="Y11" s="9"/>
    </row>
    <row r="12" spans="1:25" x14ac:dyDescent="0.2">
      <c r="A12" s="9" t="s">
        <v>70</v>
      </c>
      <c r="B12" s="9" t="s">
        <v>76</v>
      </c>
      <c r="C12" s="124" t="s">
        <v>216</v>
      </c>
      <c r="D12" s="123">
        <v>123.3</v>
      </c>
      <c r="F12" s="9" t="s">
        <v>337</v>
      </c>
      <c r="G12" s="125">
        <v>100</v>
      </c>
      <c r="H12" s="9">
        <f>COUNTIFS($D:$D,"&lt;"&amp;$G12,$B:$B,"Yes")</f>
        <v>2</v>
      </c>
      <c r="I12" s="9">
        <f>COUNTIFS($D:$D,"&lt;"&amp;$G12,$B:$B,"No")</f>
        <v>20</v>
      </c>
      <c r="J12" s="5">
        <f>H12/SUM(H12:I12)</f>
        <v>9.0909090909090912E-2</v>
      </c>
      <c r="K12" s="5">
        <f>I12/SUM(H12:I12)</f>
        <v>0.90909090909090906</v>
      </c>
      <c r="M12" s="9" t="s">
        <v>337</v>
      </c>
      <c r="N12" s="125">
        <v>100</v>
      </c>
      <c r="O12" s="9">
        <f>COUNTIFS($D:$D,"&lt;"&amp;$G12,$B:$B,"Yes",$C:$C,"Greater")</f>
        <v>0</v>
      </c>
      <c r="P12" s="9">
        <f>COUNTIFS($D:$D,"&lt;"&amp;$G12,$B:$B,"No",$C:$C,"Greater")</f>
        <v>2</v>
      </c>
      <c r="Q12" s="5">
        <f>O12/SUM(O12:P12)</f>
        <v>0</v>
      </c>
      <c r="R12" s="5">
        <f>P12/SUM(O12:P12)</f>
        <v>1</v>
      </c>
      <c r="T12" s="9" t="s">
        <v>337</v>
      </c>
      <c r="U12" s="125">
        <v>100</v>
      </c>
      <c r="V12" s="9">
        <f>COUNTIFS($D:$D,"&lt;"&amp;$G12,$B:$B,"Yes",$C:$C,"Less Than")</f>
        <v>2</v>
      </c>
      <c r="W12" s="9">
        <f>COUNTIFS($D:$D,"&lt;"&amp;$G12,$B:$B,"No",$C:$C,"Less Than")</f>
        <v>18</v>
      </c>
      <c r="X12" s="5">
        <f>V12/SUM(V12:W12)</f>
        <v>0.1</v>
      </c>
      <c r="Y12" s="5">
        <f>W12/SUM(V12:W12)</f>
        <v>0.9</v>
      </c>
    </row>
    <row r="13" spans="1:25" x14ac:dyDescent="0.2">
      <c r="A13" s="9" t="s">
        <v>70</v>
      </c>
      <c r="B13" s="9" t="s">
        <v>76</v>
      </c>
      <c r="C13" s="124" t="s">
        <v>216</v>
      </c>
      <c r="D13" s="123">
        <v>100</v>
      </c>
      <c r="F13" s="9" t="s">
        <v>390</v>
      </c>
      <c r="G13" s="125">
        <v>200</v>
      </c>
      <c r="H13" s="9">
        <f>COUNTIFS($D:$D,"&lt;"&amp;$G13,$D:$D,"&gt;="&amp;$G12,$B:$B,"Yes")</f>
        <v>24</v>
      </c>
      <c r="I13" s="9">
        <f>COUNTIFS($D:$D,"&lt;"&amp;$G13,$D:$D,"&gt;="&amp;$G12,$B:$B,"No")</f>
        <v>19</v>
      </c>
      <c r="J13" s="5">
        <f>H13/SUM(H13:I13)</f>
        <v>0.55813953488372092</v>
      </c>
      <c r="K13" s="5">
        <f t="shared" ref="K13:K14" si="2">I13/SUM(H13:I13)</f>
        <v>0.44186046511627908</v>
      </c>
      <c r="M13" s="9" t="s">
        <v>390</v>
      </c>
      <c r="N13" s="125">
        <v>200</v>
      </c>
      <c r="O13" s="9">
        <f>COUNTIFS($D:$D,"&lt;"&amp;$G13,$D:$D,"&gt;="&amp;$G12,$B:$B,"Yes",$C:$C,"Greater")</f>
        <v>0</v>
      </c>
      <c r="P13" s="9">
        <f>COUNTIFS($D:$D,"&lt;"&amp;$G13,$D:$D,"&gt;="&amp;$G12,$B:$B,"No",$C:$C,"Greater")</f>
        <v>1</v>
      </c>
      <c r="Q13" s="5">
        <f>O13/SUM(O13:P13)</f>
        <v>0</v>
      </c>
      <c r="R13" s="5">
        <f t="shared" ref="R13:R18" si="3">P13/SUM(O13:P13)</f>
        <v>1</v>
      </c>
      <c r="T13" s="9" t="s">
        <v>390</v>
      </c>
      <c r="U13" s="125">
        <v>200</v>
      </c>
      <c r="V13" s="9">
        <f>COUNTIFS($D:$D,"&lt;"&amp;$G13,$D:$D,"&gt;="&amp;$G12,$B:$B,"Yes",$C:$C,"Less Than")</f>
        <v>24</v>
      </c>
      <c r="W13" s="9">
        <f>COUNTIFS($D:$D,"&lt;"&amp;$G13,$D:$D,"&gt;="&amp;$G12,$B:$B,"No",$C:$C,"Less Than")</f>
        <v>18</v>
      </c>
      <c r="X13" s="5">
        <f>V13/SUM(V13:W13)</f>
        <v>0.5714285714285714</v>
      </c>
      <c r="Y13" s="5">
        <f t="shared" ref="Y13:Y18" si="4">W13/SUM(V13:W13)</f>
        <v>0.42857142857142855</v>
      </c>
    </row>
    <row r="14" spans="1:25" x14ac:dyDescent="0.2">
      <c r="A14" s="9" t="s">
        <v>70</v>
      </c>
      <c r="B14" s="9" t="s">
        <v>76</v>
      </c>
      <c r="C14" s="124" t="s">
        <v>216</v>
      </c>
      <c r="D14" s="123">
        <v>100</v>
      </c>
      <c r="F14" s="9" t="s">
        <v>391</v>
      </c>
      <c r="G14" s="125">
        <v>300</v>
      </c>
      <c r="H14" s="9">
        <f>COUNTIFS($D:$D,"&lt;"&amp;$G14,$D:$D,"&gt;="&amp;$G13,$B:$B,"Yes")</f>
        <v>14</v>
      </c>
      <c r="I14" s="9">
        <f>COUNTIFS($D:$D,"&lt;"&amp;$G14,$D:$D,"&gt;="&amp;$G13,$B:$B,"No")</f>
        <v>7</v>
      </c>
      <c r="J14" s="5">
        <f t="shared" ref="J14" si="5">H14/SUM(H14:I14)</f>
        <v>0.66666666666666663</v>
      </c>
      <c r="K14" s="5">
        <f t="shared" si="2"/>
        <v>0.33333333333333331</v>
      </c>
      <c r="M14" s="9" t="s">
        <v>391</v>
      </c>
      <c r="N14" s="125">
        <v>300</v>
      </c>
      <c r="O14" s="9">
        <f t="shared" ref="O14:O18" si="6">COUNTIFS($D:$D,"&lt;"&amp;$G14,$D:$D,"&gt;="&amp;$G13,$B:$B,"Yes",$C:$C,"Greater")</f>
        <v>5</v>
      </c>
      <c r="P14" s="9">
        <f t="shared" ref="P14:P18" si="7">COUNTIFS($D:$D,"&lt;"&amp;$G14,$D:$D,"&gt;="&amp;$G13,$B:$B,"No",$C:$C,"Greater")</f>
        <v>3</v>
      </c>
      <c r="Q14" s="5">
        <f t="shared" ref="Q14:Q18" si="8">O14/SUM(O14:P14)</f>
        <v>0.625</v>
      </c>
      <c r="R14" s="5">
        <f t="shared" si="3"/>
        <v>0.375</v>
      </c>
      <c r="T14" s="9" t="s">
        <v>391</v>
      </c>
      <c r="U14" s="125">
        <v>300</v>
      </c>
      <c r="V14" s="9">
        <f t="shared" ref="V14:V18" si="9">COUNTIFS($D:$D,"&lt;"&amp;$G14,$D:$D,"&gt;="&amp;$G13,$B:$B,"Yes",$C:$C,"Less Than")</f>
        <v>9</v>
      </c>
      <c r="W14" s="9">
        <f t="shared" ref="W14:W18" si="10">COUNTIFS($D:$D,"&lt;"&amp;$G14,$D:$D,"&gt;="&amp;$G13,$B:$B,"No",$C:$C,"Less Than")</f>
        <v>4</v>
      </c>
      <c r="X14" s="5">
        <f t="shared" ref="X14:X18" si="11">V14/SUM(V14:W14)</f>
        <v>0.69230769230769229</v>
      </c>
      <c r="Y14" s="5">
        <f t="shared" si="4"/>
        <v>0.30769230769230771</v>
      </c>
    </row>
    <row r="15" spans="1:25" x14ac:dyDescent="0.2">
      <c r="A15" s="9" t="s">
        <v>70</v>
      </c>
      <c r="B15" s="9" t="s">
        <v>76</v>
      </c>
      <c r="C15" s="124" t="s">
        <v>216</v>
      </c>
      <c r="D15" s="123">
        <v>99.5</v>
      </c>
      <c r="F15" s="9" t="s">
        <v>392</v>
      </c>
      <c r="G15" s="125">
        <v>400</v>
      </c>
      <c r="H15" s="9">
        <f t="shared" ref="H15:H17" si="12">COUNTIFS($D:$D,"&lt;"&amp;$G15,$D:$D,"&gt;="&amp;$G14,$B:$B,"Yes")</f>
        <v>9</v>
      </c>
      <c r="I15" s="9">
        <f t="shared" ref="I15:I17" si="13">COUNTIFS($D:$D,"&lt;"&amp;$G15,$D:$D,"&gt;="&amp;$G14,$B:$B,"No")</f>
        <v>2</v>
      </c>
      <c r="J15" s="5">
        <f t="shared" ref="J15:J17" si="14">H15/SUM(H15:I15)</f>
        <v>0.81818181818181823</v>
      </c>
      <c r="K15" s="5">
        <f t="shared" ref="K15:K17" si="15">I15/SUM(H15:I15)</f>
        <v>0.18181818181818182</v>
      </c>
      <c r="M15" s="9" t="s">
        <v>392</v>
      </c>
      <c r="N15" s="125">
        <v>400</v>
      </c>
      <c r="O15" s="9">
        <f t="shared" si="6"/>
        <v>4</v>
      </c>
      <c r="P15" s="9">
        <f t="shared" si="7"/>
        <v>1</v>
      </c>
      <c r="Q15" s="5">
        <f t="shared" si="8"/>
        <v>0.8</v>
      </c>
      <c r="R15" s="5">
        <f t="shared" si="3"/>
        <v>0.2</v>
      </c>
      <c r="T15" s="9" t="s">
        <v>392</v>
      </c>
      <c r="U15" s="125">
        <v>400</v>
      </c>
      <c r="V15" s="9">
        <f t="shared" si="9"/>
        <v>5</v>
      </c>
      <c r="W15" s="9">
        <f t="shared" si="10"/>
        <v>1</v>
      </c>
      <c r="X15" s="5">
        <f t="shared" si="11"/>
        <v>0.83333333333333337</v>
      </c>
      <c r="Y15" s="5">
        <f t="shared" si="4"/>
        <v>0.16666666666666666</v>
      </c>
    </row>
    <row r="16" spans="1:25" x14ac:dyDescent="0.2">
      <c r="A16" s="9" t="s">
        <v>70</v>
      </c>
      <c r="B16" s="9" t="s">
        <v>76</v>
      </c>
      <c r="C16" s="124" t="s">
        <v>216</v>
      </c>
      <c r="D16" s="123">
        <v>115</v>
      </c>
      <c r="F16" s="9" t="s">
        <v>395</v>
      </c>
      <c r="G16" s="125">
        <v>500</v>
      </c>
      <c r="H16" s="9">
        <f t="shared" si="12"/>
        <v>6</v>
      </c>
      <c r="I16" s="9">
        <f t="shared" si="13"/>
        <v>1</v>
      </c>
      <c r="J16" s="5">
        <f t="shared" si="14"/>
        <v>0.8571428571428571</v>
      </c>
      <c r="K16" s="5">
        <f t="shared" si="15"/>
        <v>0.14285714285714285</v>
      </c>
      <c r="M16" s="9" t="s">
        <v>395</v>
      </c>
      <c r="N16" s="125">
        <v>500</v>
      </c>
      <c r="O16" s="9">
        <f t="shared" si="6"/>
        <v>4</v>
      </c>
      <c r="P16" s="9">
        <f t="shared" si="7"/>
        <v>1</v>
      </c>
      <c r="Q16" s="5">
        <f t="shared" si="8"/>
        <v>0.8</v>
      </c>
      <c r="R16" s="5">
        <f t="shared" si="3"/>
        <v>0.2</v>
      </c>
      <c r="T16" s="9" t="s">
        <v>395</v>
      </c>
      <c r="U16" s="125">
        <v>500</v>
      </c>
      <c r="V16" s="9">
        <f t="shared" si="9"/>
        <v>2</v>
      </c>
      <c r="W16" s="9">
        <f t="shared" si="10"/>
        <v>0</v>
      </c>
      <c r="X16" s="5">
        <f t="shared" si="11"/>
        <v>1</v>
      </c>
      <c r="Y16" s="5">
        <f t="shared" si="4"/>
        <v>0</v>
      </c>
    </row>
    <row r="17" spans="1:25" x14ac:dyDescent="0.2">
      <c r="A17" s="9" t="s">
        <v>70</v>
      </c>
      <c r="B17" s="9" t="s">
        <v>76</v>
      </c>
      <c r="C17" s="124" t="s">
        <v>216</v>
      </c>
      <c r="D17" s="123">
        <v>70</v>
      </c>
      <c r="F17" s="9" t="s">
        <v>393</v>
      </c>
      <c r="G17" s="125">
        <v>600</v>
      </c>
      <c r="H17" s="9">
        <f t="shared" si="12"/>
        <v>3</v>
      </c>
      <c r="I17" s="9">
        <f t="shared" si="13"/>
        <v>0</v>
      </c>
      <c r="J17" s="5">
        <f t="shared" si="14"/>
        <v>1</v>
      </c>
      <c r="K17" s="5">
        <f t="shared" si="15"/>
        <v>0</v>
      </c>
      <c r="M17" s="9" t="s">
        <v>393</v>
      </c>
      <c r="N17" s="125">
        <v>600</v>
      </c>
      <c r="O17" s="9">
        <f t="shared" si="6"/>
        <v>1</v>
      </c>
      <c r="P17" s="9">
        <f t="shared" si="7"/>
        <v>0</v>
      </c>
      <c r="Q17" s="5">
        <f t="shared" si="8"/>
        <v>1</v>
      </c>
      <c r="R17" s="5">
        <f t="shared" si="3"/>
        <v>0</v>
      </c>
      <c r="T17" s="9" t="s">
        <v>393</v>
      </c>
      <c r="U17" s="125">
        <v>600</v>
      </c>
      <c r="V17" s="9">
        <f t="shared" si="9"/>
        <v>2</v>
      </c>
      <c r="W17" s="9">
        <f t="shared" si="10"/>
        <v>0</v>
      </c>
      <c r="X17" s="5">
        <f t="shared" si="11"/>
        <v>1</v>
      </c>
      <c r="Y17" s="5">
        <f t="shared" si="4"/>
        <v>0</v>
      </c>
    </row>
    <row r="18" spans="1:25" x14ac:dyDescent="0.2">
      <c r="A18" t="s">
        <v>70</v>
      </c>
      <c r="B18" t="s">
        <v>76</v>
      </c>
      <c r="C18" s="124" t="s">
        <v>216</v>
      </c>
      <c r="D18" s="123">
        <v>74.25</v>
      </c>
      <c r="F18" s="9" t="s">
        <v>394</v>
      </c>
      <c r="G18" s="125">
        <v>10000</v>
      </c>
      <c r="H18" s="9">
        <f t="shared" ref="H18" si="16">COUNTIFS($D:$D,"&lt;"&amp;$G18,$D:$D,"&gt;="&amp;$G17,$B:$B,"Yes")</f>
        <v>10</v>
      </c>
      <c r="I18" s="9">
        <f t="shared" ref="I18" si="17">COUNTIFS($D:$D,"&lt;"&amp;$G18,$D:$D,"&gt;="&amp;$G17,$B:$B,"No")</f>
        <v>0</v>
      </c>
      <c r="J18" s="5">
        <f t="shared" ref="J18" si="18">H18/SUM(H18:I18)</f>
        <v>1</v>
      </c>
      <c r="K18" s="5">
        <f t="shared" ref="K18" si="19">I18/SUM(H18:I18)</f>
        <v>0</v>
      </c>
      <c r="M18" s="9" t="s">
        <v>394</v>
      </c>
      <c r="N18" s="125">
        <v>10000</v>
      </c>
      <c r="O18" s="9">
        <f t="shared" si="6"/>
        <v>7</v>
      </c>
      <c r="P18" s="9">
        <f t="shared" si="7"/>
        <v>0</v>
      </c>
      <c r="Q18" s="5">
        <f t="shared" si="8"/>
        <v>1</v>
      </c>
      <c r="R18" s="5">
        <f t="shared" si="3"/>
        <v>0</v>
      </c>
      <c r="T18" s="9" t="s">
        <v>394</v>
      </c>
      <c r="U18" s="125">
        <v>10000</v>
      </c>
      <c r="V18" s="9">
        <f t="shared" si="9"/>
        <v>3</v>
      </c>
      <c r="W18" s="9">
        <f t="shared" si="10"/>
        <v>0</v>
      </c>
      <c r="X18" s="5">
        <f t="shared" si="11"/>
        <v>1</v>
      </c>
      <c r="Y18" s="5">
        <f t="shared" si="4"/>
        <v>0</v>
      </c>
    </row>
    <row r="19" spans="1:25" x14ac:dyDescent="0.2">
      <c r="A19" t="s">
        <v>70</v>
      </c>
      <c r="B19" s="9" t="s">
        <v>76</v>
      </c>
      <c r="C19" s="124" t="s">
        <v>216</v>
      </c>
      <c r="D19" s="123">
        <v>55</v>
      </c>
    </row>
    <row r="20" spans="1:25" x14ac:dyDescent="0.2">
      <c r="A20" t="s">
        <v>70</v>
      </c>
      <c r="B20" s="9" t="s">
        <v>76</v>
      </c>
      <c r="C20" s="124" t="s">
        <v>216</v>
      </c>
      <c r="D20" s="123">
        <v>50</v>
      </c>
    </row>
    <row r="21" spans="1:25" x14ac:dyDescent="0.2">
      <c r="A21" t="s">
        <v>70</v>
      </c>
      <c r="B21" s="9" t="s">
        <v>76</v>
      </c>
      <c r="C21" s="124" t="s">
        <v>216</v>
      </c>
      <c r="D21" s="123">
        <v>230</v>
      </c>
    </row>
    <row r="22" spans="1:25" x14ac:dyDescent="0.2">
      <c r="A22" t="s">
        <v>86</v>
      </c>
      <c r="B22" s="9" t="s">
        <v>76</v>
      </c>
      <c r="C22" s="124" t="s">
        <v>216</v>
      </c>
      <c r="D22" s="123">
        <v>34</v>
      </c>
      <c r="G22" t="s">
        <v>213</v>
      </c>
      <c r="H22" s="9" t="s">
        <v>214</v>
      </c>
      <c r="I22" s="9" t="s">
        <v>327</v>
      </c>
      <c r="J22" s="9" t="s">
        <v>328</v>
      </c>
    </row>
    <row r="23" spans="1:25" x14ac:dyDescent="0.2">
      <c r="A23" t="s">
        <v>86</v>
      </c>
      <c r="B23" s="9" t="s">
        <v>76</v>
      </c>
      <c r="C23" s="124" t="s">
        <v>216</v>
      </c>
      <c r="D23" s="123">
        <v>55</v>
      </c>
      <c r="F23" s="118" t="s">
        <v>202</v>
      </c>
      <c r="G23" s="9">
        <f>QUARTILE($D$51:$D$71,0)</f>
        <v>248</v>
      </c>
      <c r="H23" s="9">
        <f>QUARTILE($D$72:$D$117,0)</f>
        <v>59</v>
      </c>
      <c r="I23">
        <f>QUARTILE($D$2:$D$9,0)</f>
        <v>97.41</v>
      </c>
      <c r="J23">
        <f>QUARTILE($D$10:$D$50,0)</f>
        <v>34</v>
      </c>
    </row>
    <row r="24" spans="1:25" ht="12.75" customHeight="1" x14ac:dyDescent="0.2">
      <c r="A24" t="s">
        <v>86</v>
      </c>
      <c r="B24" s="9" t="s">
        <v>76</v>
      </c>
      <c r="C24" s="124" t="s">
        <v>216</v>
      </c>
      <c r="D24" s="123">
        <v>72.5</v>
      </c>
      <c r="F24" s="118" t="s">
        <v>201</v>
      </c>
      <c r="G24" s="9">
        <f>QUARTILE($D$51:$D$71,1)</f>
        <v>329</v>
      </c>
      <c r="H24" s="9">
        <f>QUARTILE($D$72:$D$117,1)</f>
        <v>158.25</v>
      </c>
      <c r="I24" s="9">
        <f>QUARTILE($D$2:$D$9,1)</f>
        <v>174</v>
      </c>
      <c r="J24" s="9">
        <f>QUARTILE($D$10:$D$50,1)</f>
        <v>74</v>
      </c>
    </row>
    <row r="25" spans="1:25" ht="12.75" customHeight="1" x14ac:dyDescent="0.2">
      <c r="A25" t="s">
        <v>86</v>
      </c>
      <c r="B25" s="9" t="s">
        <v>76</v>
      </c>
      <c r="C25" s="124" t="s">
        <v>216</v>
      </c>
      <c r="D25" s="123">
        <v>74</v>
      </c>
      <c r="F25" s="118" t="s">
        <v>200</v>
      </c>
      <c r="G25" s="9">
        <f>QUARTILE($D$51:$D$71,2)</f>
        <v>459</v>
      </c>
      <c r="H25" s="9">
        <f>QUARTILE($D$72:$D$117,2)</f>
        <v>198.5</v>
      </c>
      <c r="I25" s="9">
        <f>QUARTILE($D$2:$D$9,2)</f>
        <v>284</v>
      </c>
      <c r="J25" s="9">
        <f>QUARTILE($D$10:$D$50,2)</f>
        <v>100</v>
      </c>
    </row>
    <row r="26" spans="1:25" x14ac:dyDescent="0.2">
      <c r="A26" t="s">
        <v>86</v>
      </c>
      <c r="B26" s="9" t="s">
        <v>76</v>
      </c>
      <c r="C26" s="124" t="s">
        <v>216</v>
      </c>
      <c r="D26" s="123">
        <v>114</v>
      </c>
      <c r="F26" s="118" t="s">
        <v>199</v>
      </c>
      <c r="G26" s="11">
        <f>QUARTILE($D$51:$D$71,3)</f>
        <v>629</v>
      </c>
      <c r="H26" s="9">
        <f>QUARTILE($D$72:$D$117,3)</f>
        <v>299.75</v>
      </c>
      <c r="I26" s="9">
        <f>QUARTILE($D$2:$D$9,3)</f>
        <v>300.07499999999999</v>
      </c>
      <c r="J26" s="9">
        <f>QUARTILE($D$10:$D$50,3)</f>
        <v>126</v>
      </c>
    </row>
    <row r="27" spans="1:25" x14ac:dyDescent="0.2">
      <c r="A27" t="s">
        <v>51</v>
      </c>
      <c r="B27" s="9" t="s">
        <v>76</v>
      </c>
      <c r="C27" s="124" t="s">
        <v>216</v>
      </c>
      <c r="D27" s="123">
        <v>249</v>
      </c>
      <c r="F27" s="118" t="s">
        <v>198</v>
      </c>
      <c r="G27" s="9">
        <f>QUARTILE($D$51:$D$71,4)</f>
        <v>849</v>
      </c>
      <c r="H27" s="9">
        <f>QUARTILE($D$72:$D$117,4)</f>
        <v>699</v>
      </c>
      <c r="I27" s="9">
        <f>QUARTILE($D$2:$D$9,4)</f>
        <v>449</v>
      </c>
      <c r="J27" s="9">
        <f>QUARTILE($D$10:$D$50,4)</f>
        <v>360</v>
      </c>
    </row>
    <row r="28" spans="1:25" x14ac:dyDescent="0.2">
      <c r="A28" t="s">
        <v>51</v>
      </c>
      <c r="B28" s="9" t="s">
        <v>76</v>
      </c>
      <c r="C28" s="124" t="s">
        <v>216</v>
      </c>
      <c r="D28" s="123">
        <v>219</v>
      </c>
      <c r="F28" s="117" t="s">
        <v>197</v>
      </c>
      <c r="G28" s="9">
        <f>G24</f>
        <v>329</v>
      </c>
      <c r="H28" s="9">
        <f>H24</f>
        <v>158.25</v>
      </c>
      <c r="I28" s="9">
        <f>I24</f>
        <v>174</v>
      </c>
      <c r="J28" s="9">
        <f>J24</f>
        <v>74</v>
      </c>
    </row>
    <row r="29" spans="1:25" x14ac:dyDescent="0.2">
      <c r="A29" t="s">
        <v>51</v>
      </c>
      <c r="B29" s="9" t="s">
        <v>76</v>
      </c>
      <c r="C29" s="124" t="s">
        <v>216</v>
      </c>
      <c r="D29" s="123">
        <v>219</v>
      </c>
      <c r="F29" s="117" t="s">
        <v>196</v>
      </c>
      <c r="G29" s="9">
        <f t="shared" ref="G29:J30" si="20">G25-G24</f>
        <v>130</v>
      </c>
      <c r="H29" s="9">
        <f t="shared" si="20"/>
        <v>40.25</v>
      </c>
      <c r="I29" s="9">
        <f t="shared" si="20"/>
        <v>110</v>
      </c>
      <c r="J29" s="9">
        <f t="shared" si="20"/>
        <v>26</v>
      </c>
    </row>
    <row r="30" spans="1:25" x14ac:dyDescent="0.2">
      <c r="A30" s="9" t="s">
        <v>51</v>
      </c>
      <c r="B30" s="9" t="s">
        <v>76</v>
      </c>
      <c r="C30" s="124" t="s">
        <v>216</v>
      </c>
      <c r="D30" s="123">
        <v>183</v>
      </c>
      <c r="F30" s="117" t="s">
        <v>195</v>
      </c>
      <c r="G30" s="11">
        <f t="shared" si="20"/>
        <v>170</v>
      </c>
      <c r="H30" s="11">
        <f t="shared" si="20"/>
        <v>101.25</v>
      </c>
      <c r="I30" s="11">
        <f t="shared" si="20"/>
        <v>16.074999999999989</v>
      </c>
      <c r="J30" s="11">
        <f t="shared" si="20"/>
        <v>26</v>
      </c>
    </row>
    <row r="31" spans="1:25" x14ac:dyDescent="0.2">
      <c r="A31" s="9" t="s">
        <v>51</v>
      </c>
      <c r="B31" s="9" t="s">
        <v>76</v>
      </c>
      <c r="C31" s="124" t="s">
        <v>216</v>
      </c>
      <c r="D31" s="123">
        <v>183</v>
      </c>
      <c r="F31" s="117" t="s">
        <v>194</v>
      </c>
      <c r="G31" s="9">
        <f>G24-G23</f>
        <v>81</v>
      </c>
      <c r="H31" s="9">
        <f>H24-H23</f>
        <v>99.25</v>
      </c>
      <c r="I31" s="9">
        <f>I24-I23</f>
        <v>76.59</v>
      </c>
      <c r="J31" s="9">
        <f>J24-J23</f>
        <v>40</v>
      </c>
    </row>
    <row r="32" spans="1:25" x14ac:dyDescent="0.2">
      <c r="A32" t="s">
        <v>51</v>
      </c>
      <c r="B32" s="9" t="s">
        <v>76</v>
      </c>
      <c r="C32" s="124" t="s">
        <v>216</v>
      </c>
      <c r="D32" s="123">
        <v>149</v>
      </c>
      <c r="F32" s="117" t="s">
        <v>193</v>
      </c>
      <c r="G32" s="9">
        <f>G27-G24</f>
        <v>520</v>
      </c>
      <c r="H32" s="9">
        <f t="shared" ref="H32:J32" si="21">H27-H24</f>
        <v>540.75</v>
      </c>
      <c r="I32" s="9">
        <f t="shared" si="21"/>
        <v>275</v>
      </c>
      <c r="J32" s="9">
        <f t="shared" si="21"/>
        <v>286</v>
      </c>
    </row>
    <row r="33" spans="1:4" x14ac:dyDescent="0.2">
      <c r="A33" s="9" t="s">
        <v>51</v>
      </c>
      <c r="B33" s="9" t="s">
        <v>76</v>
      </c>
      <c r="C33" s="124" t="s">
        <v>216</v>
      </c>
      <c r="D33" s="123">
        <v>149</v>
      </c>
    </row>
    <row r="34" spans="1:4" x14ac:dyDescent="0.2">
      <c r="A34" s="9" t="s">
        <v>51</v>
      </c>
      <c r="B34" s="9" t="s">
        <v>76</v>
      </c>
      <c r="C34" s="124" t="s">
        <v>216</v>
      </c>
      <c r="D34" s="123">
        <v>129</v>
      </c>
    </row>
    <row r="35" spans="1:4" x14ac:dyDescent="0.2">
      <c r="A35" s="9" t="s">
        <v>51</v>
      </c>
      <c r="B35" s="9" t="s">
        <v>76</v>
      </c>
      <c r="C35" s="124" t="s">
        <v>216</v>
      </c>
      <c r="D35" s="123">
        <v>126</v>
      </c>
    </row>
    <row r="36" spans="1:4" x14ac:dyDescent="0.2">
      <c r="A36" s="9" t="s">
        <v>51</v>
      </c>
      <c r="B36" s="9" t="s">
        <v>76</v>
      </c>
      <c r="C36" s="124" t="s">
        <v>216</v>
      </c>
      <c r="D36" s="123">
        <v>126</v>
      </c>
    </row>
    <row r="37" spans="1:4" x14ac:dyDescent="0.2">
      <c r="A37" s="9" t="s">
        <v>51</v>
      </c>
      <c r="B37" t="s">
        <v>76</v>
      </c>
      <c r="C37" s="124" t="s">
        <v>216</v>
      </c>
      <c r="D37" s="123">
        <v>109</v>
      </c>
    </row>
    <row r="38" spans="1:4" x14ac:dyDescent="0.2">
      <c r="A38" t="s">
        <v>51</v>
      </c>
      <c r="B38" t="s">
        <v>76</v>
      </c>
      <c r="C38" s="124" t="s">
        <v>216</v>
      </c>
      <c r="D38" s="123">
        <v>108</v>
      </c>
    </row>
    <row r="39" spans="1:4" x14ac:dyDescent="0.2">
      <c r="A39" t="s">
        <v>51</v>
      </c>
      <c r="B39" s="9" t="s">
        <v>76</v>
      </c>
      <c r="C39" s="124" t="s">
        <v>216</v>
      </c>
      <c r="D39" s="123">
        <v>108</v>
      </c>
    </row>
    <row r="40" spans="1:4" x14ac:dyDescent="0.2">
      <c r="A40" t="s">
        <v>51</v>
      </c>
      <c r="B40" s="9" t="s">
        <v>76</v>
      </c>
      <c r="C40" s="124" t="s">
        <v>216</v>
      </c>
      <c r="D40" s="123">
        <v>100</v>
      </c>
    </row>
    <row r="41" spans="1:4" x14ac:dyDescent="0.2">
      <c r="A41" t="s">
        <v>51</v>
      </c>
      <c r="B41" s="9" t="s">
        <v>76</v>
      </c>
      <c r="C41" s="124" t="s">
        <v>216</v>
      </c>
      <c r="D41" s="123">
        <v>100</v>
      </c>
    </row>
    <row r="42" spans="1:4" x14ac:dyDescent="0.2">
      <c r="A42" t="s">
        <v>51</v>
      </c>
      <c r="B42" s="9" t="s">
        <v>76</v>
      </c>
      <c r="C42" s="124" t="s">
        <v>216</v>
      </c>
      <c r="D42" s="123">
        <v>99</v>
      </c>
    </row>
    <row r="43" spans="1:4" x14ac:dyDescent="0.2">
      <c r="A43" t="s">
        <v>51</v>
      </c>
      <c r="B43" s="9" t="s">
        <v>76</v>
      </c>
      <c r="C43" s="124" t="s">
        <v>216</v>
      </c>
      <c r="D43" s="123">
        <v>80</v>
      </c>
    </row>
    <row r="44" spans="1:4" x14ac:dyDescent="0.2">
      <c r="A44" t="s">
        <v>51</v>
      </c>
      <c r="B44" s="9" t="s">
        <v>76</v>
      </c>
      <c r="C44" s="124" t="s">
        <v>216</v>
      </c>
      <c r="D44" s="123">
        <v>80</v>
      </c>
    </row>
    <row r="45" spans="1:4" x14ac:dyDescent="0.2">
      <c r="A45" t="s">
        <v>51</v>
      </c>
      <c r="B45" s="9" t="s">
        <v>76</v>
      </c>
      <c r="C45" s="124" t="s">
        <v>216</v>
      </c>
      <c r="D45" s="123">
        <v>80</v>
      </c>
    </row>
    <row r="46" spans="1:4" x14ac:dyDescent="0.2">
      <c r="A46" t="s">
        <v>51</v>
      </c>
      <c r="B46" s="9" t="s">
        <v>76</v>
      </c>
      <c r="C46" s="124" t="s">
        <v>216</v>
      </c>
      <c r="D46" s="123">
        <v>75</v>
      </c>
    </row>
    <row r="47" spans="1:4" x14ac:dyDescent="0.2">
      <c r="A47" t="s">
        <v>51</v>
      </c>
      <c r="B47" s="9" t="s">
        <v>76</v>
      </c>
      <c r="C47" s="124" t="s">
        <v>216</v>
      </c>
      <c r="D47" s="123">
        <v>74</v>
      </c>
    </row>
    <row r="48" spans="1:4" x14ac:dyDescent="0.2">
      <c r="A48" t="s">
        <v>51</v>
      </c>
      <c r="B48" s="9" t="s">
        <v>76</v>
      </c>
      <c r="C48" s="124" t="s">
        <v>216</v>
      </c>
      <c r="D48" s="123">
        <v>74</v>
      </c>
    </row>
    <row r="49" spans="1:4" x14ac:dyDescent="0.2">
      <c r="A49" t="s">
        <v>51</v>
      </c>
      <c r="B49" s="9" t="s">
        <v>76</v>
      </c>
      <c r="C49" s="124" t="s">
        <v>216</v>
      </c>
      <c r="D49" s="123">
        <v>60</v>
      </c>
    </row>
    <row r="50" spans="1:4" x14ac:dyDescent="0.2">
      <c r="A50" s="9" t="s">
        <v>51</v>
      </c>
      <c r="B50" s="9" t="s">
        <v>76</v>
      </c>
      <c r="C50" s="124" t="s">
        <v>216</v>
      </c>
      <c r="D50" s="123">
        <v>50</v>
      </c>
    </row>
    <row r="51" spans="1:4" x14ac:dyDescent="0.2">
      <c r="A51" t="s">
        <v>70</v>
      </c>
      <c r="B51" s="9" t="s">
        <v>75</v>
      </c>
      <c r="C51" s="124" t="s">
        <v>215</v>
      </c>
      <c r="D51" s="123">
        <v>849</v>
      </c>
    </row>
    <row r="52" spans="1:4" x14ac:dyDescent="0.2">
      <c r="A52" t="s">
        <v>70</v>
      </c>
      <c r="B52" s="9" t="s">
        <v>75</v>
      </c>
      <c r="C52" s="124" t="s">
        <v>215</v>
      </c>
      <c r="D52" s="123">
        <v>659</v>
      </c>
    </row>
    <row r="53" spans="1:4" x14ac:dyDescent="0.2">
      <c r="A53" t="s">
        <v>70</v>
      </c>
      <c r="B53" s="9" t="s">
        <v>75</v>
      </c>
      <c r="C53" s="124" t="s">
        <v>215</v>
      </c>
      <c r="D53" s="123">
        <v>629</v>
      </c>
    </row>
    <row r="54" spans="1:4" x14ac:dyDescent="0.2">
      <c r="A54" t="s">
        <v>70</v>
      </c>
      <c r="B54" s="9" t="s">
        <v>75</v>
      </c>
      <c r="C54" s="124" t="s">
        <v>215</v>
      </c>
      <c r="D54" s="123">
        <v>297</v>
      </c>
    </row>
    <row r="55" spans="1:4" x14ac:dyDescent="0.2">
      <c r="A55" t="s">
        <v>70</v>
      </c>
      <c r="B55" s="9" t="s">
        <v>75</v>
      </c>
      <c r="C55" s="124" t="s">
        <v>215</v>
      </c>
      <c r="D55" s="123">
        <v>287</v>
      </c>
    </row>
    <row r="56" spans="1:4" x14ac:dyDescent="0.2">
      <c r="A56" t="s">
        <v>51</v>
      </c>
      <c r="B56" s="9" t="s">
        <v>75</v>
      </c>
      <c r="C56" s="124" t="s">
        <v>215</v>
      </c>
      <c r="D56" s="123">
        <v>849</v>
      </c>
    </row>
    <row r="57" spans="1:4" x14ac:dyDescent="0.2">
      <c r="A57" t="s">
        <v>51</v>
      </c>
      <c r="B57" s="9" t="s">
        <v>75</v>
      </c>
      <c r="C57" s="124" t="s">
        <v>215</v>
      </c>
      <c r="D57" s="123">
        <v>769</v>
      </c>
    </row>
    <row r="58" spans="1:4" x14ac:dyDescent="0.2">
      <c r="A58" t="s">
        <v>51</v>
      </c>
      <c r="B58" s="9" t="s">
        <v>75</v>
      </c>
      <c r="C58" s="124" t="s">
        <v>215</v>
      </c>
      <c r="D58" s="123">
        <v>659</v>
      </c>
    </row>
    <row r="59" spans="1:4" x14ac:dyDescent="0.2">
      <c r="A59" t="s">
        <v>51</v>
      </c>
      <c r="B59" s="9" t="s">
        <v>75</v>
      </c>
      <c r="C59" s="124" t="s">
        <v>215</v>
      </c>
      <c r="D59" s="123">
        <v>628</v>
      </c>
    </row>
    <row r="60" spans="1:4" x14ac:dyDescent="0.2">
      <c r="A60" t="s">
        <v>51</v>
      </c>
      <c r="B60" s="9" t="s">
        <v>75</v>
      </c>
      <c r="C60" s="124" t="s">
        <v>215</v>
      </c>
      <c r="D60" s="123">
        <v>599</v>
      </c>
    </row>
    <row r="61" spans="1:4" x14ac:dyDescent="0.2">
      <c r="A61" t="s">
        <v>51</v>
      </c>
      <c r="B61" s="9" t="s">
        <v>75</v>
      </c>
      <c r="C61" s="124" t="s">
        <v>215</v>
      </c>
      <c r="D61" s="123">
        <v>499</v>
      </c>
    </row>
    <row r="62" spans="1:4" x14ac:dyDescent="0.2">
      <c r="A62" t="s">
        <v>51</v>
      </c>
      <c r="B62" s="9" t="s">
        <v>75</v>
      </c>
      <c r="C62" s="124" t="s">
        <v>215</v>
      </c>
      <c r="D62" s="123">
        <v>459</v>
      </c>
    </row>
    <row r="63" spans="1:4" x14ac:dyDescent="0.2">
      <c r="A63" t="s">
        <v>51</v>
      </c>
      <c r="B63" s="9" t="s">
        <v>75</v>
      </c>
      <c r="C63" s="124" t="s">
        <v>215</v>
      </c>
      <c r="D63" s="123">
        <v>459</v>
      </c>
    </row>
    <row r="64" spans="1:4" x14ac:dyDescent="0.2">
      <c r="A64" t="s">
        <v>51</v>
      </c>
      <c r="B64" s="9" t="s">
        <v>75</v>
      </c>
      <c r="C64" s="124" t="s">
        <v>215</v>
      </c>
      <c r="D64" s="123">
        <v>459</v>
      </c>
    </row>
    <row r="65" spans="1:4" x14ac:dyDescent="0.2">
      <c r="A65" t="s">
        <v>51</v>
      </c>
      <c r="B65" s="9" t="s">
        <v>75</v>
      </c>
      <c r="C65" s="124" t="s">
        <v>215</v>
      </c>
      <c r="D65" s="123">
        <v>399</v>
      </c>
    </row>
    <row r="66" spans="1:4" x14ac:dyDescent="0.2">
      <c r="A66" t="s">
        <v>51</v>
      </c>
      <c r="B66" s="9" t="s">
        <v>75</v>
      </c>
      <c r="C66" s="124" t="s">
        <v>215</v>
      </c>
      <c r="D66" s="123">
        <v>399</v>
      </c>
    </row>
    <row r="67" spans="1:4" x14ac:dyDescent="0.2">
      <c r="A67" t="s">
        <v>51</v>
      </c>
      <c r="B67" s="9" t="s">
        <v>75</v>
      </c>
      <c r="C67" s="124" t="s">
        <v>215</v>
      </c>
      <c r="D67" s="123">
        <v>369</v>
      </c>
    </row>
    <row r="68" spans="1:4" x14ac:dyDescent="0.2">
      <c r="A68" t="s">
        <v>51</v>
      </c>
      <c r="B68" s="9" t="s">
        <v>75</v>
      </c>
      <c r="C68" s="124" t="s">
        <v>215</v>
      </c>
      <c r="D68" s="123">
        <v>329</v>
      </c>
    </row>
    <row r="69" spans="1:4" x14ac:dyDescent="0.2">
      <c r="A69" t="s">
        <v>51</v>
      </c>
      <c r="B69" s="9" t="s">
        <v>75</v>
      </c>
      <c r="C69" s="124" t="s">
        <v>215</v>
      </c>
      <c r="D69" s="123">
        <v>299</v>
      </c>
    </row>
    <row r="70" spans="1:4" x14ac:dyDescent="0.2">
      <c r="A70" t="s">
        <v>51</v>
      </c>
      <c r="B70" s="9" t="s">
        <v>75</v>
      </c>
      <c r="C70" s="124" t="s">
        <v>215</v>
      </c>
      <c r="D70" s="123">
        <v>299</v>
      </c>
    </row>
    <row r="71" spans="1:4" x14ac:dyDescent="0.2">
      <c r="A71" t="s">
        <v>51</v>
      </c>
      <c r="B71" s="9" t="s">
        <v>75</v>
      </c>
      <c r="C71" s="124" t="s">
        <v>215</v>
      </c>
      <c r="D71" s="123">
        <v>248</v>
      </c>
    </row>
    <row r="72" spans="1:4" x14ac:dyDescent="0.2">
      <c r="A72" t="s">
        <v>70</v>
      </c>
      <c r="B72" s="9" t="s">
        <v>75</v>
      </c>
      <c r="C72" s="124" t="s">
        <v>216</v>
      </c>
      <c r="D72" s="123">
        <v>699</v>
      </c>
    </row>
    <row r="73" spans="1:4" x14ac:dyDescent="0.2">
      <c r="A73" t="s">
        <v>70</v>
      </c>
      <c r="B73" s="9" t="s">
        <v>75</v>
      </c>
      <c r="C73" s="124" t="s">
        <v>216</v>
      </c>
      <c r="D73" s="123">
        <v>629</v>
      </c>
    </row>
    <row r="74" spans="1:4" x14ac:dyDescent="0.2">
      <c r="A74" s="9" t="s">
        <v>70</v>
      </c>
      <c r="B74" t="s">
        <v>75</v>
      </c>
      <c r="C74" s="124" t="s">
        <v>216</v>
      </c>
      <c r="D74" s="123">
        <v>549</v>
      </c>
    </row>
    <row r="75" spans="1:4" x14ac:dyDescent="0.2">
      <c r="A75" s="9" t="s">
        <v>70</v>
      </c>
      <c r="B75" s="9" t="s">
        <v>75</v>
      </c>
      <c r="C75" s="124" t="s">
        <v>216</v>
      </c>
      <c r="D75" s="123">
        <v>329</v>
      </c>
    </row>
    <row r="76" spans="1:4" x14ac:dyDescent="0.2">
      <c r="A76" s="9" t="s">
        <v>70</v>
      </c>
      <c r="B76" s="9" t="s">
        <v>75</v>
      </c>
      <c r="C76" s="124" t="s">
        <v>216</v>
      </c>
      <c r="D76" s="123">
        <v>300</v>
      </c>
    </row>
    <row r="77" spans="1:4" x14ac:dyDescent="0.2">
      <c r="A77" s="9" t="s">
        <v>70</v>
      </c>
      <c r="B77" s="9" t="s">
        <v>75</v>
      </c>
      <c r="C77" s="124" t="s">
        <v>216</v>
      </c>
      <c r="D77" s="123">
        <v>190</v>
      </c>
    </row>
    <row r="78" spans="1:4" x14ac:dyDescent="0.2">
      <c r="A78" s="9" t="s">
        <v>70</v>
      </c>
      <c r="B78" s="9" t="s">
        <v>75</v>
      </c>
      <c r="C78" s="124" t="s">
        <v>216</v>
      </c>
      <c r="D78" s="123">
        <v>183</v>
      </c>
    </row>
    <row r="79" spans="1:4" x14ac:dyDescent="0.2">
      <c r="A79" s="9" t="s">
        <v>70</v>
      </c>
      <c r="B79" s="9" t="s">
        <v>75</v>
      </c>
      <c r="C79" s="124" t="s">
        <v>216</v>
      </c>
      <c r="D79" s="123">
        <v>150</v>
      </c>
    </row>
    <row r="80" spans="1:4" x14ac:dyDescent="0.2">
      <c r="A80" s="9" t="s">
        <v>70</v>
      </c>
      <c r="B80" s="9" t="s">
        <v>75</v>
      </c>
      <c r="C80" s="124" t="s">
        <v>216</v>
      </c>
      <c r="D80" s="123">
        <v>138</v>
      </c>
    </row>
    <row r="81" spans="1:4" x14ac:dyDescent="0.2">
      <c r="A81" s="9" t="s">
        <v>70</v>
      </c>
      <c r="B81" s="9" t="s">
        <v>75</v>
      </c>
      <c r="C81" s="124" t="s">
        <v>216</v>
      </c>
      <c r="D81" s="123">
        <v>130</v>
      </c>
    </row>
    <row r="82" spans="1:4" x14ac:dyDescent="0.2">
      <c r="A82" s="9" t="s">
        <v>70</v>
      </c>
      <c r="B82" s="9" t="s">
        <v>75</v>
      </c>
      <c r="C82" s="124" t="s">
        <v>216</v>
      </c>
      <c r="D82" s="123">
        <v>120</v>
      </c>
    </row>
    <row r="83" spans="1:4" x14ac:dyDescent="0.2">
      <c r="A83" s="9" t="s">
        <v>51</v>
      </c>
      <c r="B83" s="9" t="s">
        <v>75</v>
      </c>
      <c r="C83" s="124" t="s">
        <v>216</v>
      </c>
      <c r="D83" s="123">
        <v>699</v>
      </c>
    </row>
    <row r="84" spans="1:4" x14ac:dyDescent="0.2">
      <c r="A84" s="9" t="s">
        <v>51</v>
      </c>
      <c r="B84" s="9" t="s">
        <v>75</v>
      </c>
      <c r="C84" s="124" t="s">
        <v>216</v>
      </c>
      <c r="D84" s="123">
        <v>549</v>
      </c>
    </row>
    <row r="85" spans="1:4" x14ac:dyDescent="0.2">
      <c r="A85" s="9" t="s">
        <v>51</v>
      </c>
      <c r="B85" s="9" t="s">
        <v>75</v>
      </c>
      <c r="C85" s="124" t="s">
        <v>216</v>
      </c>
      <c r="D85" s="123">
        <v>439</v>
      </c>
    </row>
    <row r="86" spans="1:4" x14ac:dyDescent="0.2">
      <c r="A86" s="9" t="s">
        <v>51</v>
      </c>
      <c r="B86" s="9" t="s">
        <v>75</v>
      </c>
      <c r="C86" s="124" t="s">
        <v>216</v>
      </c>
      <c r="D86" s="123">
        <v>400</v>
      </c>
    </row>
    <row r="87" spans="1:4" x14ac:dyDescent="0.2">
      <c r="A87" s="9" t="s">
        <v>51</v>
      </c>
      <c r="B87" s="9" t="s">
        <v>75</v>
      </c>
      <c r="C87" s="124" t="s">
        <v>216</v>
      </c>
      <c r="D87" s="123">
        <v>379</v>
      </c>
    </row>
    <row r="88" spans="1:4" x14ac:dyDescent="0.2">
      <c r="A88" s="9" t="s">
        <v>51</v>
      </c>
      <c r="B88" s="9" t="s">
        <v>75</v>
      </c>
      <c r="C88" s="124" t="s">
        <v>216</v>
      </c>
      <c r="D88" s="123">
        <v>350</v>
      </c>
    </row>
    <row r="89" spans="1:4" x14ac:dyDescent="0.2">
      <c r="A89" s="9" t="s">
        <v>51</v>
      </c>
      <c r="B89" s="9" t="s">
        <v>75</v>
      </c>
      <c r="C89" s="124" t="s">
        <v>216</v>
      </c>
      <c r="D89" s="123">
        <v>329</v>
      </c>
    </row>
    <row r="90" spans="1:4" x14ac:dyDescent="0.2">
      <c r="A90" s="9" t="s">
        <v>51</v>
      </c>
      <c r="B90" t="s">
        <v>75</v>
      </c>
      <c r="C90" s="124" t="s">
        <v>216</v>
      </c>
      <c r="D90" s="123">
        <v>299</v>
      </c>
    </row>
    <row r="91" spans="1:4" x14ac:dyDescent="0.2">
      <c r="A91" s="9" t="s">
        <v>51</v>
      </c>
      <c r="B91" s="9" t="s">
        <v>75</v>
      </c>
      <c r="C91" s="124" t="s">
        <v>216</v>
      </c>
      <c r="D91" s="123">
        <v>279</v>
      </c>
    </row>
    <row r="92" spans="1:4" x14ac:dyDescent="0.2">
      <c r="A92" s="9" t="s">
        <v>51</v>
      </c>
      <c r="B92" s="9" t="s">
        <v>75</v>
      </c>
      <c r="C92" s="124" t="s">
        <v>216</v>
      </c>
      <c r="D92" s="123">
        <v>238</v>
      </c>
    </row>
    <row r="93" spans="1:4" x14ac:dyDescent="0.2">
      <c r="A93" s="9" t="s">
        <v>51</v>
      </c>
      <c r="B93" s="9" t="s">
        <v>75</v>
      </c>
      <c r="C93" s="124" t="s">
        <v>216</v>
      </c>
      <c r="D93" s="123">
        <v>238</v>
      </c>
    </row>
    <row r="94" spans="1:4" x14ac:dyDescent="0.2">
      <c r="A94" s="9" t="s">
        <v>51</v>
      </c>
      <c r="B94" s="9" t="s">
        <v>75</v>
      </c>
      <c r="C94" s="124" t="s">
        <v>216</v>
      </c>
      <c r="D94" s="123">
        <v>229</v>
      </c>
    </row>
    <row r="95" spans="1:4" x14ac:dyDescent="0.2">
      <c r="A95" s="9" t="s">
        <v>51</v>
      </c>
      <c r="B95" s="9" t="s">
        <v>75</v>
      </c>
      <c r="C95" s="124" t="s">
        <v>216</v>
      </c>
      <c r="D95" s="123">
        <v>219</v>
      </c>
    </row>
    <row r="96" spans="1:4" x14ac:dyDescent="0.2">
      <c r="A96" s="9" t="s">
        <v>51</v>
      </c>
      <c r="B96" s="9" t="s">
        <v>75</v>
      </c>
      <c r="C96" s="124" t="s">
        <v>216</v>
      </c>
      <c r="D96" s="123">
        <v>219</v>
      </c>
    </row>
    <row r="97" spans="1:4" x14ac:dyDescent="0.2">
      <c r="A97" s="9" t="s">
        <v>51</v>
      </c>
      <c r="B97" s="9" t="s">
        <v>75</v>
      </c>
      <c r="C97" s="124" t="s">
        <v>216</v>
      </c>
      <c r="D97" s="123">
        <v>200</v>
      </c>
    </row>
    <row r="98" spans="1:4" x14ac:dyDescent="0.2">
      <c r="A98" s="9" t="s">
        <v>51</v>
      </c>
      <c r="B98" s="9" t="s">
        <v>75</v>
      </c>
      <c r="C98" s="124" t="s">
        <v>216</v>
      </c>
      <c r="D98" s="123">
        <v>199</v>
      </c>
    </row>
    <row r="99" spans="1:4" x14ac:dyDescent="0.2">
      <c r="A99" s="9" t="s">
        <v>51</v>
      </c>
      <c r="B99" s="9" t="s">
        <v>75</v>
      </c>
      <c r="C99" s="124" t="s">
        <v>216</v>
      </c>
      <c r="D99" s="123">
        <v>199</v>
      </c>
    </row>
    <row r="100" spans="1:4" x14ac:dyDescent="0.2">
      <c r="A100" s="9" t="s">
        <v>51</v>
      </c>
      <c r="B100" s="9" t="s">
        <v>75</v>
      </c>
      <c r="C100" s="124" t="s">
        <v>216</v>
      </c>
      <c r="D100" s="123">
        <v>199</v>
      </c>
    </row>
    <row r="101" spans="1:4" x14ac:dyDescent="0.2">
      <c r="A101" s="9" t="s">
        <v>51</v>
      </c>
      <c r="B101" s="9" t="s">
        <v>75</v>
      </c>
      <c r="C101" s="124" t="s">
        <v>216</v>
      </c>
      <c r="D101" s="123">
        <v>198</v>
      </c>
    </row>
    <row r="102" spans="1:4" x14ac:dyDescent="0.2">
      <c r="A102" s="9" t="s">
        <v>51</v>
      </c>
      <c r="B102" s="9" t="s">
        <v>75</v>
      </c>
      <c r="C102" s="124" t="s">
        <v>216</v>
      </c>
      <c r="D102" s="123">
        <v>189</v>
      </c>
    </row>
    <row r="103" spans="1:4" x14ac:dyDescent="0.2">
      <c r="A103" s="9" t="s">
        <v>51</v>
      </c>
      <c r="B103" s="9" t="s">
        <v>75</v>
      </c>
      <c r="C103" s="124" t="s">
        <v>216</v>
      </c>
      <c r="D103" s="123">
        <v>179</v>
      </c>
    </row>
    <row r="104" spans="1:4" x14ac:dyDescent="0.2">
      <c r="A104" s="9" t="s">
        <v>51</v>
      </c>
      <c r="B104" s="9" t="s">
        <v>75</v>
      </c>
      <c r="C104" s="124" t="s">
        <v>216</v>
      </c>
      <c r="D104" s="123">
        <v>179</v>
      </c>
    </row>
    <row r="105" spans="1:4" x14ac:dyDescent="0.2">
      <c r="A105" s="9" t="s">
        <v>51</v>
      </c>
      <c r="B105" s="9" t="s">
        <v>75</v>
      </c>
      <c r="C105" s="124" t="s">
        <v>216</v>
      </c>
      <c r="D105" s="123">
        <v>179</v>
      </c>
    </row>
    <row r="106" spans="1:4" x14ac:dyDescent="0.2">
      <c r="A106" s="9" t="s">
        <v>51</v>
      </c>
      <c r="B106" s="9" t="s">
        <v>75</v>
      </c>
      <c r="C106" s="124" t="s">
        <v>216</v>
      </c>
      <c r="D106" s="123">
        <v>169</v>
      </c>
    </row>
    <row r="107" spans="1:4" x14ac:dyDescent="0.2">
      <c r="A107" s="9" t="s">
        <v>51</v>
      </c>
      <c r="B107" s="9" t="s">
        <v>75</v>
      </c>
      <c r="C107" s="124" t="s">
        <v>216</v>
      </c>
      <c r="D107" s="123">
        <v>168</v>
      </c>
    </row>
    <row r="108" spans="1:4" x14ac:dyDescent="0.2">
      <c r="A108" s="9" t="s">
        <v>51</v>
      </c>
      <c r="B108" s="9" t="s">
        <v>75</v>
      </c>
      <c r="C108" s="124" t="s">
        <v>216</v>
      </c>
      <c r="D108" s="123">
        <v>164</v>
      </c>
    </row>
    <row r="109" spans="1:4" x14ac:dyDescent="0.2">
      <c r="A109" s="9" t="s">
        <v>51</v>
      </c>
      <c r="B109" s="9" t="s">
        <v>75</v>
      </c>
      <c r="C109" s="124" t="s">
        <v>216</v>
      </c>
      <c r="D109" s="123">
        <v>159</v>
      </c>
    </row>
    <row r="110" spans="1:4" x14ac:dyDescent="0.2">
      <c r="A110" s="9" t="s">
        <v>51</v>
      </c>
      <c r="B110" s="9" t="s">
        <v>75</v>
      </c>
      <c r="C110" s="124" t="s">
        <v>216</v>
      </c>
      <c r="D110" s="123">
        <v>158</v>
      </c>
    </row>
    <row r="111" spans="1:4" x14ac:dyDescent="0.2">
      <c r="A111" s="9" t="s">
        <v>51</v>
      </c>
      <c r="B111" s="9" t="s">
        <v>75</v>
      </c>
      <c r="C111" s="124" t="s">
        <v>216</v>
      </c>
      <c r="D111" s="123">
        <v>149</v>
      </c>
    </row>
    <row r="112" spans="1:4" x14ac:dyDescent="0.2">
      <c r="A112" s="9" t="s">
        <v>51</v>
      </c>
      <c r="B112" s="9" t="s">
        <v>75</v>
      </c>
      <c r="C112" s="124" t="s">
        <v>216</v>
      </c>
      <c r="D112" s="123">
        <v>138</v>
      </c>
    </row>
    <row r="113" spans="1:4" x14ac:dyDescent="0.2">
      <c r="A113" s="9" t="s">
        <v>51</v>
      </c>
      <c r="B113" s="9" t="s">
        <v>75</v>
      </c>
      <c r="C113" s="124" t="s">
        <v>216</v>
      </c>
      <c r="D113" s="123">
        <v>138</v>
      </c>
    </row>
    <row r="114" spans="1:4" x14ac:dyDescent="0.2">
      <c r="A114" s="9" t="s">
        <v>51</v>
      </c>
      <c r="B114" s="9" t="s">
        <v>75</v>
      </c>
      <c r="C114" s="124" t="s">
        <v>216</v>
      </c>
      <c r="D114" s="123">
        <v>129</v>
      </c>
    </row>
    <row r="115" spans="1:4" x14ac:dyDescent="0.2">
      <c r="A115" s="9" t="s">
        <v>51</v>
      </c>
      <c r="B115" s="9" t="s">
        <v>75</v>
      </c>
      <c r="C115" s="124" t="s">
        <v>216</v>
      </c>
      <c r="D115" s="123">
        <v>109</v>
      </c>
    </row>
    <row r="116" spans="1:4" x14ac:dyDescent="0.2">
      <c r="A116" s="9" t="s">
        <v>51</v>
      </c>
      <c r="B116" s="9" t="s">
        <v>75</v>
      </c>
      <c r="C116" s="124" t="s">
        <v>216</v>
      </c>
      <c r="D116" s="123">
        <v>99</v>
      </c>
    </row>
    <row r="117" spans="1:4" x14ac:dyDescent="0.2">
      <c r="A117" s="9" t="s">
        <v>51</v>
      </c>
      <c r="B117" s="9" t="s">
        <v>75</v>
      </c>
      <c r="C117" s="124" t="s">
        <v>216</v>
      </c>
      <c r="D117" s="123">
        <v>59</v>
      </c>
    </row>
    <row r="118" spans="1:4" x14ac:dyDescent="0.2">
      <c r="A118" s="9" t="s">
        <v>86</v>
      </c>
      <c r="B118" s="126" t="s">
        <v>75</v>
      </c>
      <c r="C118" s="124" t="s">
        <v>216</v>
      </c>
      <c r="D118" s="123">
        <v>237.27</v>
      </c>
    </row>
  </sheetData>
  <autoFilter ref="A1:D118">
    <sortState ref="A2:D118">
      <sortCondition ref="B2:B118"/>
      <sortCondition ref="C2:C118"/>
    </sortState>
  </autoFilter>
  <sortState ref="A1:D117">
    <sortCondition ref="B1:B117"/>
  </sortState>
  <mergeCells count="2">
    <mergeCell ref="F2:F3"/>
    <mergeCell ref="F4:F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workbookViewId="0">
      <pane xSplit="1" ySplit="1" topLeftCell="B9" activePane="bottomRight" state="frozen"/>
      <selection pane="topRight" activeCell="B1" sqref="B1"/>
      <selection pane="bottomLeft" activeCell="A2" sqref="A2"/>
      <selection pane="bottomRight" activeCell="H1" sqref="H1:H1048576"/>
    </sheetView>
  </sheetViews>
  <sheetFormatPr defaultRowHeight="12.75" x14ac:dyDescent="0.2"/>
  <cols>
    <col min="1" max="1" width="13.140625" bestFit="1" customWidth="1"/>
  </cols>
  <sheetData>
    <row r="1" spans="1:8" x14ac:dyDescent="0.2">
      <c r="B1" t="s">
        <v>188</v>
      </c>
      <c r="C1" t="s">
        <v>53</v>
      </c>
      <c r="D1" t="s">
        <v>54</v>
      </c>
      <c r="E1" t="s">
        <v>51</v>
      </c>
      <c r="F1" t="s">
        <v>70</v>
      </c>
      <c r="G1" t="s">
        <v>299</v>
      </c>
    </row>
    <row r="2" spans="1:8" x14ac:dyDescent="0.2">
      <c r="A2" t="s">
        <v>230</v>
      </c>
      <c r="B2" t="s">
        <v>239</v>
      </c>
      <c r="G2" t="s">
        <v>239</v>
      </c>
      <c r="H2">
        <v>1</v>
      </c>
    </row>
    <row r="3" spans="1:8" x14ac:dyDescent="0.2">
      <c r="A3" t="s">
        <v>231</v>
      </c>
      <c r="B3" s="9" t="s">
        <v>239</v>
      </c>
      <c r="D3" t="s">
        <v>239</v>
      </c>
      <c r="E3" t="s">
        <v>239</v>
      </c>
      <c r="F3" t="s">
        <v>239</v>
      </c>
      <c r="G3" t="s">
        <v>239</v>
      </c>
      <c r="H3" s="9">
        <v>1</v>
      </c>
    </row>
    <row r="4" spans="1:8" x14ac:dyDescent="0.2">
      <c r="A4" t="s">
        <v>232</v>
      </c>
      <c r="B4" s="9" t="s">
        <v>239</v>
      </c>
      <c r="E4" t="s">
        <v>239</v>
      </c>
      <c r="F4" t="s">
        <v>239</v>
      </c>
      <c r="G4" t="s">
        <v>239</v>
      </c>
      <c r="H4" s="9">
        <v>1</v>
      </c>
    </row>
    <row r="5" spans="1:8" x14ac:dyDescent="0.2">
      <c r="A5" t="s">
        <v>233</v>
      </c>
      <c r="B5" s="9" t="s">
        <v>239</v>
      </c>
      <c r="C5" t="s">
        <v>239</v>
      </c>
      <c r="D5" t="s">
        <v>239</v>
      </c>
      <c r="E5" t="s">
        <v>239</v>
      </c>
      <c r="G5" t="s">
        <v>239</v>
      </c>
      <c r="H5" s="9">
        <v>1</v>
      </c>
    </row>
    <row r="6" spans="1:8" x14ac:dyDescent="0.2">
      <c r="A6" t="s">
        <v>234</v>
      </c>
      <c r="B6" s="9" t="s">
        <v>239</v>
      </c>
      <c r="E6" t="s">
        <v>239</v>
      </c>
      <c r="H6" s="9">
        <v>1</v>
      </c>
    </row>
    <row r="7" spans="1:8" x14ac:dyDescent="0.2">
      <c r="A7" t="s">
        <v>235</v>
      </c>
      <c r="B7" s="9" t="s">
        <v>239</v>
      </c>
      <c r="E7" t="s">
        <v>239</v>
      </c>
      <c r="G7" t="s">
        <v>239</v>
      </c>
      <c r="H7" s="9">
        <v>1</v>
      </c>
    </row>
    <row r="8" spans="1:8" x14ac:dyDescent="0.2">
      <c r="A8" t="s">
        <v>236</v>
      </c>
      <c r="B8" s="9" t="s">
        <v>239</v>
      </c>
      <c r="H8" s="9">
        <v>1</v>
      </c>
    </row>
    <row r="9" spans="1:8" x14ac:dyDescent="0.2">
      <c r="A9" t="s">
        <v>237</v>
      </c>
      <c r="B9" s="9" t="s">
        <v>239</v>
      </c>
      <c r="C9" t="s">
        <v>239</v>
      </c>
      <c r="D9" t="s">
        <v>239</v>
      </c>
      <c r="E9" t="s">
        <v>239</v>
      </c>
      <c r="F9" t="s">
        <v>239</v>
      </c>
      <c r="G9" t="s">
        <v>239</v>
      </c>
      <c r="H9" s="9">
        <v>1</v>
      </c>
    </row>
    <row r="10" spans="1:8" x14ac:dyDescent="0.2">
      <c r="A10" t="s">
        <v>238</v>
      </c>
      <c r="B10" s="9" t="s">
        <v>239</v>
      </c>
      <c r="E10" t="s">
        <v>239</v>
      </c>
      <c r="F10" t="s">
        <v>239</v>
      </c>
      <c r="G10" t="s">
        <v>239</v>
      </c>
      <c r="H10" s="9">
        <v>1</v>
      </c>
    </row>
    <row r="11" spans="1:8" x14ac:dyDescent="0.2">
      <c r="A11" t="s">
        <v>240</v>
      </c>
      <c r="C11" t="s">
        <v>239</v>
      </c>
      <c r="E11" t="s">
        <v>239</v>
      </c>
      <c r="G11" t="s">
        <v>239</v>
      </c>
      <c r="H11" s="9">
        <v>1</v>
      </c>
    </row>
    <row r="12" spans="1:8" x14ac:dyDescent="0.2">
      <c r="A12" t="s">
        <v>241</v>
      </c>
      <c r="C12" s="9" t="s">
        <v>239</v>
      </c>
      <c r="H12" s="9">
        <v>1</v>
      </c>
    </row>
    <row r="13" spans="1:8" x14ac:dyDescent="0.2">
      <c r="A13" t="s">
        <v>242</v>
      </c>
      <c r="C13" s="9" t="s">
        <v>239</v>
      </c>
      <c r="D13" t="s">
        <v>239</v>
      </c>
      <c r="H13" s="9">
        <v>1</v>
      </c>
    </row>
    <row r="14" spans="1:8" x14ac:dyDescent="0.2">
      <c r="A14" t="s">
        <v>243</v>
      </c>
      <c r="C14" s="9" t="s">
        <v>239</v>
      </c>
      <c r="E14" t="s">
        <v>239</v>
      </c>
      <c r="H14" s="9">
        <v>1</v>
      </c>
    </row>
    <row r="15" spans="1:8" x14ac:dyDescent="0.2">
      <c r="A15" t="s">
        <v>244</v>
      </c>
      <c r="C15" s="9" t="s">
        <v>239</v>
      </c>
      <c r="H15" s="9">
        <v>1</v>
      </c>
    </row>
    <row r="16" spans="1:8" x14ac:dyDescent="0.2">
      <c r="A16" t="s">
        <v>245</v>
      </c>
      <c r="C16" s="9" t="s">
        <v>239</v>
      </c>
      <c r="E16" t="s">
        <v>239</v>
      </c>
      <c r="H16" s="9">
        <v>1</v>
      </c>
    </row>
    <row r="17" spans="1:8" x14ac:dyDescent="0.2">
      <c r="A17" t="s">
        <v>246</v>
      </c>
      <c r="C17" s="9" t="s">
        <v>239</v>
      </c>
      <c r="D17" t="s">
        <v>239</v>
      </c>
      <c r="E17" t="s">
        <v>239</v>
      </c>
      <c r="G17" t="s">
        <v>239</v>
      </c>
      <c r="H17" s="9">
        <v>1</v>
      </c>
    </row>
    <row r="18" spans="1:8" x14ac:dyDescent="0.2">
      <c r="A18" t="s">
        <v>247</v>
      </c>
      <c r="C18" s="9" t="s">
        <v>239</v>
      </c>
      <c r="H18" s="9">
        <v>1</v>
      </c>
    </row>
    <row r="19" spans="1:8" x14ac:dyDescent="0.2">
      <c r="A19" t="s">
        <v>248</v>
      </c>
      <c r="C19" s="9" t="s">
        <v>239</v>
      </c>
      <c r="D19" t="s">
        <v>239</v>
      </c>
      <c r="E19" t="s">
        <v>239</v>
      </c>
      <c r="F19" t="s">
        <v>239</v>
      </c>
      <c r="G19" t="s">
        <v>239</v>
      </c>
      <c r="H19" s="9">
        <v>1</v>
      </c>
    </row>
    <row r="20" spans="1:8" x14ac:dyDescent="0.2">
      <c r="A20" t="s">
        <v>249</v>
      </c>
      <c r="C20" s="9" t="s">
        <v>239</v>
      </c>
      <c r="D20" t="s">
        <v>239</v>
      </c>
      <c r="E20" t="s">
        <v>239</v>
      </c>
      <c r="H20" s="9">
        <v>1</v>
      </c>
    </row>
    <row r="21" spans="1:8" x14ac:dyDescent="0.2">
      <c r="A21" t="s">
        <v>250</v>
      </c>
      <c r="C21" s="9" t="s">
        <v>239</v>
      </c>
      <c r="D21" t="s">
        <v>239</v>
      </c>
      <c r="H21" s="9">
        <v>1</v>
      </c>
    </row>
    <row r="22" spans="1:8" x14ac:dyDescent="0.2">
      <c r="A22" t="s">
        <v>251</v>
      </c>
      <c r="C22" s="9" t="s">
        <v>239</v>
      </c>
      <c r="D22" t="s">
        <v>239</v>
      </c>
      <c r="H22" s="9">
        <v>1</v>
      </c>
    </row>
    <row r="23" spans="1:8" x14ac:dyDescent="0.2">
      <c r="A23" t="s">
        <v>252</v>
      </c>
      <c r="C23" s="9" t="s">
        <v>239</v>
      </c>
      <c r="D23" t="s">
        <v>239</v>
      </c>
      <c r="H23" s="9">
        <v>1</v>
      </c>
    </row>
    <row r="24" spans="1:8" x14ac:dyDescent="0.2">
      <c r="A24" t="s">
        <v>253</v>
      </c>
      <c r="C24" s="9" t="s">
        <v>239</v>
      </c>
      <c r="H24" s="9">
        <v>1</v>
      </c>
    </row>
    <row r="25" spans="1:8" x14ac:dyDescent="0.2">
      <c r="A25" t="s">
        <v>254</v>
      </c>
      <c r="C25" s="9" t="s">
        <v>239</v>
      </c>
      <c r="D25" t="s">
        <v>239</v>
      </c>
      <c r="E25" t="s">
        <v>239</v>
      </c>
      <c r="G25" t="s">
        <v>239</v>
      </c>
      <c r="H25" s="9">
        <v>1</v>
      </c>
    </row>
    <row r="26" spans="1:8" x14ac:dyDescent="0.2">
      <c r="A26" t="s">
        <v>255</v>
      </c>
      <c r="C26" s="9" t="s">
        <v>239</v>
      </c>
      <c r="H26" s="9">
        <v>1</v>
      </c>
    </row>
    <row r="27" spans="1:8" x14ac:dyDescent="0.2">
      <c r="A27" t="s">
        <v>256</v>
      </c>
      <c r="C27" s="9" t="s">
        <v>239</v>
      </c>
      <c r="H27" s="9">
        <v>1</v>
      </c>
    </row>
    <row r="28" spans="1:8" x14ac:dyDescent="0.2">
      <c r="A28" t="s">
        <v>257</v>
      </c>
      <c r="C28" s="9" t="s">
        <v>239</v>
      </c>
      <c r="H28" s="9">
        <v>1</v>
      </c>
    </row>
    <row r="29" spans="1:8" x14ac:dyDescent="0.2">
      <c r="A29" t="s">
        <v>258</v>
      </c>
      <c r="D29" t="s">
        <v>239</v>
      </c>
      <c r="G29" t="s">
        <v>239</v>
      </c>
      <c r="H29" s="9">
        <v>1</v>
      </c>
    </row>
    <row r="30" spans="1:8" x14ac:dyDescent="0.2">
      <c r="A30" t="s">
        <v>259</v>
      </c>
      <c r="D30" s="9" t="s">
        <v>239</v>
      </c>
      <c r="E30" t="s">
        <v>239</v>
      </c>
      <c r="G30" t="s">
        <v>239</v>
      </c>
      <c r="H30" s="9">
        <v>1</v>
      </c>
    </row>
    <row r="31" spans="1:8" x14ac:dyDescent="0.2">
      <c r="A31" t="s">
        <v>260</v>
      </c>
      <c r="D31" s="9" t="s">
        <v>239</v>
      </c>
      <c r="F31" t="s">
        <v>239</v>
      </c>
      <c r="G31" t="s">
        <v>239</v>
      </c>
      <c r="H31" s="9">
        <v>1</v>
      </c>
    </row>
    <row r="32" spans="1:8" x14ac:dyDescent="0.2">
      <c r="A32" t="s">
        <v>261</v>
      </c>
      <c r="D32" s="9" t="s">
        <v>239</v>
      </c>
      <c r="E32" t="s">
        <v>239</v>
      </c>
      <c r="F32" t="s">
        <v>239</v>
      </c>
      <c r="H32" s="9">
        <v>1</v>
      </c>
    </row>
    <row r="33" spans="1:8" x14ac:dyDescent="0.2">
      <c r="A33" t="s">
        <v>262</v>
      </c>
      <c r="D33" s="9" t="s">
        <v>239</v>
      </c>
      <c r="E33" t="s">
        <v>239</v>
      </c>
      <c r="G33" t="s">
        <v>239</v>
      </c>
      <c r="H33" s="9">
        <v>1</v>
      </c>
    </row>
    <row r="34" spans="1:8" x14ac:dyDescent="0.2">
      <c r="A34" t="s">
        <v>263</v>
      </c>
      <c r="D34" s="9" t="s">
        <v>239</v>
      </c>
      <c r="E34" t="s">
        <v>239</v>
      </c>
      <c r="G34" t="s">
        <v>239</v>
      </c>
      <c r="H34" s="9">
        <v>1</v>
      </c>
    </row>
    <row r="35" spans="1:8" x14ac:dyDescent="0.2">
      <c r="A35" t="s">
        <v>264</v>
      </c>
      <c r="D35" s="9" t="s">
        <v>239</v>
      </c>
      <c r="H35" s="9">
        <v>1</v>
      </c>
    </row>
    <row r="36" spans="1:8" x14ac:dyDescent="0.2">
      <c r="A36" t="s">
        <v>265</v>
      </c>
      <c r="D36" s="9" t="s">
        <v>239</v>
      </c>
      <c r="G36" t="s">
        <v>239</v>
      </c>
      <c r="H36" s="9">
        <v>1</v>
      </c>
    </row>
    <row r="37" spans="1:8" x14ac:dyDescent="0.2">
      <c r="A37" t="s">
        <v>266</v>
      </c>
      <c r="D37" s="9" t="s">
        <v>239</v>
      </c>
      <c r="G37" t="s">
        <v>239</v>
      </c>
      <c r="H37" s="9">
        <v>1</v>
      </c>
    </row>
    <row r="38" spans="1:8" x14ac:dyDescent="0.2">
      <c r="A38" t="s">
        <v>267</v>
      </c>
      <c r="E38" s="9" t="s">
        <v>239</v>
      </c>
      <c r="H38" s="9">
        <v>1</v>
      </c>
    </row>
    <row r="39" spans="1:8" x14ac:dyDescent="0.2">
      <c r="A39" t="s">
        <v>268</v>
      </c>
      <c r="E39" s="9" t="s">
        <v>239</v>
      </c>
      <c r="G39" t="s">
        <v>239</v>
      </c>
      <c r="H39" s="9">
        <v>1</v>
      </c>
    </row>
    <row r="40" spans="1:8" x14ac:dyDescent="0.2">
      <c r="A40" t="s">
        <v>269</v>
      </c>
      <c r="E40" s="9" t="s">
        <v>239</v>
      </c>
      <c r="G40" t="s">
        <v>239</v>
      </c>
      <c r="H40" s="9">
        <v>1</v>
      </c>
    </row>
    <row r="41" spans="1:8" x14ac:dyDescent="0.2">
      <c r="A41" t="s">
        <v>270</v>
      </c>
      <c r="E41" s="9" t="s">
        <v>239</v>
      </c>
      <c r="G41" t="s">
        <v>239</v>
      </c>
      <c r="H41" s="9">
        <v>1</v>
      </c>
    </row>
    <row r="42" spans="1:8" x14ac:dyDescent="0.2">
      <c r="A42" t="s">
        <v>271</v>
      </c>
      <c r="E42" s="9" t="s">
        <v>239</v>
      </c>
      <c r="H42" s="9">
        <v>1</v>
      </c>
    </row>
    <row r="43" spans="1:8" x14ac:dyDescent="0.2">
      <c r="A43" t="s">
        <v>272</v>
      </c>
      <c r="F43" t="s">
        <v>239</v>
      </c>
      <c r="G43" t="s">
        <v>239</v>
      </c>
      <c r="H43" s="9">
        <v>1</v>
      </c>
    </row>
    <row r="44" spans="1:8" x14ac:dyDescent="0.2">
      <c r="A44" t="s">
        <v>273</v>
      </c>
      <c r="E44" t="s">
        <v>239</v>
      </c>
      <c r="F44" s="9" t="s">
        <v>239</v>
      </c>
      <c r="H44" s="9">
        <v>1</v>
      </c>
    </row>
    <row r="45" spans="1:8" x14ac:dyDescent="0.2">
      <c r="A45" t="s">
        <v>274</v>
      </c>
      <c r="F45" s="9" t="s">
        <v>239</v>
      </c>
      <c r="H45" s="9">
        <v>1</v>
      </c>
    </row>
    <row r="46" spans="1:8" x14ac:dyDescent="0.2">
      <c r="A46" t="s">
        <v>275</v>
      </c>
      <c r="F46" s="9" t="s">
        <v>239</v>
      </c>
      <c r="H46" s="9">
        <v>1</v>
      </c>
    </row>
    <row r="47" spans="1:8" x14ac:dyDescent="0.2">
      <c r="A47" t="s">
        <v>276</v>
      </c>
      <c r="G47" s="9" t="s">
        <v>239</v>
      </c>
      <c r="H47">
        <v>0</v>
      </c>
    </row>
    <row r="48" spans="1:8" x14ac:dyDescent="0.2">
      <c r="A48" t="s">
        <v>277</v>
      </c>
      <c r="G48" s="9" t="s">
        <v>239</v>
      </c>
      <c r="H48" s="9">
        <v>0</v>
      </c>
    </row>
    <row r="49" spans="1:8" x14ac:dyDescent="0.2">
      <c r="A49" t="s">
        <v>278</v>
      </c>
      <c r="G49" s="9" t="s">
        <v>239</v>
      </c>
      <c r="H49" s="9">
        <v>0</v>
      </c>
    </row>
    <row r="50" spans="1:8" x14ac:dyDescent="0.2">
      <c r="A50" t="s">
        <v>279</v>
      </c>
      <c r="G50" s="9" t="s">
        <v>239</v>
      </c>
      <c r="H50" s="9">
        <v>0</v>
      </c>
    </row>
    <row r="51" spans="1:8" x14ac:dyDescent="0.2">
      <c r="A51" t="s">
        <v>280</v>
      </c>
      <c r="G51" s="9" t="s">
        <v>239</v>
      </c>
      <c r="H51" s="9">
        <v>0</v>
      </c>
    </row>
    <row r="52" spans="1:8" x14ac:dyDescent="0.2">
      <c r="A52" t="s">
        <v>281</v>
      </c>
      <c r="G52" s="9" t="s">
        <v>239</v>
      </c>
      <c r="H52" s="9">
        <v>0</v>
      </c>
    </row>
    <row r="53" spans="1:8" s="9" customFormat="1" x14ac:dyDescent="0.2">
      <c r="A53" s="9" t="s">
        <v>285</v>
      </c>
      <c r="G53" s="9" t="s">
        <v>239</v>
      </c>
      <c r="H53" s="9">
        <v>0</v>
      </c>
    </row>
    <row r="54" spans="1:8" x14ac:dyDescent="0.2">
      <c r="A54" t="s">
        <v>282</v>
      </c>
      <c r="G54" s="9" t="s">
        <v>239</v>
      </c>
      <c r="H54" s="9">
        <v>0</v>
      </c>
    </row>
    <row r="55" spans="1:8" x14ac:dyDescent="0.2">
      <c r="A55" t="s">
        <v>283</v>
      </c>
      <c r="G55" s="9" t="s">
        <v>239</v>
      </c>
      <c r="H55" s="9">
        <v>0</v>
      </c>
    </row>
    <row r="56" spans="1:8" x14ac:dyDescent="0.2">
      <c r="A56" t="s">
        <v>284</v>
      </c>
      <c r="G56" s="9" t="s">
        <v>239</v>
      </c>
      <c r="H56" s="9">
        <v>0</v>
      </c>
    </row>
    <row r="57" spans="1:8" x14ac:dyDescent="0.2">
      <c r="A57" t="s">
        <v>286</v>
      </c>
      <c r="G57" s="9" t="s">
        <v>239</v>
      </c>
      <c r="H57" s="9">
        <v>0</v>
      </c>
    </row>
    <row r="58" spans="1:8" x14ac:dyDescent="0.2">
      <c r="A58" t="s">
        <v>287</v>
      </c>
      <c r="G58" s="9" t="s">
        <v>239</v>
      </c>
      <c r="H58" s="9">
        <v>0</v>
      </c>
    </row>
    <row r="59" spans="1:8" x14ac:dyDescent="0.2">
      <c r="A59" t="s">
        <v>288</v>
      </c>
      <c r="G59" s="9" t="s">
        <v>239</v>
      </c>
      <c r="H59" s="9">
        <v>0</v>
      </c>
    </row>
    <row r="60" spans="1:8" x14ac:dyDescent="0.2">
      <c r="A60" t="s">
        <v>289</v>
      </c>
      <c r="E60" t="s">
        <v>239</v>
      </c>
      <c r="G60" s="9" t="s">
        <v>239</v>
      </c>
      <c r="H60" s="9">
        <v>1</v>
      </c>
    </row>
    <row r="61" spans="1:8" x14ac:dyDescent="0.2">
      <c r="A61" t="s">
        <v>290</v>
      </c>
      <c r="G61" s="9" t="s">
        <v>239</v>
      </c>
      <c r="H61" s="9">
        <v>0</v>
      </c>
    </row>
    <row r="62" spans="1:8" x14ac:dyDescent="0.2">
      <c r="A62" t="s">
        <v>291</v>
      </c>
      <c r="G62" s="9" t="s">
        <v>239</v>
      </c>
      <c r="H62" s="9">
        <v>0</v>
      </c>
    </row>
    <row r="63" spans="1:8" x14ac:dyDescent="0.2">
      <c r="A63" t="s">
        <v>292</v>
      </c>
      <c r="G63" s="9" t="s">
        <v>239</v>
      </c>
      <c r="H63" s="9">
        <v>0</v>
      </c>
    </row>
    <row r="64" spans="1:8" x14ac:dyDescent="0.2">
      <c r="A64" t="s">
        <v>293</v>
      </c>
      <c r="G64" s="9" t="s">
        <v>239</v>
      </c>
      <c r="H64" s="9">
        <v>0</v>
      </c>
    </row>
    <row r="65" spans="1:8" x14ac:dyDescent="0.2">
      <c r="A65" t="s">
        <v>294</v>
      </c>
      <c r="G65" s="9" t="s">
        <v>239</v>
      </c>
      <c r="H65" s="9">
        <v>0</v>
      </c>
    </row>
    <row r="66" spans="1:8" x14ac:dyDescent="0.2">
      <c r="A66" t="s">
        <v>295</v>
      </c>
      <c r="G66" s="9" t="s">
        <v>239</v>
      </c>
      <c r="H66" s="9">
        <v>0</v>
      </c>
    </row>
    <row r="67" spans="1:8" x14ac:dyDescent="0.2">
      <c r="A67" t="s">
        <v>296</v>
      </c>
      <c r="G67" s="9" t="s">
        <v>239</v>
      </c>
      <c r="H67" s="9">
        <v>0</v>
      </c>
    </row>
    <row r="68" spans="1:8" x14ac:dyDescent="0.2">
      <c r="A68" t="s">
        <v>297</v>
      </c>
      <c r="G68" s="9" t="s">
        <v>239</v>
      </c>
      <c r="H68" s="9">
        <v>0</v>
      </c>
    </row>
    <row r="69" spans="1:8" x14ac:dyDescent="0.2">
      <c r="A69" t="s">
        <v>298</v>
      </c>
      <c r="G69" s="9" t="s">
        <v>239</v>
      </c>
      <c r="H69" s="9">
        <v>0</v>
      </c>
    </row>
    <row r="70" spans="1:8" x14ac:dyDescent="0.2">
      <c r="A70" t="s">
        <v>302</v>
      </c>
      <c r="E70" t="s">
        <v>239</v>
      </c>
      <c r="H70" s="9">
        <v>1</v>
      </c>
    </row>
    <row r="71" spans="1:8" x14ac:dyDescent="0.2">
      <c r="A71" t="s">
        <v>303</v>
      </c>
      <c r="E71" t="s">
        <v>239</v>
      </c>
      <c r="H71" s="9">
        <v>1</v>
      </c>
    </row>
    <row r="72" spans="1:8" x14ac:dyDescent="0.2">
      <c r="A72" t="s">
        <v>304</v>
      </c>
      <c r="E72" t="s">
        <v>239</v>
      </c>
      <c r="H72" s="9">
        <v>1</v>
      </c>
    </row>
    <row r="73" spans="1:8" x14ac:dyDescent="0.2">
      <c r="A73" t="s">
        <v>305</v>
      </c>
      <c r="E73" t="s">
        <v>239</v>
      </c>
      <c r="H73" s="9">
        <v>1</v>
      </c>
    </row>
    <row r="74" spans="1:8" x14ac:dyDescent="0.2">
      <c r="A74" t="s">
        <v>306</v>
      </c>
      <c r="E74" t="s">
        <v>239</v>
      </c>
      <c r="H74" s="9">
        <v>1</v>
      </c>
    </row>
    <row r="75" spans="1:8" x14ac:dyDescent="0.2">
      <c r="A75" t="s">
        <v>307</v>
      </c>
      <c r="E75" t="s">
        <v>239</v>
      </c>
      <c r="H75" s="9">
        <v>1</v>
      </c>
    </row>
    <row r="76" spans="1:8" x14ac:dyDescent="0.2">
      <c r="A76" t="s">
        <v>308</v>
      </c>
      <c r="E76" t="s">
        <v>239</v>
      </c>
      <c r="H76" s="9">
        <v>1</v>
      </c>
    </row>
    <row r="77" spans="1:8" x14ac:dyDescent="0.2">
      <c r="A77" t="s">
        <v>309</v>
      </c>
      <c r="E77" t="s">
        <v>239</v>
      </c>
      <c r="H77" s="9">
        <v>1</v>
      </c>
    </row>
    <row r="78" spans="1:8" x14ac:dyDescent="0.2">
      <c r="A78" t="s">
        <v>310</v>
      </c>
      <c r="E78" t="s">
        <v>239</v>
      </c>
      <c r="H78" s="9">
        <v>1</v>
      </c>
    </row>
    <row r="79" spans="1:8" x14ac:dyDescent="0.2">
      <c r="A79" t="s">
        <v>311</v>
      </c>
      <c r="E79" t="s">
        <v>239</v>
      </c>
      <c r="H79" s="9">
        <v>1</v>
      </c>
    </row>
    <row r="80" spans="1:8" x14ac:dyDescent="0.2">
      <c r="A80" t="s">
        <v>312</v>
      </c>
      <c r="E80" t="s">
        <v>239</v>
      </c>
      <c r="H80" s="9">
        <v>1</v>
      </c>
    </row>
    <row r="81" spans="1:8" x14ac:dyDescent="0.2">
      <c r="A81" t="s">
        <v>313</v>
      </c>
      <c r="E81" t="s">
        <v>239</v>
      </c>
      <c r="H81" s="9">
        <v>1</v>
      </c>
    </row>
  </sheetData>
  <autoFilter ref="A1:H81"/>
  <conditionalFormatting sqref="A1:A1048576">
    <cfRule type="duplicateValues" dxfId="6"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11"/>
  <sheetViews>
    <sheetView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RowHeight="12.75" x14ac:dyDescent="0.2"/>
  <cols>
    <col min="1" max="1" width="20.42578125" bestFit="1" customWidth="1"/>
    <col min="2" max="2" width="20.42578125" style="9" customWidth="1"/>
    <col min="3" max="3" width="23.7109375" customWidth="1"/>
    <col min="4" max="4" width="23.7109375" style="9" customWidth="1"/>
    <col min="5" max="5" width="32.5703125" customWidth="1"/>
    <col min="6" max="6" width="23.7109375" style="9" customWidth="1"/>
    <col min="7" max="10" width="32.5703125" customWidth="1"/>
    <col min="11" max="11" width="36.140625" customWidth="1"/>
    <col min="12" max="12" width="11.85546875" style="9" bestFit="1" customWidth="1"/>
    <col min="13" max="13" width="40.42578125" customWidth="1"/>
  </cols>
  <sheetData>
    <row r="1" spans="1:13" ht="30" x14ac:dyDescent="0.25">
      <c r="A1" s="131" t="s">
        <v>0</v>
      </c>
      <c r="B1" s="136" t="s">
        <v>400</v>
      </c>
      <c r="C1" s="136" t="s">
        <v>496</v>
      </c>
      <c r="D1" s="136" t="s">
        <v>434</v>
      </c>
      <c r="E1" s="136" t="s">
        <v>433</v>
      </c>
      <c r="F1" s="136" t="s">
        <v>405</v>
      </c>
      <c r="G1" s="136" t="s">
        <v>402</v>
      </c>
      <c r="H1" s="136" t="s">
        <v>403</v>
      </c>
      <c r="I1" s="136" t="s">
        <v>35</v>
      </c>
      <c r="J1" s="136" t="s">
        <v>36</v>
      </c>
      <c r="K1" s="137" t="s">
        <v>387</v>
      </c>
      <c r="L1" s="137" t="s">
        <v>440</v>
      </c>
      <c r="M1" s="137" t="s">
        <v>439</v>
      </c>
    </row>
    <row r="2" spans="1:13" ht="15" x14ac:dyDescent="0.25">
      <c r="A2" s="46" t="s">
        <v>8</v>
      </c>
      <c r="B2" s="67">
        <v>2011</v>
      </c>
      <c r="C2" s="67">
        <v>2009</v>
      </c>
      <c r="D2" s="67">
        <v>2009</v>
      </c>
      <c r="E2" s="67">
        <v>2015</v>
      </c>
      <c r="F2" s="67">
        <v>2011</v>
      </c>
      <c r="G2" s="67">
        <v>2004</v>
      </c>
      <c r="H2" s="67">
        <v>2008</v>
      </c>
      <c r="I2" s="67">
        <v>2015</v>
      </c>
      <c r="J2" s="67">
        <v>2015</v>
      </c>
      <c r="K2" s="68">
        <v>2014</v>
      </c>
      <c r="L2" s="68"/>
      <c r="M2" s="68" t="s">
        <v>444</v>
      </c>
    </row>
    <row r="3" spans="1:13" ht="15" x14ac:dyDescent="0.2">
      <c r="A3" s="81" t="s">
        <v>31</v>
      </c>
      <c r="B3" s="67">
        <v>1</v>
      </c>
      <c r="C3" s="67">
        <v>14</v>
      </c>
      <c r="D3" s="67">
        <v>14</v>
      </c>
      <c r="E3" s="67" t="s">
        <v>151</v>
      </c>
      <c r="F3" s="67" t="s">
        <v>166</v>
      </c>
      <c r="G3" s="67">
        <v>4</v>
      </c>
      <c r="H3" s="67">
        <v>14</v>
      </c>
      <c r="I3" s="67">
        <v>10</v>
      </c>
      <c r="J3" s="67">
        <v>10</v>
      </c>
      <c r="K3" s="68">
        <v>11</v>
      </c>
      <c r="L3" s="68"/>
      <c r="M3" s="68" t="s">
        <v>443</v>
      </c>
    </row>
    <row r="4" spans="1:13" s="9" customFormat="1" x14ac:dyDescent="0.2">
      <c r="A4" s="135" t="s">
        <v>333</v>
      </c>
      <c r="B4" s="67"/>
      <c r="C4" s="67"/>
      <c r="D4" s="67"/>
      <c r="E4" s="67"/>
      <c r="F4" s="67"/>
      <c r="G4" s="67" t="s">
        <v>163</v>
      </c>
      <c r="H4" s="67"/>
      <c r="I4" s="67"/>
      <c r="J4" s="67"/>
      <c r="K4" s="68"/>
      <c r="L4" s="68"/>
      <c r="M4" s="68"/>
    </row>
    <row r="5" spans="1:13" s="9" customFormat="1" hidden="1" x14ac:dyDescent="0.2">
      <c r="A5" s="131">
        <f>COLUMN(A1)</f>
        <v>1</v>
      </c>
      <c r="B5" s="131"/>
      <c r="C5" s="131">
        <f t="shared" ref="C5:K5" si="0">COLUMN(C4)</f>
        <v>3</v>
      </c>
      <c r="D5" s="131"/>
      <c r="E5" s="131">
        <f>COLUMN(E4)</f>
        <v>5</v>
      </c>
      <c r="F5" s="131">
        <f t="shared" si="0"/>
        <v>6</v>
      </c>
      <c r="G5" s="131">
        <f t="shared" si="0"/>
        <v>7</v>
      </c>
      <c r="H5" s="131">
        <f t="shared" si="0"/>
        <v>8</v>
      </c>
      <c r="I5" s="131">
        <f t="shared" si="0"/>
        <v>9</v>
      </c>
      <c r="J5" s="131">
        <f t="shared" si="0"/>
        <v>10</v>
      </c>
      <c r="K5" s="131">
        <f t="shared" si="0"/>
        <v>11</v>
      </c>
      <c r="L5" s="131"/>
    </row>
    <row r="6" spans="1:13" s="119" customFormat="1" ht="255" x14ac:dyDescent="0.2">
      <c r="A6" s="167" t="s">
        <v>406</v>
      </c>
      <c r="B6" s="205" t="s">
        <v>345</v>
      </c>
      <c r="C6" s="120" t="s">
        <v>389</v>
      </c>
      <c r="D6" s="120" t="s">
        <v>396</v>
      </c>
      <c r="E6" s="121" t="s">
        <v>192</v>
      </c>
      <c r="F6" s="121" t="s">
        <v>191</v>
      </c>
      <c r="G6" s="121" t="s">
        <v>203</v>
      </c>
      <c r="H6" s="121" t="s">
        <v>404</v>
      </c>
      <c r="I6" s="121" t="s">
        <v>204</v>
      </c>
      <c r="J6" s="121" t="s">
        <v>205</v>
      </c>
      <c r="K6" s="6" t="s">
        <v>206</v>
      </c>
      <c r="L6" s="195" t="s">
        <v>187</v>
      </c>
      <c r="M6" s="121" t="s">
        <v>445</v>
      </c>
    </row>
    <row r="7" spans="1:13" x14ac:dyDescent="0.2">
      <c r="E7" s="6"/>
      <c r="G7" s="6"/>
      <c r="I7" s="6"/>
      <c r="J7" s="6"/>
    </row>
    <row r="8" spans="1:13" x14ac:dyDescent="0.2">
      <c r="G8" s="6"/>
      <c r="I8" s="6"/>
    </row>
    <row r="9" spans="1:13" x14ac:dyDescent="0.2">
      <c r="I9" s="6"/>
    </row>
    <row r="11" spans="1:13" x14ac:dyDescent="0.2">
      <c r="I11" s="6"/>
    </row>
  </sheetData>
  <sheetProtection algorithmName="SHA-512" hashValue="vx0k1BAJ/4oBHtV2umCvYGcrfZOIC0IKCh3o0k3mqRZGAfKFhMU05pzKTUZ1JL41qhjcDARC/nYCLKwDk62W+w==" saltValue="od/lyfZvYmeqHNZr3vSsOg=="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39"/>
  <sheetViews>
    <sheetView workbookViewId="0">
      <selection activeCell="A8" sqref="A8"/>
    </sheetView>
  </sheetViews>
  <sheetFormatPr defaultColWidth="8.85546875" defaultRowHeight="15" x14ac:dyDescent="0.25"/>
  <cols>
    <col min="1" max="1" width="33" style="1" bestFit="1" customWidth="1"/>
    <col min="2" max="2" width="59.7109375" style="1" customWidth="1"/>
    <col min="3" max="3" width="23.5703125" style="1" customWidth="1"/>
    <col min="4" max="4" width="13.5703125" style="1" customWidth="1"/>
    <col min="5" max="5" width="2" style="1" customWidth="1"/>
    <col min="6" max="6" width="10.7109375" style="1" customWidth="1"/>
    <col min="7" max="7" width="11.85546875" style="1" customWidth="1"/>
    <col min="8" max="16384" width="8.85546875" style="1"/>
  </cols>
  <sheetData>
    <row r="1" spans="1:7" x14ac:dyDescent="0.25">
      <c r="A1" s="280" t="s">
        <v>1</v>
      </c>
      <c r="B1" s="280"/>
      <c r="C1" s="280"/>
      <c r="D1" s="280"/>
    </row>
    <row r="2" spans="1:7" x14ac:dyDescent="0.25">
      <c r="A2" s="69" t="s">
        <v>37</v>
      </c>
      <c r="B2" s="69" t="s">
        <v>38</v>
      </c>
      <c r="C2" s="70" t="s">
        <v>39</v>
      </c>
      <c r="D2" s="70" t="s">
        <v>3</v>
      </c>
      <c r="F2" s="71"/>
      <c r="G2" s="71"/>
    </row>
    <row r="3" spans="1:7" s="75" customFormat="1" x14ac:dyDescent="0.25">
      <c r="A3" s="152" t="s">
        <v>139</v>
      </c>
      <c r="B3" s="153" t="s">
        <v>360</v>
      </c>
      <c r="C3" s="156">
        <v>2004</v>
      </c>
      <c r="D3" s="75">
        <v>25</v>
      </c>
      <c r="F3" s="71"/>
      <c r="G3" s="71"/>
    </row>
    <row r="4" spans="1:7" x14ac:dyDescent="0.25">
      <c r="A4" s="151" t="s">
        <v>139</v>
      </c>
      <c r="B4" s="153" t="s">
        <v>361</v>
      </c>
      <c r="C4" s="99">
        <v>2004</v>
      </c>
      <c r="D4" s="75">
        <v>25</v>
      </c>
    </row>
    <row r="5" spans="1:7" x14ac:dyDescent="0.25">
      <c r="A5" s="151" t="s">
        <v>139</v>
      </c>
      <c r="B5" s="161" t="s">
        <v>388</v>
      </c>
      <c r="C5" s="99">
        <v>2004</v>
      </c>
      <c r="D5" s="75">
        <v>25</v>
      </c>
    </row>
    <row r="6" spans="1:7" x14ac:dyDescent="0.25">
      <c r="A6" s="98" t="s">
        <v>139</v>
      </c>
      <c r="B6" s="155" t="s">
        <v>145</v>
      </c>
      <c r="C6" s="99">
        <v>2004</v>
      </c>
      <c r="D6" s="75">
        <v>4</v>
      </c>
      <c r="F6" s="18"/>
    </row>
    <row r="7" spans="1:7" x14ac:dyDescent="0.25">
      <c r="A7" s="98" t="s">
        <v>139</v>
      </c>
      <c r="B7" s="155" t="s">
        <v>145</v>
      </c>
      <c r="C7" s="99">
        <v>2011</v>
      </c>
      <c r="D7" s="75">
        <v>1</v>
      </c>
    </row>
    <row r="8" spans="1:7" x14ac:dyDescent="0.25">
      <c r="A8" s="98" t="s">
        <v>140</v>
      </c>
      <c r="B8" s="154" t="s">
        <v>362</v>
      </c>
      <c r="C8" s="100">
        <v>40469</v>
      </c>
      <c r="D8" s="75">
        <v>9</v>
      </c>
    </row>
    <row r="9" spans="1:7" x14ac:dyDescent="0.25">
      <c r="A9" s="72"/>
      <c r="B9" s="77"/>
      <c r="C9" s="74"/>
    </row>
    <row r="10" spans="1:7" x14ac:dyDescent="0.25">
      <c r="A10" s="72"/>
      <c r="B10" s="77"/>
      <c r="C10" s="74"/>
    </row>
    <row r="11" spans="1:7" x14ac:dyDescent="0.25">
      <c r="A11" s="76"/>
      <c r="B11" s="73"/>
      <c r="C11" s="74"/>
    </row>
    <row r="12" spans="1:7" x14ac:dyDescent="0.25">
      <c r="A12" s="76"/>
      <c r="B12" s="78"/>
      <c r="C12" s="79"/>
      <c r="D12" s="9"/>
      <c r="E12" s="9"/>
    </row>
    <row r="13" spans="1:7" x14ac:dyDescent="0.25">
      <c r="A13" s="76"/>
      <c r="B13" s="78"/>
      <c r="C13" s="79"/>
      <c r="D13" s="75"/>
      <c r="E13" s="9"/>
    </row>
    <row r="14" spans="1:7" x14ac:dyDescent="0.25">
      <c r="A14" s="71"/>
      <c r="B14" s="78"/>
      <c r="C14" s="79"/>
      <c r="D14" s="75"/>
      <c r="E14" s="9"/>
    </row>
    <row r="15" spans="1:7" x14ac:dyDescent="0.25">
      <c r="A15" s="72"/>
      <c r="B15" s="73"/>
      <c r="C15" s="74"/>
    </row>
    <row r="16" spans="1:7" x14ac:dyDescent="0.25">
      <c r="A16" s="72"/>
      <c r="B16" s="73"/>
      <c r="C16" s="74"/>
    </row>
    <row r="17" spans="1:5" x14ac:dyDescent="0.25">
      <c r="A17" s="72"/>
      <c r="B17" s="73"/>
      <c r="C17" s="74"/>
    </row>
    <row r="18" spans="1:5" x14ac:dyDescent="0.25">
      <c r="A18" s="72"/>
      <c r="B18" s="77"/>
      <c r="C18" s="74"/>
    </row>
    <row r="19" spans="1:5" x14ac:dyDescent="0.25">
      <c r="A19" s="72"/>
      <c r="B19" s="77"/>
      <c r="C19" s="74"/>
    </row>
    <row r="20" spans="1:5" x14ac:dyDescent="0.25">
      <c r="A20" s="76"/>
      <c r="B20" s="73"/>
      <c r="C20" s="74"/>
      <c r="D20" s="75"/>
    </row>
    <row r="21" spans="1:5" x14ac:dyDescent="0.25">
      <c r="A21" s="76"/>
      <c r="B21" s="73"/>
      <c r="C21" s="74"/>
      <c r="D21" s="75"/>
      <c r="E21" s="9"/>
    </row>
    <row r="22" spans="1:5" x14ac:dyDescent="0.25">
      <c r="A22" s="76"/>
      <c r="B22" s="78"/>
      <c r="C22" s="79"/>
      <c r="D22" s="9"/>
      <c r="E22" s="9"/>
    </row>
    <row r="23" spans="1:5" x14ac:dyDescent="0.25">
      <c r="A23" s="76"/>
      <c r="B23" s="78"/>
      <c r="C23" s="79"/>
      <c r="D23" s="75"/>
      <c r="E23" s="9"/>
    </row>
    <row r="24" spans="1:5" x14ac:dyDescent="0.25">
      <c r="A24" s="71"/>
      <c r="B24" s="78"/>
      <c r="C24" s="79"/>
      <c r="D24" s="75"/>
      <c r="E24" s="9"/>
    </row>
    <row r="25" spans="1:5" x14ac:dyDescent="0.25">
      <c r="A25" s="71"/>
      <c r="B25" s="78"/>
      <c r="C25" s="79"/>
      <c r="D25" s="9"/>
      <c r="E25" s="9"/>
    </row>
    <row r="26" spans="1:5" x14ac:dyDescent="0.25">
      <c r="A26" s="76"/>
      <c r="B26" s="73"/>
      <c r="C26" s="74"/>
      <c r="D26" s="75"/>
      <c r="E26" s="9"/>
    </row>
    <row r="27" spans="1:5" x14ac:dyDescent="0.25">
      <c r="A27" s="76"/>
      <c r="B27" s="73"/>
      <c r="C27" s="74"/>
      <c r="D27" s="9"/>
      <c r="E27" s="9"/>
    </row>
    <row r="28" spans="1:5" x14ac:dyDescent="0.25">
      <c r="A28" s="80"/>
      <c r="B28" s="73"/>
      <c r="C28" s="74"/>
      <c r="D28" s="75"/>
      <c r="E28" s="9"/>
    </row>
    <row r="29" spans="1:5" x14ac:dyDescent="0.25">
      <c r="A29" s="71"/>
      <c r="B29" s="78"/>
      <c r="C29" s="74"/>
      <c r="D29" s="9"/>
      <c r="E29" s="9"/>
    </row>
    <row r="30" spans="1:5" x14ac:dyDescent="0.25">
      <c r="A30" s="71"/>
      <c r="B30" s="78"/>
      <c r="C30" s="79"/>
      <c r="D30" s="9"/>
      <c r="E30" s="9"/>
    </row>
    <row r="31" spans="1:5" x14ac:dyDescent="0.25">
      <c r="A31" s="71"/>
      <c r="B31" s="78"/>
      <c r="C31" s="79"/>
      <c r="D31" s="9"/>
      <c r="E31" s="9"/>
    </row>
    <row r="32" spans="1:5" x14ac:dyDescent="0.25">
      <c r="A32" s="71"/>
      <c r="B32" s="78"/>
      <c r="C32" s="79"/>
      <c r="D32" s="9"/>
      <c r="E32" s="9"/>
    </row>
    <row r="33" spans="1:3" x14ac:dyDescent="0.25">
      <c r="A33" s="71"/>
      <c r="B33" s="78"/>
      <c r="C33" s="79"/>
    </row>
    <row r="34" spans="1:3" x14ac:dyDescent="0.25">
      <c r="A34" s="71"/>
      <c r="B34" s="78"/>
      <c r="C34" s="79"/>
    </row>
    <row r="35" spans="1:3" x14ac:dyDescent="0.25">
      <c r="A35" s="71"/>
      <c r="B35" s="78"/>
      <c r="C35" s="79"/>
    </row>
    <row r="36" spans="1:3" x14ac:dyDescent="0.25">
      <c r="A36" s="71"/>
      <c r="B36" s="78"/>
      <c r="C36" s="79"/>
    </row>
    <row r="37" spans="1:3" x14ac:dyDescent="0.25">
      <c r="A37" s="71"/>
      <c r="B37" s="78"/>
      <c r="C37" s="79"/>
    </row>
    <row r="38" spans="1:3" x14ac:dyDescent="0.25">
      <c r="A38" s="71"/>
      <c r="B38" s="78"/>
      <c r="C38" s="79"/>
    </row>
    <row r="39" spans="1:3" x14ac:dyDescent="0.25">
      <c r="A39" s="71"/>
      <c r="B39" s="78"/>
      <c r="C39" s="79"/>
    </row>
  </sheetData>
  <sheetProtection algorithmName="SHA-512" hashValue="Ig5DP/xR1FsKGYadOF+742Awi/HcG32AkXrGpSQ+ixDJ1lEA4UPDS2cZIcMhoavyvScFHqTWTKEmWiQqLqMKCQ==" saltValue="k3hrK1q4EBkPR3WoRknn+Q==" spinCount="100000" sheet="1" objects="1" scenarios="1"/>
  <mergeCells count="1">
    <mergeCell ref="A1:D1"/>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35"/>
  <sheetViews>
    <sheetView workbookViewId="0">
      <pane ySplit="2" topLeftCell="A3" activePane="bottomLeft" state="frozen"/>
      <selection pane="bottomLeft" activeCell="A3" sqref="A3"/>
    </sheetView>
  </sheetViews>
  <sheetFormatPr defaultColWidth="0" defaultRowHeight="12.75" zeroHeight="1" x14ac:dyDescent="0.2"/>
  <cols>
    <col min="1" max="1" width="9.140625" style="9" customWidth="1"/>
    <col min="2" max="2" width="22.85546875" style="9" customWidth="1"/>
    <col min="3" max="3" width="14.7109375" style="9" customWidth="1"/>
    <col min="4" max="4" width="81.85546875" style="9" customWidth="1"/>
    <col min="5" max="5" width="65.140625" style="9" customWidth="1"/>
    <col min="6" max="6" width="21.140625" style="9" customWidth="1"/>
    <col min="7" max="16383" width="9.140625" style="9" hidden="1"/>
    <col min="16384" max="16384" width="56.85546875" style="9" hidden="1"/>
  </cols>
  <sheetData>
    <row r="1" spans="1:6" ht="15" x14ac:dyDescent="0.25">
      <c r="A1" s="15" t="s">
        <v>3</v>
      </c>
      <c r="B1" s="15" t="s">
        <v>4</v>
      </c>
      <c r="C1" s="15" t="s">
        <v>5</v>
      </c>
      <c r="D1" s="15" t="s">
        <v>6</v>
      </c>
      <c r="E1" s="15" t="s">
        <v>7</v>
      </c>
      <c r="F1" s="45"/>
    </row>
    <row r="2" spans="1:6" ht="18" thickBot="1" x14ac:dyDescent="0.35">
      <c r="A2" s="16" t="s">
        <v>12</v>
      </c>
      <c r="B2" s="16"/>
      <c r="C2" s="16"/>
      <c r="D2" s="16"/>
      <c r="E2" s="16"/>
      <c r="F2" s="148" t="s">
        <v>229</v>
      </c>
    </row>
    <row r="3" spans="1:6" s="17" customFormat="1" ht="15.75" thickTop="1" x14ac:dyDescent="0.25">
      <c r="A3" s="7">
        <v>1</v>
      </c>
      <c r="B3" s="9" t="s">
        <v>46</v>
      </c>
      <c r="C3" s="4">
        <v>40744</v>
      </c>
      <c r="D3" s="9" t="s">
        <v>47</v>
      </c>
      <c r="E3" s="18" t="s">
        <v>45</v>
      </c>
      <c r="F3" s="149">
        <v>42052</v>
      </c>
    </row>
    <row r="4" spans="1:6" s="17" customFormat="1" ht="15" x14ac:dyDescent="0.25">
      <c r="A4" s="7">
        <v>2</v>
      </c>
      <c r="B4" s="9" t="s">
        <v>46</v>
      </c>
      <c r="C4" s="10">
        <v>2014</v>
      </c>
      <c r="D4" t="s">
        <v>113</v>
      </c>
      <c r="E4" s="18" t="s">
        <v>44</v>
      </c>
      <c r="F4" s="149">
        <v>42052</v>
      </c>
    </row>
    <row r="5" spans="1:6" ht="15" x14ac:dyDescent="0.25">
      <c r="A5" s="7">
        <v>3</v>
      </c>
      <c r="B5" s="9" t="s">
        <v>46</v>
      </c>
      <c r="C5" s="10">
        <v>2013</v>
      </c>
      <c r="D5" t="s">
        <v>115</v>
      </c>
      <c r="E5" s="18" t="s">
        <v>114</v>
      </c>
      <c r="F5" s="150">
        <v>42052</v>
      </c>
    </row>
    <row r="6" spans="1:6" ht="15" x14ac:dyDescent="0.25">
      <c r="A6" s="7">
        <v>4</v>
      </c>
      <c r="B6" s="9" t="s">
        <v>117</v>
      </c>
      <c r="C6" s="4">
        <v>38208</v>
      </c>
      <c r="D6" s="89" t="s">
        <v>118</v>
      </c>
      <c r="E6" s="18" t="s">
        <v>116</v>
      </c>
      <c r="F6" s="150">
        <v>42052</v>
      </c>
    </row>
    <row r="7" spans="1:6" ht="15" x14ac:dyDescent="0.25">
      <c r="A7" s="7">
        <v>5</v>
      </c>
      <c r="B7" s="9" t="s">
        <v>46</v>
      </c>
      <c r="C7" s="9">
        <v>2012</v>
      </c>
      <c r="D7" t="s">
        <v>134</v>
      </c>
      <c r="E7" s="18" t="s">
        <v>133</v>
      </c>
      <c r="F7" s="150">
        <v>42052</v>
      </c>
    </row>
    <row r="8" spans="1:6" ht="15" x14ac:dyDescent="0.25">
      <c r="A8" s="7">
        <v>6</v>
      </c>
      <c r="B8" s="9" t="s">
        <v>46</v>
      </c>
      <c r="C8" s="4">
        <v>41800</v>
      </c>
      <c r="D8" s="9" t="s">
        <v>135</v>
      </c>
      <c r="E8" s="75" t="s">
        <v>363</v>
      </c>
      <c r="F8" s="150">
        <v>42047</v>
      </c>
    </row>
    <row r="9" spans="1:6" ht="15" x14ac:dyDescent="0.25">
      <c r="A9" s="7">
        <v>7</v>
      </c>
      <c r="B9" s="9" t="s">
        <v>46</v>
      </c>
      <c r="C9" s="4">
        <v>41822</v>
      </c>
      <c r="D9" s="9" t="s">
        <v>136</v>
      </c>
      <c r="E9" s="75" t="s">
        <v>363</v>
      </c>
      <c r="F9" s="150">
        <v>42047</v>
      </c>
    </row>
    <row r="10" spans="1:6" ht="15" x14ac:dyDescent="0.25">
      <c r="A10" s="7">
        <v>8</v>
      </c>
      <c r="B10" s="6" t="s">
        <v>465</v>
      </c>
      <c r="C10" s="4">
        <v>2009</v>
      </c>
      <c r="D10" s="6" t="s">
        <v>466</v>
      </c>
      <c r="E10" s="18" t="s">
        <v>467</v>
      </c>
      <c r="F10" s="150">
        <v>42052</v>
      </c>
    </row>
    <row r="11" spans="1:6" ht="15" x14ac:dyDescent="0.25">
      <c r="A11" s="7">
        <v>9</v>
      </c>
      <c r="B11" s="19" t="s">
        <v>141</v>
      </c>
      <c r="C11" s="19" t="s">
        <v>142</v>
      </c>
      <c r="D11" s="19" t="s">
        <v>143</v>
      </c>
      <c r="E11" s="18" t="s">
        <v>144</v>
      </c>
      <c r="F11" s="150">
        <v>42052</v>
      </c>
    </row>
    <row r="12" spans="1:6" ht="15" x14ac:dyDescent="0.25">
      <c r="A12" s="7">
        <v>10</v>
      </c>
      <c r="B12" s="19" t="s">
        <v>46</v>
      </c>
      <c r="C12" s="209" t="s">
        <v>209</v>
      </c>
      <c r="D12" s="19" t="s">
        <v>147</v>
      </c>
      <c r="E12" s="18" t="s">
        <v>146</v>
      </c>
      <c r="F12" s="150">
        <v>42052</v>
      </c>
    </row>
    <row r="13" spans="1:6" ht="15" x14ac:dyDescent="0.25">
      <c r="A13" s="7">
        <v>11</v>
      </c>
      <c r="B13" s="19" t="s">
        <v>150</v>
      </c>
      <c r="C13" s="210" t="s">
        <v>152</v>
      </c>
      <c r="D13" s="19" t="s">
        <v>149</v>
      </c>
      <c r="E13" s="18" t="s">
        <v>49</v>
      </c>
      <c r="F13" s="150">
        <v>42047</v>
      </c>
    </row>
    <row r="14" spans="1:6" ht="15" x14ac:dyDescent="0.25">
      <c r="A14" s="7">
        <v>12</v>
      </c>
      <c r="B14" s="19" t="s">
        <v>156</v>
      </c>
      <c r="C14" s="211" t="s">
        <v>157</v>
      </c>
      <c r="D14" s="19" t="s">
        <v>158</v>
      </c>
      <c r="E14" s="18" t="s">
        <v>159</v>
      </c>
      <c r="F14" s="150">
        <v>42055</v>
      </c>
    </row>
    <row r="15" spans="1:6" ht="15" x14ac:dyDescent="0.25">
      <c r="A15" s="9">
        <v>13</v>
      </c>
      <c r="B15" s="19" t="s">
        <v>117</v>
      </c>
      <c r="C15" s="19" t="s">
        <v>153</v>
      </c>
      <c r="D15" s="19" t="s">
        <v>154</v>
      </c>
      <c r="E15" s="18" t="s">
        <v>155</v>
      </c>
      <c r="F15" s="150">
        <v>42055</v>
      </c>
    </row>
    <row r="16" spans="1:6" ht="15" x14ac:dyDescent="0.25">
      <c r="A16" s="9">
        <v>14</v>
      </c>
      <c r="B16" s="19" t="s">
        <v>156</v>
      </c>
      <c r="C16" s="19" t="s">
        <v>162</v>
      </c>
      <c r="D16" s="19" t="s">
        <v>161</v>
      </c>
      <c r="E16" s="18" t="s">
        <v>160</v>
      </c>
      <c r="F16" s="150">
        <v>42047</v>
      </c>
    </row>
    <row r="17" spans="1:6" ht="15" x14ac:dyDescent="0.25">
      <c r="A17" s="9">
        <v>15</v>
      </c>
      <c r="B17" s="19" t="s">
        <v>46</v>
      </c>
      <c r="C17" s="19">
        <v>2011</v>
      </c>
      <c r="D17" s="19" t="s">
        <v>348</v>
      </c>
      <c r="E17" s="18" t="s">
        <v>164</v>
      </c>
      <c r="F17" s="150">
        <v>74919</v>
      </c>
    </row>
    <row r="18" spans="1:6" ht="15" x14ac:dyDescent="0.25">
      <c r="A18" s="9">
        <v>16</v>
      </c>
      <c r="B18" s="19" t="s">
        <v>117</v>
      </c>
      <c r="C18" s="210" t="s">
        <v>347</v>
      </c>
      <c r="D18" s="19" t="s">
        <v>165</v>
      </c>
      <c r="E18" s="18" t="s">
        <v>346</v>
      </c>
      <c r="F18" s="150">
        <v>42055</v>
      </c>
    </row>
    <row r="19" spans="1:6" ht="15" x14ac:dyDescent="0.25">
      <c r="A19" s="7">
        <v>17</v>
      </c>
      <c r="B19" s="200" t="s">
        <v>188</v>
      </c>
      <c r="C19" s="200">
        <v>2015</v>
      </c>
      <c r="D19" s="200" t="s">
        <v>223</v>
      </c>
      <c r="E19" s="18" t="s">
        <v>219</v>
      </c>
      <c r="F19" s="150">
        <v>42034</v>
      </c>
    </row>
    <row r="20" spans="1:6" ht="15" x14ac:dyDescent="0.25">
      <c r="A20" s="7">
        <v>18</v>
      </c>
      <c r="B20" s="200" t="s">
        <v>53</v>
      </c>
      <c r="C20" s="200">
        <v>2015</v>
      </c>
      <c r="D20" s="200" t="s">
        <v>221</v>
      </c>
      <c r="E20" s="18" t="s">
        <v>220</v>
      </c>
      <c r="F20" s="150">
        <v>42034</v>
      </c>
    </row>
    <row r="21" spans="1:6" ht="15" x14ac:dyDescent="0.25">
      <c r="A21" s="7">
        <v>19</v>
      </c>
      <c r="B21" s="200" t="s">
        <v>54</v>
      </c>
      <c r="C21" s="200">
        <v>2015</v>
      </c>
      <c r="D21" s="200" t="s">
        <v>225</v>
      </c>
      <c r="E21" s="18" t="s">
        <v>224</v>
      </c>
      <c r="F21" s="150">
        <v>42034</v>
      </c>
    </row>
    <row r="22" spans="1:6" ht="15" x14ac:dyDescent="0.25">
      <c r="A22" s="7">
        <v>20</v>
      </c>
      <c r="B22" s="200" t="s">
        <v>51</v>
      </c>
      <c r="C22" s="200">
        <v>2015</v>
      </c>
      <c r="D22" s="200" t="s">
        <v>227</v>
      </c>
      <c r="E22" s="18" t="s">
        <v>226</v>
      </c>
      <c r="F22" s="150">
        <v>42034</v>
      </c>
    </row>
    <row r="23" spans="1:6" ht="15" x14ac:dyDescent="0.25">
      <c r="A23" s="7">
        <v>21</v>
      </c>
      <c r="B23" s="200" t="s">
        <v>70</v>
      </c>
      <c r="C23" s="200">
        <v>2015</v>
      </c>
      <c r="D23" s="200" t="s">
        <v>222</v>
      </c>
      <c r="E23" s="18" t="s">
        <v>228</v>
      </c>
      <c r="F23" s="150">
        <v>42034</v>
      </c>
    </row>
    <row r="24" spans="1:6" ht="15" x14ac:dyDescent="0.25">
      <c r="A24" s="7">
        <v>22</v>
      </c>
      <c r="B24" s="200" t="s">
        <v>77</v>
      </c>
      <c r="C24" s="200">
        <v>2015</v>
      </c>
      <c r="D24" s="200" t="s">
        <v>351</v>
      </c>
      <c r="E24" s="18" t="s">
        <v>354</v>
      </c>
      <c r="F24" s="150">
        <v>42034</v>
      </c>
    </row>
    <row r="25" spans="1:6" ht="15" x14ac:dyDescent="0.25">
      <c r="A25" s="7">
        <v>23</v>
      </c>
      <c r="B25" s="200" t="s">
        <v>78</v>
      </c>
      <c r="C25" s="200">
        <v>2015</v>
      </c>
      <c r="D25" s="200" t="s">
        <v>352</v>
      </c>
      <c r="E25" s="18" t="s">
        <v>355</v>
      </c>
      <c r="F25" s="150">
        <v>42034</v>
      </c>
    </row>
    <row r="26" spans="1:6" ht="15" x14ac:dyDescent="0.25">
      <c r="A26" s="7">
        <v>24</v>
      </c>
      <c r="B26" s="200" t="s">
        <v>79</v>
      </c>
      <c r="C26" s="200">
        <v>2015</v>
      </c>
      <c r="D26" s="200" t="s">
        <v>353</v>
      </c>
      <c r="E26" s="18" t="s">
        <v>356</v>
      </c>
      <c r="F26" s="150">
        <v>42034</v>
      </c>
    </row>
    <row r="27" spans="1:6" ht="15" x14ac:dyDescent="0.25">
      <c r="A27" s="7">
        <v>25</v>
      </c>
      <c r="B27" s="200" t="s">
        <v>46</v>
      </c>
      <c r="C27" s="200">
        <v>2015</v>
      </c>
      <c r="D27" s="200" t="s">
        <v>359</v>
      </c>
      <c r="E27" s="18" t="s">
        <v>344</v>
      </c>
      <c r="F27" s="4">
        <v>42055</v>
      </c>
    </row>
    <row r="28" spans="1:6" ht="15" x14ac:dyDescent="0.25">
      <c r="A28" s="23">
        <v>26</v>
      </c>
      <c r="B28" s="200" t="s">
        <v>117</v>
      </c>
      <c r="C28" s="200">
        <v>2015</v>
      </c>
      <c r="D28" s="19" t="s">
        <v>441</v>
      </c>
      <c r="E28" s="18" t="s">
        <v>442</v>
      </c>
      <c r="F28" s="150">
        <v>42142</v>
      </c>
    </row>
    <row r="29" spans="1:6" x14ac:dyDescent="0.2">
      <c r="A29" s="202">
        <v>27</v>
      </c>
      <c r="B29" s="200" t="s">
        <v>461</v>
      </c>
      <c r="C29" s="200">
        <v>2015</v>
      </c>
      <c r="D29" s="19" t="s">
        <v>462</v>
      </c>
      <c r="E29" t="s">
        <v>463</v>
      </c>
      <c r="F29" s="150">
        <v>42102</v>
      </c>
    </row>
    <row r="30" spans="1:6" ht="15" x14ac:dyDescent="0.25">
      <c r="A30" s="9" t="s">
        <v>464</v>
      </c>
      <c r="B30" s="19" t="s">
        <v>497</v>
      </c>
      <c r="C30" s="209">
        <v>38113</v>
      </c>
      <c r="D30" s="19" t="s">
        <v>138</v>
      </c>
      <c r="E30" s="18" t="s">
        <v>48</v>
      </c>
      <c r="F30" s="150">
        <v>42052</v>
      </c>
    </row>
    <row r="31" spans="1:6" x14ac:dyDescent="0.2">
      <c r="D31" s="6"/>
      <c r="F31" s="7"/>
    </row>
    <row r="32" spans="1:6" ht="14.25" customHeight="1" x14ac:dyDescent="0.2">
      <c r="D32" s="6"/>
      <c r="F32" s="7"/>
    </row>
    <row r="33" spans="1:6" x14ac:dyDescent="0.2">
      <c r="D33" s="6"/>
      <c r="F33" s="7"/>
    </row>
    <row r="34" spans="1:6" x14ac:dyDescent="0.2">
      <c r="D34" s="6"/>
      <c r="F34" s="7"/>
    </row>
    <row r="35" spans="1:6" x14ac:dyDescent="0.2">
      <c r="D35" s="6"/>
      <c r="F35" s="7"/>
    </row>
    <row r="36" spans="1:6" x14ac:dyDescent="0.2">
      <c r="D36" s="6"/>
    </row>
    <row r="37" spans="1:6" hidden="1" x14ac:dyDescent="0.2"/>
    <row r="38" spans="1:6" hidden="1" x14ac:dyDescent="0.2"/>
    <row r="39" spans="1:6" hidden="1" x14ac:dyDescent="0.2"/>
    <row r="40" spans="1:6" hidden="1" x14ac:dyDescent="0.2">
      <c r="A40" s="23"/>
    </row>
    <row r="41" spans="1:6" hidden="1" x14ac:dyDescent="0.2">
      <c r="A41" s="23"/>
    </row>
    <row r="42" spans="1:6" hidden="1" x14ac:dyDescent="0.2">
      <c r="A42" s="23"/>
    </row>
    <row r="43" spans="1:6" hidden="1" x14ac:dyDescent="0.2">
      <c r="A43" s="23"/>
    </row>
    <row r="44" spans="1:6" hidden="1" x14ac:dyDescent="0.2">
      <c r="A44" s="23"/>
    </row>
    <row r="45" spans="1:6" hidden="1" x14ac:dyDescent="0.2">
      <c r="A45" s="23"/>
    </row>
    <row r="46" spans="1:6" hidden="1" x14ac:dyDescent="0.2">
      <c r="A46" s="23"/>
    </row>
    <row r="47" spans="1:6" hidden="1" x14ac:dyDescent="0.2">
      <c r="A47" s="23"/>
    </row>
    <row r="48" spans="1:6" hidden="1" x14ac:dyDescent="0.2">
      <c r="A48" s="23"/>
    </row>
    <row r="49" spans="1:5" hidden="1" x14ac:dyDescent="0.2">
      <c r="A49" s="23"/>
    </row>
    <row r="50" spans="1:5" hidden="1" x14ac:dyDescent="0.2">
      <c r="A50" s="23"/>
    </row>
    <row r="51" spans="1:5" hidden="1" x14ac:dyDescent="0.2">
      <c r="A51" s="23"/>
    </row>
    <row r="52" spans="1:5" hidden="1" x14ac:dyDescent="0.2"/>
    <row r="53" spans="1:5" hidden="1" x14ac:dyDescent="0.2"/>
    <row r="54" spans="1:5" hidden="1" x14ac:dyDescent="0.2"/>
    <row r="55" spans="1:5" hidden="1" x14ac:dyDescent="0.2"/>
    <row r="56" spans="1:5" ht="15" hidden="1" x14ac:dyDescent="0.25">
      <c r="E56" s="18"/>
    </row>
    <row r="57" spans="1:5" ht="15" hidden="1" x14ac:dyDescent="0.25">
      <c r="B57" s="19"/>
      <c r="C57" s="21"/>
      <c r="E57" s="18"/>
    </row>
    <row r="58" spans="1:5" ht="15" hidden="1" x14ac:dyDescent="0.25">
      <c r="B58" s="19"/>
      <c r="C58" s="4"/>
      <c r="E58" s="18"/>
    </row>
    <row r="59" spans="1:5" ht="15" hidden="1" x14ac:dyDescent="0.25">
      <c r="B59" s="19"/>
      <c r="C59" s="21"/>
      <c r="E59" s="18"/>
    </row>
    <row r="60" spans="1:5" ht="15" hidden="1" x14ac:dyDescent="0.25">
      <c r="A60" s="20"/>
      <c r="D60" s="19"/>
      <c r="E60" s="18"/>
    </row>
    <row r="61" spans="1:5" ht="15" hidden="1" x14ac:dyDescent="0.25">
      <c r="C61" s="4"/>
      <c r="E61" s="18"/>
    </row>
    <row r="62" spans="1:5" ht="15" hidden="1" x14ac:dyDescent="0.25">
      <c r="A62" s="20"/>
      <c r="D62" s="19"/>
      <c r="E62" s="18"/>
    </row>
    <row r="63" spans="1:5" ht="15" hidden="1" x14ac:dyDescent="0.25">
      <c r="C63" s="4"/>
      <c r="E63" s="18"/>
    </row>
    <row r="64" spans="1:5" ht="15" hidden="1" x14ac:dyDescent="0.25">
      <c r="B64" s="19"/>
      <c r="C64" s="4"/>
      <c r="E64" s="18"/>
    </row>
    <row r="65" spans="1:5" ht="15" hidden="1" x14ac:dyDescent="0.25">
      <c r="B65" s="19"/>
      <c r="C65" s="21"/>
      <c r="E65" s="18"/>
    </row>
    <row r="66" spans="1:5" ht="15" hidden="1" x14ac:dyDescent="0.25">
      <c r="A66" s="20"/>
      <c r="D66" s="19"/>
      <c r="E66" s="18"/>
    </row>
    <row r="67" spans="1:5" ht="15" hidden="1" x14ac:dyDescent="0.25">
      <c r="E67" s="18"/>
    </row>
    <row r="68" spans="1:5" ht="15" hidden="1" x14ac:dyDescent="0.25">
      <c r="B68" s="19"/>
      <c r="E68" s="18"/>
    </row>
    <row r="69" spans="1:5" ht="15" hidden="1" x14ac:dyDescent="0.25">
      <c r="B69" s="19"/>
      <c r="C69" s="4"/>
      <c r="E69" s="18"/>
    </row>
    <row r="70" spans="1:5" ht="15" hidden="1" x14ac:dyDescent="0.25">
      <c r="B70" s="19"/>
      <c r="C70" s="21"/>
      <c r="E70" s="18"/>
    </row>
    <row r="71" spans="1:5" ht="15" hidden="1" x14ac:dyDescent="0.25">
      <c r="A71" s="20"/>
      <c r="D71" s="19"/>
      <c r="E71" s="18"/>
    </row>
    <row r="72" spans="1:5" ht="15" hidden="1" x14ac:dyDescent="0.25">
      <c r="E72" s="18"/>
    </row>
    <row r="73" spans="1:5" ht="15" hidden="1" x14ac:dyDescent="0.25">
      <c r="B73" s="19"/>
      <c r="E73" s="18"/>
    </row>
    <row r="74" spans="1:5" ht="15" hidden="1" x14ac:dyDescent="0.25">
      <c r="B74" s="19"/>
      <c r="C74" s="4"/>
      <c r="E74" s="18"/>
    </row>
    <row r="75" spans="1:5" ht="15" hidden="1" x14ac:dyDescent="0.25">
      <c r="B75" s="19"/>
      <c r="C75" s="21"/>
      <c r="E75" s="18"/>
    </row>
    <row r="76" spans="1:5" ht="15" hidden="1" x14ac:dyDescent="0.25">
      <c r="A76" s="20"/>
      <c r="D76" s="19"/>
      <c r="E76" s="18"/>
    </row>
    <row r="77" spans="1:5" ht="15" hidden="1" x14ac:dyDescent="0.25">
      <c r="E77" s="18"/>
    </row>
    <row r="78" spans="1:5" ht="15" hidden="1" x14ac:dyDescent="0.25">
      <c r="B78" s="19"/>
      <c r="C78" s="4"/>
      <c r="E78" s="18"/>
    </row>
    <row r="79" spans="1:5" ht="15" hidden="1" x14ac:dyDescent="0.25">
      <c r="B79" s="19"/>
      <c r="C79" s="21"/>
      <c r="E79" s="18"/>
    </row>
    <row r="80" spans="1:5" ht="15" hidden="1" x14ac:dyDescent="0.25">
      <c r="A80" s="20"/>
      <c r="D80" s="19"/>
      <c r="E80" s="18"/>
    </row>
    <row r="81" spans="1:5" ht="15" hidden="1" x14ac:dyDescent="0.25">
      <c r="E81" s="18"/>
    </row>
    <row r="82" spans="1:5" ht="15" hidden="1" x14ac:dyDescent="0.25">
      <c r="B82" s="19"/>
      <c r="C82" s="4"/>
      <c r="E82" s="18"/>
    </row>
    <row r="83" spans="1:5" ht="15" hidden="1" x14ac:dyDescent="0.25">
      <c r="B83" s="19"/>
      <c r="C83" s="21"/>
      <c r="E83" s="18"/>
    </row>
    <row r="84" spans="1:5" ht="15" hidden="1" x14ac:dyDescent="0.25">
      <c r="A84" s="20"/>
      <c r="D84" s="19"/>
      <c r="E84" s="18"/>
    </row>
    <row r="85" spans="1:5" ht="15" hidden="1" x14ac:dyDescent="0.25">
      <c r="C85" s="4"/>
      <c r="E85" s="18"/>
    </row>
    <row r="86" spans="1:5" ht="15" hidden="1" x14ac:dyDescent="0.25">
      <c r="A86" s="20"/>
      <c r="D86" s="19"/>
      <c r="E86" s="18"/>
    </row>
    <row r="87" spans="1:5" ht="15" hidden="1" x14ac:dyDescent="0.25">
      <c r="B87" s="19"/>
      <c r="C87" s="4"/>
      <c r="E87" s="18"/>
    </row>
    <row r="88" spans="1:5" ht="15" hidden="1" x14ac:dyDescent="0.25">
      <c r="B88" s="19"/>
      <c r="C88" s="21"/>
      <c r="E88" s="18"/>
    </row>
    <row r="89" spans="1:5" ht="15" hidden="1" x14ac:dyDescent="0.25">
      <c r="A89" s="20"/>
      <c r="D89" s="19"/>
      <c r="E89" s="18"/>
    </row>
    <row r="90" spans="1:5" ht="15" hidden="1" x14ac:dyDescent="0.25">
      <c r="B90" s="19"/>
      <c r="C90" s="4"/>
      <c r="E90" s="18"/>
    </row>
    <row r="91" spans="1:5" ht="15" hidden="1" x14ac:dyDescent="0.25">
      <c r="A91" s="20"/>
      <c r="D91" s="19"/>
      <c r="E91" s="18"/>
    </row>
    <row r="92" spans="1:5" ht="15" hidden="1" x14ac:dyDescent="0.25">
      <c r="B92" s="19"/>
      <c r="C92" s="21"/>
      <c r="E92" s="18"/>
    </row>
    <row r="93" spans="1:5" ht="15" hidden="1" x14ac:dyDescent="0.25">
      <c r="A93" s="20"/>
      <c r="D93" s="19"/>
      <c r="E93" s="18"/>
    </row>
    <row r="94" spans="1:5" ht="15" hidden="1" x14ac:dyDescent="0.25">
      <c r="B94" s="19"/>
      <c r="C94" s="4"/>
      <c r="E94" s="18"/>
    </row>
    <row r="95" spans="1:5" ht="15" hidden="1" x14ac:dyDescent="0.25">
      <c r="B95" s="19"/>
      <c r="C95" s="21"/>
      <c r="E95" s="18"/>
    </row>
    <row r="96" spans="1:5" ht="15" hidden="1" x14ac:dyDescent="0.25">
      <c r="A96" s="20"/>
      <c r="D96" s="19"/>
      <c r="E96" s="18"/>
    </row>
    <row r="97" spans="1:5" ht="15" hidden="1" x14ac:dyDescent="0.25">
      <c r="B97" s="19"/>
      <c r="C97" s="4"/>
      <c r="E97" s="18"/>
    </row>
    <row r="98" spans="1:5" ht="15" hidden="1" x14ac:dyDescent="0.25">
      <c r="B98" s="19"/>
      <c r="C98" s="4"/>
      <c r="E98" s="18"/>
    </row>
    <row r="99" spans="1:5" ht="15" hidden="1" x14ac:dyDescent="0.25">
      <c r="B99" s="19"/>
      <c r="C99" s="4"/>
      <c r="E99" s="18"/>
    </row>
    <row r="100" spans="1:5" ht="15" hidden="1" x14ac:dyDescent="0.25">
      <c r="A100" s="20"/>
      <c r="D100" s="19"/>
      <c r="E100" s="18"/>
    </row>
    <row r="101" spans="1:5" ht="15" hidden="1" x14ac:dyDescent="0.25">
      <c r="B101" s="19"/>
      <c r="C101" s="4"/>
      <c r="E101" s="18"/>
    </row>
    <row r="102" spans="1:5" ht="15" hidden="1" x14ac:dyDescent="0.25">
      <c r="B102" s="19"/>
      <c r="C102" s="4"/>
      <c r="E102" s="18"/>
    </row>
    <row r="103" spans="1:5" ht="15" hidden="1" x14ac:dyDescent="0.25">
      <c r="B103" s="19"/>
      <c r="C103" s="21"/>
      <c r="E103" s="18"/>
    </row>
    <row r="104" spans="1:5" ht="15" hidden="1" x14ac:dyDescent="0.25">
      <c r="A104" s="20"/>
      <c r="D104" s="19"/>
      <c r="E104" s="18"/>
    </row>
    <row r="105" spans="1:5" ht="15" hidden="1" x14ac:dyDescent="0.25">
      <c r="B105" s="19"/>
      <c r="C105" s="21"/>
      <c r="E105" s="18"/>
    </row>
    <row r="106" spans="1:5" ht="15" hidden="1" x14ac:dyDescent="0.25">
      <c r="A106" s="20"/>
      <c r="D106" s="19"/>
      <c r="E106" s="18"/>
    </row>
    <row r="107" spans="1:5" ht="15" hidden="1" x14ac:dyDescent="0.25">
      <c r="A107" s="22"/>
      <c r="C107" s="4"/>
      <c r="D107" s="19"/>
      <c r="E107" s="18"/>
    </row>
    <row r="108" spans="1:5" ht="15" hidden="1" x14ac:dyDescent="0.25">
      <c r="B108" s="19"/>
      <c r="C108" s="21"/>
      <c r="E108" s="18"/>
    </row>
    <row r="109" spans="1:5" ht="15" hidden="1" x14ac:dyDescent="0.25">
      <c r="A109" s="20"/>
      <c r="D109" s="19"/>
      <c r="E109" s="18"/>
    </row>
    <row r="110" spans="1:5" ht="15" hidden="1" x14ac:dyDescent="0.25">
      <c r="C110" s="4"/>
      <c r="E110" s="18"/>
    </row>
    <row r="111" spans="1:5" ht="15" hidden="1" x14ac:dyDescent="0.25">
      <c r="A111" s="20"/>
      <c r="D111" s="19"/>
      <c r="E111" s="18"/>
    </row>
    <row r="112" spans="1:5" ht="15" hidden="1" x14ac:dyDescent="0.25">
      <c r="B112" s="19"/>
      <c r="C112" s="4"/>
      <c r="E112" s="18"/>
    </row>
    <row r="113" spans="1:5" ht="15" hidden="1" x14ac:dyDescent="0.25">
      <c r="A113" s="20"/>
      <c r="D113" s="19"/>
      <c r="E113" s="18"/>
    </row>
    <row r="114" spans="1:5" ht="15" hidden="1" x14ac:dyDescent="0.25">
      <c r="B114" s="19"/>
      <c r="C114" s="21"/>
      <c r="E114" s="18"/>
    </row>
    <row r="115" spans="1:5" ht="15" hidden="1" x14ac:dyDescent="0.25">
      <c r="B115" s="19"/>
      <c r="C115" s="4"/>
      <c r="E115" s="18"/>
    </row>
    <row r="116" spans="1:5" ht="15" hidden="1" x14ac:dyDescent="0.25">
      <c r="A116" s="20"/>
      <c r="D116" s="19"/>
      <c r="E116" s="18"/>
    </row>
    <row r="117" spans="1:5" ht="15" hidden="1" x14ac:dyDescent="0.25">
      <c r="C117" s="4"/>
      <c r="E117" s="18"/>
    </row>
    <row r="118" spans="1:5" ht="15" hidden="1" x14ac:dyDescent="0.25">
      <c r="B118" s="19"/>
      <c r="C118" s="4"/>
      <c r="E118" s="18"/>
    </row>
    <row r="119" spans="1:5" ht="15" hidden="1" x14ac:dyDescent="0.25">
      <c r="B119" s="19"/>
      <c r="C119" s="4"/>
      <c r="E119" s="18"/>
    </row>
    <row r="120" spans="1:5" ht="15" hidden="1" x14ac:dyDescent="0.25">
      <c r="B120" s="19"/>
      <c r="C120" s="21"/>
      <c r="E120" s="18"/>
    </row>
    <row r="121" spans="1:5" ht="15" hidden="1" x14ac:dyDescent="0.25">
      <c r="A121" s="20"/>
      <c r="D121" s="19"/>
      <c r="E121" s="18"/>
    </row>
    <row r="122" spans="1:5" ht="15" hidden="1" x14ac:dyDescent="0.25">
      <c r="C122" s="4"/>
      <c r="E122" s="18"/>
    </row>
    <row r="123" spans="1:5" ht="15" hidden="1" x14ac:dyDescent="0.25">
      <c r="B123" s="19"/>
      <c r="C123" s="4"/>
      <c r="E123" s="18"/>
    </row>
    <row r="124" spans="1:5" ht="15" hidden="1" x14ac:dyDescent="0.25">
      <c r="B124" s="19"/>
      <c r="C124" s="4"/>
      <c r="E124" s="18"/>
    </row>
    <row r="125" spans="1:5" ht="15" hidden="1" x14ac:dyDescent="0.25">
      <c r="B125" s="19"/>
      <c r="C125" s="21"/>
      <c r="E125" s="18"/>
    </row>
    <row r="126" spans="1:5" hidden="1" x14ac:dyDescent="0.2"/>
    <row r="127" spans="1:5" hidden="1" x14ac:dyDescent="0.2"/>
    <row r="128" spans="1:5" hidden="1" x14ac:dyDescent="0.2"/>
    <row r="129" hidden="1" x14ac:dyDescent="0.2"/>
    <row r="130" hidden="1" x14ac:dyDescent="0.2"/>
    <row r="131" hidden="1" x14ac:dyDescent="0.2"/>
    <row r="132" hidden="1" x14ac:dyDescent="0.2"/>
    <row r="133" hidden="1" x14ac:dyDescent="0.2"/>
    <row r="134" x14ac:dyDescent="0.2"/>
    <row r="135" x14ac:dyDescent="0.2"/>
  </sheetData>
  <sheetProtection algorithmName="SHA-512" hashValue="AlUPnzBWZDi/OlJPEDFB9Yq80iEjrJrNx/THaxsGWkyKc9v5KhVrb5aJF7vn2C+tMfE9PU8R9qXyB9HHdRLJGA==" saltValue="Cb75Gxb6i7GdFjyJUV20Ig==" spinCount="100000" sheet="1" objects="1" scenarios="1"/>
  <conditionalFormatting sqref="E1:E7 E10:E28 E31:E1048576">
    <cfRule type="duplicateValues" dxfId="1" priority="2"/>
  </conditionalFormatting>
  <conditionalFormatting sqref="E30">
    <cfRule type="duplicateValues" dxfId="0" priority="1"/>
  </conditionalFormatting>
  <hyperlinks>
    <hyperlink ref="E14" r:id="rId1"/>
    <hyperlink ref="E19" r:id="rId2" location="!&amp;Va=false&amp;page=1&amp;rpp=48&amp;N%5B%5D=1z11on2"/>
    <hyperlink ref="E20" r:id="rId3"/>
    <hyperlink ref="E21" r:id="rId4"/>
    <hyperlink ref="E23" r:id="rId5"/>
    <hyperlink ref="E18" r:id="rId6"/>
    <hyperlink ref="E16" r:id="rId7" location="Inability-to-Remove-Some-Odors"/>
    <hyperlink ref="E17" r:id="rId8"/>
    <hyperlink ref="E13" r:id="rId9"/>
    <hyperlink ref="E4" r:id="rId10"/>
    <hyperlink ref="E10" r:id="rId11"/>
  </hyperlinks>
  <pageMargins left="0.7" right="0.7" top="0.75" bottom="0.75" header="0.3" footer="0.3"/>
  <pageSetup orientation="portrait"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Summary View</vt:lpstr>
      <vt:lpstr>Intermediate Data</vt:lpstr>
      <vt:lpstr>Measure Quantitative Data</vt:lpstr>
      <vt:lpstr>Cost view figures</vt:lpstr>
      <vt:lpstr>Cost</vt:lpstr>
      <vt:lpstr>Brands</vt:lpstr>
      <vt:lpstr>Measure Qualitative Data</vt:lpstr>
      <vt:lpstr>Codes and Specs Data</vt:lpstr>
      <vt:lpstr>Source Info</vt:lpstr>
      <vt:lpstr>Store Data</vt:lpstr>
      <vt:lpstr>ALL</vt:lpstr>
      <vt:lpstr>GT</vt:lpstr>
      <vt:lpstr>LT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2014-09-25T17:24:17Z</dcterms:created>
  <dcterms:modified xsi:type="dcterms:W3CDTF">2015-07-03T11:12:18Z</dcterms:modified>
</cp:coreProperties>
</file>