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GE\Aggregator\Aggregator 2014\Models\Ex Post Protocol Tables\"/>
    </mc:Choice>
  </mc:AlternateContent>
  <bookViews>
    <workbookView xWindow="0" yWindow="75" windowWidth="19035" windowHeight="11760"/>
  </bookViews>
  <sheets>
    <sheet name="Table" sheetId="4" r:id="rId1"/>
    <sheet name="Lookups" sheetId="2" state="hidden" r:id="rId2"/>
    <sheet name="Data" sheetId="1" state="hidden" r:id="rId3"/>
  </sheets>
  <externalReferences>
    <externalReference r:id="rId4"/>
    <externalReference r:id="rId5"/>
  </externalReferences>
  <definedNames>
    <definedName name="_xlnm._FilterDatabase" localSheetId="2" hidden="1">Data!$A$1:$FV$16569</definedName>
    <definedName name="agg">Table!#REF!</definedName>
    <definedName name="agg_list">Lookups!$O$4:$O$9</definedName>
    <definedName name="Called">Table!$G$3</definedName>
    <definedName name="_xlnm.Criteria">Lookups!$B$3:$D$4</definedName>
    <definedName name="data">Data!$A$1:$FX$30753</definedName>
    <definedName name="date">Table!$B$5</definedName>
    <definedName name="date_list">Lookups!$K$4:$K$16</definedName>
    <definedName name="date_temp">[1]Table!$B$5</definedName>
    <definedName name="dual_enrol">Table!$B$11</definedName>
    <definedName name="dual_enrol_list">Lookups!$Q$4:$Q$6</definedName>
    <definedName name="Fillin">Lookups!$D$11</definedName>
    <definedName name="ind_grp">[2]Table!$B$7</definedName>
    <definedName name="lca">Table!$B$7</definedName>
    <definedName name="lca_list">Lookups!$L$4:$L$7</definedName>
    <definedName name="notice">Table!$B$8</definedName>
    <definedName name="notice_list">Lookups!$M$4:$M$5</definedName>
    <definedName name="notice_temp">[1]Table!$B$11</definedName>
    <definedName name="pass">Lookups!$D$8</definedName>
    <definedName name="_xlnm.Print_Area" localSheetId="0">Table!$A$2:$N$35</definedName>
    <definedName name="Result_type">Table!$B$4</definedName>
    <definedName name="Result_type_list">Lookups!$J$4:$J$5</definedName>
    <definedName name="table_for_PGE_CBP_expost_public" localSheetId="2">Data!$A$1:$FT$105</definedName>
  </definedNames>
  <calcPr calcId="152511"/>
</workbook>
</file>

<file path=xl/calcChain.xml><?xml version="1.0" encoding="utf-8"?>
<calcChain xmlns="http://schemas.openxmlformats.org/spreadsheetml/2006/main">
  <c r="Z18" i="2" l="1"/>
  <c r="B11" i="4" l="1"/>
  <c r="Z19" i="2" l="1"/>
  <c r="AC19" i="2"/>
  <c r="AB19" i="2"/>
  <c r="F45" i="2" l="1"/>
  <c r="A45" i="2"/>
  <c r="F44" i="2"/>
  <c r="A44" i="2"/>
  <c r="F43" i="2"/>
  <c r="A43" i="2"/>
  <c r="F42" i="2"/>
  <c r="A42" i="2"/>
  <c r="F41" i="2"/>
  <c r="A41" i="2"/>
  <c r="F40" i="2"/>
  <c r="A40" i="2"/>
  <c r="F39" i="2"/>
  <c r="A39" i="2"/>
  <c r="F38" i="2"/>
  <c r="A38" i="2"/>
  <c r="F37" i="2"/>
  <c r="A37" i="2"/>
  <c r="F36" i="2"/>
  <c r="A36" i="2"/>
  <c r="F35" i="2"/>
  <c r="A35" i="2"/>
  <c r="F34" i="2"/>
  <c r="A34" i="2"/>
  <c r="F33" i="2"/>
  <c r="A33" i="2"/>
  <c r="F32" i="2"/>
  <c r="A32" i="2"/>
  <c r="F31" i="2"/>
  <c r="A31" i="2"/>
  <c r="F30" i="2"/>
  <c r="A30" i="2"/>
  <c r="F29" i="2"/>
  <c r="A29" i="2"/>
  <c r="F28" i="2"/>
  <c r="A28" i="2"/>
  <c r="F27" i="2"/>
  <c r="A27" i="2"/>
  <c r="F26" i="2"/>
  <c r="A26" i="2"/>
  <c r="F25" i="2"/>
  <c r="A25" i="2"/>
  <c r="F24" i="2"/>
  <c r="A24" i="2"/>
  <c r="F23" i="2"/>
  <c r="A23" i="2"/>
  <c r="F22" i="2"/>
  <c r="A22" i="2"/>
  <c r="F21" i="2"/>
  <c r="A21" i="2"/>
  <c r="F20" i="2"/>
  <c r="A20" i="2"/>
  <c r="H32" i="4" l="1"/>
  <c r="G32" i="4"/>
  <c r="G5" i="4"/>
  <c r="J3" i="4" l="1"/>
  <c r="K20" i="2"/>
  <c r="I21" i="2"/>
  <c r="K21" i="2" s="1"/>
  <c r="F32" i="4"/>
  <c r="S20" i="2" l="1"/>
  <c r="I22" i="2"/>
  <c r="K22" i="2" s="1"/>
  <c r="D4" i="2"/>
  <c r="C4" i="2"/>
  <c r="B4" i="2"/>
  <c r="D8" i="2" s="1"/>
  <c r="J32" i="4"/>
  <c r="J6" i="4"/>
  <c r="H5" i="4"/>
  <c r="F5" i="4"/>
  <c r="M20" i="2" l="1"/>
  <c r="R20" i="2"/>
  <c r="O20" i="2"/>
  <c r="U20" i="2"/>
  <c r="Q20" i="2"/>
  <c r="T20" i="2"/>
  <c r="N20" i="2"/>
  <c r="P20" i="2"/>
  <c r="L20" i="2"/>
  <c r="U21" i="2"/>
  <c r="M21" i="2"/>
  <c r="R21" i="2"/>
  <c r="T21" i="2"/>
  <c r="L21" i="2"/>
  <c r="S21" i="2"/>
  <c r="O21" i="2"/>
  <c r="N21" i="2"/>
  <c r="P21" i="2"/>
  <c r="Q21" i="2"/>
  <c r="I23" i="2"/>
  <c r="K23" i="2" s="1"/>
  <c r="G2" i="4" l="1"/>
  <c r="G3" i="4"/>
  <c r="F8" i="4"/>
  <c r="P22" i="2"/>
  <c r="N22" i="2"/>
  <c r="O22" i="2"/>
  <c r="M22" i="2"/>
  <c r="R22" i="2"/>
  <c r="Q22" i="2"/>
  <c r="U22" i="2"/>
  <c r="T22" i="2"/>
  <c r="S22" i="2"/>
  <c r="L22" i="2"/>
  <c r="I24" i="2"/>
  <c r="K24" i="2" s="1"/>
  <c r="I31" i="4"/>
  <c r="J43" i="2" s="1"/>
  <c r="J30" i="4"/>
  <c r="K29" i="4"/>
  <c r="M27" i="4"/>
  <c r="N26" i="4"/>
  <c r="F26" i="4"/>
  <c r="H24" i="4"/>
  <c r="I23" i="4"/>
  <c r="J35" i="2" s="1"/>
  <c r="J22" i="4"/>
  <c r="K21" i="4"/>
  <c r="M19" i="4"/>
  <c r="N18" i="4"/>
  <c r="F18" i="4"/>
  <c r="H16" i="4"/>
  <c r="L16" i="4" s="1"/>
  <c r="I15" i="4"/>
  <c r="J27" i="2" s="1"/>
  <c r="J14" i="4"/>
  <c r="K13" i="4"/>
  <c r="M11" i="4"/>
  <c r="N10" i="4"/>
  <c r="F10" i="4"/>
  <c r="H8" i="4"/>
  <c r="H31" i="4"/>
  <c r="L31" i="4" s="1"/>
  <c r="I30" i="4"/>
  <c r="J42" i="2" s="1"/>
  <c r="J29" i="4"/>
  <c r="K28" i="4"/>
  <c r="M26" i="4"/>
  <c r="N25" i="4"/>
  <c r="F25" i="4"/>
  <c r="H23" i="4"/>
  <c r="I22" i="4"/>
  <c r="J34" i="2" s="1"/>
  <c r="J21" i="4"/>
  <c r="K20" i="4"/>
  <c r="M18" i="4"/>
  <c r="N17" i="4"/>
  <c r="F17" i="4"/>
  <c r="H15" i="4"/>
  <c r="L15" i="4" s="1"/>
  <c r="I14" i="4"/>
  <c r="J26" i="2" s="1"/>
  <c r="J13" i="4"/>
  <c r="K12" i="4"/>
  <c r="M10" i="4"/>
  <c r="N9" i="4"/>
  <c r="F9" i="4"/>
  <c r="F31" i="4"/>
  <c r="H29" i="4"/>
  <c r="L29" i="4" s="1"/>
  <c r="J27" i="4"/>
  <c r="K26" i="4"/>
  <c r="N23" i="4"/>
  <c r="H21" i="4"/>
  <c r="K18" i="4"/>
  <c r="M16" i="4"/>
  <c r="N15" i="4"/>
  <c r="H13" i="4"/>
  <c r="L13" i="4" s="1"/>
  <c r="I12" i="4"/>
  <c r="J24" i="2" s="1"/>
  <c r="K10" i="4"/>
  <c r="M8" i="4"/>
  <c r="H30" i="4"/>
  <c r="L30" i="4" s="1"/>
  <c r="I29" i="4"/>
  <c r="J41" i="2" s="1"/>
  <c r="J28" i="4"/>
  <c r="K27" i="4"/>
  <c r="M25" i="4"/>
  <c r="N24" i="4"/>
  <c r="F24" i="4"/>
  <c r="H22" i="4"/>
  <c r="I21" i="4"/>
  <c r="J33" i="2" s="1"/>
  <c r="J20" i="4"/>
  <c r="K19" i="4"/>
  <c r="M17" i="4"/>
  <c r="N16" i="4"/>
  <c r="F16" i="4"/>
  <c r="H14" i="4"/>
  <c r="L14" i="4" s="1"/>
  <c r="I13" i="4"/>
  <c r="J25" i="2" s="1"/>
  <c r="J12" i="4"/>
  <c r="K11" i="4"/>
  <c r="M9" i="4"/>
  <c r="N8" i="4"/>
  <c r="N31" i="4"/>
  <c r="I28" i="4"/>
  <c r="J40" i="2" s="1"/>
  <c r="M24" i="4"/>
  <c r="F23" i="4"/>
  <c r="I20" i="4"/>
  <c r="J32" i="2" s="1"/>
  <c r="J19" i="4"/>
  <c r="F15" i="4"/>
  <c r="J11" i="4"/>
  <c r="M31" i="4"/>
  <c r="N30" i="4"/>
  <c r="F30" i="4"/>
  <c r="H28" i="4"/>
  <c r="L28" i="4" s="1"/>
  <c r="I27" i="4"/>
  <c r="J39" i="2" s="1"/>
  <c r="J26" i="4"/>
  <c r="K25" i="4"/>
  <c r="M23" i="4"/>
  <c r="N22" i="4"/>
  <c r="F22" i="4"/>
  <c r="H20" i="4"/>
  <c r="L20" i="4" s="1"/>
  <c r="I19" i="4"/>
  <c r="J31" i="2" s="1"/>
  <c r="J18" i="4"/>
  <c r="K17" i="4"/>
  <c r="M15" i="4"/>
  <c r="N14" i="4"/>
  <c r="F14" i="4"/>
  <c r="H12" i="4"/>
  <c r="L12" i="4" s="1"/>
  <c r="I11" i="4"/>
  <c r="J23" i="2" s="1"/>
  <c r="J10" i="4"/>
  <c r="K9" i="4"/>
  <c r="J16" i="4"/>
  <c r="N11" i="4"/>
  <c r="K30" i="4"/>
  <c r="F28" i="4"/>
  <c r="J25" i="4"/>
  <c r="J23" i="4"/>
  <c r="I18" i="4"/>
  <c r="J30" i="2" s="1"/>
  <c r="H11" i="4"/>
  <c r="L11" i="4" s="1"/>
  <c r="N27" i="4"/>
  <c r="M20" i="4"/>
  <c r="M29" i="4"/>
  <c r="H27" i="4"/>
  <c r="L27" i="4" s="1"/>
  <c r="H25" i="4"/>
  <c r="L25" i="4" s="1"/>
  <c r="K15" i="4"/>
  <c r="F13" i="4"/>
  <c r="F11" i="4"/>
  <c r="J8" i="4"/>
  <c r="K24" i="4"/>
  <c r="K22" i="4"/>
  <c r="F20" i="4"/>
  <c r="J17" i="4"/>
  <c r="J15" i="4"/>
  <c r="N12" i="4"/>
  <c r="I10" i="4"/>
  <c r="J22" i="2" s="1"/>
  <c r="I8" i="4"/>
  <c r="J20" i="2" s="1"/>
  <c r="K31" i="4"/>
  <c r="F29" i="4"/>
  <c r="F27" i="4"/>
  <c r="J24" i="4"/>
  <c r="N21" i="4"/>
  <c r="N19" i="4"/>
  <c r="I17" i="4"/>
  <c r="J29" i="2" s="1"/>
  <c r="M14" i="4"/>
  <c r="M12" i="4"/>
  <c r="H10" i="4"/>
  <c r="L10" i="4" s="1"/>
  <c r="N20" i="4"/>
  <c r="M13" i="4"/>
  <c r="H9" i="4"/>
  <c r="L9" i="4" s="1"/>
  <c r="N29" i="4"/>
  <c r="M22" i="4"/>
  <c r="K8" i="4"/>
  <c r="J31" i="4"/>
  <c r="N28" i="4"/>
  <c r="I26" i="4"/>
  <c r="J38" i="2" s="1"/>
  <c r="I24" i="4"/>
  <c r="J36" i="2" s="1"/>
  <c r="M21" i="4"/>
  <c r="H19" i="4"/>
  <c r="L19" i="4" s="1"/>
  <c r="H17" i="4"/>
  <c r="L17" i="4" s="1"/>
  <c r="M30" i="4"/>
  <c r="M28" i="4"/>
  <c r="H26" i="4"/>
  <c r="L26" i="4" s="1"/>
  <c r="K16" i="4"/>
  <c r="K14" i="4"/>
  <c r="F12" i="4"/>
  <c r="J9" i="4"/>
  <c r="K23" i="4"/>
  <c r="F21" i="4"/>
  <c r="F19" i="4"/>
  <c r="N13" i="4"/>
  <c r="I9" i="4"/>
  <c r="J21" i="2" s="1"/>
  <c r="I16" i="4"/>
  <c r="J28" i="2" s="1"/>
  <c r="I25" i="4"/>
  <c r="J37" i="2" s="1"/>
  <c r="H18" i="4"/>
  <c r="L18" i="4" s="1"/>
  <c r="I34" i="4" l="1"/>
  <c r="F34" i="4"/>
  <c r="G11" i="4"/>
  <c r="H34" i="4"/>
  <c r="I25" i="2"/>
  <c r="K25" i="2" s="1"/>
  <c r="S23" i="2"/>
  <c r="Q23" i="2"/>
  <c r="R23" i="2"/>
  <c r="P23" i="2"/>
  <c r="U23" i="2"/>
  <c r="M23" i="2"/>
  <c r="T23" i="2"/>
  <c r="L23" i="2"/>
  <c r="N23" i="2"/>
  <c r="O23" i="2"/>
  <c r="L21" i="4"/>
  <c r="G21" i="4"/>
  <c r="G14" i="4"/>
  <c r="G31" i="4"/>
  <c r="G25" i="4"/>
  <c r="G13" i="4"/>
  <c r="G22" i="4"/>
  <c r="G10" i="4"/>
  <c r="G17" i="4"/>
  <c r="G12" i="4"/>
  <c r="G28" i="4"/>
  <c r="G29" i="4"/>
  <c r="G30" i="4"/>
  <c r="G26" i="4"/>
  <c r="G20" i="4"/>
  <c r="G9" i="4"/>
  <c r="G15" i="4"/>
  <c r="G18" i="4"/>
  <c r="G27" i="4"/>
  <c r="L24" i="4"/>
  <c r="L22" i="4"/>
  <c r="L8" i="4"/>
  <c r="G19" i="4"/>
  <c r="G23" i="4"/>
  <c r="G8" i="4"/>
  <c r="G16" i="4"/>
  <c r="G24" i="4"/>
  <c r="L23" i="4"/>
  <c r="G34" i="4" l="1"/>
  <c r="N24" i="2"/>
  <c r="T24" i="2"/>
  <c r="S24" i="2"/>
  <c r="U24" i="2"/>
  <c r="M24" i="2"/>
  <c r="L24" i="2"/>
  <c r="P24" i="2"/>
  <c r="O24" i="2"/>
  <c r="R24" i="2"/>
  <c r="Q24" i="2"/>
  <c r="I26" i="2"/>
  <c r="K26" i="2" s="1"/>
  <c r="Q25" i="2" l="1"/>
  <c r="O25" i="2"/>
  <c r="P25" i="2"/>
  <c r="N25" i="2"/>
  <c r="S25" i="2"/>
  <c r="R25" i="2"/>
  <c r="U25" i="2"/>
  <c r="M25" i="2"/>
  <c r="L25" i="2"/>
  <c r="T25" i="2"/>
  <c r="I27" i="2"/>
  <c r="K27" i="2" s="1"/>
  <c r="I28" i="2" l="1"/>
  <c r="K28" i="2" s="1"/>
  <c r="T26" i="2"/>
  <c r="L26" i="2"/>
  <c r="S26" i="2"/>
  <c r="R26" i="2"/>
  <c r="Q26" i="2"/>
  <c r="N26" i="2"/>
  <c r="U26" i="2"/>
  <c r="M26" i="2"/>
  <c r="P26" i="2"/>
  <c r="O26" i="2"/>
  <c r="I29" i="2" l="1"/>
  <c r="K29" i="2" s="1"/>
  <c r="O27" i="2"/>
  <c r="U27" i="2"/>
  <c r="N27" i="2"/>
  <c r="M27" i="2"/>
  <c r="L27" i="2"/>
  <c r="Q27" i="2"/>
  <c r="P27" i="2"/>
  <c r="T27" i="2"/>
  <c r="R27" i="2"/>
  <c r="S27" i="2"/>
  <c r="I30" i="2" l="1"/>
  <c r="K30" i="2" s="1"/>
  <c r="R28" i="2"/>
  <c r="Q28" i="2"/>
  <c r="P28" i="2"/>
  <c r="O28" i="2"/>
  <c r="T28" i="2"/>
  <c r="L28" i="2"/>
  <c r="S28" i="2"/>
  <c r="U28" i="2"/>
  <c r="N28" i="2"/>
  <c r="M28" i="2"/>
  <c r="I31" i="2" l="1"/>
  <c r="K31" i="2" s="1"/>
  <c r="U29" i="2"/>
  <c r="M29" i="2"/>
  <c r="T29" i="2"/>
  <c r="L29" i="2"/>
  <c r="S29" i="2"/>
  <c r="R29" i="2"/>
  <c r="O29" i="2"/>
  <c r="N29" i="2"/>
  <c r="P29" i="2"/>
  <c r="Q29" i="2"/>
  <c r="I32" i="2" l="1"/>
  <c r="K32" i="2" s="1"/>
  <c r="P30" i="2"/>
  <c r="M30" i="2"/>
  <c r="O30" i="2"/>
  <c r="N30" i="2"/>
  <c r="U30" i="2"/>
  <c r="R30" i="2"/>
  <c r="Q30" i="2"/>
  <c r="T30" i="2"/>
  <c r="S30" i="2"/>
  <c r="L30" i="2"/>
  <c r="I33" i="2" l="1"/>
  <c r="K33" i="2" s="1"/>
  <c r="S31" i="2"/>
  <c r="P31" i="2"/>
  <c r="R31" i="2"/>
  <c r="Q31" i="2"/>
  <c r="U31" i="2"/>
  <c r="M31" i="2"/>
  <c r="T31" i="2"/>
  <c r="L31" i="2"/>
  <c r="N31" i="2"/>
  <c r="O31" i="2"/>
  <c r="N32" i="2" l="1"/>
  <c r="U32" i="2"/>
  <c r="M32" i="2"/>
  <c r="T32" i="2"/>
  <c r="L32" i="2"/>
  <c r="S32" i="2"/>
  <c r="P32" i="2"/>
  <c r="O32" i="2"/>
  <c r="R32" i="2"/>
  <c r="Q32" i="2"/>
  <c r="I34" i="2"/>
  <c r="K34" i="2" s="1"/>
  <c r="Q33" i="2" l="1"/>
  <c r="N33" i="2"/>
  <c r="P33" i="2"/>
  <c r="O33" i="2"/>
  <c r="S33" i="2"/>
  <c r="R33" i="2"/>
  <c r="U33" i="2"/>
  <c r="M33" i="2"/>
  <c r="L33" i="2"/>
  <c r="T33" i="2"/>
  <c r="I35" i="2"/>
  <c r="K35" i="2" s="1"/>
  <c r="T34" i="2" l="1"/>
  <c r="L34" i="2"/>
  <c r="S34" i="2"/>
  <c r="R34" i="2"/>
  <c r="N34" i="2"/>
  <c r="U34" i="2"/>
  <c r="M34" i="2"/>
  <c r="Q34" i="2"/>
  <c r="P34" i="2"/>
  <c r="O34" i="2"/>
  <c r="I36" i="2"/>
  <c r="K36" i="2" s="1"/>
  <c r="U36" i="2" l="1"/>
  <c r="O35" i="2"/>
  <c r="T35" i="2"/>
  <c r="L35" i="2"/>
  <c r="N35" i="2"/>
  <c r="U35" i="2"/>
  <c r="M35" i="2"/>
  <c r="Q35" i="2"/>
  <c r="P35" i="2"/>
  <c r="R35" i="2"/>
  <c r="S35" i="2"/>
  <c r="I37" i="2"/>
  <c r="K37" i="2" s="1"/>
  <c r="I38" i="2" l="1"/>
  <c r="K38" i="2" s="1"/>
  <c r="R36" i="2"/>
  <c r="O36" i="2"/>
  <c r="Q36" i="2"/>
  <c r="P36" i="2"/>
  <c r="T36" i="2"/>
  <c r="L36" i="2"/>
  <c r="S36" i="2"/>
  <c r="N36" i="2"/>
  <c r="M36" i="2"/>
  <c r="I39" i="2" l="1"/>
  <c r="K39" i="2" s="1"/>
  <c r="U37" i="2"/>
  <c r="M37" i="2"/>
  <c r="R37" i="2"/>
  <c r="T37" i="2"/>
  <c r="L37" i="2"/>
  <c r="S37" i="2"/>
  <c r="O37" i="2"/>
  <c r="N37" i="2"/>
  <c r="P37" i="2"/>
  <c r="Q37" i="2"/>
  <c r="P38" i="2" l="1"/>
  <c r="U38" i="2"/>
  <c r="O38" i="2"/>
  <c r="N38" i="2"/>
  <c r="M38" i="2"/>
  <c r="R38" i="2"/>
  <c r="Q38" i="2"/>
  <c r="T38" i="2"/>
  <c r="S38" i="2"/>
  <c r="L38" i="2"/>
  <c r="I40" i="2"/>
  <c r="K40" i="2" s="1"/>
  <c r="S39" i="2" l="1"/>
  <c r="R39" i="2"/>
  <c r="Q39" i="2"/>
  <c r="P39" i="2"/>
  <c r="U39" i="2"/>
  <c r="M39" i="2"/>
  <c r="T39" i="2"/>
  <c r="L39" i="2"/>
  <c r="N39" i="2"/>
  <c r="O39" i="2"/>
  <c r="I41" i="2"/>
  <c r="K41" i="2" s="1"/>
  <c r="I42" i="2" l="1"/>
  <c r="K42" i="2" s="1"/>
  <c r="N40" i="2"/>
  <c r="S40" i="2"/>
  <c r="U40" i="2"/>
  <c r="M40" i="2"/>
  <c r="T40" i="2"/>
  <c r="L40" i="2"/>
  <c r="P40" i="2"/>
  <c r="O40" i="2"/>
  <c r="R40" i="2"/>
  <c r="Q40" i="2"/>
  <c r="Q41" i="2" l="1"/>
  <c r="P41" i="2"/>
  <c r="O41" i="2"/>
  <c r="N41" i="2"/>
  <c r="S41" i="2"/>
  <c r="R41" i="2"/>
  <c r="U41" i="2"/>
  <c r="M41" i="2"/>
  <c r="L41" i="2"/>
  <c r="T41" i="2"/>
  <c r="I43" i="2"/>
  <c r="K43" i="2" s="1"/>
  <c r="O43" i="2" l="1"/>
  <c r="N43" i="2"/>
  <c r="U43" i="2"/>
  <c r="M43" i="2"/>
  <c r="T43" i="2"/>
  <c r="L43" i="2"/>
  <c r="Q43" i="2"/>
  <c r="P43" i="2"/>
  <c r="R43" i="2"/>
  <c r="S43" i="2"/>
  <c r="T42" i="2"/>
  <c r="L42" i="2"/>
  <c r="S42" i="2"/>
  <c r="R42" i="2"/>
  <c r="Q42" i="2"/>
  <c r="N42" i="2"/>
  <c r="U42" i="2"/>
  <c r="M42" i="2"/>
  <c r="P42" i="2"/>
  <c r="O42" i="2"/>
  <c r="U44" i="2" l="1"/>
  <c r="L44" i="2"/>
  <c r="F35" i="4" s="1"/>
  <c r="O44" i="2"/>
  <c r="I35" i="4" s="1"/>
  <c r="M44" i="2"/>
  <c r="G35" i="4" s="1"/>
  <c r="N44" i="2"/>
  <c r="H35" i="4" s="1"/>
  <c r="AC22" i="2" l="1"/>
  <c r="AB22" i="2"/>
  <c r="AA22" i="2"/>
  <c r="AD22" i="2"/>
  <c r="Z22" i="2"/>
  <c r="H36" i="4"/>
  <c r="L35" i="4"/>
  <c r="K35" i="4"/>
  <c r="J35" i="4"/>
  <c r="N35" i="4"/>
  <c r="M35" i="4"/>
  <c r="R44" i="2"/>
  <c r="T44" i="2"/>
  <c r="S44" i="2"/>
  <c r="Q44" i="2"/>
  <c r="P44" i="2"/>
</calcChain>
</file>

<file path=xl/connections.xml><?xml version="1.0" encoding="utf-8"?>
<connections xmlns="http://schemas.openxmlformats.org/spreadsheetml/2006/main">
  <connection id="1" name="table_for_PGE CBP_expost_public" type="6" refreshedVersion="5" background="1" saveData="1">
    <textPr codePage="437" sourceFile="P:\PGE\Aggregator\Aggregator 2013\Models\SCE\DRC\table_for_SCE DRC_expost_public.txt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<sst xmlns="http://schemas.openxmlformats.org/spreadsheetml/2006/main" count="610" uniqueCount="249">
  <si>
    <t>LCA</t>
  </si>
  <si>
    <t>All</t>
  </si>
  <si>
    <t>Typical Event Day</t>
  </si>
  <si>
    <t>Aggregate Impact</t>
  </si>
  <si>
    <t>Hour Ending</t>
  </si>
  <si>
    <t>10th%ile</t>
  </si>
  <si>
    <t>30th%ile</t>
  </si>
  <si>
    <t>50th%ile</t>
  </si>
  <si>
    <t>70th%ile</t>
  </si>
  <si>
    <t>90th%ile</t>
  </si>
  <si>
    <t>DR Program:</t>
  </si>
  <si>
    <t>10th</t>
  </si>
  <si>
    <t>30th</t>
  </si>
  <si>
    <t>50th</t>
  </si>
  <si>
    <t>70th</t>
  </si>
  <si>
    <t>90th</t>
  </si>
  <si>
    <t>Daily</t>
  </si>
  <si>
    <t>n/a</t>
  </si>
  <si>
    <t>Local Capacity Area:</t>
  </si>
  <si>
    <t>Utility:</t>
  </si>
  <si>
    <t>Type of Results:</t>
  </si>
  <si>
    <t>PCTILE10_hr1</t>
  </si>
  <si>
    <t>PCTILE10_hr2</t>
  </si>
  <si>
    <t>PCTILE10_hr3</t>
  </si>
  <si>
    <t>PCTILE10_hr4</t>
  </si>
  <si>
    <t>PCTILE10_hr5</t>
  </si>
  <si>
    <t>PCTILE10_hr6</t>
  </si>
  <si>
    <t>PCTILE10_hr7</t>
  </si>
  <si>
    <t>PCTILE10_hr8</t>
  </si>
  <si>
    <t>PCTILE10_hr9</t>
  </si>
  <si>
    <t>PCTILE10_hr10</t>
  </si>
  <si>
    <t>PCTILE10_hr11</t>
  </si>
  <si>
    <t>PCTILE10_hr12</t>
  </si>
  <si>
    <t>PCTILE10_hr13</t>
  </si>
  <si>
    <t>PCTILE10_hr14</t>
  </si>
  <si>
    <t>PCTILE10_hr15</t>
  </si>
  <si>
    <t>PCTILE10_hr16</t>
  </si>
  <si>
    <t>PCTILE10_hr17</t>
  </si>
  <si>
    <t>PCTILE10_hr18</t>
  </si>
  <si>
    <t>PCTILE10_hr19</t>
  </si>
  <si>
    <t>PCTILE10_hr20</t>
  </si>
  <si>
    <t>PCTILE10_hr21</t>
  </si>
  <si>
    <t>PCTILE10_hr22</t>
  </si>
  <si>
    <t>PCTILE10_hr23</t>
  </si>
  <si>
    <t>PCTILE10_hr24</t>
  </si>
  <si>
    <t>PCTILE30_hr1</t>
  </si>
  <si>
    <t>PCTILE30_hr2</t>
  </si>
  <si>
    <t>PCTILE30_hr3</t>
  </si>
  <si>
    <t>PCTILE30_hr4</t>
  </si>
  <si>
    <t>PCTILE30_hr5</t>
  </si>
  <si>
    <t>PCTILE30_hr6</t>
  </si>
  <si>
    <t>PCTILE30_hr7</t>
  </si>
  <si>
    <t>PCTILE30_hr8</t>
  </si>
  <si>
    <t>PCTILE30_hr9</t>
  </si>
  <si>
    <t>PCTILE30_hr10</t>
  </si>
  <si>
    <t>PCTILE30_hr11</t>
  </si>
  <si>
    <t>PCTILE30_hr12</t>
  </si>
  <si>
    <t>PCTILE30_hr13</t>
  </si>
  <si>
    <t>PCTILE30_hr14</t>
  </si>
  <si>
    <t>PCTILE30_hr15</t>
  </si>
  <si>
    <t>PCTILE30_hr16</t>
  </si>
  <si>
    <t>PCTILE30_hr17</t>
  </si>
  <si>
    <t>PCTILE30_hr18</t>
  </si>
  <si>
    <t>PCTILE30_hr19</t>
  </si>
  <si>
    <t>PCTILE30_hr20</t>
  </si>
  <si>
    <t>PCTILE30_hr21</t>
  </si>
  <si>
    <t>PCTILE30_hr22</t>
  </si>
  <si>
    <t>PCTILE30_hr23</t>
  </si>
  <si>
    <t>PCTILE30_hr24</t>
  </si>
  <si>
    <t>PCTILE50_hr1</t>
  </si>
  <si>
    <t>PCTILE50_hr2</t>
  </si>
  <si>
    <t>PCTILE50_hr3</t>
  </si>
  <si>
    <t>PCTILE50_hr4</t>
  </si>
  <si>
    <t>PCTILE50_hr5</t>
  </si>
  <si>
    <t>PCTILE50_hr6</t>
  </si>
  <si>
    <t>PCTILE50_hr7</t>
  </si>
  <si>
    <t>PCTILE50_hr8</t>
  </si>
  <si>
    <t>PCTILE50_hr9</t>
  </si>
  <si>
    <t>PCTILE50_hr10</t>
  </si>
  <si>
    <t>PCTILE50_hr11</t>
  </si>
  <si>
    <t>PCTILE50_hr12</t>
  </si>
  <si>
    <t>PCTILE50_hr13</t>
  </si>
  <si>
    <t>PCTILE50_hr14</t>
  </si>
  <si>
    <t>PCTILE50_hr15</t>
  </si>
  <si>
    <t>PCTILE50_hr16</t>
  </si>
  <si>
    <t>PCTILE50_hr17</t>
  </si>
  <si>
    <t>PCTILE50_hr18</t>
  </si>
  <si>
    <t>PCTILE50_hr19</t>
  </si>
  <si>
    <t>PCTILE50_hr20</t>
  </si>
  <si>
    <t>PCTILE50_hr21</t>
  </si>
  <si>
    <t>PCTILE50_hr22</t>
  </si>
  <si>
    <t>PCTILE50_hr23</t>
  </si>
  <si>
    <t>PCTILE50_hr24</t>
  </si>
  <si>
    <t>PCTILE70_hr1</t>
  </si>
  <si>
    <t>PCTILE70_hr2</t>
  </si>
  <si>
    <t>PCTILE70_hr3</t>
  </si>
  <si>
    <t>PCTILE70_hr4</t>
  </si>
  <si>
    <t>PCTILE70_hr5</t>
  </si>
  <si>
    <t>PCTILE70_hr6</t>
  </si>
  <si>
    <t>PCTILE70_hr7</t>
  </si>
  <si>
    <t>PCTILE70_hr8</t>
  </si>
  <si>
    <t>PCTILE70_hr9</t>
  </si>
  <si>
    <t>PCTILE70_hr10</t>
  </si>
  <si>
    <t>PCTILE70_hr11</t>
  </si>
  <si>
    <t>PCTILE70_hr12</t>
  </si>
  <si>
    <t>PCTILE70_hr13</t>
  </si>
  <si>
    <t>PCTILE70_hr14</t>
  </si>
  <si>
    <t>PCTILE70_hr15</t>
  </si>
  <si>
    <t>PCTILE70_hr16</t>
  </si>
  <si>
    <t>PCTILE70_hr17</t>
  </si>
  <si>
    <t>PCTILE70_hr18</t>
  </si>
  <si>
    <t>PCTILE70_hr19</t>
  </si>
  <si>
    <t>PCTILE70_hr20</t>
  </si>
  <si>
    <t>PCTILE70_hr21</t>
  </si>
  <si>
    <t>PCTILE70_hr22</t>
  </si>
  <si>
    <t>PCTILE70_hr23</t>
  </si>
  <si>
    <t>PCTILE70_hr24</t>
  </si>
  <si>
    <t>PCTILE90_hr1</t>
  </si>
  <si>
    <t>PCTILE90_hr2</t>
  </si>
  <si>
    <t>PCTILE90_hr3</t>
  </si>
  <si>
    <t>PCTILE90_hr4</t>
  </si>
  <si>
    <t>PCTILE90_hr5</t>
  </si>
  <si>
    <t>PCTILE90_hr6</t>
  </si>
  <si>
    <t>PCTILE90_hr7</t>
  </si>
  <si>
    <t>PCTILE90_hr8</t>
  </si>
  <si>
    <t>PCTILE90_hr9</t>
  </si>
  <si>
    <t>PCTILE90_hr10</t>
  </si>
  <si>
    <t>PCTILE90_hr11</t>
  </si>
  <si>
    <t>PCTILE90_hr12</t>
  </si>
  <si>
    <t>PCTILE90_hr13</t>
  </si>
  <si>
    <t>PCTILE90_hr14</t>
  </si>
  <si>
    <t>PCTILE90_hr15</t>
  </si>
  <si>
    <t>PCTILE90_hr16</t>
  </si>
  <si>
    <t>PCTILE90_hr17</t>
  </si>
  <si>
    <t>PCTILE90_hr18</t>
  </si>
  <si>
    <t>PCTILE90_hr19</t>
  </si>
  <si>
    <t>PCTILE90_hr20</t>
  </si>
  <si>
    <t>PCTILE90_hr21</t>
  </si>
  <si>
    <t>PCTILE90_hr22</t>
  </si>
  <si>
    <t>PCTILE90_hr23</t>
  </si>
  <si>
    <t>PCTILE90_hr24</t>
  </si>
  <si>
    <t>temp_hr1</t>
  </si>
  <si>
    <t>temp_hr2</t>
  </si>
  <si>
    <t>temp_hr3</t>
  </si>
  <si>
    <t>temp_hr4</t>
  </si>
  <si>
    <t>temp_hr5</t>
  </si>
  <si>
    <t>temp_hr6</t>
  </si>
  <si>
    <t>temp_hr7</t>
  </si>
  <si>
    <t>temp_hr8</t>
  </si>
  <si>
    <t>temp_hr9</t>
  </si>
  <si>
    <t>temp_hr10</t>
  </si>
  <si>
    <t>temp_hr11</t>
  </si>
  <si>
    <t>temp_hr12</t>
  </si>
  <si>
    <t>temp_hr13</t>
  </si>
  <si>
    <t>temp_hr14</t>
  </si>
  <si>
    <t>temp_hr15</t>
  </si>
  <si>
    <t>temp_hr16</t>
  </si>
  <si>
    <t>temp_hr17</t>
  </si>
  <si>
    <t>temp_hr18</t>
  </si>
  <si>
    <t>temp_hr19</t>
  </si>
  <si>
    <t>temp_hr20</t>
  </si>
  <si>
    <t>temp_hr21</t>
  </si>
  <si>
    <t>temp_hr22</t>
  </si>
  <si>
    <t>temp_hr23</t>
  </si>
  <si>
    <t>temp_hr24</t>
  </si>
  <si>
    <r>
      <t>Weighted Average Temperature (</t>
    </r>
    <r>
      <rPr>
        <b/>
        <vertAlign val="superscript"/>
        <sz val="11"/>
        <color indexed="9"/>
        <rFont val="Arial Narrow"/>
        <family val="2"/>
      </rPr>
      <t>o</t>
    </r>
    <r>
      <rPr>
        <b/>
        <sz val="11"/>
        <color indexed="9"/>
        <rFont val="Arial Narrow"/>
        <family val="2"/>
      </rPr>
      <t>F)</t>
    </r>
  </si>
  <si>
    <t>Ref_hr1</t>
  </si>
  <si>
    <t>Ref_hr2</t>
  </si>
  <si>
    <t>Ref_hr3</t>
  </si>
  <si>
    <t>Ref_hr4</t>
  </si>
  <si>
    <t>Ref_hr5</t>
  </si>
  <si>
    <t>Ref_hr6</t>
  </si>
  <si>
    <t>Ref_hr7</t>
  </si>
  <si>
    <t>Ref_hr8</t>
  </si>
  <si>
    <t>Ref_hr9</t>
  </si>
  <si>
    <t>Ref_hr10</t>
  </si>
  <si>
    <t>Ref_hr11</t>
  </si>
  <si>
    <t>Ref_hr12</t>
  </si>
  <si>
    <t>Ref_hr13</t>
  </si>
  <si>
    <t>Ref_hr14</t>
  </si>
  <si>
    <t>Ref_hr15</t>
  </si>
  <si>
    <t>Ref_hr16</t>
  </si>
  <si>
    <t>Ref_hr17</t>
  </si>
  <si>
    <t>Ref_hr18</t>
  </si>
  <si>
    <t>Ref_hr19</t>
  </si>
  <si>
    <t>Ref_hr20</t>
  </si>
  <si>
    <t>Ref_hr21</t>
  </si>
  <si>
    <t>Ref_hr22</t>
  </si>
  <si>
    <t>Ref_hr23</t>
  </si>
  <si>
    <t>Ref_hr24</t>
  </si>
  <si>
    <r>
      <t>Cooling
Degree
Hours
(Base 75</t>
    </r>
    <r>
      <rPr>
        <b/>
        <vertAlign val="superscript"/>
        <sz val="11"/>
        <color indexed="9"/>
        <rFont val="Arial Narrow"/>
        <family val="2"/>
      </rPr>
      <t xml:space="preserve">o </t>
    </r>
    <r>
      <rPr>
        <b/>
        <sz val="11"/>
        <color indexed="9"/>
        <rFont val="Arial Narrow"/>
        <family val="2"/>
      </rPr>
      <t>F)</t>
    </r>
  </si>
  <si>
    <t>cdh calcs</t>
  </si>
  <si>
    <t>Notice</t>
  </si>
  <si>
    <t>Notice Group:</t>
  </si>
  <si>
    <t>lca</t>
  </si>
  <si>
    <t>notice</t>
  </si>
  <si>
    <t>date</t>
  </si>
  <si>
    <t>called</t>
  </si>
  <si>
    <t>nominated</t>
  </si>
  <si>
    <t>Number of Accounts Called for Indicated Event:</t>
  </si>
  <si>
    <t>Number of Accounts Nominated in Month of Event:</t>
  </si>
  <si>
    <t>Date</t>
  </si>
  <si>
    <t>Results Type</t>
  </si>
  <si>
    <t>Average per Called Customer</t>
  </si>
  <si>
    <t>maxscaleshare</t>
  </si>
  <si>
    <t>_pass</t>
  </si>
  <si>
    <t>customers</t>
  </si>
  <si>
    <t>Pass</t>
  </si>
  <si>
    <t>product</t>
  </si>
  <si>
    <t>evt_start</t>
  </si>
  <si>
    <t>evt_end</t>
  </si>
  <si>
    <t>By Period:</t>
  </si>
  <si>
    <t>Event Hours</t>
  </si>
  <si>
    <t>Event Hours:</t>
  </si>
  <si>
    <t>avg ref</t>
  </si>
  <si>
    <t>avg obs</t>
  </si>
  <si>
    <t>avg LI</t>
  </si>
  <si>
    <t>avg 10</t>
  </si>
  <si>
    <t>avg30</t>
  </si>
  <si>
    <t>avg50</t>
  </si>
  <si>
    <t>avg70</t>
  </si>
  <si>
    <t>avg90</t>
  </si>
  <si>
    <t>Event flag</t>
  </si>
  <si>
    <t>CDH</t>
  </si>
  <si>
    <t>std dev</t>
  </si>
  <si>
    <t>DO 1-4 Hour</t>
  </si>
  <si>
    <t>DO 1-6 Hour</t>
  </si>
  <si>
    <t>LA_BASIN</t>
  </si>
  <si>
    <t>OUTSIDE</t>
  </si>
  <si>
    <t>VENTURA</t>
  </si>
  <si>
    <t>Southern California Edison</t>
  </si>
  <si>
    <t>Aggregator Managed Program (AMP)</t>
  </si>
  <si>
    <t>Event Day:</t>
  </si>
  <si>
    <t>41772</t>
  </si>
  <si>
    <t>41773</t>
  </si>
  <si>
    <t>41774</t>
  </si>
  <si>
    <t>41788</t>
  </si>
  <si>
    <t>41816</t>
  </si>
  <si>
    <t>41820</t>
  </si>
  <si>
    <t>41845</t>
  </si>
  <si>
    <t>41862</t>
  </si>
  <si>
    <t>41879</t>
  </si>
  <si>
    <t>41893</t>
  </si>
  <si>
    <t>41898</t>
  </si>
  <si>
    <t>41676</t>
  </si>
  <si>
    <t>_se_evt</t>
  </si>
  <si>
    <t>Active SD</t>
  </si>
  <si>
    <t>Use it</t>
  </si>
  <si>
    <t>Average Event Hour % Load Impact: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</si>
</sst>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[$-409]mmmm\ d\,\ yyyy;@"/>
    <numFmt numFmtId="166" formatCode="0.0%"/>
    <numFmt numFmtId="167" formatCode="0.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b/>
      <sz val="11"/>
      <color indexed="9"/>
      <name val="Arial Narrow"/>
      <family val="2"/>
    </font>
    <font>
      <b/>
      <sz val="10"/>
      <color indexed="9"/>
      <name val="Franklin Gothic Demi Cond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11"/>
      <color indexed="9"/>
      <name val="Arial"/>
      <family val="2"/>
    </font>
    <font>
      <sz val="11"/>
      <name val="Arial"/>
      <family val="2"/>
    </font>
    <font>
      <sz val="10"/>
      <color indexed="9"/>
      <name val="Franklin Gothic Demi Cond"/>
      <family val="2"/>
    </font>
    <font>
      <b/>
      <vertAlign val="superscript"/>
      <sz val="11"/>
      <color indexed="9"/>
      <name val="Arial Narrow"/>
      <family val="2"/>
    </font>
    <font>
      <sz val="10"/>
      <name val="Franklin Gothic Demi Cond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56"/>
      </right>
      <top style="medium">
        <color indexed="9"/>
      </top>
      <bottom/>
      <diagonal/>
    </border>
    <border>
      <left style="medium">
        <color indexed="56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56"/>
      </right>
      <top/>
      <bottom style="medium">
        <color indexed="9"/>
      </bottom>
      <diagonal/>
    </border>
    <border>
      <left style="medium">
        <color indexed="56"/>
      </left>
      <right/>
      <top/>
      <bottom style="medium">
        <color indexed="56"/>
      </bottom>
      <diagonal/>
    </border>
    <border>
      <left style="medium">
        <color indexed="56"/>
      </left>
      <right style="thin">
        <color indexed="56"/>
      </right>
      <top/>
      <bottom style="medium">
        <color indexed="56"/>
      </bottom>
      <diagonal/>
    </border>
    <border>
      <left style="thin">
        <color indexed="56"/>
      </left>
      <right style="thin">
        <color indexed="56"/>
      </right>
      <top/>
      <bottom style="medium">
        <color indexed="56"/>
      </bottom>
      <diagonal/>
    </border>
    <border>
      <left style="medium">
        <color indexed="9"/>
      </left>
      <right/>
      <top style="medium">
        <color indexed="56"/>
      </top>
      <bottom/>
      <diagonal/>
    </border>
    <border>
      <left/>
      <right/>
      <top style="medium">
        <color indexed="56"/>
      </top>
      <bottom/>
      <diagonal/>
    </border>
    <border>
      <left/>
      <right style="medium">
        <color indexed="56"/>
      </right>
      <top style="medium">
        <color indexed="56"/>
      </top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56"/>
      </right>
      <top/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56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56"/>
      </left>
      <right style="medium">
        <color indexed="9"/>
      </right>
      <top style="medium">
        <color indexed="56"/>
      </top>
      <bottom style="medium">
        <color indexed="9"/>
      </bottom>
      <diagonal/>
    </border>
    <border>
      <left style="medium">
        <color indexed="56"/>
      </left>
      <right style="medium">
        <color indexed="9"/>
      </right>
      <top style="medium">
        <color indexed="9"/>
      </top>
      <bottom/>
      <diagonal/>
    </border>
    <border>
      <left style="medium">
        <color indexed="56"/>
      </left>
      <right style="medium">
        <color indexed="56"/>
      </right>
      <top/>
      <bottom style="thin">
        <color indexed="56"/>
      </bottom>
      <diagonal/>
    </border>
    <border>
      <left style="thin">
        <color indexed="56"/>
      </left>
      <right style="medium">
        <color indexed="56"/>
      </right>
      <top/>
      <bottom style="medium">
        <color indexed="56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quotePrefix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9" fillId="0" borderId="1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right" wrapText="1" indent="1"/>
    </xf>
    <xf numFmtId="0" fontId="10" fillId="2" borderId="3" xfId="0" applyFont="1" applyFill="1" applyBorder="1" applyAlignment="1">
      <alignment horizontal="right" wrapText="1" indent="1"/>
    </xf>
    <xf numFmtId="49" fontId="9" fillId="0" borderId="0" xfId="0" applyNumberFormat="1" applyFont="1" applyBorder="1" applyAlignment="1">
      <alignment horizontal="left" wrapText="1"/>
    </xf>
    <xf numFmtId="0" fontId="8" fillId="0" borderId="0" xfId="0" applyFont="1"/>
    <xf numFmtId="0" fontId="12" fillId="0" borderId="0" xfId="0" applyFont="1" applyBorder="1" applyAlignment="1">
      <alignment horizontal="left"/>
    </xf>
    <xf numFmtId="165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0" fontId="8" fillId="0" borderId="0" xfId="0" applyFont="1" applyFill="1" applyBorder="1"/>
    <xf numFmtId="0" fontId="13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3" fontId="11" fillId="0" borderId="8" xfId="0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center"/>
    </xf>
    <xf numFmtId="3" fontId="0" fillId="0" borderId="0" xfId="0" applyNumberFormat="1"/>
    <xf numFmtId="0" fontId="15" fillId="2" borderId="0" xfId="0" applyFont="1" applyFill="1" applyAlignment="1">
      <alignment horizontal="left"/>
    </xf>
    <xf numFmtId="0" fontId="15" fillId="0" borderId="0" xfId="0" applyFont="1" applyFill="1" applyBorder="1" applyAlignment="1">
      <alignment horizontal="left"/>
    </xf>
    <xf numFmtId="0" fontId="15" fillId="0" borderId="0" xfId="0" quotePrefix="1" applyFont="1" applyFill="1" applyBorder="1" applyAlignment="1">
      <alignment horizontal="left"/>
    </xf>
    <xf numFmtId="0" fontId="0" fillId="0" borderId="0" xfId="0" applyFill="1" applyBorder="1"/>
    <xf numFmtId="15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6" fillId="2" borderId="10" xfId="0" applyFont="1" applyFill="1" applyBorder="1" applyAlignment="1">
      <alignment horizontal="centerContinuous"/>
    </xf>
    <xf numFmtId="0" fontId="7" fillId="2" borderId="11" xfId="0" applyFont="1" applyFill="1" applyBorder="1" applyAlignment="1">
      <alignment horizontal="centerContinuous"/>
    </xf>
    <xf numFmtId="0" fontId="7" fillId="2" borderId="12" xfId="0" applyFont="1" applyFill="1" applyBorder="1" applyAlignment="1">
      <alignment horizontal="centerContinuous"/>
    </xf>
    <xf numFmtId="0" fontId="0" fillId="0" borderId="0" xfId="0" applyBorder="1"/>
    <xf numFmtId="49" fontId="9" fillId="0" borderId="1" xfId="0" quotePrefix="1" applyNumberFormat="1" applyFont="1" applyFill="1" applyBorder="1" applyAlignment="1">
      <alignment horizontal="center" vertical="center" wrapText="1"/>
    </xf>
    <xf numFmtId="2" fontId="9" fillId="0" borderId="16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0" xfId="0" quotePrefix="1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3" fontId="0" fillId="0" borderId="18" xfId="0" applyNumberFormat="1" applyBorder="1" applyAlignment="1">
      <alignment horizontal="center" vertical="center"/>
    </xf>
    <xf numFmtId="164" fontId="0" fillId="0" borderId="0" xfId="0" applyNumberFormat="1"/>
    <xf numFmtId="166" fontId="0" fillId="0" borderId="0" xfId="1" applyNumberFormat="1" applyFont="1"/>
    <xf numFmtId="0" fontId="1" fillId="0" borderId="0" xfId="0" applyFont="1"/>
    <xf numFmtId="0" fontId="14" fillId="0" borderId="0" xfId="0" applyFont="1"/>
    <xf numFmtId="164" fontId="4" fillId="0" borderId="0" xfId="0" applyNumberFormat="1" applyFont="1" applyBorder="1" applyAlignment="1">
      <alignment horizontal="right" vertical="center"/>
    </xf>
    <xf numFmtId="166" fontId="4" fillId="0" borderId="0" xfId="1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167" fontId="0" fillId="0" borderId="0" xfId="0" applyNumberFormat="1"/>
    <xf numFmtId="0" fontId="8" fillId="0" borderId="0" xfId="0" applyFont="1" applyFill="1" applyAlignment="1">
      <alignment horizontal="left" vertical="center"/>
    </xf>
    <xf numFmtId="164" fontId="11" fillId="0" borderId="21" xfId="0" applyNumberFormat="1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Continuous"/>
    </xf>
    <xf numFmtId="0" fontId="5" fillId="2" borderId="14" xfId="0" applyFont="1" applyFill="1" applyBorder="1" applyAlignment="1">
      <alignment horizontal="centerContinuous"/>
    </xf>
    <xf numFmtId="0" fontId="5" fillId="2" borderId="15" xfId="0" applyFont="1" applyFill="1" applyBorder="1" applyAlignment="1">
      <alignment horizontal="centerContinuous"/>
    </xf>
    <xf numFmtId="0" fontId="5" fillId="2" borderId="5" xfId="0" applyFont="1" applyFill="1" applyBorder="1" applyAlignment="1">
      <alignment horizontal="centerContinuous"/>
    </xf>
    <xf numFmtId="0" fontId="5" fillId="2" borderId="6" xfId="0" applyFont="1" applyFill="1" applyBorder="1" applyAlignment="1">
      <alignment horizontal="centerContinuous"/>
    </xf>
    <xf numFmtId="0" fontId="18" fillId="0" borderId="0" xfId="0" applyFont="1" applyAlignment="1">
      <alignment horizontal="center"/>
    </xf>
    <xf numFmtId="11" fontId="0" fillId="0" borderId="0" xfId="0" applyNumberFormat="1"/>
    <xf numFmtId="15" fontId="0" fillId="0" borderId="0" xfId="0" applyNumberFormat="1"/>
    <xf numFmtId="0" fontId="0" fillId="0" borderId="0" xfId="0" quotePrefix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0" fontId="4" fillId="0" borderId="0" xfId="0" applyFont="1"/>
    <xf numFmtId="0" fontId="4" fillId="0" borderId="0" xfId="0" quotePrefix="1" applyFont="1" applyAlignment="1">
      <alignment horizontal="left"/>
    </xf>
    <xf numFmtId="0" fontId="0" fillId="3" borderId="0" xfId="0" applyFill="1"/>
    <xf numFmtId="0" fontId="17" fillId="0" borderId="0" xfId="0" quotePrefix="1" applyFont="1" applyFill="1" applyBorder="1" applyAlignment="1">
      <alignment horizontal="left"/>
    </xf>
    <xf numFmtId="164" fontId="11" fillId="0" borderId="22" xfId="0" applyNumberFormat="1" applyFont="1" applyBorder="1" applyAlignment="1">
      <alignment horizontal="center"/>
    </xf>
    <xf numFmtId="14" fontId="0" fillId="0" borderId="0" xfId="0" applyNumberFormat="1"/>
    <xf numFmtId="164" fontId="11" fillId="0" borderId="8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166" fontId="4" fillId="0" borderId="0" xfId="1" applyNumberFormat="1" applyFont="1"/>
    <xf numFmtId="2" fontId="5" fillId="2" borderId="5" xfId="0" applyNumberFormat="1" applyFont="1" applyFill="1" applyBorder="1" applyAlignment="1">
      <alignment horizontal="center" wrapText="1"/>
    </xf>
    <xf numFmtId="2" fontId="5" fillId="2" borderId="2" xfId="0" applyNumberFormat="1" applyFont="1" applyFill="1" applyBorder="1" applyAlignment="1">
      <alignment horizontal="center" wrapText="1"/>
    </xf>
    <xf numFmtId="2" fontId="5" fillId="2" borderId="5" xfId="0" quotePrefix="1" applyNumberFormat="1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5" fillId="2" borderId="19" xfId="0" quotePrefix="1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6">
    <dxf>
      <fill>
        <patternFill>
          <bgColor theme="3" tint="0.79998168889431442"/>
        </patternFill>
      </fill>
    </dxf>
    <dxf>
      <fill>
        <patternFill>
          <bgColor indexed="43"/>
        </patternFill>
      </fill>
    </dxf>
    <dxf>
      <fill>
        <patternFill>
          <bgColor rgb="FFFF33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22981366459629"/>
          <c:y val="0.14206642066420663"/>
          <c:w val="0.77018633540372672"/>
          <c:h val="0.7140221402214022"/>
        </c:manualLayout>
      </c:layout>
      <c:scatterChart>
        <c:scatterStyle val="smoothMarker"/>
        <c:varyColors val="0"/>
        <c:ser>
          <c:idx val="2"/>
          <c:order val="0"/>
          <c:tx>
            <c:strRef>
              <c:f>Table!$F$5:$F$7</c:f>
              <c:strCache>
                <c:ptCount val="3"/>
                <c:pt idx="0">
                  <c:v>Estimated Reference Load (MWh/hour)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Table!$E$8:$E$31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Table!$F$8:$F$31</c:f>
              <c:numCache>
                <c:formatCode>#,##0.0</c:formatCode>
                <c:ptCount val="24"/>
                <c:pt idx="0">
                  <c:v>110.02503967285156</c:v>
                </c:pt>
                <c:pt idx="1">
                  <c:v>105.90605163574219</c:v>
                </c:pt>
                <c:pt idx="2">
                  <c:v>102.72657775878906</c:v>
                </c:pt>
                <c:pt idx="3">
                  <c:v>103.64840698242187</c:v>
                </c:pt>
                <c:pt idx="4">
                  <c:v>107.21651458740234</c:v>
                </c:pt>
                <c:pt idx="5">
                  <c:v>111.53042602539062</c:v>
                </c:pt>
                <c:pt idx="6">
                  <c:v>118.83251953125</c:v>
                </c:pt>
                <c:pt idx="7">
                  <c:v>127.17949676513672</c:v>
                </c:pt>
                <c:pt idx="8">
                  <c:v>140.84979248046875</c:v>
                </c:pt>
                <c:pt idx="9">
                  <c:v>147.7724609375</c:v>
                </c:pt>
                <c:pt idx="10">
                  <c:v>159.42257690429688</c:v>
                </c:pt>
                <c:pt idx="11">
                  <c:v>163.25294494628906</c:v>
                </c:pt>
                <c:pt idx="12">
                  <c:v>165.91085815429687</c:v>
                </c:pt>
                <c:pt idx="13">
                  <c:v>169.57569885253906</c:v>
                </c:pt>
                <c:pt idx="14">
                  <c:v>172.23916625976562</c:v>
                </c:pt>
                <c:pt idx="15">
                  <c:v>171.15577697753906</c:v>
                </c:pt>
                <c:pt idx="16">
                  <c:v>174.74777221679687</c:v>
                </c:pt>
                <c:pt idx="17">
                  <c:v>177.86334228515625</c:v>
                </c:pt>
                <c:pt idx="18">
                  <c:v>179.80955505371094</c:v>
                </c:pt>
                <c:pt idx="19">
                  <c:v>185.398193359375</c:v>
                </c:pt>
                <c:pt idx="20">
                  <c:v>179.42387390136719</c:v>
                </c:pt>
                <c:pt idx="21">
                  <c:v>158.99949645996094</c:v>
                </c:pt>
                <c:pt idx="22">
                  <c:v>136.10134887695312</c:v>
                </c:pt>
                <c:pt idx="23">
                  <c:v>120.38900756835937</c:v>
                </c:pt>
              </c:numCache>
            </c:numRef>
          </c:yVal>
          <c:smooth val="1"/>
        </c:ser>
        <c:ser>
          <c:idx val="0"/>
          <c:order val="1"/>
          <c:tx>
            <c:strRef>
              <c:f>Table!$G$5:$G$7</c:f>
              <c:strCache>
                <c:ptCount val="3"/>
                <c:pt idx="0">
                  <c:v>Observed Event Day Load (MWh/hour)</c:v>
                </c:pt>
              </c:strCache>
            </c:strRef>
          </c:tx>
          <c:spPr>
            <a:ln w="25400">
              <a:solidFill>
                <a:srgbClr val="0066CC"/>
              </a:solidFill>
              <a:prstDash val="solid"/>
            </a:ln>
          </c:spPr>
          <c:marker>
            <c:symbol val="none"/>
          </c:marker>
          <c:xVal>
            <c:numRef>
              <c:f>Table!$E$8:$E$31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Table!$G$8:$G$31</c:f>
              <c:numCache>
                <c:formatCode>#,##0.0</c:formatCode>
                <c:ptCount val="24"/>
                <c:pt idx="0">
                  <c:v>111.13608074188232</c:v>
                </c:pt>
                <c:pt idx="1">
                  <c:v>109.06753253936768</c:v>
                </c:pt>
                <c:pt idx="2">
                  <c:v>106.42520952224731</c:v>
                </c:pt>
                <c:pt idx="3">
                  <c:v>106.0902795791626</c:v>
                </c:pt>
                <c:pt idx="4">
                  <c:v>108.755730509758</c:v>
                </c:pt>
                <c:pt idx="5">
                  <c:v>113.30868721008301</c:v>
                </c:pt>
                <c:pt idx="6">
                  <c:v>117.67202746868134</c:v>
                </c:pt>
                <c:pt idx="7">
                  <c:v>125.54360198974609</c:v>
                </c:pt>
                <c:pt idx="8">
                  <c:v>136.62227296829224</c:v>
                </c:pt>
                <c:pt idx="9">
                  <c:v>146.0440708398819</c:v>
                </c:pt>
                <c:pt idx="10">
                  <c:v>158.06805419921875</c:v>
                </c:pt>
                <c:pt idx="11">
                  <c:v>163.01562167704105</c:v>
                </c:pt>
                <c:pt idx="12">
                  <c:v>166.52863043546677</c:v>
                </c:pt>
                <c:pt idx="13">
                  <c:v>160.87716102600098</c:v>
                </c:pt>
                <c:pt idx="14">
                  <c:v>122.74617385864258</c:v>
                </c:pt>
                <c:pt idx="15">
                  <c:v>129.02260971069336</c:v>
                </c:pt>
                <c:pt idx="16">
                  <c:v>133.43905258178711</c:v>
                </c:pt>
                <c:pt idx="17">
                  <c:v>138.03329849243164</c:v>
                </c:pt>
                <c:pt idx="18">
                  <c:v>175.44691610336304</c:v>
                </c:pt>
                <c:pt idx="19">
                  <c:v>183.52628791332245</c:v>
                </c:pt>
                <c:pt idx="20">
                  <c:v>179.46347907185555</c:v>
                </c:pt>
                <c:pt idx="21">
                  <c:v>159.64507681131363</c:v>
                </c:pt>
                <c:pt idx="22">
                  <c:v>137.69663071632385</c:v>
                </c:pt>
                <c:pt idx="23">
                  <c:v>122.80348539352417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409792"/>
        <c:axId val="513083968"/>
      </c:scatterChart>
      <c:valAx>
        <c:axId val="562409792"/>
        <c:scaling>
          <c:orientation val="minMax"/>
          <c:max val="24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5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Hour Ending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Franklin Gothic Demi Cond"/>
                <a:cs typeface="Arial" panose="020B0604020202020204" pitchFamily="34" charset="0"/>
              </a:defRPr>
            </a:pPr>
            <a:endParaRPr lang="en-US"/>
          </a:p>
        </c:txPr>
        <c:crossAx val="513083968"/>
        <c:crosses val="autoZero"/>
        <c:crossBetween val="midCat"/>
        <c:majorUnit val="1"/>
      </c:valAx>
      <c:valAx>
        <c:axId val="513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100" b="1">
                    <a:latin typeface="Arial" panose="020B0604020202020204" pitchFamily="34" charset="0"/>
                    <a:cs typeface="Arial" panose="020B0604020202020204" pitchFamily="34" charset="0"/>
                  </a:rPr>
                  <a:t>Load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Franklin Gothic Demi Cond"/>
                <a:cs typeface="Arial" panose="020B0604020202020204" pitchFamily="34" charset="0"/>
              </a:defRPr>
            </a:pPr>
            <a:endParaRPr lang="en-US"/>
          </a:p>
        </c:txPr>
        <c:crossAx val="56240979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777196328719781"/>
          <c:y val="2.3985964520392398E-2"/>
          <c:w val="0.64753574281475679"/>
          <c:h val="8.3028610785353951E-2"/>
        </c:manualLayout>
      </c:layout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Franklin Gothic Demi Cond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0C0C0"/>
    </a:solidFill>
    <a:ln w="3175">
      <a:solidFill>
        <a:srgbClr val="969696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3</xdr:col>
      <xdr:colOff>661147</xdr:colOff>
      <xdr:row>34</xdr:row>
      <xdr:rowOff>214592</xdr:rowOff>
    </xdr:to>
    <xdr:graphicFrame macro="">
      <xdr:nvGraphicFramePr>
        <xdr:cNvPr id="1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GE/Aggregator/Aggregator%202013/Models/Ex%20Post%20Protocol%20Tables/PGE%20CBP%20Ex%20Post%20Protocol%20Table%20Generator%202013%20PRIVATE%20Test%20Featu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CE%20AMP%20Ex%20Post%20Protocol%20Table%20Generator%202014%20PRIV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Lookups"/>
      <sheetName val="Data"/>
    </sheetNames>
    <sheetDataSet>
      <sheetData sheetId="0">
        <row r="5">
          <cell r="B5">
            <v>41432</v>
          </cell>
        </row>
        <row r="11">
          <cell r="B11" t="str">
            <v>Day-Of 1-4 Hours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Lookups"/>
      <sheetName val="Data"/>
    </sheetNames>
    <sheetDataSet>
      <sheetData sheetId="0">
        <row r="7">
          <cell r="B7" t="str">
            <v>All</v>
          </cell>
        </row>
      </sheetData>
      <sheetData sheetId="1" refreshError="1"/>
      <sheetData sheetId="2" refreshError="1"/>
    </sheetDataSet>
  </externalBook>
</externalLink>
</file>

<file path=xl/queryTables/queryTable1.xml><?xml version="1.0" encoding="utf-8"?>
<queryTable xmlns="http://schemas.openxmlformats.org/spreadsheetml/2006/main" name="table_for_PGE CBP_expost_public" growShrinkType="overwriteClear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tabSelected="1" zoomScale="85" zoomScaleNormal="85" workbookViewId="0"/>
  </sheetViews>
  <sheetFormatPr defaultRowHeight="12.75" x14ac:dyDescent="0.2"/>
  <cols>
    <col min="1" max="1" width="27" bestFit="1" customWidth="1"/>
    <col min="2" max="2" width="31.5703125" customWidth="1"/>
    <col min="3" max="3" width="24" customWidth="1"/>
    <col min="4" max="4" width="10.28515625" customWidth="1"/>
    <col min="5" max="5" width="17.85546875" customWidth="1"/>
    <col min="6" max="6" width="16.140625" customWidth="1"/>
    <col min="7" max="7" width="13.28515625" customWidth="1"/>
    <col min="8" max="8" width="13" customWidth="1"/>
    <col min="9" max="9" width="15.5703125" customWidth="1"/>
    <col min="10" max="14" width="11.42578125" customWidth="1"/>
    <col min="16" max="16" width="9.140625" customWidth="1"/>
  </cols>
  <sheetData>
    <row r="1" spans="1:17" ht="17.25" customHeight="1" thickBot="1" x14ac:dyDescent="0.3">
      <c r="A1" s="2"/>
      <c r="B1" s="2"/>
      <c r="C1" s="2"/>
      <c r="I1" s="3"/>
      <c r="J1" s="3"/>
      <c r="K1" s="45"/>
      <c r="L1" s="47"/>
    </row>
    <row r="2" spans="1:17" ht="17.25" customHeight="1" thickTop="1" thickBot="1" x14ac:dyDescent="0.3">
      <c r="A2" s="38" t="s">
        <v>19</v>
      </c>
      <c r="B2" s="7" t="s">
        <v>230</v>
      </c>
      <c r="C2" s="5"/>
      <c r="D2" s="5"/>
      <c r="F2" s="4" t="s">
        <v>200</v>
      </c>
      <c r="G2" s="40">
        <f>IF(pass=0,"n/a",DGET(data,"nominated",_xlnm.Criteria))</f>
        <v>817</v>
      </c>
      <c r="I2" s="44"/>
      <c r="J2" s="3"/>
      <c r="K2" s="45"/>
      <c r="L2" s="47"/>
    </row>
    <row r="3" spans="1:17" ht="17.25" customHeight="1" thickTop="1" thickBot="1" x14ac:dyDescent="0.3">
      <c r="A3" s="39" t="s">
        <v>10</v>
      </c>
      <c r="B3" s="35" t="s">
        <v>231</v>
      </c>
      <c r="C3" s="5"/>
      <c r="D3" s="5"/>
      <c r="F3" s="4" t="s">
        <v>199</v>
      </c>
      <c r="G3" s="40">
        <f>IF(pass=0,"n/a",DGET(data,"called",_xlnm.Criteria))</f>
        <v>817</v>
      </c>
      <c r="I3" s="62" t="s">
        <v>213</v>
      </c>
      <c r="J3" s="63" t="str">
        <f>IF(ISNA(VLOOKUP(date&amp;notice,Lookups!$A$20:$F$45,6,FALSE)),"n/a",VLOOKUP(date&amp;notice,Lookups!$A$20:$F$45,6,FALSE))</f>
        <v>Hours Ending 15 to 18</v>
      </c>
      <c r="K3" s="46"/>
    </row>
    <row r="4" spans="1:17" ht="17.25" customHeight="1" thickBot="1" x14ac:dyDescent="0.25">
      <c r="A4" s="38" t="s">
        <v>20</v>
      </c>
      <c r="B4" s="7" t="s">
        <v>3</v>
      </c>
      <c r="C4" s="5"/>
      <c r="D4" s="5"/>
    </row>
    <row r="5" spans="1:17" ht="17.25" customHeight="1" thickBot="1" x14ac:dyDescent="0.3">
      <c r="A5" s="38" t="s">
        <v>232</v>
      </c>
      <c r="B5" s="13" t="s">
        <v>2</v>
      </c>
      <c r="C5" s="5"/>
      <c r="D5" s="5"/>
      <c r="E5" s="74" t="s">
        <v>4</v>
      </c>
      <c r="F5" s="74" t="str">
        <f>"Estimated Reference Load ("&amp;IF(Result_type="Aggregate impact","MWh","kWh")&amp;"/hour)"</f>
        <v>Estimated Reference Load (MWh/hour)</v>
      </c>
      <c r="G5" s="74" t="str">
        <f>"Observed Event Day Load ("&amp;IF(Result_type="Aggregate Impact","MWh/hour)","kWh/hour)")</f>
        <v>Observed Event Day Load (MWh/hour)</v>
      </c>
      <c r="H5" s="74" t="str">
        <f>"Estimated Load Impact ("&amp;IF(Result_type="Aggregate Impact","MWh/hour)","kWh/hour)")</f>
        <v>Estimated Load Impact (MWh/hour)</v>
      </c>
      <c r="I5" s="77" t="s">
        <v>165</v>
      </c>
      <c r="J5" s="31"/>
      <c r="K5" s="32"/>
      <c r="L5" s="32"/>
      <c r="M5" s="32"/>
      <c r="N5" s="33"/>
    </row>
    <row r="6" spans="1:17" ht="17.25" customHeight="1" thickBot="1" x14ac:dyDescent="0.35">
      <c r="C6" s="5"/>
      <c r="D6" s="5"/>
      <c r="E6" s="75"/>
      <c r="F6" s="75"/>
      <c r="G6" s="75"/>
      <c r="H6" s="75"/>
      <c r="I6" s="75"/>
      <c r="J6" s="52" t="str">
        <f>"Uncertainty Adjusted Impact ("&amp;IF(Result_type="Aggregate Impact","MWh/hr)- Percentiles","kWh/hr)- Percentiles")</f>
        <v>Uncertainty Adjusted Impact (MWh/hr)- Percentiles</v>
      </c>
      <c r="K6" s="53"/>
      <c r="L6" s="53"/>
      <c r="M6" s="53"/>
      <c r="N6" s="54"/>
    </row>
    <row r="7" spans="1:17" ht="39" customHeight="1" thickBot="1" x14ac:dyDescent="0.25">
      <c r="A7" s="39" t="s">
        <v>18</v>
      </c>
      <c r="B7" s="36" t="s">
        <v>1</v>
      </c>
      <c r="C7" s="5"/>
      <c r="D7" s="5"/>
      <c r="E7" s="76"/>
      <c r="F7" s="76"/>
      <c r="G7" s="76"/>
      <c r="H7" s="76"/>
      <c r="I7" s="76"/>
      <c r="J7" s="8" t="s">
        <v>5</v>
      </c>
      <c r="K7" s="8" t="s">
        <v>6</v>
      </c>
      <c r="L7" s="8" t="s">
        <v>7</v>
      </c>
      <c r="M7" s="8" t="s">
        <v>8</v>
      </c>
      <c r="N7" s="9" t="s">
        <v>9</v>
      </c>
    </row>
    <row r="8" spans="1:17" ht="17.25" customHeight="1" thickBot="1" x14ac:dyDescent="0.25">
      <c r="A8" s="50" t="s">
        <v>193</v>
      </c>
      <c r="B8" s="13" t="s">
        <v>225</v>
      </c>
      <c r="C8" s="10"/>
      <c r="D8" s="10"/>
      <c r="E8" s="37">
        <v>1</v>
      </c>
      <c r="F8" s="51">
        <f>IF(Called=0,"n/a",DGET(data,"Ref_hr1",_xlnm.Criteria)/IF(Result_type="Aggregate Impact",1,Called/1000))</f>
        <v>110.02503967285156</v>
      </c>
      <c r="G8" s="51">
        <f t="shared" ref="G8:G31" si="0">IF(Called=0,"n/a",F8-H8)</f>
        <v>111.13608074188232</v>
      </c>
      <c r="H8" s="51">
        <f>IF(Called=0,"n/a",DGET(data,"Pctile50_hr1",_xlnm.Criteria)/IF(Result_type="Aggregate Impact",1,Called/1000))</f>
        <v>-1.1110410690307617</v>
      </c>
      <c r="I8" s="51">
        <f>IF(Called=0,"n/a",DGET(data,"Temp_hr1",_xlnm.Criteria))</f>
        <v>73.646224975585938</v>
      </c>
      <c r="J8" s="51">
        <f>IF(Called=0,"n/a",DGET(data,"Pctile10_hr1",_xlnm.Criteria)/IF(Result_type="Aggregate Impact",1,Called/1000))</f>
        <v>-3.8448235988616943</v>
      </c>
      <c r="K8" s="51">
        <f>IF(Called=0,"n/a",DGET(data,"Pctile30_hr1",_xlnm.Criteria)/IF(Result_type="Aggregate Impact",1,Called/1000))</f>
        <v>-2.2296826839447021</v>
      </c>
      <c r="L8" s="51">
        <f>H8</f>
        <v>-1.1110410690307617</v>
      </c>
      <c r="M8" s="51">
        <f>IF(Called=0,"n/a",DGET(data,"Pctile70_hr1",_xlnm.Criteria)/IF(Result_type="Aggregate Impact",1,Called/1000))</f>
        <v>7.6005659066140652E-3</v>
      </c>
      <c r="N8" s="51">
        <f>IF(Called=0,"n/a",DGET(data,"Pctile90_hr1",_xlnm.Criteria)/IF(Result_type="Aggregate Impact",1,Called/1000))</f>
        <v>1.6227414608001709</v>
      </c>
      <c r="Q8" s="41"/>
    </row>
    <row r="9" spans="1:17" ht="17.25" customHeight="1" x14ac:dyDescent="0.2">
      <c r="C9" s="12"/>
      <c r="D9" s="12"/>
      <c r="E9" s="37">
        <v>2</v>
      </c>
      <c r="F9" s="51">
        <f>IF(Called=0,"n/a",DGET(data,"Ref_hr2",_xlnm.Criteria)/IF(Result_type="Aggregate Impact",1,Called/1000))</f>
        <v>105.90605163574219</v>
      </c>
      <c r="G9" s="51">
        <f t="shared" si="0"/>
        <v>109.06753253936768</v>
      </c>
      <c r="H9" s="51">
        <f>IF(Called=0,"n/a",DGET(data,"Pctile50_hr2",_xlnm.Criteria)/IF(Result_type="Aggregate Impact",1,Called/1000))</f>
        <v>-3.1614809036254883</v>
      </c>
      <c r="I9" s="51">
        <f>IF(Called=0,"n/a",DGET(data,"Temp_hr2",_xlnm.Criteria))</f>
        <v>71.846450805664063</v>
      </c>
      <c r="J9" s="51">
        <f>IF(Called=0,"n/a",DGET(data,"Pctile10_hr2",_xlnm.Criteria)/IF(Result_type="Aggregate Impact",1,Called/1000))</f>
        <v>-5.8735923767089844</v>
      </c>
      <c r="K9" s="51">
        <f>IF(Called=0,"n/a",DGET(data,"Pctile30_hr2",_xlnm.Criteria)/IF(Result_type="Aggregate Impact",1,Called/1000))</f>
        <v>-4.2712550163269043</v>
      </c>
      <c r="L9" s="51">
        <f t="shared" ref="L9:L31" si="1">H9</f>
        <v>-3.1614809036254883</v>
      </c>
      <c r="M9" s="51">
        <f>IF(Called=0,"n/a",DGET(data,"Pctile70_hr2",_xlnm.Criteria)/IF(Result_type="Aggregate Impact",1,Called/1000))</f>
        <v>-2.0517067909240723</v>
      </c>
      <c r="N9" s="51">
        <f>IF(Called=0,"n/a",DGET(data,"Pctile90_hr2",_xlnm.Criteria)/IF(Result_type="Aggregate Impact",1,Called/1000))</f>
        <v>-0.44936925172805786</v>
      </c>
      <c r="Q9" s="41"/>
    </row>
    <row r="10" spans="1:17" ht="17.25" customHeight="1" x14ac:dyDescent="0.2">
      <c r="C10" s="14"/>
      <c r="D10" s="14"/>
      <c r="E10" s="37">
        <v>3</v>
      </c>
      <c r="F10" s="51">
        <f>IF(Called=0,"n/a",DGET(data,"Ref_hr3",_xlnm.Criteria)/IF(Result_type="Aggregate Impact",1,Called/1000))</f>
        <v>102.72657775878906</v>
      </c>
      <c r="G10" s="51">
        <f t="shared" si="0"/>
        <v>106.42520952224731</v>
      </c>
      <c r="H10" s="51">
        <f>IF(Called=0,"n/a",DGET(data,"Pctile50_hr3",_xlnm.Criteria)/IF(Result_type="Aggregate Impact",1,Called/1000))</f>
        <v>-3.698631763458252</v>
      </c>
      <c r="I10" s="51">
        <f>IF(Called=0,"n/a",DGET(data,"Temp_hr3",_xlnm.Criteria))</f>
        <v>69.945228576660156</v>
      </c>
      <c r="J10" s="51">
        <f>IF(Called=0,"n/a",DGET(data,"Pctile10_hr3",_xlnm.Criteria)/IF(Result_type="Aggregate Impact",1,Called/1000))</f>
        <v>-6.3293328285217285</v>
      </c>
      <c r="K10" s="51">
        <f>IF(Called=0,"n/a",DGET(data,"Pctile30_hr3",_xlnm.Criteria)/IF(Result_type="Aggregate Impact",1,Called/1000))</f>
        <v>-4.7750935554504395</v>
      </c>
      <c r="L10" s="51">
        <f t="shared" si="1"/>
        <v>-3.698631763458252</v>
      </c>
      <c r="M10" s="51">
        <f>IF(Called=0,"n/a",DGET(data,"Pctile70_hr3",_xlnm.Criteria)/IF(Result_type="Aggregate Impact",1,Called/1000))</f>
        <v>-2.6221702098846436</v>
      </c>
      <c r="N10" s="51">
        <f>IF(Called=0,"n/a",DGET(data,"Pctile90_hr3",_xlnm.Criteria)/IF(Result_type="Aggregate Impact",1,Called/1000))</f>
        <v>-1.0679305791854858</v>
      </c>
      <c r="Q10" s="41"/>
    </row>
    <row r="11" spans="1:17" ht="17.25" customHeight="1" x14ac:dyDescent="0.2">
      <c r="B11" s="57" t="str">
        <f>IF(pass=0,"Results are confidential for the selected LCA",IF(Called=0,"Results are not available for the selected LCA",""))</f>
        <v/>
      </c>
      <c r="C11" s="15"/>
      <c r="D11" s="15"/>
      <c r="E11" s="37">
        <v>4</v>
      </c>
      <c r="F11" s="51">
        <f>IF(Called=0,"n/a",DGET(data,"Ref_hr4",_xlnm.Criteria)/IF(Result_type="Aggregate Impact",1,Called/1000))</f>
        <v>103.64840698242187</v>
      </c>
      <c r="G11" s="51">
        <f t="shared" si="0"/>
        <v>106.0902795791626</v>
      </c>
      <c r="H11" s="51">
        <f>IF(Called=0,"n/a",DGET(data,"Pctile50_hr4",_xlnm.Criteria)/IF(Result_type="Aggregate Impact",1,Called/1000))</f>
        <v>-2.4418725967407227</v>
      </c>
      <c r="I11" s="51">
        <f>IF(Called=0,"n/a",DGET(data,"Temp_hr4",_xlnm.Criteria))</f>
        <v>69.945182800292969</v>
      </c>
      <c r="J11" s="51">
        <f>IF(Called=0,"n/a",DGET(data,"Pctile10_hr4",_xlnm.Criteria)/IF(Result_type="Aggregate Impact",1,Called/1000))</f>
        <v>-4.9689488410949707</v>
      </c>
      <c r="K11" s="51">
        <f>IF(Called=0,"n/a",DGET(data,"Pctile30_hr4",_xlnm.Criteria)/IF(Result_type="Aggregate Impact",1,Called/1000))</f>
        <v>-3.4759316444396973</v>
      </c>
      <c r="L11" s="51">
        <f t="shared" si="1"/>
        <v>-2.4418725967407227</v>
      </c>
      <c r="M11" s="51">
        <f>IF(Called=0,"n/a",DGET(data,"Pctile70_hr4",_xlnm.Criteria)/IF(Result_type="Aggregate Impact",1,Called/1000))</f>
        <v>-1.4078134298324585</v>
      </c>
      <c r="N11" s="51">
        <f>IF(Called=0,"n/a",DGET(data,"Pctile90_hr4",_xlnm.Criteria)/IF(Result_type="Aggregate Impact",1,Called/1000))</f>
        <v>8.5203640162944794E-2</v>
      </c>
      <c r="Q11" s="41"/>
    </row>
    <row r="12" spans="1:17" ht="17.25" customHeight="1" x14ac:dyDescent="0.2">
      <c r="C12" s="15"/>
      <c r="D12" s="15"/>
      <c r="E12" s="37">
        <v>5</v>
      </c>
      <c r="F12" s="51">
        <f>IF(Called=0,"n/a",DGET(data,"Ref_hr5",_xlnm.Criteria)/IF(Result_type="Aggregate Impact",1,Called/1000))</f>
        <v>107.21651458740234</v>
      </c>
      <c r="G12" s="51">
        <f t="shared" si="0"/>
        <v>108.755730509758</v>
      </c>
      <c r="H12" s="51">
        <f>IF(Called=0,"n/a",DGET(data,"Pctile50_hr5",_xlnm.Criteria)/IF(Result_type="Aggregate Impact",1,Called/1000))</f>
        <v>-1.5392159223556519</v>
      </c>
      <c r="I12" s="51">
        <f>IF(Called=0,"n/a",DGET(data,"Temp_hr5",_xlnm.Criteria))</f>
        <v>70.17901611328125</v>
      </c>
      <c r="J12" s="51">
        <f>IF(Called=0,"n/a",DGET(data,"Pctile10_hr5",_xlnm.Criteria)/IF(Result_type="Aggregate Impact",1,Called/1000))</f>
        <v>-4.0772242546081543</v>
      </c>
      <c r="K12" s="51">
        <f>IF(Called=0,"n/a",DGET(data,"Pctile30_hr5",_xlnm.Criteria)/IF(Result_type="Aggregate Impact",1,Called/1000))</f>
        <v>-2.5777482986450195</v>
      </c>
      <c r="L12" s="51">
        <f t="shared" si="1"/>
        <v>-1.5392159223556519</v>
      </c>
      <c r="M12" s="51">
        <f>IF(Called=0,"n/a",DGET(data,"Pctile70_hr5",_xlnm.Criteria)/IF(Result_type="Aggregate Impact",1,Called/1000))</f>
        <v>-0.5006834864616394</v>
      </c>
      <c r="N12" s="51">
        <f>IF(Called=0,"n/a",DGET(data,"Pctile90_hr5",_xlnm.Criteria)/IF(Result_type="Aggregate Impact",1,Called/1000))</f>
        <v>0.99879240989685059</v>
      </c>
      <c r="Q12" s="41"/>
    </row>
    <row r="13" spans="1:17" ht="17.25" customHeight="1" x14ac:dyDescent="0.2">
      <c r="D13" s="5"/>
      <c r="E13" s="37">
        <v>6</v>
      </c>
      <c r="F13" s="51">
        <f>IF(Called=0,"n/a",DGET(data,"Ref_hr6",_xlnm.Criteria)/IF(Result_type="Aggregate Impact",1,Called/1000))</f>
        <v>111.53042602539062</v>
      </c>
      <c r="G13" s="51">
        <f t="shared" si="0"/>
        <v>113.30868721008301</v>
      </c>
      <c r="H13" s="51">
        <f>IF(Called=0,"n/a",DGET(data,"Pctile50_hr6",_xlnm.Criteria)/IF(Result_type="Aggregate Impact",1,Called/1000))</f>
        <v>-1.7782611846923828</v>
      </c>
      <c r="I13" s="51">
        <f>IF(Called=0,"n/a",DGET(data,"Temp_hr6",_xlnm.Criteria))</f>
        <v>71.651321411132813</v>
      </c>
      <c r="J13" s="51">
        <f>IF(Called=0,"n/a",DGET(data,"Pctile10_hr6",_xlnm.Criteria)/IF(Result_type="Aggregate Impact",1,Called/1000))</f>
        <v>-4.379605770111084</v>
      </c>
      <c r="K13" s="51">
        <f>IF(Called=0,"n/a",DGET(data,"Pctile30_hr6",_xlnm.Criteria)/IF(Result_type="Aggregate Impact",1,Called/1000))</f>
        <v>-2.8427102565765381</v>
      </c>
      <c r="L13" s="51">
        <f t="shared" si="1"/>
        <v>-1.7782611846923828</v>
      </c>
      <c r="M13" s="51">
        <f>IF(Called=0,"n/a",DGET(data,"Pctile70_hr6",_xlnm.Criteria)/IF(Result_type="Aggregate Impact",1,Called/1000))</f>
        <v>-0.71381205320358276</v>
      </c>
      <c r="N13" s="51">
        <f>IF(Called=0,"n/a",DGET(data,"Pctile90_hr6",_xlnm.Criteria)/IF(Result_type="Aggregate Impact",1,Called/1000))</f>
        <v>0.82308346033096313</v>
      </c>
      <c r="Q13" s="41"/>
    </row>
    <row r="14" spans="1:17" ht="16.5" x14ac:dyDescent="0.2">
      <c r="D14" s="5"/>
      <c r="E14" s="37">
        <v>7</v>
      </c>
      <c r="F14" s="51">
        <f>IF(Called=0,"n/a",DGET(data,"Ref_hr7",_xlnm.Criteria)/IF(Result_type="Aggregate Impact",1,Called/1000))</f>
        <v>118.83251953125</v>
      </c>
      <c r="G14" s="51">
        <f t="shared" si="0"/>
        <v>117.67202746868134</v>
      </c>
      <c r="H14" s="51">
        <f>IF(Called=0,"n/a",DGET(data,"Pctile50_hr7",_xlnm.Criteria)/IF(Result_type="Aggregate Impact",1,Called/1000))</f>
        <v>1.1604920625686646</v>
      </c>
      <c r="I14" s="51">
        <f>IF(Called=0,"n/a",DGET(data,"Temp_hr7",_xlnm.Criteria))</f>
        <v>75.668182373046875</v>
      </c>
      <c r="J14" s="51">
        <f>IF(Called=0,"n/a",DGET(data,"Pctile10_hr7",_xlnm.Criteria)/IF(Result_type="Aggregate Impact",1,Called/1000))</f>
        <v>-1.5561550855636597</v>
      </c>
      <c r="K14" s="51">
        <f>IF(Called=0,"n/a",DGET(data,"Pctile30_hr7",_xlnm.Criteria)/IF(Result_type="Aggregate Impact",1,Called/1000))</f>
        <v>4.886205866932869E-2</v>
      </c>
      <c r="L14" s="51">
        <f t="shared" si="1"/>
        <v>1.1604920625686646</v>
      </c>
      <c r="M14" s="51">
        <f>IF(Called=0,"n/a",DGET(data,"Pctile70_hr7",_xlnm.Criteria)/IF(Result_type="Aggregate Impact",1,Called/1000))</f>
        <v>2.2721221446990967</v>
      </c>
      <c r="N14" s="51">
        <f>IF(Called=0,"n/a",DGET(data,"Pctile90_hr7",_xlnm.Criteria)/IF(Result_type="Aggregate Impact",1,Called/1000))</f>
        <v>3.8771393299102783</v>
      </c>
      <c r="Q14" s="41"/>
    </row>
    <row r="15" spans="1:17" ht="16.5" x14ac:dyDescent="0.2">
      <c r="A15" s="16"/>
      <c r="C15" s="5"/>
      <c r="D15" s="5"/>
      <c r="E15" s="37">
        <v>8</v>
      </c>
      <c r="F15" s="51">
        <f>IF(Called=0,"n/a",DGET(data,"Ref_hr8",_xlnm.Criteria)/IF(Result_type="Aggregate Impact",1,Called/1000))</f>
        <v>127.17949676513672</v>
      </c>
      <c r="G15" s="51">
        <f t="shared" si="0"/>
        <v>125.54360198974609</v>
      </c>
      <c r="H15" s="51">
        <f>IF(Called=0,"n/a",DGET(data,"Pctile50_hr8",_xlnm.Criteria)/IF(Result_type="Aggregate Impact",1,Called/1000))</f>
        <v>1.635894775390625</v>
      </c>
      <c r="I15" s="51">
        <f>IF(Called=0,"n/a",DGET(data,"Temp_hr8",_xlnm.Criteria))</f>
        <v>80.526107788085938</v>
      </c>
      <c r="J15" s="51">
        <f>IF(Called=0,"n/a",DGET(data,"Pctile10_hr8",_xlnm.Criteria)/IF(Result_type="Aggregate Impact",1,Called/1000))</f>
        <v>-1.2176676988601685</v>
      </c>
      <c r="K15" s="51">
        <f>IF(Called=0,"n/a",DGET(data,"Pctile30_hr8",_xlnm.Criteria)/IF(Result_type="Aggregate Impact",1,Called/1000))</f>
        <v>0.46824011206626892</v>
      </c>
      <c r="L15" s="51">
        <f t="shared" si="1"/>
        <v>1.635894775390625</v>
      </c>
      <c r="M15" s="51">
        <f>IF(Called=0,"n/a",DGET(data,"Pctile70_hr8",_xlnm.Criteria)/IF(Result_type="Aggregate Impact",1,Called/1000))</f>
        <v>2.8035495281219482</v>
      </c>
      <c r="N15" s="51">
        <f>IF(Called=0,"n/a",DGET(data,"Pctile90_hr8",_xlnm.Criteria)/IF(Result_type="Aggregate Impact",1,Called/1000))</f>
        <v>4.4894571304321289</v>
      </c>
      <c r="Q15" s="41"/>
    </row>
    <row r="16" spans="1:17" ht="16.5" x14ac:dyDescent="0.2">
      <c r="C16" s="5"/>
      <c r="D16" s="5"/>
      <c r="E16" s="37">
        <v>9</v>
      </c>
      <c r="F16" s="51">
        <f>IF(Called=0,"n/a",DGET(data,"Ref_hr9",_xlnm.Criteria)/IF(Result_type="Aggregate Impact",1,Called/1000))</f>
        <v>140.84979248046875</v>
      </c>
      <c r="G16" s="51">
        <f t="shared" si="0"/>
        <v>136.62227296829224</v>
      </c>
      <c r="H16" s="51">
        <f>IF(Called=0,"n/a",DGET(data,"Pctile50_hr9",_xlnm.Criteria)/IF(Result_type="Aggregate Impact",1,Called/1000))</f>
        <v>4.2275195121765137</v>
      </c>
      <c r="I16" s="51">
        <f>IF(Called=0,"n/a",DGET(data,"Temp_hr9",_xlnm.Criteria))</f>
        <v>84.586563110351563</v>
      </c>
      <c r="J16" s="51">
        <f>IF(Called=0,"n/a",DGET(data,"Pctile10_hr9",_xlnm.Criteria)/IF(Result_type="Aggregate Impact",1,Called/1000))</f>
        <v>1.2099134922027588</v>
      </c>
      <c r="K16" s="51">
        <f>IF(Called=0,"n/a",DGET(data,"Pctile30_hr9",_xlnm.Criteria)/IF(Result_type="Aggregate Impact",1,Called/1000))</f>
        <v>2.9927396774291992</v>
      </c>
      <c r="L16" s="51">
        <f t="shared" si="1"/>
        <v>4.2275195121765137</v>
      </c>
      <c r="M16" s="51">
        <f>IF(Called=0,"n/a",DGET(data,"Pctile70_hr9",_xlnm.Criteria)/IF(Result_type="Aggregate Impact",1,Called/1000))</f>
        <v>5.4622993469238281</v>
      </c>
      <c r="N16" s="51">
        <f>IF(Called=0,"n/a",DGET(data,"Pctile90_hr9",_xlnm.Criteria)/IF(Result_type="Aggregate Impact",1,Called/1000))</f>
        <v>7.2451257705688477</v>
      </c>
      <c r="Q16" s="41"/>
    </row>
    <row r="17" spans="3:23" ht="16.5" x14ac:dyDescent="0.2">
      <c r="C17" s="5"/>
      <c r="D17" s="5"/>
      <c r="E17" s="37">
        <v>10</v>
      </c>
      <c r="F17" s="51">
        <f>IF(Called=0,"n/a",DGET(data,"Ref_hr10",_xlnm.Criteria)/IF(Result_type="Aggregate Impact",1,Called/1000))</f>
        <v>147.7724609375</v>
      </c>
      <c r="G17" s="51">
        <f t="shared" si="0"/>
        <v>146.0440708398819</v>
      </c>
      <c r="H17" s="51">
        <f>IF(Called=0,"n/a",DGET(data,"Pctile50_hr10",_xlnm.Criteria)/IF(Result_type="Aggregate Impact",1,Called/1000))</f>
        <v>1.728390097618103</v>
      </c>
      <c r="I17" s="51">
        <f>IF(Called=0,"n/a",DGET(data,"Temp_hr10",_xlnm.Criteria))</f>
        <v>88.099273681640625</v>
      </c>
      <c r="J17" s="51">
        <f>IF(Called=0,"n/a",DGET(data,"Pctile10_hr10",_xlnm.Criteria)/IF(Result_type="Aggregate Impact",1,Called/1000))</f>
        <v>-1.3843961954116821</v>
      </c>
      <c r="K17" s="51">
        <f>IF(Called=0,"n/a",DGET(data,"Pctile30_hr10",_xlnm.Criteria)/IF(Result_type="Aggregate Impact",1,Called/1000))</f>
        <v>0.45466318726539612</v>
      </c>
      <c r="L17" s="51">
        <f t="shared" si="1"/>
        <v>1.728390097618103</v>
      </c>
      <c r="M17" s="51">
        <f>IF(Called=0,"n/a",DGET(data,"Pctile70_hr10",_xlnm.Criteria)/IF(Result_type="Aggregate Impact",1,Called/1000))</f>
        <v>3.0021169185638428</v>
      </c>
      <c r="N17" s="51">
        <f>IF(Called=0,"n/a",DGET(data,"Pctile90_hr10",_xlnm.Criteria)/IF(Result_type="Aggregate Impact",1,Called/1000))</f>
        <v>4.8411765098571777</v>
      </c>
      <c r="Q17" s="41"/>
    </row>
    <row r="18" spans="3:23" ht="16.5" x14ac:dyDescent="0.2">
      <c r="C18" s="5"/>
      <c r="D18" s="5"/>
      <c r="E18" s="37">
        <v>11</v>
      </c>
      <c r="F18" s="51">
        <f>IF(Called=0,"n/a",DGET(data,"Ref_hr11",_xlnm.Criteria)/IF(Result_type="Aggregate Impact",1,Called/1000))</f>
        <v>159.42257690429688</v>
      </c>
      <c r="G18" s="51">
        <f t="shared" si="0"/>
        <v>158.06805419921875</v>
      </c>
      <c r="H18" s="51">
        <f>IF(Called=0,"n/a",DGET(data,"Pctile50_hr11",_xlnm.Criteria)/IF(Result_type="Aggregate Impact",1,Called/1000))</f>
        <v>1.354522705078125</v>
      </c>
      <c r="I18" s="51">
        <f>IF(Called=0,"n/a",DGET(data,"Temp_hr11",_xlnm.Criteria))</f>
        <v>90.811485290527344</v>
      </c>
      <c r="J18" s="51">
        <f>IF(Called=0,"n/a",DGET(data,"Pctile10_hr11",_xlnm.Criteria)/IF(Result_type="Aggregate Impact",1,Called/1000))</f>
        <v>-1.8078582286834717</v>
      </c>
      <c r="K18" s="51">
        <f>IF(Called=0,"n/a",DGET(data,"Pctile30_hr11",_xlnm.Criteria)/IF(Result_type="Aggregate Impact",1,Called/1000))</f>
        <v>6.05020672082901E-2</v>
      </c>
      <c r="L18" s="51">
        <f t="shared" si="1"/>
        <v>1.354522705078125</v>
      </c>
      <c r="M18" s="51">
        <f>IF(Called=0,"n/a",DGET(data,"Pctile70_hr11",_xlnm.Criteria)/IF(Result_type="Aggregate Impact",1,Called/1000))</f>
        <v>2.6485433578491211</v>
      </c>
      <c r="N18" s="51">
        <f>IF(Called=0,"n/a",DGET(data,"Pctile90_hr11",_xlnm.Criteria)/IF(Result_type="Aggregate Impact",1,Called/1000))</f>
        <v>4.5169034004211426</v>
      </c>
      <c r="Q18" s="41"/>
      <c r="S18" s="41"/>
      <c r="T18" s="41"/>
      <c r="U18" s="41"/>
      <c r="V18" s="41"/>
      <c r="W18" s="41"/>
    </row>
    <row r="19" spans="3:23" ht="16.5" x14ac:dyDescent="0.2">
      <c r="C19" s="5"/>
      <c r="D19" s="5"/>
      <c r="E19" s="37">
        <v>12</v>
      </c>
      <c r="F19" s="51">
        <f>IF(Called=0,"n/a",DGET(data,"Ref_hr12",_xlnm.Criteria)/IF(Result_type="Aggregate Impact",1,Called/1000))</f>
        <v>163.25294494628906</v>
      </c>
      <c r="G19" s="51">
        <f t="shared" si="0"/>
        <v>163.01562167704105</v>
      </c>
      <c r="H19" s="51">
        <f>IF(Called=0,"n/a",DGET(data,"Pctile50_hr12",_xlnm.Criteria)/IF(Result_type="Aggregate Impact",1,Called/1000))</f>
        <v>0.23732326924800873</v>
      </c>
      <c r="I19" s="51">
        <f>IF(Called=0,"n/a",DGET(data,"Temp_hr12",_xlnm.Criteria))</f>
        <v>92.507888793945313</v>
      </c>
      <c r="J19" s="51">
        <f>IF(Called=0,"n/a",DGET(data,"Pctile10_hr12",_xlnm.Criteria)/IF(Result_type="Aggregate Impact",1,Called/1000))</f>
        <v>-2.966214656829834</v>
      </c>
      <c r="K19" s="51">
        <f>IF(Called=0,"n/a",DGET(data,"Pctile30_hr12",_xlnm.Criteria)/IF(Result_type="Aggregate Impact",1,Called/1000))</f>
        <v>-1.0735385417938232</v>
      </c>
      <c r="L19" s="51">
        <f t="shared" si="1"/>
        <v>0.23732326924800873</v>
      </c>
      <c r="M19" s="51">
        <f>IF(Called=0,"n/a",DGET(data,"Pctile70_hr12",_xlnm.Criteria)/IF(Result_type="Aggregate Impact",1,Called/1000))</f>
        <v>1.5481849908828735</v>
      </c>
      <c r="N19" s="51">
        <f>IF(Called=0,"n/a",DGET(data,"Pctile90_hr12",_xlnm.Criteria)/IF(Result_type="Aggregate Impact",1,Called/1000))</f>
        <v>3.4408612251281738</v>
      </c>
      <c r="Q19" s="41"/>
      <c r="S19" s="41"/>
      <c r="T19" s="41"/>
      <c r="U19" s="41"/>
      <c r="V19" s="41"/>
      <c r="W19" s="41"/>
    </row>
    <row r="20" spans="3:23" ht="16.5" x14ac:dyDescent="0.2">
      <c r="C20" s="5"/>
      <c r="D20" s="5"/>
      <c r="E20" s="37">
        <v>13</v>
      </c>
      <c r="F20" s="51">
        <f>IF(Called=0,"n/a",DGET(data,"Ref_hr13",_xlnm.Criteria)/IF(Result_type="Aggregate Impact",1,Called/1000))</f>
        <v>165.91085815429687</v>
      </c>
      <c r="G20" s="51">
        <f t="shared" si="0"/>
        <v>166.52863043546677</v>
      </c>
      <c r="H20" s="51">
        <f>IF(Called=0,"n/a",DGET(data,"Pctile50_hr13",_xlnm.Criteria)/IF(Result_type="Aggregate Impact",1,Called/1000))</f>
        <v>-0.61777228116989136</v>
      </c>
      <c r="I20" s="51">
        <f>IF(Called=0,"n/a",DGET(data,"Temp_hr13",_xlnm.Criteria))</f>
        <v>94.211112976074219</v>
      </c>
      <c r="J20" s="51">
        <f>IF(Called=0,"n/a",DGET(data,"Pctile10_hr13",_xlnm.Criteria)/IF(Result_type="Aggregate Impact",1,Called/1000))</f>
        <v>-3.922762393951416</v>
      </c>
      <c r="K20" s="51">
        <f>IF(Called=0,"n/a",DGET(data,"Pctile30_hr13",_xlnm.Criteria)/IF(Result_type="Aggregate Impact",1,Called/1000))</f>
        <v>-1.9701474905014038</v>
      </c>
      <c r="L20" s="51">
        <f t="shared" si="1"/>
        <v>-0.61777228116989136</v>
      </c>
      <c r="M20" s="51">
        <f>IF(Called=0,"n/a",DGET(data,"Pctile70_hr13",_xlnm.Criteria)/IF(Result_type="Aggregate Impact",1,Called/1000))</f>
        <v>0.73460286855697632</v>
      </c>
      <c r="N20" s="51">
        <f>IF(Called=0,"n/a",DGET(data,"Pctile90_hr13",_xlnm.Criteria)/IF(Result_type="Aggregate Impact",1,Called/1000))</f>
        <v>2.6872177124023437</v>
      </c>
      <c r="Q20" s="41"/>
      <c r="S20" s="41"/>
      <c r="T20" s="41"/>
      <c r="U20" s="41"/>
      <c r="V20" s="41"/>
      <c r="W20" s="41"/>
    </row>
    <row r="21" spans="3:23" ht="16.5" x14ac:dyDescent="0.2">
      <c r="C21" s="5"/>
      <c r="D21" s="5"/>
      <c r="E21" s="37">
        <v>14</v>
      </c>
      <c r="F21" s="51">
        <f>IF(Called=0,"n/a",DGET(data,"Ref_hr14",_xlnm.Criteria)/IF(Result_type="Aggregate Impact",1,Called/1000))</f>
        <v>169.57569885253906</v>
      </c>
      <c r="G21" s="51">
        <f t="shared" si="0"/>
        <v>160.87716102600098</v>
      </c>
      <c r="H21" s="51">
        <f>IF(Called=0,"n/a",DGET(data,"Pctile50_hr14",_xlnm.Criteria)/IF(Result_type="Aggregate Impact",1,Called/1000))</f>
        <v>8.6985378265380859</v>
      </c>
      <c r="I21" s="51">
        <f>IF(Called=0,"n/a",DGET(data,"Temp_hr14",_xlnm.Criteria))</f>
        <v>95.147605895996094</v>
      </c>
      <c r="J21" s="51">
        <f>IF(Called=0,"n/a",DGET(data,"Pctile10_hr14",_xlnm.Criteria)/IF(Result_type="Aggregate Impact",1,Called/1000))</f>
        <v>5.3506588935852051</v>
      </c>
      <c r="K21" s="51">
        <f>IF(Called=0,"n/a",DGET(data,"Pctile30_hr14",_xlnm.Criteria)/IF(Result_type="Aggregate Impact",1,Called/1000))</f>
        <v>7.3286128044128418</v>
      </c>
      <c r="L21" s="51">
        <f t="shared" si="1"/>
        <v>8.6985378265380859</v>
      </c>
      <c r="M21" s="51">
        <f>IF(Called=0,"n/a",DGET(data,"Pctile70_hr14",_xlnm.Criteria)/IF(Result_type="Aggregate Impact",1,Called/1000))</f>
        <v>10.068462371826172</v>
      </c>
      <c r="N21" s="51">
        <f>IF(Called=0,"n/a",DGET(data,"Pctile90_hr14",_xlnm.Criteria)/IF(Result_type="Aggregate Impact",1,Called/1000))</f>
        <v>12.046417236328125</v>
      </c>
      <c r="Q21" s="41"/>
      <c r="S21" s="41"/>
      <c r="T21" s="41"/>
      <c r="U21" s="41"/>
      <c r="V21" s="41"/>
      <c r="W21" s="41"/>
    </row>
    <row r="22" spans="3:23" ht="16.5" x14ac:dyDescent="0.2">
      <c r="C22" s="5"/>
      <c r="D22" s="5"/>
      <c r="E22" s="37">
        <v>15</v>
      </c>
      <c r="F22" s="51">
        <f>IF(Called=0,"n/a",DGET(data,"Ref_hr15",_xlnm.Criteria)/IF(Result_type="Aggregate Impact",1,Called/1000))</f>
        <v>172.23916625976562</v>
      </c>
      <c r="G22" s="51">
        <f t="shared" si="0"/>
        <v>122.74617385864258</v>
      </c>
      <c r="H22" s="51">
        <f>IF(Called=0,"n/a",DGET(data,"Pctile50_hr15",_xlnm.Criteria)/IF(Result_type="Aggregate Impact",1,Called/1000))</f>
        <v>49.492992401123047</v>
      </c>
      <c r="I22" s="51">
        <f>IF(Called=0,"n/a",DGET(data,"Temp_hr15",_xlnm.Criteria))</f>
        <v>96.06500244140625</v>
      </c>
      <c r="J22" s="51">
        <f>IF(Called=0,"n/a",DGET(data,"Pctile10_hr15",_xlnm.Criteria)/IF(Result_type="Aggregate Impact",1,Called/1000))</f>
        <v>46.107948303222656</v>
      </c>
      <c r="K22" s="51">
        <f>IF(Called=0,"n/a",DGET(data,"Pctile30_hr15",_xlnm.Criteria)/IF(Result_type="Aggregate Impact",1,Called/1000))</f>
        <v>48.107860565185547</v>
      </c>
      <c r="L22" s="51">
        <f t="shared" si="1"/>
        <v>49.492992401123047</v>
      </c>
      <c r="M22" s="51">
        <f>IF(Called=0,"n/a",DGET(data,"Pctile70_hr15",_xlnm.Criteria)/IF(Result_type="Aggregate Impact",1,Called/1000))</f>
        <v>50.878124237060547</v>
      </c>
      <c r="N22" s="51">
        <f>IF(Called=0,"n/a",DGET(data,"Pctile90_hr15",_xlnm.Criteria)/IF(Result_type="Aggregate Impact",1,Called/1000))</f>
        <v>52.878036499023438</v>
      </c>
      <c r="Q22" s="41"/>
      <c r="S22" s="41"/>
      <c r="T22" s="41"/>
      <c r="U22" s="41"/>
      <c r="V22" s="41"/>
      <c r="W22" s="41"/>
    </row>
    <row r="23" spans="3:23" ht="16.5" x14ac:dyDescent="0.2">
      <c r="C23" s="5"/>
      <c r="D23" s="5"/>
      <c r="E23" s="37">
        <v>16</v>
      </c>
      <c r="F23" s="51">
        <f>IF(Called=0,"n/a",DGET(data,"Ref_hr16",_xlnm.Criteria)/IF(Result_type="Aggregate Impact",1,Called/1000))</f>
        <v>171.15577697753906</v>
      </c>
      <c r="G23" s="51">
        <f t="shared" si="0"/>
        <v>129.02260971069336</v>
      </c>
      <c r="H23" s="51">
        <f>IF(Called=0,"n/a",DGET(data,"Pctile50_hr16",_xlnm.Criteria)/IF(Result_type="Aggregate Impact",1,Called/1000))</f>
        <v>42.133167266845703</v>
      </c>
      <c r="I23" s="51">
        <f>IF(Called=0,"n/a",DGET(data,"Temp_hr16",_xlnm.Criteria))</f>
        <v>95.225028991699219</v>
      </c>
      <c r="J23" s="51">
        <f>IF(Called=0,"n/a",DGET(data,"Pctile10_hr16",_xlnm.Criteria)/IF(Result_type="Aggregate Impact",1,Called/1000))</f>
        <v>38.630123138427734</v>
      </c>
      <c r="K23" s="51">
        <f>IF(Called=0,"n/a",DGET(data,"Pctile30_hr16",_xlnm.Criteria)/IF(Result_type="Aggregate Impact",1,Called/1000))</f>
        <v>40.699748992919922</v>
      </c>
      <c r="L23" s="51">
        <f t="shared" si="1"/>
        <v>42.133167266845703</v>
      </c>
      <c r="M23" s="51">
        <f>IF(Called=0,"n/a",DGET(data,"Pctile70_hr16",_xlnm.Criteria)/IF(Result_type="Aggregate Impact",1,Called/1000))</f>
        <v>43.566585540771484</v>
      </c>
      <c r="N23" s="51">
        <f>IF(Called=0,"n/a",DGET(data,"Pctile90_hr16",_xlnm.Criteria)/IF(Result_type="Aggregate Impact",1,Called/1000))</f>
        <v>45.636211395263672</v>
      </c>
      <c r="Q23" s="41"/>
      <c r="S23" s="41"/>
      <c r="T23" s="41"/>
      <c r="U23" s="41"/>
      <c r="V23" s="41"/>
      <c r="W23" s="41"/>
    </row>
    <row r="24" spans="3:23" ht="16.5" x14ac:dyDescent="0.2">
      <c r="C24" s="5"/>
      <c r="D24" s="5"/>
      <c r="E24" s="37">
        <v>17</v>
      </c>
      <c r="F24" s="51">
        <f>IF(Called=0,"n/a",DGET(data,"Ref_hr17",_xlnm.Criteria)/IF(Result_type="Aggregate Impact",1,Called/1000))</f>
        <v>174.74777221679687</v>
      </c>
      <c r="G24" s="51">
        <f t="shared" si="0"/>
        <v>133.43905258178711</v>
      </c>
      <c r="H24" s="51">
        <f>IF(Called=0,"n/a",DGET(data,"Pctile50_hr17",_xlnm.Criteria)/IF(Result_type="Aggregate Impact",1,Called/1000))</f>
        <v>41.308719635009766</v>
      </c>
      <c r="I24" s="51">
        <f>IF(Called=0,"n/a",DGET(data,"Temp_hr17",_xlnm.Criteria))</f>
        <v>93.180435180664063</v>
      </c>
      <c r="J24" s="51">
        <f>IF(Called=0,"n/a",DGET(data,"Pctile10_hr17",_xlnm.Criteria)/IF(Result_type="Aggregate Impact",1,Called/1000))</f>
        <v>37.817958831787109</v>
      </c>
      <c r="K24" s="51">
        <f>IF(Called=0,"n/a",DGET(data,"Pctile30_hr17",_xlnm.Criteria)/IF(Result_type="Aggregate Impact",1,Called/1000))</f>
        <v>39.880329132080078</v>
      </c>
      <c r="L24" s="51">
        <f t="shared" si="1"/>
        <v>41.308719635009766</v>
      </c>
      <c r="M24" s="51">
        <f>IF(Called=0,"n/a",DGET(data,"Pctile70_hr17",_xlnm.Criteria)/IF(Result_type="Aggregate Impact",1,Called/1000))</f>
        <v>42.737110137939453</v>
      </c>
      <c r="N24" s="51">
        <f>IF(Called=0,"n/a",DGET(data,"Pctile90_hr17",_xlnm.Criteria)/IF(Result_type="Aggregate Impact",1,Called/1000))</f>
        <v>44.799480438232422</v>
      </c>
      <c r="Q24" s="41"/>
      <c r="S24" s="41"/>
      <c r="T24" s="41"/>
      <c r="U24" s="41"/>
      <c r="V24" s="41"/>
      <c r="W24" s="41"/>
    </row>
    <row r="25" spans="3:23" ht="16.5" x14ac:dyDescent="0.2">
      <c r="C25" s="5"/>
      <c r="D25" s="5"/>
      <c r="E25" s="37">
        <v>18</v>
      </c>
      <c r="F25" s="51">
        <f>IF(Called=0,"n/a",DGET(data,"Ref_hr18",_xlnm.Criteria)/IF(Result_type="Aggregate Impact",1,Called/1000))</f>
        <v>177.86334228515625</v>
      </c>
      <c r="G25" s="51">
        <f t="shared" si="0"/>
        <v>138.03329849243164</v>
      </c>
      <c r="H25" s="51">
        <f>IF(Called=0,"n/a",DGET(data,"Pctile50_hr18",_xlnm.Criteria)/IF(Result_type="Aggregate Impact",1,Called/1000))</f>
        <v>39.830043792724609</v>
      </c>
      <c r="I25" s="51">
        <f>IF(Called=0,"n/a",DGET(data,"Temp_hr18",_xlnm.Criteria))</f>
        <v>91.502830505371094</v>
      </c>
      <c r="J25" s="51">
        <f>IF(Called=0,"n/a",DGET(data,"Pctile10_hr18",_xlnm.Criteria)/IF(Result_type="Aggregate Impact",1,Called/1000))</f>
        <v>36.406436920166016</v>
      </c>
      <c r="K25" s="51">
        <f>IF(Called=0,"n/a",DGET(data,"Pctile30_hr18",_xlnm.Criteria)/IF(Result_type="Aggregate Impact",1,Called/1000))</f>
        <v>38.429130554199219</v>
      </c>
      <c r="L25" s="51">
        <f t="shared" si="1"/>
        <v>39.830043792724609</v>
      </c>
      <c r="M25" s="51">
        <f>IF(Called=0,"n/a",DGET(data,"Pctile70_hr18",_xlnm.Criteria)/IF(Result_type="Aggregate Impact",1,Called/1000))</f>
        <v>41.23095703125</v>
      </c>
      <c r="N25" s="51">
        <f>IF(Called=0,"n/a",DGET(data,"Pctile90_hr18",_xlnm.Criteria)/IF(Result_type="Aggregate Impact",1,Called/1000))</f>
        <v>43.253650665283203</v>
      </c>
      <c r="Q25" s="41"/>
      <c r="S25" s="41"/>
      <c r="T25" s="41"/>
      <c r="U25" s="41"/>
      <c r="V25" s="41"/>
      <c r="W25" s="41"/>
    </row>
    <row r="26" spans="3:23" ht="16.5" x14ac:dyDescent="0.2">
      <c r="C26" s="5"/>
      <c r="D26" s="5"/>
      <c r="E26" s="37">
        <v>19</v>
      </c>
      <c r="F26" s="51">
        <f>IF(Called=0,"n/a",DGET(data,"Ref_hr19",_xlnm.Criteria)/IF(Result_type="Aggregate Impact",1,Called/1000))</f>
        <v>179.80955505371094</v>
      </c>
      <c r="G26" s="51">
        <f t="shared" si="0"/>
        <v>175.44691610336304</v>
      </c>
      <c r="H26" s="51">
        <f>IF(Called=0,"n/a",DGET(data,"Pctile50_hr19",_xlnm.Criteria)/IF(Result_type="Aggregate Impact",1,Called/1000))</f>
        <v>4.3626389503479004</v>
      </c>
      <c r="I26" s="51">
        <f>IF(Called=0,"n/a",DGET(data,"Temp_hr19",_xlnm.Criteria))</f>
        <v>88.5782470703125</v>
      </c>
      <c r="J26" s="51">
        <f>IF(Called=0,"n/a",DGET(data,"Pctile10_hr19",_xlnm.Criteria)/IF(Result_type="Aggregate Impact",1,Called/1000))</f>
        <v>1.0374965667724609</v>
      </c>
      <c r="K26" s="51">
        <f>IF(Called=0,"n/a",DGET(data,"Pctile30_hr19",_xlnm.Criteria)/IF(Result_type="Aggregate Impact",1,Called/1000))</f>
        <v>3.0020177364349365</v>
      </c>
      <c r="L26" s="51">
        <f t="shared" si="1"/>
        <v>4.3626389503479004</v>
      </c>
      <c r="M26" s="51">
        <f>IF(Called=0,"n/a",DGET(data,"Pctile70_hr19",_xlnm.Criteria)/IF(Result_type="Aggregate Impact",1,Called/1000))</f>
        <v>5.7232604026794434</v>
      </c>
      <c r="N26" s="51">
        <f>IF(Called=0,"n/a",DGET(data,"Pctile90_hr19",_xlnm.Criteria)/IF(Result_type="Aggregate Impact",1,Called/1000))</f>
        <v>7.6877813339233398</v>
      </c>
      <c r="Q26" s="41"/>
      <c r="S26" s="41"/>
      <c r="T26" s="41"/>
      <c r="U26" s="41"/>
      <c r="V26" s="41"/>
      <c r="W26" s="41"/>
    </row>
    <row r="27" spans="3:23" ht="16.5" x14ac:dyDescent="0.2">
      <c r="C27" s="5"/>
      <c r="D27" s="5"/>
      <c r="E27" s="37">
        <v>20</v>
      </c>
      <c r="F27" s="51">
        <f>IF(Called=0,"n/a",DGET(data,"Ref_hr20",_xlnm.Criteria)/IF(Result_type="Aggregate Impact",1,Called/1000))</f>
        <v>185.398193359375</v>
      </c>
      <c r="G27" s="51">
        <f t="shared" si="0"/>
        <v>183.52628791332245</v>
      </c>
      <c r="H27" s="51">
        <f>IF(Called=0,"n/a",DGET(data,"Pctile50_hr20",_xlnm.Criteria)/IF(Result_type="Aggregate Impact",1,Called/1000))</f>
        <v>1.8719054460525513</v>
      </c>
      <c r="I27" s="51">
        <f>IF(Called=0,"n/a",DGET(data,"Temp_hr20",_xlnm.Criteria))</f>
        <v>84.061653137207031</v>
      </c>
      <c r="J27" s="51">
        <f>IF(Called=0,"n/a",DGET(data,"Pctile10_hr20",_xlnm.Criteria)/IF(Result_type="Aggregate Impact",1,Called/1000))</f>
        <v>-1.3919023275375366</v>
      </c>
      <c r="K27" s="51">
        <f>IF(Called=0,"n/a",DGET(data,"Pctile30_hr20",_xlnm.Criteria)/IF(Result_type="Aggregate Impact",1,Called/1000))</f>
        <v>0.53638178110122681</v>
      </c>
      <c r="L27" s="51">
        <f t="shared" si="1"/>
        <v>1.8719054460525513</v>
      </c>
      <c r="M27" s="51">
        <f>IF(Called=0,"n/a",DGET(data,"Pctile70_hr20",_xlnm.Criteria)/IF(Result_type="Aggregate Impact",1,Called/1000))</f>
        <v>3.2074291706085205</v>
      </c>
      <c r="N27" s="51">
        <f>IF(Called=0,"n/a",DGET(data,"Pctile90_hr20",_xlnm.Criteria)/IF(Result_type="Aggregate Impact",1,Called/1000))</f>
        <v>5.1357131004333496</v>
      </c>
      <c r="Q27" s="41"/>
      <c r="S27" s="41"/>
      <c r="T27" s="41"/>
      <c r="U27" s="41"/>
      <c r="V27" s="41"/>
      <c r="W27" s="41"/>
    </row>
    <row r="28" spans="3:23" ht="16.5" x14ac:dyDescent="0.2">
      <c r="C28" s="5"/>
      <c r="D28" s="5"/>
      <c r="E28" s="37">
        <v>21</v>
      </c>
      <c r="F28" s="51">
        <f>IF(Called=0,"n/a",DGET(data,"Ref_hr21",_xlnm.Criteria)/IF(Result_type="Aggregate Impact",1,Called/1000))</f>
        <v>179.42387390136719</v>
      </c>
      <c r="G28" s="51">
        <f t="shared" si="0"/>
        <v>179.46347907185555</v>
      </c>
      <c r="H28" s="51">
        <f>IF(Called=0,"n/a",DGET(data,"Pctile50_hr21",_xlnm.Criteria)/IF(Result_type="Aggregate Impact",1,Called/1000))</f>
        <v>-3.9605170488357544E-2</v>
      </c>
      <c r="I28" s="51">
        <f>IF(Called=0,"n/a",DGET(data,"Temp_hr21",_xlnm.Criteria))</f>
        <v>80.610260009765625</v>
      </c>
      <c r="J28" s="51">
        <f>IF(Called=0,"n/a",DGET(data,"Pctile10_hr21",_xlnm.Criteria)/IF(Result_type="Aggregate Impact",1,Called/1000))</f>
        <v>-3.3091297149658203</v>
      </c>
      <c r="K28" s="51">
        <f>IF(Called=0,"n/a",DGET(data,"Pctile30_hr21",_xlnm.Criteria)/IF(Result_type="Aggregate Impact",1,Called/1000))</f>
        <v>-1.3774681091308594</v>
      </c>
      <c r="L28" s="51">
        <f t="shared" si="1"/>
        <v>-3.9605170488357544E-2</v>
      </c>
      <c r="M28" s="51">
        <f>IF(Called=0,"n/a",DGET(data,"Pctile70_hr21",_xlnm.Criteria)/IF(Result_type="Aggregate Impact",1,Called/1000))</f>
        <v>1.2982577085494995</v>
      </c>
      <c r="N28" s="51">
        <f>IF(Called=0,"n/a",DGET(data,"Pctile90_hr21",_xlnm.Criteria)/IF(Result_type="Aggregate Impact",1,Called/1000))</f>
        <v>3.22991943359375</v>
      </c>
      <c r="Q28" s="41"/>
      <c r="S28" s="41"/>
      <c r="T28" s="41"/>
      <c r="U28" s="41"/>
      <c r="V28" s="41"/>
      <c r="W28" s="41"/>
    </row>
    <row r="29" spans="3:23" ht="16.5" x14ac:dyDescent="0.2">
      <c r="C29" s="5"/>
      <c r="D29" s="5"/>
      <c r="E29" s="37">
        <v>22</v>
      </c>
      <c r="F29" s="51">
        <f>IF(Called=0,"n/a",DGET(data,"Ref_hr22",_xlnm.Criteria)/IF(Result_type="Aggregate Impact",1,Called/1000))</f>
        <v>158.99949645996094</v>
      </c>
      <c r="G29" s="51">
        <f t="shared" si="0"/>
        <v>159.64507681131363</v>
      </c>
      <c r="H29" s="51">
        <f>IF(Called=0,"n/a",DGET(data,"Pctile50_hr22",_xlnm.Criteria)/IF(Result_type="Aggregate Impact",1,Called/1000))</f>
        <v>-0.64558035135269165</v>
      </c>
      <c r="I29" s="51">
        <f>IF(Called=0,"n/a",DGET(data,"Temp_hr22",_xlnm.Criteria))</f>
        <v>77.798263549804688</v>
      </c>
      <c r="J29" s="51">
        <f>IF(Called=0,"n/a",DGET(data,"Pctile10_hr22",_xlnm.Criteria)/IF(Result_type="Aggregate Impact",1,Called/1000))</f>
        <v>-3.9360420703887939</v>
      </c>
      <c r="K29" s="51">
        <f>IF(Called=0,"n/a",DGET(data,"Pctile30_hr22",_xlnm.Criteria)/IF(Result_type="Aggregate Impact",1,Called/1000))</f>
        <v>-1.9920105934143066</v>
      </c>
      <c r="L29" s="51">
        <f t="shared" si="1"/>
        <v>-0.64558035135269165</v>
      </c>
      <c r="M29" s="51">
        <f>IF(Called=0,"n/a",DGET(data,"Pctile70_hr22",_xlnm.Criteria)/IF(Result_type="Aggregate Impact",1,Called/1000))</f>
        <v>0.70084989070892334</v>
      </c>
      <c r="N29" s="51">
        <f>IF(Called=0,"n/a",DGET(data,"Pctile90_hr22",_xlnm.Criteria)/IF(Result_type="Aggregate Impact",1,Called/1000))</f>
        <v>2.6448812484741211</v>
      </c>
      <c r="Q29" s="41"/>
    </row>
    <row r="30" spans="3:23" ht="16.5" x14ac:dyDescent="0.2">
      <c r="C30" s="5"/>
      <c r="D30" s="5"/>
      <c r="E30" s="37">
        <v>23</v>
      </c>
      <c r="F30" s="51">
        <f>IF(Called=0,"n/a",DGET(data,"Ref_hr23",_xlnm.Criteria)/IF(Result_type="Aggregate Impact",1,Called/1000))</f>
        <v>136.10134887695312</v>
      </c>
      <c r="G30" s="51">
        <f t="shared" si="0"/>
        <v>137.69663071632385</v>
      </c>
      <c r="H30" s="51">
        <f>IF(Called=0,"n/a",DGET(data,"Pctile50_hr23",_xlnm.Criteria)/IF(Result_type="Aggregate Impact",1,Called/1000))</f>
        <v>-1.5952818393707275</v>
      </c>
      <c r="I30" s="51">
        <f>IF(Called=0,"n/a",DGET(data,"Temp_hr23",_xlnm.Criteria))</f>
        <v>75.579544067382813</v>
      </c>
      <c r="J30" s="51">
        <f>IF(Called=0,"n/a",DGET(data,"Pctile10_hr23",_xlnm.Criteria)/IF(Result_type="Aggregate Impact",1,Called/1000))</f>
        <v>-4.8109512329101562</v>
      </c>
      <c r="K30" s="51">
        <f>IF(Called=0,"n/a",DGET(data,"Pctile30_hr23",_xlnm.Criteria)/IF(Result_type="Aggregate Impact",1,Called/1000))</f>
        <v>-2.9111075401306152</v>
      </c>
      <c r="L30" s="51">
        <f t="shared" si="1"/>
        <v>-1.5952818393707275</v>
      </c>
      <c r="M30" s="51">
        <f>IF(Called=0,"n/a",DGET(data,"Pctile70_hr23",_xlnm.Criteria)/IF(Result_type="Aggregate Impact",1,Called/1000))</f>
        <v>-0.27945601940155029</v>
      </c>
      <c r="N30" s="51">
        <f>IF(Called=0,"n/a",DGET(data,"Pctile90_hr23",_xlnm.Criteria)/IF(Result_type="Aggregate Impact",1,Called/1000))</f>
        <v>1.6203874349594116</v>
      </c>
      <c r="Q30" s="41"/>
    </row>
    <row r="31" spans="3:23" ht="16.5" x14ac:dyDescent="0.2">
      <c r="C31" s="5"/>
      <c r="D31" s="5"/>
      <c r="E31" s="37">
        <v>24</v>
      </c>
      <c r="F31" s="51">
        <f>IF(Called=0,"n/a",DGET(data,"Ref_hr24",_xlnm.Criteria)/IF(Result_type="Aggregate Impact",1,Called/1000))</f>
        <v>120.38900756835937</v>
      </c>
      <c r="G31" s="51">
        <f t="shared" si="0"/>
        <v>122.80348539352417</v>
      </c>
      <c r="H31" s="51">
        <f>IF(Called=0,"n/a",DGET(data,"Pctile50_hr24",_xlnm.Criteria)/IF(Result_type="Aggregate Impact",1,Called/1000))</f>
        <v>-2.4144778251647949</v>
      </c>
      <c r="I31" s="51">
        <f>IF(Called=0,"n/a",DGET(data,"Temp_hr24",_xlnm.Criteria))</f>
        <v>74.756118774414063</v>
      </c>
      <c r="J31" s="51">
        <f>IF(Called=0,"n/a",DGET(data,"Pctile10_hr24",_xlnm.Criteria)/IF(Result_type="Aggregate Impact",1,Called/1000))</f>
        <v>-5.5756525993347168</v>
      </c>
      <c r="K31" s="51">
        <f>IF(Called=0,"n/a",DGET(data,"Pctile30_hr24",_xlnm.Criteria)/IF(Result_type="Aggregate Impact",1,Called/1000))</f>
        <v>-3.7080049514770508</v>
      </c>
      <c r="L31" s="51">
        <f t="shared" si="1"/>
        <v>-2.4144778251647949</v>
      </c>
      <c r="M31" s="51">
        <f>IF(Called=0,"n/a",DGET(data,"Pctile70_hr24",_xlnm.Criteria)/IF(Result_type="Aggregate Impact",1,Called/1000))</f>
        <v>-1.1209506988525391</v>
      </c>
      <c r="N31" s="51">
        <f>IF(Called=0,"n/a",DGET(data,"Pctile90_hr24",_xlnm.Criteria)/IF(Result_type="Aggregate Impact",1,Called/1000))</f>
        <v>0.74669712781906128</v>
      </c>
      <c r="Q31" s="41"/>
    </row>
    <row r="32" spans="3:23" ht="49.5" customHeight="1" thickBot="1" x14ac:dyDescent="0.35">
      <c r="C32" s="5"/>
      <c r="D32" s="5"/>
      <c r="E32" s="17"/>
      <c r="F32" s="71" t="str">
        <f>"Estimated Reference
Energy Use
("&amp;IF(Result_type="Aggregate Impact","MWh)","kWh)")</f>
        <v>Estimated Reference
Energy Use
(MWh)</v>
      </c>
      <c r="G32" s="71" t="str">
        <f>"Observed 
Event Day Energy Use ("&amp;IF(Result_type="Aggregate Impact","MWh)","kWh)")</f>
        <v>Observed 
Event Day Energy Use (MWh)</v>
      </c>
      <c r="H32" s="71" t="str">
        <f>"Estimated 
Change in Energy Use ("&amp;IF(Result_type="Aggregate Impact","MWh)","kWh)")</f>
        <v>Estimated 
Change in Energy Use (MWh)</v>
      </c>
      <c r="I32" s="73" t="s">
        <v>190</v>
      </c>
      <c r="J32" s="55" t="str">
        <f>"Uncertainty Adjusted Impact ("&amp;IF(Result_type="Aggregate Impact","MWh/hour) - Percentiles","kWh/hour) - Percentiles")</f>
        <v>Uncertainty Adjusted Impact (MWh/hour) - Percentiles</v>
      </c>
      <c r="K32" s="55"/>
      <c r="L32" s="55"/>
      <c r="M32" s="55"/>
      <c r="N32" s="56"/>
    </row>
    <row r="33" spans="3:17" ht="16.5" x14ac:dyDescent="0.3">
      <c r="C33" s="5"/>
      <c r="D33" s="5"/>
      <c r="E33" s="61" t="s">
        <v>211</v>
      </c>
      <c r="F33" s="72"/>
      <c r="G33" s="72"/>
      <c r="H33" s="72"/>
      <c r="I33" s="72"/>
      <c r="J33" s="18" t="s">
        <v>11</v>
      </c>
      <c r="K33" s="18" t="s">
        <v>12</v>
      </c>
      <c r="L33" s="18" t="s">
        <v>13</v>
      </c>
      <c r="M33" s="18" t="s">
        <v>14</v>
      </c>
      <c r="N33" s="19" t="s">
        <v>15</v>
      </c>
    </row>
    <row r="34" spans="3:17" ht="17.25" thickBot="1" x14ac:dyDescent="0.35">
      <c r="C34" s="5"/>
      <c r="D34" s="5"/>
      <c r="E34" s="20" t="s">
        <v>16</v>
      </c>
      <c r="F34" s="21">
        <f>IF(Called=0,"n/a",SUM(F8:F31))</f>
        <v>3489.9768981933594</v>
      </c>
      <c r="G34" s="22">
        <f>IF(Called=0,"n/a",SUM(G8:G31))</f>
        <v>3310.9779713600874</v>
      </c>
      <c r="H34" s="22">
        <f>IF(Called=0,"n/a",SUM(H8:H31))</f>
        <v>178.99892683327198</v>
      </c>
      <c r="I34" s="23">
        <f>IF(Called=0,"n/a",SUM(Lookups!J20:J43))</f>
        <v>209.15948486328125</v>
      </c>
      <c r="J34" s="23" t="s">
        <v>17</v>
      </c>
      <c r="K34" s="23" t="s">
        <v>17</v>
      </c>
      <c r="L34" s="23" t="s">
        <v>17</v>
      </c>
      <c r="M34" s="23" t="s">
        <v>17</v>
      </c>
      <c r="N34" s="66" t="s">
        <v>17</v>
      </c>
    </row>
    <row r="35" spans="3:17" ht="17.25" thickBot="1" x14ac:dyDescent="0.35">
      <c r="E35" s="20" t="s">
        <v>212</v>
      </c>
      <c r="F35" s="68">
        <f>IF(Called=0,"n/a",Lookups!L44)</f>
        <v>174.00151443481445</v>
      </c>
      <c r="G35" s="23">
        <f>IF(Called=0,"n/a",Lookups!M44)</f>
        <v>130.81028366088867</v>
      </c>
      <c r="H35" s="23">
        <f>IF(Called=0,"n/a",Lookups!N44)</f>
        <v>43.191230773925781</v>
      </c>
      <c r="I35" s="23">
        <f>IF(Called=0,"n/a",Lookups!O44)</f>
        <v>75.973297119140625</v>
      </c>
      <c r="J35" s="23">
        <f>IF(Called=0,"n/a",Lookups!Z22)</f>
        <v>42.527234173871911</v>
      </c>
      <c r="K35" s="23">
        <f>IF(Called=0,"n/a",Lookups!AA22)</f>
        <v>42.919528747361852</v>
      </c>
      <c r="L35" s="23">
        <f>IF(Called=0,"n/a",Lookups!AB22)</f>
        <v>43.191230773925781</v>
      </c>
      <c r="M35" s="23">
        <f>IF(Called=0,"n/a",Lookups!AC22)</f>
        <v>43.46293280048971</v>
      </c>
      <c r="N35" s="66">
        <f>IF(Called=0,"n/a",Lookups!AD22)</f>
        <v>43.855227373979652</v>
      </c>
      <c r="Q35" s="49"/>
    </row>
    <row r="36" spans="3:17" ht="15" x14ac:dyDescent="0.25">
      <c r="E36" s="24"/>
      <c r="F36" s="41"/>
      <c r="G36" s="69" t="s">
        <v>248</v>
      </c>
      <c r="H36" s="70">
        <f>IF(Called=0,"n/a",H35/F35)</f>
        <v>0.24822330376961377</v>
      </c>
      <c r="I36" s="41"/>
    </row>
    <row r="37" spans="3:17" x14ac:dyDescent="0.2">
      <c r="E37" s="24"/>
      <c r="F37" s="41"/>
      <c r="G37" s="41"/>
      <c r="H37" s="41"/>
      <c r="I37" s="42"/>
    </row>
    <row r="38" spans="3:17" x14ac:dyDescent="0.2">
      <c r="E38" s="24"/>
      <c r="F38" s="41"/>
      <c r="G38" s="41"/>
      <c r="H38" s="41"/>
      <c r="I38" s="41"/>
    </row>
    <row r="40" spans="3:17" x14ac:dyDescent="0.2">
      <c r="E40" s="24"/>
      <c r="F40" s="41"/>
      <c r="G40" s="41"/>
      <c r="H40" s="41"/>
      <c r="I40" s="42"/>
    </row>
  </sheetData>
  <mergeCells count="9">
    <mergeCell ref="F32:F33"/>
    <mergeCell ref="G32:G33"/>
    <mergeCell ref="H32:H33"/>
    <mergeCell ref="I32:I33"/>
    <mergeCell ref="E5:E7"/>
    <mergeCell ref="F5:F7"/>
    <mergeCell ref="G5:G7"/>
    <mergeCell ref="H5:H7"/>
    <mergeCell ref="I5:I7"/>
  </mergeCells>
  <phoneticPr fontId="2" type="noConversion"/>
  <conditionalFormatting sqref="A1:B1">
    <cfRule type="expression" dxfId="5" priority="45" stopIfTrue="1">
      <formula>$A$1&lt;&gt;""</formula>
    </cfRule>
  </conditionalFormatting>
  <conditionalFormatting sqref="C2">
    <cfRule type="expression" dxfId="4" priority="37">
      <formula>size_lca_flag=1</formula>
    </cfRule>
  </conditionalFormatting>
  <conditionalFormatting sqref="B7">
    <cfRule type="expression" dxfId="3" priority="27">
      <formula>Two_way_tab_flag=1</formula>
    </cfRule>
    <cfRule type="expression" dxfId="2" priority="28">
      <formula>size_lca_flag=1</formula>
    </cfRule>
  </conditionalFormatting>
  <conditionalFormatting sqref="C1">
    <cfRule type="expression" dxfId="1" priority="26" stopIfTrue="1">
      <formula>$A$1&lt;&gt;""</formula>
    </cfRule>
  </conditionalFormatting>
  <dataValidations count="4">
    <dataValidation type="list" allowBlank="1" showInputMessage="1" showErrorMessage="1" sqref="B7">
      <formula1>lca_list</formula1>
    </dataValidation>
    <dataValidation type="list" allowBlank="1" showInputMessage="1" showErrorMessage="1" sqref="B5">
      <formula1>date_list</formula1>
    </dataValidation>
    <dataValidation type="list" allowBlank="1" showInputMessage="1" showErrorMessage="1" sqref="B4">
      <formula1>Result_type_list</formula1>
    </dataValidation>
    <dataValidation type="list" allowBlank="1" showInputMessage="1" showErrorMessage="1" sqref="B8">
      <formula1>notice_list</formula1>
    </dataValidation>
  </dataValidations>
  <pageMargins left="0.75" right="0.75" top="1" bottom="1" header="0.5" footer="0.5"/>
  <pageSetup scale="54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8" id="{6677BB90-E7F0-4BA8-BD1A-FBF638B0022C}">
            <xm:f>AND($E8&gt;=VLOOKUP(date&amp;notice,Lookups!$A$20:$E$45,4,FALSE),$E8&lt;=VLOOKUP(date&amp;notice,Lookups!$A$20:$E$45,5,FALSE))</xm:f>
            <x14:dxf>
              <fill>
                <patternFill>
                  <bgColor theme="3" tint="0.79998168889431442"/>
                </patternFill>
              </fill>
            </x14:dxf>
          </x14:cfRule>
          <xm:sqref>E8:N31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topLeftCell="M1" workbookViewId="0">
      <selection activeCell="Z22" sqref="Z22:AD22"/>
    </sheetView>
  </sheetViews>
  <sheetFormatPr defaultRowHeight="12.75" x14ac:dyDescent="0.2"/>
  <cols>
    <col min="1" max="1" width="16.85546875" customWidth="1"/>
    <col min="2" max="2" width="9.7109375" bestFit="1" customWidth="1"/>
    <col min="3" max="3" width="24.140625" bestFit="1" customWidth="1"/>
    <col min="4" max="4" width="17.140625" bestFit="1" customWidth="1"/>
    <col min="5" max="5" width="9.5703125" bestFit="1" customWidth="1"/>
    <col min="6" max="6" width="8.85546875" bestFit="1" customWidth="1"/>
    <col min="7" max="7" width="5.5703125" bestFit="1" customWidth="1"/>
    <col min="8" max="8" width="10.85546875" bestFit="1" customWidth="1"/>
    <col min="10" max="10" width="25.5703125" bestFit="1" customWidth="1"/>
    <col min="11" max="11" width="16" bestFit="1" customWidth="1"/>
    <col min="12" max="12" width="31" bestFit="1" customWidth="1"/>
    <col min="13" max="13" width="15.5703125" bestFit="1" customWidth="1"/>
    <col min="14" max="14" width="16.42578125" bestFit="1" customWidth="1"/>
    <col min="15" max="15" width="31.42578125" bestFit="1" customWidth="1"/>
    <col min="16" max="16" width="10.140625" bestFit="1" customWidth="1"/>
    <col min="17" max="17" width="13.42578125" bestFit="1" customWidth="1"/>
  </cols>
  <sheetData>
    <row r="1" spans="1:26" x14ac:dyDescent="0.2">
      <c r="G1" s="1"/>
      <c r="H1" s="1"/>
      <c r="X1" t="s">
        <v>196</v>
      </c>
      <c r="Y1" s="43" t="s">
        <v>195</v>
      </c>
      <c r="Z1" t="s">
        <v>245</v>
      </c>
    </row>
    <row r="2" spans="1:26" x14ac:dyDescent="0.2">
      <c r="X2" s="67">
        <v>41676</v>
      </c>
      <c r="Y2" t="s">
        <v>225</v>
      </c>
      <c r="Z2">
        <v>0.40414909999999998</v>
      </c>
    </row>
    <row r="3" spans="1:26" ht="15" x14ac:dyDescent="0.25">
      <c r="A3" s="26"/>
      <c r="B3" s="25" t="s">
        <v>201</v>
      </c>
      <c r="C3" s="25" t="s">
        <v>0</v>
      </c>
      <c r="D3" s="25" t="s">
        <v>192</v>
      </c>
      <c r="J3" s="2" t="s">
        <v>202</v>
      </c>
      <c r="K3" s="11" t="s">
        <v>201</v>
      </c>
      <c r="L3" s="11" t="s">
        <v>0</v>
      </c>
      <c r="M3" s="11" t="s">
        <v>192</v>
      </c>
      <c r="O3" s="11"/>
      <c r="Q3" s="11"/>
      <c r="X3" s="67">
        <v>41772</v>
      </c>
      <c r="Y3" t="s">
        <v>225</v>
      </c>
      <c r="Z3">
        <v>0.36064089999999999</v>
      </c>
    </row>
    <row r="4" spans="1:26" x14ac:dyDescent="0.2">
      <c r="A4" s="28"/>
      <c r="B4" t="str">
        <f>date</f>
        <v>Typical Event Day</v>
      </c>
      <c r="C4" s="5" t="str">
        <f>lca</f>
        <v>All</v>
      </c>
      <c r="D4" s="5" t="str">
        <f>notice</f>
        <v>DO 1-4 Hour</v>
      </c>
      <c r="J4" t="s">
        <v>3</v>
      </c>
      <c r="K4" s="59">
        <v>41676</v>
      </c>
      <c r="L4" t="s">
        <v>1</v>
      </c>
      <c r="M4" t="s">
        <v>225</v>
      </c>
      <c r="Q4" s="43"/>
      <c r="X4" s="67">
        <v>41773</v>
      </c>
      <c r="Y4" t="s">
        <v>225</v>
      </c>
      <c r="Z4">
        <v>0.51237540000000004</v>
      </c>
    </row>
    <row r="5" spans="1:26" ht="13.5" x14ac:dyDescent="0.25">
      <c r="A5" s="26"/>
      <c r="B5" s="26"/>
      <c r="C5" s="26"/>
      <c r="D5" s="26"/>
      <c r="E5" s="26"/>
      <c r="F5" s="26"/>
      <c r="G5" s="27"/>
      <c r="H5" s="27"/>
      <c r="J5" s="1" t="s">
        <v>203</v>
      </c>
      <c r="K5" s="59">
        <v>41772</v>
      </c>
      <c r="L5" t="s">
        <v>227</v>
      </c>
      <c r="M5" t="s">
        <v>226</v>
      </c>
      <c r="Q5" s="43"/>
      <c r="X5" s="67">
        <v>41774</v>
      </c>
      <c r="Y5" t="s">
        <v>225</v>
      </c>
      <c r="Z5">
        <v>0.40207189999999998</v>
      </c>
    </row>
    <row r="6" spans="1:26" x14ac:dyDescent="0.2">
      <c r="A6" s="28"/>
      <c r="B6" s="28"/>
      <c r="C6" s="29"/>
      <c r="D6" s="30"/>
      <c r="E6" s="28"/>
      <c r="F6" s="30"/>
      <c r="G6" s="30"/>
      <c r="H6" s="30"/>
      <c r="K6" s="59">
        <v>41773</v>
      </c>
      <c r="L6" t="s">
        <v>228</v>
      </c>
      <c r="Q6" s="43"/>
      <c r="X6" s="67">
        <v>41820</v>
      </c>
      <c r="Y6" t="s">
        <v>225</v>
      </c>
      <c r="Z6">
        <v>0.47745090000000001</v>
      </c>
    </row>
    <row r="7" spans="1:26" ht="13.5" x14ac:dyDescent="0.25">
      <c r="A7" s="26"/>
      <c r="C7" s="43"/>
      <c r="K7" s="59">
        <v>41774</v>
      </c>
      <c r="L7" t="s">
        <v>229</v>
      </c>
      <c r="X7" s="67">
        <v>41676</v>
      </c>
      <c r="Y7" t="s">
        <v>226</v>
      </c>
      <c r="Z7">
        <v>0.53586350000000005</v>
      </c>
    </row>
    <row r="8" spans="1:26" ht="13.5" x14ac:dyDescent="0.25">
      <c r="A8" s="27"/>
      <c r="C8" t="s">
        <v>207</v>
      </c>
      <c r="D8">
        <f>DGET(data,"_pass",_xlnm.Criteria)</f>
        <v>1</v>
      </c>
      <c r="K8" s="59">
        <v>41788</v>
      </c>
      <c r="M8" s="34"/>
      <c r="X8" s="67">
        <v>41788</v>
      </c>
      <c r="Y8" t="s">
        <v>226</v>
      </c>
      <c r="Z8">
        <v>0.63529119999999994</v>
      </c>
    </row>
    <row r="9" spans="1:26" x14ac:dyDescent="0.2">
      <c r="A9" s="30"/>
      <c r="K9" s="59">
        <v>41816</v>
      </c>
      <c r="M9" s="34"/>
      <c r="X9" s="67">
        <v>41816</v>
      </c>
      <c r="Y9" t="s">
        <v>226</v>
      </c>
      <c r="Z9">
        <v>0.43393789999999999</v>
      </c>
    </row>
    <row r="10" spans="1:26" ht="13.5" x14ac:dyDescent="0.25">
      <c r="A10" s="27"/>
      <c r="K10" s="59">
        <v>41820</v>
      </c>
      <c r="M10" s="34"/>
      <c r="X10" s="67">
        <v>41845</v>
      </c>
      <c r="Y10" t="s">
        <v>226</v>
      </c>
      <c r="Z10">
        <v>0.66349020000000003</v>
      </c>
    </row>
    <row r="11" spans="1:26" x14ac:dyDescent="0.2">
      <c r="A11" s="30"/>
      <c r="C11" s="43"/>
      <c r="K11" s="59">
        <v>41845</v>
      </c>
      <c r="M11" s="34"/>
      <c r="X11" s="67">
        <v>41862</v>
      </c>
      <c r="Y11" t="s">
        <v>226</v>
      </c>
      <c r="Z11">
        <v>0.76427599999999996</v>
      </c>
    </row>
    <row r="12" spans="1:26" ht="13.5" x14ac:dyDescent="0.25">
      <c r="A12" s="27"/>
      <c r="K12" s="59">
        <v>41862</v>
      </c>
      <c r="X12" s="67">
        <v>41879</v>
      </c>
      <c r="Y12" t="s">
        <v>226</v>
      </c>
      <c r="Z12">
        <v>1.365048</v>
      </c>
    </row>
    <row r="13" spans="1:26" ht="13.5" x14ac:dyDescent="0.25">
      <c r="G13" s="65"/>
      <c r="H13" s="43"/>
      <c r="I13" s="43"/>
      <c r="J13" s="43"/>
      <c r="K13" s="59">
        <v>41879</v>
      </c>
      <c r="X13" s="67">
        <v>41893</v>
      </c>
      <c r="Y13" t="s">
        <v>226</v>
      </c>
      <c r="Z13">
        <v>0.58939410000000003</v>
      </c>
    </row>
    <row r="14" spans="1:26" x14ac:dyDescent="0.2">
      <c r="G14" s="30"/>
      <c r="K14" s="59">
        <v>41893</v>
      </c>
      <c r="X14" s="67">
        <v>41898</v>
      </c>
      <c r="Y14" t="s">
        <v>226</v>
      </c>
      <c r="Z14">
        <v>0.80080209999999996</v>
      </c>
    </row>
    <row r="15" spans="1:26" ht="13.5" x14ac:dyDescent="0.25">
      <c r="G15" s="27"/>
      <c r="K15" s="59">
        <v>41898</v>
      </c>
      <c r="X15" s="43" t="s">
        <v>2</v>
      </c>
      <c r="Y15" t="s">
        <v>225</v>
      </c>
      <c r="Z15">
        <v>0.51811929999999995</v>
      </c>
    </row>
    <row r="16" spans="1:26" x14ac:dyDescent="0.2">
      <c r="G16" s="30"/>
      <c r="K16" t="s">
        <v>2</v>
      </c>
      <c r="X16" s="43" t="s">
        <v>2</v>
      </c>
      <c r="Y16" t="s">
        <v>226</v>
      </c>
      <c r="Z16">
        <v>0.99819250000000004</v>
      </c>
    </row>
    <row r="17" spans="1:30" ht="13.5" x14ac:dyDescent="0.25">
      <c r="G17" s="27"/>
      <c r="Q17" s="34"/>
    </row>
    <row r="18" spans="1:30" ht="13.5" x14ac:dyDescent="0.25">
      <c r="G18" s="27"/>
      <c r="Q18" s="34"/>
      <c r="Y18" s="43" t="s">
        <v>246</v>
      </c>
      <c r="Z18">
        <f>DGET(X1:Z16,"_se_evt",AB18:AC19)/IF(Result_type="Aggregate Impact",1,Called/1000)</f>
        <v>0.51811929999999995</v>
      </c>
      <c r="AB18" s="43" t="s">
        <v>196</v>
      </c>
      <c r="AC18" s="43" t="s">
        <v>195</v>
      </c>
    </row>
    <row r="19" spans="1:30" x14ac:dyDescent="0.2">
      <c r="B19" t="s">
        <v>196</v>
      </c>
      <c r="C19" t="s">
        <v>208</v>
      </c>
      <c r="D19" t="s">
        <v>209</v>
      </c>
      <c r="E19" t="s">
        <v>210</v>
      </c>
      <c r="G19" s="30"/>
      <c r="J19" s="48" t="s">
        <v>191</v>
      </c>
      <c r="K19" s="43" t="s">
        <v>222</v>
      </c>
      <c r="L19" s="43" t="s">
        <v>214</v>
      </c>
      <c r="M19" s="43" t="s">
        <v>215</v>
      </c>
      <c r="N19" s="43" t="s">
        <v>216</v>
      </c>
      <c r="O19" s="43" t="s">
        <v>223</v>
      </c>
      <c r="P19" s="43" t="s">
        <v>217</v>
      </c>
      <c r="Q19" s="43" t="s">
        <v>218</v>
      </c>
      <c r="R19" s="43" t="s">
        <v>219</v>
      </c>
      <c r="S19" s="43" t="s">
        <v>220</v>
      </c>
      <c r="T19" s="43" t="s">
        <v>221</v>
      </c>
      <c r="U19" s="43" t="s">
        <v>224</v>
      </c>
      <c r="Y19" s="43" t="s">
        <v>247</v>
      </c>
      <c r="Z19">
        <f>IF(AND(lca="All"),1,0)</f>
        <v>1</v>
      </c>
      <c r="AB19" s="59" t="str">
        <f>date</f>
        <v>Typical Event Day</v>
      </c>
      <c r="AC19" t="str">
        <f>notice</f>
        <v>DO 1-4 Hour</v>
      </c>
    </row>
    <row r="20" spans="1:30" ht="13.5" x14ac:dyDescent="0.25">
      <c r="A20" t="str">
        <f>B20&amp;C20</f>
        <v>41676DO 1-4 Hour</v>
      </c>
      <c r="B20" s="59">
        <v>41676</v>
      </c>
      <c r="C20" t="s">
        <v>225</v>
      </c>
      <c r="D20">
        <v>18</v>
      </c>
      <c r="E20">
        <v>21</v>
      </c>
      <c r="F20" t="str">
        <f t="shared" ref="F20:F45" si="0">IF(D20="","","Hours Ending "&amp;D20&amp;" to "&amp;E20)</f>
        <v>Hours Ending 18 to 21</v>
      </c>
      <c r="G20" s="27"/>
      <c r="I20">
        <v>1</v>
      </c>
      <c r="J20" s="49">
        <f>MAX(0,Table!I8-75)</f>
        <v>0</v>
      </c>
      <c r="K20" t="str">
        <f t="shared" ref="K20:K43" si="1">IF(AND(I20&gt;=VLOOKUP(date&amp;notice,$A$20:$D$45,4,FALSE),I20&lt;=VLOOKUP(date&amp;notice,$A$20:$E$45,5,FALSE)),1,"")</f>
        <v/>
      </c>
      <c r="L20" s="6" t="str">
        <f>IF($K20=1,Table!F8,"")</f>
        <v/>
      </c>
      <c r="M20" s="6" t="str">
        <f>IF($K20=1,Table!G8,"")</f>
        <v/>
      </c>
      <c r="N20" s="6" t="str">
        <f>IF($K20=1,Table!H8,"")</f>
        <v/>
      </c>
      <c r="O20" s="6" t="str">
        <f t="shared" ref="O20:O43" si="2">IF($K20=1,J20,"")</f>
        <v/>
      </c>
      <c r="P20" s="6" t="str">
        <f>IF($K20=1,Table!J8,"")</f>
        <v/>
      </c>
      <c r="Q20" s="6" t="str">
        <f>IF($K20=1,Table!K8,"")</f>
        <v/>
      </c>
      <c r="R20" s="6" t="str">
        <f>IF($K20=1,Table!L8,"")</f>
        <v/>
      </c>
      <c r="S20" s="6" t="str">
        <f>IF($K20=1,Table!M8,"")</f>
        <v/>
      </c>
      <c r="T20" s="6" t="str">
        <f>IF($K20=1,Table!N8,"")</f>
        <v/>
      </c>
      <c r="U20" s="41" t="str">
        <f>IF(K20=1,((Table!K8-Table!L8)/NORMSINV(0.3))^2,"")</f>
        <v/>
      </c>
    </row>
    <row r="21" spans="1:30" x14ac:dyDescent="0.2">
      <c r="A21" t="str">
        <f t="shared" ref="A21:A35" si="3">B21&amp;C21</f>
        <v>41772DO 1-4 Hour</v>
      </c>
      <c r="B21" s="59">
        <v>41772</v>
      </c>
      <c r="C21" t="s">
        <v>225</v>
      </c>
      <c r="D21">
        <v>18</v>
      </c>
      <c r="E21">
        <v>18</v>
      </c>
      <c r="F21" t="str">
        <f t="shared" si="0"/>
        <v>Hours Ending 18 to 18</v>
      </c>
      <c r="G21" s="30"/>
      <c r="I21">
        <f>I20+1</f>
        <v>2</v>
      </c>
      <c r="J21" s="49">
        <f>MAX(0,Table!I9-75)</f>
        <v>0</v>
      </c>
      <c r="K21" t="str">
        <f t="shared" si="1"/>
        <v/>
      </c>
      <c r="L21" s="6" t="str">
        <f>IF($K21=1,Table!F9,"")</f>
        <v/>
      </c>
      <c r="M21" s="6" t="str">
        <f>IF($K21=1,Table!G9,"")</f>
        <v/>
      </c>
      <c r="N21" s="6" t="str">
        <f>IF($K21=1,Table!H9,"")</f>
        <v/>
      </c>
      <c r="O21" s="6" t="str">
        <f t="shared" si="2"/>
        <v/>
      </c>
      <c r="P21" s="6" t="str">
        <f>IF($K21=1,Table!J9,"")</f>
        <v/>
      </c>
      <c r="Q21" s="6" t="str">
        <f>IF($K21=1,Table!K9,"")</f>
        <v/>
      </c>
      <c r="R21" s="6" t="str">
        <f>IF($K21=1,Table!L9,"")</f>
        <v/>
      </c>
      <c r="S21" s="6" t="str">
        <f>IF($K21=1,Table!M9,"")</f>
        <v/>
      </c>
      <c r="T21" s="6" t="str">
        <f>IF($K21=1,Table!N9,"")</f>
        <v/>
      </c>
      <c r="U21" s="41" t="str">
        <f>IF(K21=1,((Table!K9-Table!L9)/NORMSINV(0.3))^2,"")</f>
        <v/>
      </c>
      <c r="Z21">
        <v>0.1</v>
      </c>
      <c r="AA21">
        <v>0.3</v>
      </c>
      <c r="AB21">
        <v>0.5</v>
      </c>
      <c r="AC21">
        <v>0.7</v>
      </c>
      <c r="AD21">
        <v>0.9</v>
      </c>
    </row>
    <row r="22" spans="1:30" ht="13.5" x14ac:dyDescent="0.25">
      <c r="A22" t="str">
        <f t="shared" si="3"/>
        <v>41773DO 1-4 Hour</v>
      </c>
      <c r="B22" s="59">
        <v>41773</v>
      </c>
      <c r="C22" t="s">
        <v>225</v>
      </c>
      <c r="D22">
        <v>15</v>
      </c>
      <c r="E22">
        <v>18</v>
      </c>
      <c r="F22" t="str">
        <f t="shared" si="0"/>
        <v>Hours Ending 15 to 18</v>
      </c>
      <c r="G22" s="27"/>
      <c r="I22">
        <f t="shared" ref="I22:I43" si="4">I21+1</f>
        <v>3</v>
      </c>
      <c r="J22" s="49">
        <f>MAX(0,Table!I10-75)</f>
        <v>0</v>
      </c>
      <c r="K22" t="str">
        <f t="shared" si="1"/>
        <v/>
      </c>
      <c r="L22" s="6" t="str">
        <f>IF($K22=1,Table!F10,"")</f>
        <v/>
      </c>
      <c r="M22" s="6" t="str">
        <f>IF($K22=1,Table!G10,"")</f>
        <v/>
      </c>
      <c r="N22" s="6" t="str">
        <f>IF($K22=1,Table!H10,"")</f>
        <v/>
      </c>
      <c r="O22" s="6" t="str">
        <f t="shared" si="2"/>
        <v/>
      </c>
      <c r="P22" s="6" t="str">
        <f>IF($K22=1,Table!J10,"")</f>
        <v/>
      </c>
      <c r="Q22" s="6" t="str">
        <f>IF($K22=1,Table!K10,"")</f>
        <v/>
      </c>
      <c r="R22" s="6" t="str">
        <f>IF($K22=1,Table!L10,"")</f>
        <v/>
      </c>
      <c r="S22" s="6" t="str">
        <f>IF($K22=1,Table!M10,"")</f>
        <v/>
      </c>
      <c r="T22" s="6" t="str">
        <f>IF($K22=1,Table!N10,"")</f>
        <v/>
      </c>
      <c r="U22" s="41" t="str">
        <f>IF(K22=1,((Table!K10-Table!L10)/NORMSINV(0.3))^2,"")</f>
        <v/>
      </c>
      <c r="Z22" s="49">
        <f>IF($Z$19=0,"n/a",NORMINV(Z21,Table!$H$35,$Z$18))</f>
        <v>42.527234173871911</v>
      </c>
      <c r="AA22" s="49">
        <f>IF($Z$19=0,"n/a",NORMINV(AA21,Table!$H$35,$Z$18))</f>
        <v>42.919528747361852</v>
      </c>
      <c r="AB22" s="49">
        <f>IF($Z$19=0,"n/a",NORMINV(AB21,Table!$H$35,$Z$18))</f>
        <v>43.191230773925781</v>
      </c>
      <c r="AC22" s="49">
        <f>IF($Z$19=0,"n/a",NORMINV(AC21,Table!$H$35,$Z$18))</f>
        <v>43.46293280048971</v>
      </c>
      <c r="AD22" s="49">
        <f>IF($Z$19=0,"n/a",NORMINV(AD21,Table!$H$35,$Z$18))</f>
        <v>43.855227373979652</v>
      </c>
    </row>
    <row r="23" spans="1:30" x14ac:dyDescent="0.2">
      <c r="A23" t="str">
        <f t="shared" si="3"/>
        <v>41774DO 1-4 Hour</v>
      </c>
      <c r="B23" s="59">
        <v>41774</v>
      </c>
      <c r="C23" t="s">
        <v>225</v>
      </c>
      <c r="D23">
        <v>14</v>
      </c>
      <c r="E23">
        <v>18</v>
      </c>
      <c r="F23" t="str">
        <f t="shared" si="0"/>
        <v>Hours Ending 14 to 18</v>
      </c>
      <c r="G23" s="30"/>
      <c r="I23">
        <f t="shared" si="4"/>
        <v>4</v>
      </c>
      <c r="J23" s="49">
        <f>MAX(0,Table!I11-75)</f>
        <v>0</v>
      </c>
      <c r="K23" t="str">
        <f t="shared" si="1"/>
        <v/>
      </c>
      <c r="L23" s="6" t="str">
        <f>IF($K23=1,Table!F11,"")</f>
        <v/>
      </c>
      <c r="M23" s="6" t="str">
        <f>IF($K23=1,Table!G11,"")</f>
        <v/>
      </c>
      <c r="N23" s="6" t="str">
        <f>IF($K23=1,Table!H11,"")</f>
        <v/>
      </c>
      <c r="O23" s="6" t="str">
        <f t="shared" si="2"/>
        <v/>
      </c>
      <c r="P23" s="6" t="str">
        <f>IF($K23=1,Table!J11,"")</f>
        <v/>
      </c>
      <c r="Q23" s="6" t="str">
        <f>IF($K23=1,Table!K11,"")</f>
        <v/>
      </c>
      <c r="R23" s="6" t="str">
        <f>IF($K23=1,Table!L11,"")</f>
        <v/>
      </c>
      <c r="S23" s="6" t="str">
        <f>IF($K23=1,Table!M11,"")</f>
        <v/>
      </c>
      <c r="T23" s="6" t="str">
        <f>IF($K23=1,Table!N11,"")</f>
        <v/>
      </c>
      <c r="U23" s="41" t="str">
        <f>IF(K23=1,((Table!K11-Table!L11)/NORMSINV(0.3))^2,"")</f>
        <v/>
      </c>
    </row>
    <row r="24" spans="1:30" ht="13.5" x14ac:dyDescent="0.25">
      <c r="A24" t="str">
        <f t="shared" si="3"/>
        <v>41788DO 1-4 Hour</v>
      </c>
      <c r="B24" s="59">
        <v>41788</v>
      </c>
      <c r="C24" t="s">
        <v>225</v>
      </c>
      <c r="F24" t="str">
        <f t="shared" si="0"/>
        <v/>
      </c>
      <c r="G24" s="27"/>
      <c r="I24">
        <f t="shared" si="4"/>
        <v>5</v>
      </c>
      <c r="J24" s="49">
        <f>MAX(0,Table!I12-75)</f>
        <v>0</v>
      </c>
      <c r="K24" t="str">
        <f t="shared" si="1"/>
        <v/>
      </c>
      <c r="L24" s="6" t="str">
        <f>IF($K24=1,Table!F12,"")</f>
        <v/>
      </c>
      <c r="M24" s="6" t="str">
        <f>IF($K24=1,Table!G12,"")</f>
        <v/>
      </c>
      <c r="N24" s="6" t="str">
        <f>IF($K24=1,Table!H12,"")</f>
        <v/>
      </c>
      <c r="O24" s="6" t="str">
        <f t="shared" si="2"/>
        <v/>
      </c>
      <c r="P24" s="6" t="str">
        <f>IF($K24=1,Table!J12,"")</f>
        <v/>
      </c>
      <c r="Q24" s="6" t="str">
        <f>IF($K24=1,Table!K12,"")</f>
        <v/>
      </c>
      <c r="R24" s="6" t="str">
        <f>IF($K24=1,Table!L12,"")</f>
        <v/>
      </c>
      <c r="S24" s="6" t="str">
        <f>IF($K24=1,Table!M12,"")</f>
        <v/>
      </c>
      <c r="T24" s="6" t="str">
        <f>IF($K24=1,Table!N12,"")</f>
        <v/>
      </c>
      <c r="U24" s="41" t="str">
        <f>IF(K24=1,((Table!K12-Table!L12)/NORMSINV(0.3))^2,"")</f>
        <v/>
      </c>
    </row>
    <row r="25" spans="1:30" x14ac:dyDescent="0.2">
      <c r="A25" t="str">
        <f t="shared" si="3"/>
        <v>41816DO 1-4 Hour</v>
      </c>
      <c r="B25" s="59">
        <v>41816</v>
      </c>
      <c r="C25" t="s">
        <v>225</v>
      </c>
      <c r="F25" t="str">
        <f t="shared" si="0"/>
        <v/>
      </c>
      <c r="G25" s="30"/>
      <c r="H25" s="30"/>
      <c r="I25">
        <f t="shared" si="4"/>
        <v>6</v>
      </c>
      <c r="J25" s="49">
        <f>MAX(0,Table!I13-75)</f>
        <v>0</v>
      </c>
      <c r="K25" t="str">
        <f t="shared" si="1"/>
        <v/>
      </c>
      <c r="L25" s="6" t="str">
        <f>IF($K25=1,Table!F13,"")</f>
        <v/>
      </c>
      <c r="M25" s="6" t="str">
        <f>IF($K25=1,Table!G13,"")</f>
        <v/>
      </c>
      <c r="N25" s="6" t="str">
        <f>IF($K25=1,Table!H13,"")</f>
        <v/>
      </c>
      <c r="O25" s="6" t="str">
        <f t="shared" si="2"/>
        <v/>
      </c>
      <c r="P25" s="6" t="str">
        <f>IF($K25=1,Table!J13,"")</f>
        <v/>
      </c>
      <c r="Q25" s="6" t="str">
        <f>IF($K25=1,Table!K13,"")</f>
        <v/>
      </c>
      <c r="R25" s="6" t="str">
        <f>IF($K25=1,Table!L13,"")</f>
        <v/>
      </c>
      <c r="S25" s="6" t="str">
        <f>IF($K25=1,Table!M13,"")</f>
        <v/>
      </c>
      <c r="T25" s="6" t="str">
        <f>IF($K25=1,Table!N13,"")</f>
        <v/>
      </c>
      <c r="U25" s="41" t="str">
        <f>IF(K25=1,((Table!K13-Table!L13)/NORMSINV(0.3))^2,"")</f>
        <v/>
      </c>
    </row>
    <row r="26" spans="1:30" ht="13.5" x14ac:dyDescent="0.25">
      <c r="A26" t="str">
        <f t="shared" si="3"/>
        <v>41820DO 1-4 Hour</v>
      </c>
      <c r="B26" s="59">
        <v>41820</v>
      </c>
      <c r="C26" t="s">
        <v>225</v>
      </c>
      <c r="D26">
        <v>14</v>
      </c>
      <c r="E26">
        <v>15</v>
      </c>
      <c r="F26" t="str">
        <f t="shared" si="0"/>
        <v>Hours Ending 14 to 15</v>
      </c>
      <c r="G26" s="27"/>
      <c r="H26" s="27"/>
      <c r="I26">
        <f t="shared" si="4"/>
        <v>7</v>
      </c>
      <c r="J26" s="49">
        <f>MAX(0,Table!I14-75)</f>
        <v>0.668182373046875</v>
      </c>
      <c r="K26" t="str">
        <f t="shared" si="1"/>
        <v/>
      </c>
      <c r="L26" s="6" t="str">
        <f>IF($K26=1,Table!F14,"")</f>
        <v/>
      </c>
      <c r="M26" s="6" t="str">
        <f>IF($K26=1,Table!G14,"")</f>
        <v/>
      </c>
      <c r="N26" s="6" t="str">
        <f>IF($K26=1,Table!H14,"")</f>
        <v/>
      </c>
      <c r="O26" s="6" t="str">
        <f t="shared" si="2"/>
        <v/>
      </c>
      <c r="P26" s="6" t="str">
        <f>IF($K26=1,Table!J14,"")</f>
        <v/>
      </c>
      <c r="Q26" s="6" t="str">
        <f>IF($K26=1,Table!K14,"")</f>
        <v/>
      </c>
      <c r="R26" s="6" t="str">
        <f>IF($K26=1,Table!L14,"")</f>
        <v/>
      </c>
      <c r="S26" s="6" t="str">
        <f>IF($K26=1,Table!M14,"")</f>
        <v/>
      </c>
      <c r="T26" s="6" t="str">
        <f>IF($K26=1,Table!N14,"")</f>
        <v/>
      </c>
      <c r="U26" s="41" t="str">
        <f>IF(K26=1,((Table!K14-Table!L14)/NORMSINV(0.3))^2,"")</f>
        <v/>
      </c>
    </row>
    <row r="27" spans="1:30" x14ac:dyDescent="0.2">
      <c r="A27" t="str">
        <f t="shared" si="3"/>
        <v>41845DO 1-4 Hour</v>
      </c>
      <c r="B27" s="59">
        <v>41845</v>
      </c>
      <c r="C27" t="s">
        <v>225</v>
      </c>
      <c r="F27" t="str">
        <f t="shared" si="0"/>
        <v/>
      </c>
      <c r="G27" s="30"/>
      <c r="H27" s="30"/>
      <c r="I27">
        <f t="shared" si="4"/>
        <v>8</v>
      </c>
      <c r="J27" s="49">
        <f>MAX(0,Table!I15-75)</f>
        <v>5.5261077880859375</v>
      </c>
      <c r="K27" t="str">
        <f t="shared" si="1"/>
        <v/>
      </c>
      <c r="L27" s="6" t="str">
        <f>IF($K27=1,Table!F15,"")</f>
        <v/>
      </c>
      <c r="M27" s="6" t="str">
        <f>IF($K27=1,Table!G15,"")</f>
        <v/>
      </c>
      <c r="N27" s="6" t="str">
        <f>IF($K27=1,Table!H15,"")</f>
        <v/>
      </c>
      <c r="O27" s="6" t="str">
        <f t="shared" si="2"/>
        <v/>
      </c>
      <c r="P27" s="6" t="str">
        <f>IF($K27=1,Table!J15,"")</f>
        <v/>
      </c>
      <c r="Q27" s="6" t="str">
        <f>IF($K27=1,Table!K15,"")</f>
        <v/>
      </c>
      <c r="R27" s="6" t="str">
        <f>IF($K27=1,Table!L15,"")</f>
        <v/>
      </c>
      <c r="S27" s="6" t="str">
        <f>IF($K27=1,Table!M15,"")</f>
        <v/>
      </c>
      <c r="T27" s="6" t="str">
        <f>IF($K27=1,Table!N15,"")</f>
        <v/>
      </c>
      <c r="U27" s="41" t="str">
        <f>IF(K27=1,((Table!K15-Table!L15)/NORMSINV(0.3))^2,"")</f>
        <v/>
      </c>
    </row>
    <row r="28" spans="1:30" x14ac:dyDescent="0.2">
      <c r="A28" t="str">
        <f t="shared" si="3"/>
        <v>41862DO 1-4 Hour</v>
      </c>
      <c r="B28" s="59">
        <v>41862</v>
      </c>
      <c r="C28" t="s">
        <v>225</v>
      </c>
      <c r="F28" t="str">
        <f t="shared" si="0"/>
        <v/>
      </c>
      <c r="G28" s="6"/>
      <c r="H28" s="6"/>
      <c r="I28">
        <f t="shared" si="4"/>
        <v>9</v>
      </c>
      <c r="J28" s="49">
        <f>MAX(0,Table!I16-75)</f>
        <v>9.5865631103515625</v>
      </c>
      <c r="K28" t="str">
        <f t="shared" si="1"/>
        <v/>
      </c>
      <c r="L28" s="6" t="str">
        <f>IF($K28=1,Table!F16,"")</f>
        <v/>
      </c>
      <c r="M28" s="6" t="str">
        <f>IF($K28=1,Table!G16,"")</f>
        <v/>
      </c>
      <c r="N28" s="6" t="str">
        <f>IF($K28=1,Table!H16,"")</f>
        <v/>
      </c>
      <c r="O28" s="6" t="str">
        <f t="shared" si="2"/>
        <v/>
      </c>
      <c r="P28" s="6" t="str">
        <f>IF($K28=1,Table!J16,"")</f>
        <v/>
      </c>
      <c r="Q28" s="6" t="str">
        <f>IF($K28=1,Table!K16,"")</f>
        <v/>
      </c>
      <c r="R28" s="6" t="str">
        <f>IF($K28=1,Table!L16,"")</f>
        <v/>
      </c>
      <c r="S28" s="6" t="str">
        <f>IF($K28=1,Table!M16,"")</f>
        <v/>
      </c>
      <c r="T28" s="6" t="str">
        <f>IF($K28=1,Table!N16,"")</f>
        <v/>
      </c>
      <c r="U28" s="41" t="str">
        <f>IF(K28=1,((Table!K16-Table!L16)/NORMSINV(0.3))^2,"")</f>
        <v/>
      </c>
    </row>
    <row r="29" spans="1:30" x14ac:dyDescent="0.2">
      <c r="A29" t="str">
        <f t="shared" si="3"/>
        <v>41879DO 1-4 Hour</v>
      </c>
      <c r="B29" s="59">
        <v>41879</v>
      </c>
      <c r="C29" t="s">
        <v>225</v>
      </c>
      <c r="F29" t="str">
        <f t="shared" si="0"/>
        <v/>
      </c>
      <c r="G29" s="6"/>
      <c r="H29" s="6"/>
      <c r="I29">
        <f t="shared" si="4"/>
        <v>10</v>
      </c>
      <c r="J29" s="49">
        <f>MAX(0,Table!I17-75)</f>
        <v>13.099273681640625</v>
      </c>
      <c r="K29" t="str">
        <f t="shared" si="1"/>
        <v/>
      </c>
      <c r="L29" s="6" t="str">
        <f>IF($K29=1,Table!F17,"")</f>
        <v/>
      </c>
      <c r="M29" s="6" t="str">
        <f>IF($K29=1,Table!G17,"")</f>
        <v/>
      </c>
      <c r="N29" s="6" t="str">
        <f>IF($K29=1,Table!H17,"")</f>
        <v/>
      </c>
      <c r="O29" s="6" t="str">
        <f t="shared" si="2"/>
        <v/>
      </c>
      <c r="P29" s="6" t="str">
        <f>IF($K29=1,Table!J17,"")</f>
        <v/>
      </c>
      <c r="Q29" s="6" t="str">
        <f>IF($K29=1,Table!K17,"")</f>
        <v/>
      </c>
      <c r="R29" s="6" t="str">
        <f>IF($K29=1,Table!L17,"")</f>
        <v/>
      </c>
      <c r="S29" s="6" t="str">
        <f>IF($K29=1,Table!M17,"")</f>
        <v/>
      </c>
      <c r="T29" s="6" t="str">
        <f>IF($K29=1,Table!N17,"")</f>
        <v/>
      </c>
      <c r="U29" s="41" t="str">
        <f>IF(K29=1,((Table!K17-Table!L17)/NORMSINV(0.3))^2,"")</f>
        <v/>
      </c>
    </row>
    <row r="30" spans="1:30" x14ac:dyDescent="0.2">
      <c r="A30" t="str">
        <f t="shared" si="3"/>
        <v>41893DO 1-4 Hour</v>
      </c>
      <c r="B30" s="59">
        <v>41893</v>
      </c>
      <c r="C30" t="s">
        <v>225</v>
      </c>
      <c r="F30" t="str">
        <f t="shared" si="0"/>
        <v/>
      </c>
      <c r="G30" s="6"/>
      <c r="H30" s="6"/>
      <c r="I30">
        <f t="shared" si="4"/>
        <v>11</v>
      </c>
      <c r="J30" s="49">
        <f>MAX(0,Table!I18-75)</f>
        <v>15.811485290527344</v>
      </c>
      <c r="K30" t="str">
        <f t="shared" si="1"/>
        <v/>
      </c>
      <c r="L30" s="6" t="str">
        <f>IF($K30=1,Table!F18,"")</f>
        <v/>
      </c>
      <c r="M30" s="6" t="str">
        <f>IF($K30=1,Table!G18,"")</f>
        <v/>
      </c>
      <c r="N30" s="6" t="str">
        <f>IF($K30=1,Table!H18,"")</f>
        <v/>
      </c>
      <c r="O30" s="6" t="str">
        <f t="shared" si="2"/>
        <v/>
      </c>
      <c r="P30" s="6" t="str">
        <f>IF($K30=1,Table!J18,"")</f>
        <v/>
      </c>
      <c r="Q30" s="6" t="str">
        <f>IF($K30=1,Table!K18,"")</f>
        <v/>
      </c>
      <c r="R30" s="6" t="str">
        <f>IF($K30=1,Table!L18,"")</f>
        <v/>
      </c>
      <c r="S30" s="6" t="str">
        <f>IF($K30=1,Table!M18,"")</f>
        <v/>
      </c>
      <c r="T30" s="6" t="str">
        <f>IF($K30=1,Table!N18,"")</f>
        <v/>
      </c>
      <c r="U30" s="41" t="str">
        <f>IF(K30=1,((Table!K18-Table!L18)/NORMSINV(0.3))^2,"")</f>
        <v/>
      </c>
    </row>
    <row r="31" spans="1:30" x14ac:dyDescent="0.2">
      <c r="A31" t="str">
        <f t="shared" si="3"/>
        <v>41898DO 1-4 Hour</v>
      </c>
      <c r="B31" s="59">
        <v>41898</v>
      </c>
      <c r="C31" t="s">
        <v>225</v>
      </c>
      <c r="F31" t="str">
        <f t="shared" si="0"/>
        <v/>
      </c>
      <c r="G31" s="6"/>
      <c r="H31" s="6"/>
      <c r="I31">
        <f t="shared" si="4"/>
        <v>12</v>
      </c>
      <c r="J31" s="49">
        <f>MAX(0,Table!I19-75)</f>
        <v>17.507888793945312</v>
      </c>
      <c r="K31" t="str">
        <f t="shared" si="1"/>
        <v/>
      </c>
      <c r="L31" s="6" t="str">
        <f>IF($K31=1,Table!F19,"")</f>
        <v/>
      </c>
      <c r="M31" s="6" t="str">
        <f>IF($K31=1,Table!G19,"")</f>
        <v/>
      </c>
      <c r="N31" s="6" t="str">
        <f>IF($K31=1,Table!H19,"")</f>
        <v/>
      </c>
      <c r="O31" s="6" t="str">
        <f t="shared" si="2"/>
        <v/>
      </c>
      <c r="P31" s="6" t="str">
        <f>IF($K31=1,Table!J19,"")</f>
        <v/>
      </c>
      <c r="Q31" s="6" t="str">
        <f>IF($K31=1,Table!K19,"")</f>
        <v/>
      </c>
      <c r="R31" s="6" t="str">
        <f>IF($K31=1,Table!L19,"")</f>
        <v/>
      </c>
      <c r="S31" s="6" t="str">
        <f>IF($K31=1,Table!M19,"")</f>
        <v/>
      </c>
      <c r="T31" s="6" t="str">
        <f>IF($K31=1,Table!N19,"")</f>
        <v/>
      </c>
      <c r="U31" s="41" t="str">
        <f>IF(K31=1,((Table!K19-Table!L19)/NORMSINV(0.3))^2,"")</f>
        <v/>
      </c>
    </row>
    <row r="32" spans="1:30" x14ac:dyDescent="0.2">
      <c r="A32" t="str">
        <f t="shared" si="3"/>
        <v>41676DO 1-6 Hour</v>
      </c>
      <c r="B32" s="59">
        <v>41676</v>
      </c>
      <c r="C32" t="s">
        <v>226</v>
      </c>
      <c r="D32">
        <v>12</v>
      </c>
      <c r="E32">
        <v>19</v>
      </c>
      <c r="F32" t="str">
        <f t="shared" si="0"/>
        <v>Hours Ending 12 to 19</v>
      </c>
      <c r="G32" s="6"/>
      <c r="H32" s="6"/>
      <c r="I32">
        <f t="shared" si="4"/>
        <v>13</v>
      </c>
      <c r="J32" s="49">
        <f>MAX(0,Table!I20-75)</f>
        <v>19.211112976074219</v>
      </c>
      <c r="K32" t="str">
        <f t="shared" si="1"/>
        <v/>
      </c>
      <c r="L32" s="6" t="str">
        <f>IF($K32=1,Table!F20,"")</f>
        <v/>
      </c>
      <c r="M32" s="6" t="str">
        <f>IF($K32=1,Table!G20,"")</f>
        <v/>
      </c>
      <c r="N32" s="6" t="str">
        <f>IF($K32=1,Table!H20,"")</f>
        <v/>
      </c>
      <c r="O32" s="6" t="str">
        <f t="shared" si="2"/>
        <v/>
      </c>
      <c r="P32" s="6" t="str">
        <f>IF($K32=1,Table!J20,"")</f>
        <v/>
      </c>
      <c r="Q32" s="6" t="str">
        <f>IF($K32=1,Table!K20,"")</f>
        <v/>
      </c>
      <c r="R32" s="6" t="str">
        <f>IF($K32=1,Table!L20,"")</f>
        <v/>
      </c>
      <c r="S32" s="6" t="str">
        <f>IF($K32=1,Table!M20,"")</f>
        <v/>
      </c>
      <c r="T32" s="6" t="str">
        <f>IF($K32=1,Table!N20,"")</f>
        <v/>
      </c>
      <c r="U32" s="41" t="str">
        <f>IF(K32=1,((Table!K20-Table!L20)/NORMSINV(0.3))^2,"")</f>
        <v/>
      </c>
    </row>
    <row r="33" spans="1:21" x14ac:dyDescent="0.2">
      <c r="A33" t="str">
        <f t="shared" si="3"/>
        <v>41772DO 1-6 Hour</v>
      </c>
      <c r="B33" s="59">
        <v>41772</v>
      </c>
      <c r="C33" t="s">
        <v>226</v>
      </c>
      <c r="F33" t="str">
        <f t="shared" si="0"/>
        <v/>
      </c>
      <c r="I33">
        <f t="shared" si="4"/>
        <v>14</v>
      </c>
      <c r="J33" s="49">
        <f>MAX(0,Table!I21-75)</f>
        <v>20.147605895996094</v>
      </c>
      <c r="K33" t="str">
        <f t="shared" si="1"/>
        <v/>
      </c>
      <c r="L33" s="6" t="str">
        <f>IF($K33=1,Table!F21,"")</f>
        <v/>
      </c>
      <c r="M33" s="6" t="str">
        <f>IF($K33=1,Table!G21,"")</f>
        <v/>
      </c>
      <c r="N33" s="6" t="str">
        <f>IF($K33=1,Table!H21,"")</f>
        <v/>
      </c>
      <c r="O33" s="6" t="str">
        <f t="shared" si="2"/>
        <v/>
      </c>
      <c r="P33" s="6" t="str">
        <f>IF($K33=1,Table!J21,"")</f>
        <v/>
      </c>
      <c r="Q33" s="6" t="str">
        <f>IF($K33=1,Table!K21,"")</f>
        <v/>
      </c>
      <c r="R33" s="6" t="str">
        <f>IF($K33=1,Table!L21,"")</f>
        <v/>
      </c>
      <c r="S33" s="6" t="str">
        <f>IF($K33=1,Table!M21,"")</f>
        <v/>
      </c>
      <c r="T33" s="6" t="str">
        <f>IF($K33=1,Table!N21,"")</f>
        <v/>
      </c>
      <c r="U33" s="41" t="str">
        <f>IF(K33=1,((Table!K21-Table!L21)/NORMSINV(0.3))^2,"")</f>
        <v/>
      </c>
    </row>
    <row r="34" spans="1:21" x14ac:dyDescent="0.2">
      <c r="A34" t="str">
        <f t="shared" si="3"/>
        <v>41773DO 1-6 Hour</v>
      </c>
      <c r="B34" s="59">
        <v>41773</v>
      </c>
      <c r="C34" t="s">
        <v>226</v>
      </c>
      <c r="F34" t="str">
        <f t="shared" si="0"/>
        <v/>
      </c>
      <c r="I34">
        <f t="shared" si="4"/>
        <v>15</v>
      </c>
      <c r="J34" s="49">
        <f>MAX(0,Table!I22-75)</f>
        <v>21.06500244140625</v>
      </c>
      <c r="K34">
        <f t="shared" si="1"/>
        <v>1</v>
      </c>
      <c r="L34" s="6">
        <f>IF($K34=1,Table!F22,"")</f>
        <v>172.23916625976562</v>
      </c>
      <c r="M34" s="6">
        <f>IF($K34=1,Table!G22,"")</f>
        <v>122.74617385864258</v>
      </c>
      <c r="N34" s="6">
        <f>IF($K34=1,Table!H22,"")</f>
        <v>49.492992401123047</v>
      </c>
      <c r="O34" s="6">
        <f t="shared" si="2"/>
        <v>21.06500244140625</v>
      </c>
      <c r="P34" s="6">
        <f>IF($K34=1,Table!J22,"")</f>
        <v>46.107948303222656</v>
      </c>
      <c r="Q34" s="6">
        <f>IF($K34=1,Table!K22,"")</f>
        <v>48.107860565185547</v>
      </c>
      <c r="R34" s="6">
        <f>IF($K34=1,Table!L22,"")</f>
        <v>49.492992401123047</v>
      </c>
      <c r="S34" s="6">
        <f>IF($K34=1,Table!M22,"")</f>
        <v>50.878124237060547</v>
      </c>
      <c r="T34" s="6">
        <f>IF($K34=1,Table!N22,"")</f>
        <v>52.878036499023438</v>
      </c>
      <c r="U34" s="41">
        <f>IF(K34=1,((Table!K22-Table!L22)/NORMSINV(0.3))^2,"")</f>
        <v>6.9767957223205403</v>
      </c>
    </row>
    <row r="35" spans="1:21" x14ac:dyDescent="0.2">
      <c r="A35" t="str">
        <f t="shared" si="3"/>
        <v>41774DO 1-6 Hour</v>
      </c>
      <c r="B35" s="59">
        <v>41774</v>
      </c>
      <c r="C35" t="s">
        <v>226</v>
      </c>
      <c r="F35" t="str">
        <f t="shared" si="0"/>
        <v/>
      </c>
      <c r="I35">
        <f t="shared" si="4"/>
        <v>16</v>
      </c>
      <c r="J35" s="49">
        <f>MAX(0,Table!I23-75)</f>
        <v>20.225028991699219</v>
      </c>
      <c r="K35">
        <f t="shared" si="1"/>
        <v>1</v>
      </c>
      <c r="L35" s="6">
        <f>IF($K35=1,Table!F23,"")</f>
        <v>171.15577697753906</v>
      </c>
      <c r="M35" s="6">
        <f>IF($K35=1,Table!G23,"")</f>
        <v>129.02260971069336</v>
      </c>
      <c r="N35" s="6">
        <f>IF($K35=1,Table!H23,"")</f>
        <v>42.133167266845703</v>
      </c>
      <c r="O35" s="6">
        <f t="shared" si="2"/>
        <v>20.225028991699219</v>
      </c>
      <c r="P35" s="6">
        <f>IF($K35=1,Table!J23,"")</f>
        <v>38.630123138427734</v>
      </c>
      <c r="Q35" s="6">
        <f>IF($K35=1,Table!K23,"")</f>
        <v>40.699748992919922</v>
      </c>
      <c r="R35" s="6">
        <f>IF($K35=1,Table!L23,"")</f>
        <v>42.133167266845703</v>
      </c>
      <c r="S35" s="6">
        <f>IF($K35=1,Table!M23,"")</f>
        <v>43.566585540771484</v>
      </c>
      <c r="T35" s="6">
        <f>IF($K35=1,Table!N23,"")</f>
        <v>45.636211395263672</v>
      </c>
      <c r="U35" s="41">
        <f>IF(K35=1,((Table!K23-Table!L23)/NORMSINV(0.3))^2,"")</f>
        <v>7.471703996302014</v>
      </c>
    </row>
    <row r="36" spans="1:21" x14ac:dyDescent="0.2">
      <c r="A36" t="str">
        <f>B36&amp;C36</f>
        <v>41788DO 1-6 Hour</v>
      </c>
      <c r="B36" s="59">
        <v>41788</v>
      </c>
      <c r="C36" t="s">
        <v>226</v>
      </c>
      <c r="D36">
        <v>15</v>
      </c>
      <c r="E36">
        <v>16</v>
      </c>
      <c r="F36" t="str">
        <f t="shared" si="0"/>
        <v>Hours Ending 15 to 16</v>
      </c>
      <c r="I36">
        <f t="shared" si="4"/>
        <v>17</v>
      </c>
      <c r="J36" s="49">
        <f>MAX(0,Table!I24-75)</f>
        <v>18.180435180664063</v>
      </c>
      <c r="K36">
        <f t="shared" si="1"/>
        <v>1</v>
      </c>
      <c r="L36" s="6">
        <f>IF($K36=1,Table!F24,"")</f>
        <v>174.74777221679687</v>
      </c>
      <c r="M36" s="6">
        <f>IF($K36=1,Table!G24,"")</f>
        <v>133.43905258178711</v>
      </c>
      <c r="N36" s="6">
        <f>IF($K36=1,Table!H24,"")</f>
        <v>41.308719635009766</v>
      </c>
      <c r="O36" s="6">
        <f t="shared" si="2"/>
        <v>18.180435180664063</v>
      </c>
      <c r="P36" s="6">
        <f>IF($K36=1,Table!J24,"")</f>
        <v>37.817958831787109</v>
      </c>
      <c r="Q36" s="6">
        <f>IF($K36=1,Table!K24,"")</f>
        <v>39.880329132080078</v>
      </c>
      <c r="R36" s="6">
        <f>IF($K36=1,Table!L24,"")</f>
        <v>41.308719635009766</v>
      </c>
      <c r="S36" s="6">
        <f>IF($K36=1,Table!M24,"")</f>
        <v>42.737110137939453</v>
      </c>
      <c r="T36" s="6">
        <f>IF($K36=1,Table!N24,"")</f>
        <v>44.799480438232422</v>
      </c>
      <c r="U36" s="41">
        <f>IF(K36=1,((Table!K24-Table!L24)/NORMSINV(0.3))^2,"")</f>
        <v>7.4193813279149818</v>
      </c>
    </row>
    <row r="37" spans="1:21" x14ac:dyDescent="0.2">
      <c r="A37" t="str">
        <f t="shared" ref="A37:A43" si="5">B37&amp;C37</f>
        <v>41816DO 1-6 Hour</v>
      </c>
      <c r="B37" s="59">
        <v>41816</v>
      </c>
      <c r="C37" t="s">
        <v>226</v>
      </c>
      <c r="D37">
        <v>15</v>
      </c>
      <c r="E37">
        <v>16</v>
      </c>
      <c r="F37" t="str">
        <f t="shared" si="0"/>
        <v>Hours Ending 15 to 16</v>
      </c>
      <c r="I37">
        <f t="shared" si="4"/>
        <v>18</v>
      </c>
      <c r="J37" s="49">
        <f>MAX(0,Table!I25-75)</f>
        <v>16.502830505371094</v>
      </c>
      <c r="K37">
        <f t="shared" si="1"/>
        <v>1</v>
      </c>
      <c r="L37" s="6">
        <f>IF($K37=1,Table!F25,"")</f>
        <v>177.86334228515625</v>
      </c>
      <c r="M37" s="6">
        <f>IF($K37=1,Table!G25,"")</f>
        <v>138.03329849243164</v>
      </c>
      <c r="N37" s="6">
        <f>IF($K37=1,Table!H25,"")</f>
        <v>39.830043792724609</v>
      </c>
      <c r="O37" s="6">
        <f t="shared" si="2"/>
        <v>16.502830505371094</v>
      </c>
      <c r="P37" s="6">
        <f>IF($K37=1,Table!J25,"")</f>
        <v>36.406436920166016</v>
      </c>
      <c r="Q37" s="6">
        <f>IF($K37=1,Table!K25,"")</f>
        <v>38.429130554199219</v>
      </c>
      <c r="R37" s="6">
        <f>IF($K37=1,Table!L25,"")</f>
        <v>39.830043792724609</v>
      </c>
      <c r="S37" s="6">
        <f>IF($K37=1,Table!M25,"")</f>
        <v>41.23095703125</v>
      </c>
      <c r="T37" s="6">
        <f>IF($K37=1,Table!N25,"")</f>
        <v>43.253650665283203</v>
      </c>
      <c r="U37" s="41">
        <f>IF(K37=1,((Table!K25-Table!L25)/NORMSINV(0.3))^2,"")</f>
        <v>7.136680649009608</v>
      </c>
    </row>
    <row r="38" spans="1:21" x14ac:dyDescent="0.2">
      <c r="A38" t="str">
        <f t="shared" si="5"/>
        <v>41820DO 1-6 Hour</v>
      </c>
      <c r="B38" s="59">
        <v>41820</v>
      </c>
      <c r="C38" t="s">
        <v>226</v>
      </c>
      <c r="F38" t="str">
        <f t="shared" si="0"/>
        <v/>
      </c>
      <c r="I38">
        <f t="shared" si="4"/>
        <v>19</v>
      </c>
      <c r="J38" s="49">
        <f>MAX(0,Table!I26-75)</f>
        <v>13.5782470703125</v>
      </c>
      <c r="K38" t="str">
        <f t="shared" si="1"/>
        <v/>
      </c>
      <c r="L38" s="6" t="str">
        <f>IF($K38=1,Table!F26,"")</f>
        <v/>
      </c>
      <c r="M38" s="6" t="str">
        <f>IF($K38=1,Table!G26,"")</f>
        <v/>
      </c>
      <c r="N38" s="6" t="str">
        <f>IF($K38=1,Table!H26,"")</f>
        <v/>
      </c>
      <c r="O38" s="6" t="str">
        <f t="shared" si="2"/>
        <v/>
      </c>
      <c r="P38" s="6" t="str">
        <f>IF($K38=1,Table!J26,"")</f>
        <v/>
      </c>
      <c r="Q38" s="6" t="str">
        <f>IF($K38=1,Table!K26,"")</f>
        <v/>
      </c>
      <c r="R38" s="6" t="str">
        <f>IF($K38=1,Table!L26,"")</f>
        <v/>
      </c>
      <c r="S38" s="6" t="str">
        <f>IF($K38=1,Table!M26,"")</f>
        <v/>
      </c>
      <c r="T38" s="6" t="str">
        <f>IF($K38=1,Table!N26,"")</f>
        <v/>
      </c>
      <c r="U38" s="41" t="str">
        <f>IF(K38=1,((Table!K26-Table!L26)/NORMSINV(0.3))^2,"")</f>
        <v/>
      </c>
    </row>
    <row r="39" spans="1:21" x14ac:dyDescent="0.2">
      <c r="A39" t="str">
        <f t="shared" si="5"/>
        <v>41845DO 1-6 Hour</v>
      </c>
      <c r="B39" s="59">
        <v>41845</v>
      </c>
      <c r="C39" t="s">
        <v>226</v>
      </c>
      <c r="D39">
        <v>15</v>
      </c>
      <c r="E39">
        <v>16</v>
      </c>
      <c r="F39" t="str">
        <f t="shared" si="0"/>
        <v>Hours Ending 15 to 16</v>
      </c>
      <c r="I39">
        <f t="shared" si="4"/>
        <v>20</v>
      </c>
      <c r="J39" s="49">
        <f>MAX(0,Table!I27-75)</f>
        <v>9.0616531372070312</v>
      </c>
      <c r="K39" t="str">
        <f t="shared" si="1"/>
        <v/>
      </c>
      <c r="L39" s="6" t="str">
        <f>IF($K39=1,Table!F27,"")</f>
        <v/>
      </c>
      <c r="M39" s="6" t="str">
        <f>IF($K39=1,Table!G27,"")</f>
        <v/>
      </c>
      <c r="N39" s="6" t="str">
        <f>IF($K39=1,Table!H27,"")</f>
        <v/>
      </c>
      <c r="O39" s="6" t="str">
        <f t="shared" si="2"/>
        <v/>
      </c>
      <c r="P39" s="6" t="str">
        <f>IF($K39=1,Table!J27,"")</f>
        <v/>
      </c>
      <c r="Q39" s="6" t="str">
        <f>IF($K39=1,Table!K27,"")</f>
        <v/>
      </c>
      <c r="R39" s="6" t="str">
        <f>IF($K39=1,Table!L27,"")</f>
        <v/>
      </c>
      <c r="S39" s="6" t="str">
        <f>IF($K39=1,Table!M27,"")</f>
        <v/>
      </c>
      <c r="T39" s="6" t="str">
        <f>IF($K39=1,Table!N27,"")</f>
        <v/>
      </c>
      <c r="U39" s="41" t="str">
        <f>IF(K39=1,((Table!K27-Table!L27)/NORMSINV(0.3))^2,"")</f>
        <v/>
      </c>
    </row>
    <row r="40" spans="1:21" x14ac:dyDescent="0.2">
      <c r="A40" t="str">
        <f t="shared" si="5"/>
        <v>41862DO 1-6 Hour</v>
      </c>
      <c r="B40" s="59">
        <v>41862</v>
      </c>
      <c r="C40" t="s">
        <v>226</v>
      </c>
      <c r="D40">
        <v>17</v>
      </c>
      <c r="E40">
        <v>19</v>
      </c>
      <c r="F40" t="str">
        <f t="shared" si="0"/>
        <v>Hours Ending 17 to 19</v>
      </c>
      <c r="I40">
        <f t="shared" si="4"/>
        <v>21</v>
      </c>
      <c r="J40" s="49">
        <f>MAX(0,Table!I28-75)</f>
        <v>5.610260009765625</v>
      </c>
      <c r="K40" t="str">
        <f t="shared" si="1"/>
        <v/>
      </c>
      <c r="L40" s="6" t="str">
        <f>IF($K40=1,Table!F28,"")</f>
        <v/>
      </c>
      <c r="M40" s="6" t="str">
        <f>IF($K40=1,Table!G28,"")</f>
        <v/>
      </c>
      <c r="N40" s="6" t="str">
        <f>IF($K40=1,Table!H28,"")</f>
        <v/>
      </c>
      <c r="O40" s="6" t="str">
        <f t="shared" si="2"/>
        <v/>
      </c>
      <c r="P40" s="6" t="str">
        <f>IF($K40=1,Table!J28,"")</f>
        <v/>
      </c>
      <c r="Q40" s="6" t="str">
        <f>IF($K40=1,Table!K28,"")</f>
        <v/>
      </c>
      <c r="R40" s="6" t="str">
        <f>IF($K40=1,Table!L28,"")</f>
        <v/>
      </c>
      <c r="S40" s="6" t="str">
        <f>IF($K40=1,Table!M28,"")</f>
        <v/>
      </c>
      <c r="T40" s="6" t="str">
        <f>IF($K40=1,Table!N28,"")</f>
        <v/>
      </c>
      <c r="U40" s="41" t="str">
        <f>IF(K40=1,((Table!K28-Table!L28)/NORMSINV(0.3))^2,"")</f>
        <v/>
      </c>
    </row>
    <row r="41" spans="1:21" x14ac:dyDescent="0.2">
      <c r="A41" t="str">
        <f t="shared" si="5"/>
        <v>41879DO 1-6 Hour</v>
      </c>
      <c r="B41" s="59">
        <v>41879</v>
      </c>
      <c r="C41" t="s">
        <v>226</v>
      </c>
      <c r="D41">
        <v>15</v>
      </c>
      <c r="E41">
        <v>19</v>
      </c>
      <c r="F41" t="str">
        <f t="shared" si="0"/>
        <v>Hours Ending 15 to 19</v>
      </c>
      <c r="I41">
        <f t="shared" si="4"/>
        <v>22</v>
      </c>
      <c r="J41" s="49">
        <f>MAX(0,Table!I29-75)</f>
        <v>2.7982635498046875</v>
      </c>
      <c r="K41" t="str">
        <f t="shared" si="1"/>
        <v/>
      </c>
      <c r="L41" s="6" t="str">
        <f>IF($K41=1,Table!F29,"")</f>
        <v/>
      </c>
      <c r="M41" s="6" t="str">
        <f>IF($K41=1,Table!G29,"")</f>
        <v/>
      </c>
      <c r="N41" s="6" t="str">
        <f>IF($K41=1,Table!H29,"")</f>
        <v/>
      </c>
      <c r="O41" s="6" t="str">
        <f t="shared" si="2"/>
        <v/>
      </c>
      <c r="P41" s="6" t="str">
        <f>IF($K41=1,Table!J29,"")</f>
        <v/>
      </c>
      <c r="Q41" s="6" t="str">
        <f>IF($K41=1,Table!K29,"")</f>
        <v/>
      </c>
      <c r="R41" s="6" t="str">
        <f>IF($K41=1,Table!L29,"")</f>
        <v/>
      </c>
      <c r="S41" s="6" t="str">
        <f>IF($K41=1,Table!M29,"")</f>
        <v/>
      </c>
      <c r="T41" s="6" t="str">
        <f>IF($K41=1,Table!N29,"")</f>
        <v/>
      </c>
      <c r="U41" s="41" t="str">
        <f>IF(K41=1,((Table!K29-Table!L29)/NORMSINV(0.3))^2,"")</f>
        <v/>
      </c>
    </row>
    <row r="42" spans="1:21" x14ac:dyDescent="0.2">
      <c r="A42" t="str">
        <f t="shared" si="5"/>
        <v>41893DO 1-6 Hour</v>
      </c>
      <c r="B42" s="59">
        <v>41893</v>
      </c>
      <c r="C42" t="s">
        <v>226</v>
      </c>
      <c r="D42">
        <v>16</v>
      </c>
      <c r="E42">
        <v>19</v>
      </c>
      <c r="F42" t="str">
        <f t="shared" si="0"/>
        <v>Hours Ending 16 to 19</v>
      </c>
      <c r="I42">
        <f t="shared" si="4"/>
        <v>23</v>
      </c>
      <c r="J42" s="49">
        <f>MAX(0,Table!I30-75)</f>
        <v>0.5795440673828125</v>
      </c>
      <c r="K42" t="str">
        <f t="shared" si="1"/>
        <v/>
      </c>
      <c r="L42" s="6" t="str">
        <f>IF($K42=1,Table!F30,"")</f>
        <v/>
      </c>
      <c r="M42" s="6" t="str">
        <f>IF($K42=1,Table!G30,"")</f>
        <v/>
      </c>
      <c r="N42" s="6" t="str">
        <f>IF($K42=1,Table!H30,"")</f>
        <v/>
      </c>
      <c r="O42" s="6" t="str">
        <f t="shared" si="2"/>
        <v/>
      </c>
      <c r="P42" s="6" t="str">
        <f>IF($K42=1,Table!J30,"")</f>
        <v/>
      </c>
      <c r="Q42" s="6" t="str">
        <f>IF($K42=1,Table!K30,"")</f>
        <v/>
      </c>
      <c r="R42" s="6" t="str">
        <f>IF($K42=1,Table!L30,"")</f>
        <v/>
      </c>
      <c r="S42" s="6" t="str">
        <f>IF($K42=1,Table!M30,"")</f>
        <v/>
      </c>
      <c r="T42" s="6" t="str">
        <f>IF($K42=1,Table!N30,"")</f>
        <v/>
      </c>
      <c r="U42" s="41" t="str">
        <f>IF(K42=1,((Table!K30-Table!L30)/NORMSINV(0.3))^2,"")</f>
        <v/>
      </c>
    </row>
    <row r="43" spans="1:21" x14ac:dyDescent="0.2">
      <c r="A43" t="str">
        <f t="shared" si="5"/>
        <v>41898DO 1-6 Hour</v>
      </c>
      <c r="B43" s="59">
        <v>41898</v>
      </c>
      <c r="C43" t="s">
        <v>226</v>
      </c>
      <c r="D43">
        <v>15</v>
      </c>
      <c r="E43">
        <v>19</v>
      </c>
      <c r="F43" t="str">
        <f t="shared" si="0"/>
        <v>Hours Ending 15 to 19</v>
      </c>
      <c r="I43">
        <f t="shared" si="4"/>
        <v>24</v>
      </c>
      <c r="J43" s="49">
        <f>MAX(0,Table!I31-75)</f>
        <v>0</v>
      </c>
      <c r="K43" t="str">
        <f t="shared" si="1"/>
        <v/>
      </c>
      <c r="L43" s="6" t="str">
        <f>IF($K43=1,Table!F31,"")</f>
        <v/>
      </c>
      <c r="M43" s="6" t="str">
        <f>IF($K43=1,Table!G31,"")</f>
        <v/>
      </c>
      <c r="N43" s="6" t="str">
        <f>IF($K43=1,Table!H31,"")</f>
        <v/>
      </c>
      <c r="O43" s="6" t="str">
        <f t="shared" si="2"/>
        <v/>
      </c>
      <c r="P43" s="6" t="str">
        <f>IF($K43=1,Table!J31,"")</f>
        <v/>
      </c>
      <c r="Q43" s="6" t="str">
        <f>IF($K43=1,Table!K31,"")</f>
        <v/>
      </c>
      <c r="R43" s="6" t="str">
        <f>IF($K43=1,Table!L31,"")</f>
        <v/>
      </c>
      <c r="S43" s="6" t="str">
        <f>IF($K43=1,Table!M31,"")</f>
        <v/>
      </c>
      <c r="T43" s="6" t="str">
        <f>IF($K43=1,Table!N31,"")</f>
        <v/>
      </c>
      <c r="U43" s="41" t="str">
        <f>IF(K43=1,((Table!K31-Table!L31)/NORMSINV(0.3))^2,"")</f>
        <v/>
      </c>
    </row>
    <row r="44" spans="1:21" x14ac:dyDescent="0.2">
      <c r="A44" t="str">
        <f>B44&amp;C44</f>
        <v>Typical Event DayDO 1-4 Hour</v>
      </c>
      <c r="B44" s="60" t="s">
        <v>2</v>
      </c>
      <c r="C44" t="s">
        <v>225</v>
      </c>
      <c r="D44">
        <v>15</v>
      </c>
      <c r="E44">
        <v>18</v>
      </c>
      <c r="F44" t="str">
        <f t="shared" si="0"/>
        <v>Hours Ending 15 to 18</v>
      </c>
      <c r="L44">
        <f>AVERAGE(L20:L43)</f>
        <v>174.00151443481445</v>
      </c>
      <c r="M44">
        <f>AVERAGE(M20:M43)</f>
        <v>130.81028366088867</v>
      </c>
      <c r="N44">
        <f>AVERAGE(N20:N43)</f>
        <v>43.191230773925781</v>
      </c>
      <c r="O44" s="6">
        <f>SUM(O20:O43)</f>
        <v>75.973297119140625</v>
      </c>
      <c r="P44">
        <f>NORMINV(0.1,$N44,$U44)</f>
        <v>41.465753483952781</v>
      </c>
      <c r="Q44">
        <f>NORMINV(0.3,$N44,$U44)</f>
        <v>42.485179453124339</v>
      </c>
      <c r="R44">
        <f>NORMINV(0.5,$N44,$U44)</f>
        <v>43.191230773925781</v>
      </c>
      <c r="S44">
        <f>NORMINV(0.7,$N44,$U44)</f>
        <v>43.897282094727224</v>
      </c>
      <c r="T44">
        <f>NORMINV(0.9,$N44,$U44)</f>
        <v>44.916708063898781</v>
      </c>
      <c r="U44" s="49">
        <f>SQRT((1/SUM(K20:K43)^2*SUM(U20:U43)))</f>
        <v>1.3463970833196632</v>
      </c>
    </row>
    <row r="45" spans="1:21" x14ac:dyDescent="0.2">
      <c r="A45" t="str">
        <f>B45&amp;C45</f>
        <v>Typical Event DayDO 1-6 Hour</v>
      </c>
      <c r="B45" s="60" t="s">
        <v>2</v>
      </c>
      <c r="C45" t="s">
        <v>226</v>
      </c>
      <c r="D45">
        <v>15</v>
      </c>
      <c r="E45">
        <v>16</v>
      </c>
      <c r="F45" t="str">
        <f t="shared" si="0"/>
        <v>Hours Ending 15 to 16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T328"/>
  <sheetViews>
    <sheetView workbookViewId="0">
      <pane xSplit="7" ySplit="1" topLeftCell="H2" activePane="bottomRight" state="frozen"/>
      <selection activeCell="H4" sqref="H4"/>
      <selection pane="topRight" activeCell="H4" sqref="H4"/>
      <selection pane="bottomLeft" activeCell="H4" sqref="H4"/>
      <selection pane="bottomRight"/>
    </sheetView>
  </sheetViews>
  <sheetFormatPr defaultRowHeight="12.75" x14ac:dyDescent="0.2"/>
  <cols>
    <col min="1" max="1" width="9.85546875" customWidth="1"/>
    <col min="2" max="2" width="11.28515625" customWidth="1"/>
    <col min="3" max="3" width="16" customWidth="1"/>
    <col min="4" max="4" width="9" customWidth="1"/>
    <col min="5" max="5" width="11.85546875" customWidth="1"/>
    <col min="6" max="8" width="9.5703125" customWidth="1"/>
    <col min="9" max="12" width="10" customWidth="1"/>
    <col min="13" max="14" width="9.5703125" customWidth="1"/>
    <col min="15" max="15" width="10.5703125" customWidth="1"/>
    <col min="16" max="29" width="10.5703125" bestFit="1" customWidth="1"/>
    <col min="30" max="38" width="15.140625" bestFit="1" customWidth="1"/>
    <col min="39" max="53" width="16.28515625" bestFit="1" customWidth="1"/>
    <col min="54" max="54" width="15.140625" customWidth="1"/>
    <col min="55" max="62" width="15.140625" bestFit="1" customWidth="1"/>
    <col min="63" max="77" width="16.28515625" bestFit="1" customWidth="1"/>
    <col min="78" max="78" width="15.140625" customWidth="1"/>
    <col min="79" max="86" width="15.140625" bestFit="1" customWidth="1"/>
    <col min="87" max="97" width="16.28515625" bestFit="1" customWidth="1"/>
    <col min="98" max="98" width="16.28515625" customWidth="1"/>
    <col min="99" max="101" width="16.28515625" bestFit="1" customWidth="1"/>
    <col min="102" max="102" width="15.140625" customWidth="1"/>
    <col min="103" max="110" width="15.140625" bestFit="1" customWidth="1"/>
    <col min="111" max="125" width="16.28515625" bestFit="1" customWidth="1"/>
    <col min="126" max="126" width="15.140625" customWidth="1"/>
    <col min="127" max="134" width="15.140625" bestFit="1" customWidth="1"/>
    <col min="135" max="149" width="16.28515625" bestFit="1" customWidth="1"/>
    <col min="150" max="157" width="11" customWidth="1"/>
    <col min="158" max="158" width="11" bestFit="1" customWidth="1"/>
    <col min="159" max="174" width="12" bestFit="1" customWidth="1"/>
    <col min="175" max="175" width="16" bestFit="1" customWidth="1"/>
    <col min="176" max="176" width="8.28515625" customWidth="1"/>
    <col min="177" max="177" width="12" bestFit="1" customWidth="1"/>
    <col min="178" max="178" width="16" bestFit="1" customWidth="1"/>
    <col min="179" max="181" width="10.140625" bestFit="1" customWidth="1"/>
  </cols>
  <sheetData>
    <row r="1" spans="1:176" x14ac:dyDescent="0.2">
      <c r="A1" s="64" t="s">
        <v>194</v>
      </c>
      <c r="B1" t="s">
        <v>195</v>
      </c>
      <c r="C1" t="s">
        <v>196</v>
      </c>
      <c r="D1" t="s">
        <v>197</v>
      </c>
      <c r="E1" t="s">
        <v>198</v>
      </c>
      <c r="F1" t="s">
        <v>166</v>
      </c>
      <c r="G1" t="s">
        <v>167</v>
      </c>
      <c r="H1" t="s">
        <v>168</v>
      </c>
      <c r="I1" t="s">
        <v>169</v>
      </c>
      <c r="J1" t="s">
        <v>170</v>
      </c>
      <c r="K1" t="s">
        <v>171</v>
      </c>
      <c r="L1" t="s">
        <v>172</v>
      </c>
      <c r="M1" t="s">
        <v>173</v>
      </c>
      <c r="N1" t="s">
        <v>174</v>
      </c>
      <c r="O1" t="s">
        <v>175</v>
      </c>
      <c r="P1" t="s">
        <v>176</v>
      </c>
      <c r="Q1" t="s">
        <v>177</v>
      </c>
      <c r="R1" t="s">
        <v>178</v>
      </c>
      <c r="S1" t="s">
        <v>179</v>
      </c>
      <c r="T1" t="s">
        <v>180</v>
      </c>
      <c r="U1" t="s">
        <v>181</v>
      </c>
      <c r="V1" t="s">
        <v>182</v>
      </c>
      <c r="W1" t="s">
        <v>183</v>
      </c>
      <c r="X1" t="s">
        <v>184</v>
      </c>
      <c r="Y1" t="s">
        <v>185</v>
      </c>
      <c r="Z1" t="s">
        <v>186</v>
      </c>
      <c r="AA1" t="s">
        <v>187</v>
      </c>
      <c r="AB1" t="s">
        <v>188</v>
      </c>
      <c r="AC1" t="s">
        <v>189</v>
      </c>
      <c r="AD1" t="s">
        <v>21</v>
      </c>
      <c r="AE1" t="s">
        <v>22</v>
      </c>
      <c r="AF1" t="s">
        <v>23</v>
      </c>
      <c r="AG1" t="s">
        <v>24</v>
      </c>
      <c r="AH1" t="s">
        <v>25</v>
      </c>
      <c r="AI1" t="s">
        <v>26</v>
      </c>
      <c r="AJ1" t="s">
        <v>27</v>
      </c>
      <c r="AK1" t="s">
        <v>28</v>
      </c>
      <c r="AL1" t="s">
        <v>29</v>
      </c>
      <c r="AM1" t="s">
        <v>30</v>
      </c>
      <c r="AN1" t="s">
        <v>31</v>
      </c>
      <c r="AO1" t="s">
        <v>32</v>
      </c>
      <c r="AP1" t="s">
        <v>33</v>
      </c>
      <c r="AQ1" t="s">
        <v>34</v>
      </c>
      <c r="AR1" t="s">
        <v>35</v>
      </c>
      <c r="AS1" t="s">
        <v>36</v>
      </c>
      <c r="AT1" t="s">
        <v>37</v>
      </c>
      <c r="AU1" t="s">
        <v>38</v>
      </c>
      <c r="AV1" t="s">
        <v>39</v>
      </c>
      <c r="AW1" t="s">
        <v>40</v>
      </c>
      <c r="AX1" t="s">
        <v>41</v>
      </c>
      <c r="AY1" t="s">
        <v>42</v>
      </c>
      <c r="AZ1" t="s">
        <v>43</v>
      </c>
      <c r="BA1" t="s">
        <v>44</v>
      </c>
      <c r="BB1" t="s">
        <v>45</v>
      </c>
      <c r="BC1" t="s">
        <v>46</v>
      </c>
      <c r="BD1" t="s">
        <v>47</v>
      </c>
      <c r="BE1" t="s">
        <v>48</v>
      </c>
      <c r="BF1" t="s">
        <v>49</v>
      </c>
      <c r="BG1" t="s">
        <v>50</v>
      </c>
      <c r="BH1" t="s">
        <v>51</v>
      </c>
      <c r="BI1" t="s">
        <v>52</v>
      </c>
      <c r="BJ1" t="s">
        <v>53</v>
      </c>
      <c r="BK1" t="s">
        <v>54</v>
      </c>
      <c r="BL1" t="s">
        <v>55</v>
      </c>
      <c r="BM1" t="s">
        <v>56</v>
      </c>
      <c r="BN1" t="s">
        <v>57</v>
      </c>
      <c r="BO1" t="s">
        <v>58</v>
      </c>
      <c r="BP1" t="s">
        <v>59</v>
      </c>
      <c r="BQ1" t="s">
        <v>60</v>
      </c>
      <c r="BR1" t="s">
        <v>61</v>
      </c>
      <c r="BS1" t="s">
        <v>62</v>
      </c>
      <c r="BT1" t="s">
        <v>63</v>
      </c>
      <c r="BU1" t="s">
        <v>64</v>
      </c>
      <c r="BV1" t="s">
        <v>65</v>
      </c>
      <c r="BW1" t="s">
        <v>66</v>
      </c>
      <c r="BX1" t="s">
        <v>67</v>
      </c>
      <c r="BY1" t="s">
        <v>68</v>
      </c>
      <c r="BZ1" t="s">
        <v>69</v>
      </c>
      <c r="CA1" t="s">
        <v>70</v>
      </c>
      <c r="CB1" t="s">
        <v>71</v>
      </c>
      <c r="CC1" t="s">
        <v>72</v>
      </c>
      <c r="CD1" t="s">
        <v>73</v>
      </c>
      <c r="CE1" t="s">
        <v>74</v>
      </c>
      <c r="CF1" t="s">
        <v>75</v>
      </c>
      <c r="CG1" t="s">
        <v>76</v>
      </c>
      <c r="CH1" t="s">
        <v>77</v>
      </c>
      <c r="CI1" t="s">
        <v>78</v>
      </c>
      <c r="CJ1" t="s">
        <v>79</v>
      </c>
      <c r="CK1" t="s">
        <v>80</v>
      </c>
      <c r="CL1" t="s">
        <v>81</v>
      </c>
      <c r="CM1" t="s">
        <v>82</v>
      </c>
      <c r="CN1" t="s">
        <v>83</v>
      </c>
      <c r="CO1" t="s">
        <v>84</v>
      </c>
      <c r="CP1" t="s">
        <v>85</v>
      </c>
      <c r="CQ1" t="s">
        <v>86</v>
      </c>
      <c r="CR1" t="s">
        <v>87</v>
      </c>
      <c r="CS1" t="s">
        <v>88</v>
      </c>
      <c r="CT1" t="s">
        <v>89</v>
      </c>
      <c r="CU1" t="s">
        <v>90</v>
      </c>
      <c r="CV1" t="s">
        <v>91</v>
      </c>
      <c r="CW1" t="s">
        <v>92</v>
      </c>
      <c r="CX1" t="s">
        <v>93</v>
      </c>
      <c r="CY1" t="s">
        <v>94</v>
      </c>
      <c r="CZ1" t="s">
        <v>95</v>
      </c>
      <c r="DA1" t="s">
        <v>96</v>
      </c>
      <c r="DB1" t="s">
        <v>97</v>
      </c>
      <c r="DC1" t="s">
        <v>98</v>
      </c>
      <c r="DD1" t="s">
        <v>99</v>
      </c>
      <c r="DE1" t="s">
        <v>100</v>
      </c>
      <c r="DF1" t="s">
        <v>101</v>
      </c>
      <c r="DG1" t="s">
        <v>102</v>
      </c>
      <c r="DH1" t="s">
        <v>103</v>
      </c>
      <c r="DI1" t="s">
        <v>104</v>
      </c>
      <c r="DJ1" t="s">
        <v>105</v>
      </c>
      <c r="DK1" t="s">
        <v>106</v>
      </c>
      <c r="DL1" t="s">
        <v>107</v>
      </c>
      <c r="DM1" t="s">
        <v>108</v>
      </c>
      <c r="DN1" t="s">
        <v>109</v>
      </c>
      <c r="DO1" t="s">
        <v>110</v>
      </c>
      <c r="DP1" t="s">
        <v>111</v>
      </c>
      <c r="DQ1" t="s">
        <v>112</v>
      </c>
      <c r="DR1" t="s">
        <v>113</v>
      </c>
      <c r="DS1" t="s">
        <v>114</v>
      </c>
      <c r="DT1" t="s">
        <v>115</v>
      </c>
      <c r="DU1" t="s">
        <v>116</v>
      </c>
      <c r="DV1" t="s">
        <v>117</v>
      </c>
      <c r="DW1" t="s">
        <v>118</v>
      </c>
      <c r="DX1" t="s">
        <v>119</v>
      </c>
      <c r="DY1" t="s">
        <v>120</v>
      </c>
      <c r="DZ1" t="s">
        <v>121</v>
      </c>
      <c r="EA1" t="s">
        <v>122</v>
      </c>
      <c r="EB1" t="s">
        <v>123</v>
      </c>
      <c r="EC1" t="s">
        <v>124</v>
      </c>
      <c r="ED1" t="s">
        <v>125</v>
      </c>
      <c r="EE1" t="s">
        <v>126</v>
      </c>
      <c r="EF1" t="s">
        <v>127</v>
      </c>
      <c r="EG1" t="s">
        <v>128</v>
      </c>
      <c r="EH1" t="s">
        <v>129</v>
      </c>
      <c r="EI1" t="s">
        <v>130</v>
      </c>
      <c r="EJ1" t="s">
        <v>131</v>
      </c>
      <c r="EK1" t="s">
        <v>132</v>
      </c>
      <c r="EL1" t="s">
        <v>133</v>
      </c>
      <c r="EM1" t="s">
        <v>134</v>
      </c>
      <c r="EN1" t="s">
        <v>135</v>
      </c>
      <c r="EO1" t="s">
        <v>136</v>
      </c>
      <c r="EP1" t="s">
        <v>137</v>
      </c>
      <c r="EQ1" t="s">
        <v>138</v>
      </c>
      <c r="ER1" t="s">
        <v>139</v>
      </c>
      <c r="ES1" t="s">
        <v>140</v>
      </c>
      <c r="ET1" t="s">
        <v>141</v>
      </c>
      <c r="EU1" t="s">
        <v>142</v>
      </c>
      <c r="EV1" t="s">
        <v>143</v>
      </c>
      <c r="EW1" t="s">
        <v>144</v>
      </c>
      <c r="EX1" t="s">
        <v>145</v>
      </c>
      <c r="EY1" t="s">
        <v>146</v>
      </c>
      <c r="EZ1" t="s">
        <v>147</v>
      </c>
      <c r="FA1" t="s">
        <v>148</v>
      </c>
      <c r="FB1" t="s">
        <v>149</v>
      </c>
      <c r="FC1" t="s">
        <v>150</v>
      </c>
      <c r="FD1" t="s">
        <v>151</v>
      </c>
      <c r="FE1" t="s">
        <v>152</v>
      </c>
      <c r="FF1" t="s">
        <v>153</v>
      </c>
      <c r="FG1" t="s">
        <v>154</v>
      </c>
      <c r="FH1" t="s">
        <v>155</v>
      </c>
      <c r="FI1" t="s">
        <v>156</v>
      </c>
      <c r="FJ1" t="s">
        <v>157</v>
      </c>
      <c r="FK1" t="s">
        <v>158</v>
      </c>
      <c r="FL1" t="s">
        <v>159</v>
      </c>
      <c r="FM1" t="s">
        <v>160</v>
      </c>
      <c r="FN1" t="s">
        <v>161</v>
      </c>
      <c r="FO1" t="s">
        <v>162</v>
      </c>
      <c r="FP1" t="s">
        <v>163</v>
      </c>
      <c r="FQ1" t="s">
        <v>164</v>
      </c>
      <c r="FR1" t="s">
        <v>206</v>
      </c>
      <c r="FS1" t="s">
        <v>204</v>
      </c>
      <c r="FT1" t="s">
        <v>205</v>
      </c>
    </row>
    <row r="2" spans="1:176" x14ac:dyDescent="0.2">
      <c r="A2" t="s">
        <v>1</v>
      </c>
      <c r="B2" t="s">
        <v>225</v>
      </c>
      <c r="C2" t="s">
        <v>244</v>
      </c>
      <c r="D2">
        <v>547</v>
      </c>
      <c r="E2">
        <v>547</v>
      </c>
      <c r="F2">
        <v>46.743465423583984</v>
      </c>
      <c r="G2">
        <v>45.157936096191406</v>
      </c>
      <c r="H2">
        <v>44.663040161132813</v>
      </c>
      <c r="I2">
        <v>45.544277191162109</v>
      </c>
      <c r="J2">
        <v>47.899288177490234</v>
      </c>
      <c r="K2">
        <v>50.385662078857422</v>
      </c>
      <c r="L2">
        <v>53.353851318359375</v>
      </c>
      <c r="M2">
        <v>56.368598937988281</v>
      </c>
      <c r="N2">
        <v>65.331314086914063</v>
      </c>
      <c r="O2">
        <v>67.111358642578125</v>
      </c>
      <c r="P2">
        <v>68.987831115722656</v>
      </c>
      <c r="Q2">
        <v>70.274406433105469</v>
      </c>
      <c r="R2">
        <v>70.906562805175781</v>
      </c>
      <c r="S2">
        <v>70.604019165039063</v>
      </c>
      <c r="T2">
        <v>70.682487487792969</v>
      </c>
      <c r="U2">
        <v>70.498222351074219</v>
      </c>
      <c r="V2">
        <v>71.321174621582031</v>
      </c>
      <c r="W2">
        <v>73.361488342285156</v>
      </c>
      <c r="X2">
        <v>73.01544189453125</v>
      </c>
      <c r="Y2">
        <v>73.164505004882813</v>
      </c>
      <c r="Z2">
        <v>71.924148559570313</v>
      </c>
      <c r="AA2">
        <v>65.673797607421875</v>
      </c>
      <c r="AB2">
        <v>59.180416107177734</v>
      </c>
      <c r="AC2">
        <v>51.748863220214844</v>
      </c>
      <c r="AD2">
        <v>-3.4492678642272949</v>
      </c>
      <c r="AE2">
        <v>-2.2619621753692627</v>
      </c>
      <c r="AF2">
        <v>-1.7473205327987671</v>
      </c>
      <c r="AG2">
        <v>-1.2319269180297852</v>
      </c>
      <c r="AH2">
        <v>-1.5449148416519165</v>
      </c>
      <c r="AI2">
        <v>-1.8933254480361938</v>
      </c>
      <c r="AJ2">
        <v>-1.2726324796676636</v>
      </c>
      <c r="AK2">
        <v>-1.2813667058944702</v>
      </c>
      <c r="AL2">
        <v>-0.42056006193161011</v>
      </c>
      <c r="AM2">
        <v>0.22668126225471497</v>
      </c>
      <c r="AN2">
        <v>0.58740240335464478</v>
      </c>
      <c r="AO2">
        <v>1.938917875289917</v>
      </c>
      <c r="AP2">
        <v>1.9944208860397339</v>
      </c>
      <c r="AQ2">
        <v>1.7096441984176636</v>
      </c>
      <c r="AR2">
        <v>1.0621817111968994</v>
      </c>
      <c r="AS2">
        <v>0.49119710922241211</v>
      </c>
      <c r="AT2">
        <v>5.4979286193847656</v>
      </c>
      <c r="AU2">
        <v>15.09426212310791</v>
      </c>
      <c r="AV2">
        <v>15.585965156555176</v>
      </c>
      <c r="AW2">
        <v>17.266063690185547</v>
      </c>
      <c r="AX2">
        <v>16.86918830871582</v>
      </c>
      <c r="AY2">
        <v>5.6302914619445801</v>
      </c>
      <c r="AZ2">
        <v>3.5066637992858887</v>
      </c>
      <c r="BA2">
        <v>3.7153596878051758</v>
      </c>
      <c r="BB2">
        <v>-2.5026650428771973</v>
      </c>
      <c r="BC2">
        <v>-1.3403797149658203</v>
      </c>
      <c r="BD2">
        <v>-0.83293849229812622</v>
      </c>
      <c r="BE2">
        <v>-0.33930587768554688</v>
      </c>
      <c r="BF2">
        <v>-0.65550512075424194</v>
      </c>
      <c r="BG2">
        <v>-0.99562335014343262</v>
      </c>
      <c r="BH2">
        <v>-0.32848778367042542</v>
      </c>
      <c r="BI2">
        <v>-0.30631139874458313</v>
      </c>
      <c r="BJ2">
        <v>0.59308052062988281</v>
      </c>
      <c r="BK2">
        <v>1.2732620239257813</v>
      </c>
      <c r="BL2">
        <v>1.6816083192825317</v>
      </c>
      <c r="BM2">
        <v>3.0708649158477783</v>
      </c>
      <c r="BN2">
        <v>3.2140944004058838</v>
      </c>
      <c r="BO2">
        <v>2.9978632926940918</v>
      </c>
      <c r="BP2">
        <v>2.439509391784668</v>
      </c>
      <c r="BQ2">
        <v>1.8406280279159546</v>
      </c>
      <c r="BR2">
        <v>6.8160948753356934</v>
      </c>
      <c r="BS2">
        <v>16.385795593261719</v>
      </c>
      <c r="BT2">
        <v>16.846765518188477</v>
      </c>
      <c r="BU2">
        <v>18.448722839355469</v>
      </c>
      <c r="BV2">
        <v>18.08146858215332</v>
      </c>
      <c r="BW2">
        <v>6.8731818199157715</v>
      </c>
      <c r="BX2">
        <v>4.7633171081542969</v>
      </c>
      <c r="BY2">
        <v>4.9337100982666016</v>
      </c>
      <c r="BZ2">
        <v>-1.8470510244369507</v>
      </c>
      <c r="CA2">
        <v>-0.70209461450576782</v>
      </c>
      <c r="CB2">
        <v>-0.19964024424552917</v>
      </c>
      <c r="CC2">
        <v>0.27892071008682251</v>
      </c>
      <c r="CD2">
        <v>-3.9502635598182678E-2</v>
      </c>
      <c r="CE2">
        <v>-0.37387764453887939</v>
      </c>
      <c r="CF2">
        <v>0.3254239559173584</v>
      </c>
      <c r="CG2">
        <v>0.36900892853736877</v>
      </c>
      <c r="CH2">
        <v>1.295124888420105</v>
      </c>
      <c r="CI2">
        <v>1.9981206655502319</v>
      </c>
      <c r="CJ2">
        <v>2.4394519329071045</v>
      </c>
      <c r="CK2">
        <v>3.8548481464385986</v>
      </c>
      <c r="CL2">
        <v>4.0588364601135254</v>
      </c>
      <c r="CM2">
        <v>3.8900797367095947</v>
      </c>
      <c r="CN2">
        <v>3.3934423923492432</v>
      </c>
      <c r="CO2">
        <v>2.7752397060394287</v>
      </c>
      <c r="CP2">
        <v>7.7290530204772949</v>
      </c>
      <c r="CQ2">
        <v>17.280307769775391</v>
      </c>
      <c r="CR2">
        <v>17.719991683959961</v>
      </c>
      <c r="CS2">
        <v>19.267829895019531</v>
      </c>
      <c r="CT2">
        <v>18.921091079711914</v>
      </c>
      <c r="CU2">
        <v>7.734004020690918</v>
      </c>
      <c r="CV2">
        <v>5.633671760559082</v>
      </c>
      <c r="CW2">
        <v>5.7775359153747559</v>
      </c>
      <c r="CX2">
        <v>-1.1914368867874146</v>
      </c>
      <c r="CY2">
        <v>-6.3809476792812347E-2</v>
      </c>
      <c r="CZ2">
        <v>0.43365800380706787</v>
      </c>
      <c r="DA2">
        <v>0.89714729785919189</v>
      </c>
      <c r="DB2">
        <v>0.5764998197555542</v>
      </c>
      <c r="DC2">
        <v>0.24786806106567383</v>
      </c>
      <c r="DD2">
        <v>0.97933566570281982</v>
      </c>
      <c r="DE2">
        <v>1.0443292856216431</v>
      </c>
      <c r="DF2">
        <v>1.9971692562103271</v>
      </c>
      <c r="DG2">
        <v>2.7229793071746826</v>
      </c>
      <c r="DH2">
        <v>3.1972956657409668</v>
      </c>
      <c r="DI2">
        <v>4.6388311386108398</v>
      </c>
      <c r="DJ2">
        <v>4.9035787582397461</v>
      </c>
      <c r="DK2">
        <v>4.7822961807250977</v>
      </c>
      <c r="DL2">
        <v>4.3473753929138184</v>
      </c>
      <c r="DM2">
        <v>3.7098515033721924</v>
      </c>
      <c r="DN2">
        <v>8.6420106887817383</v>
      </c>
      <c r="DO2">
        <v>18.174819946289063</v>
      </c>
      <c r="DP2">
        <v>18.593217849731445</v>
      </c>
      <c r="DQ2">
        <v>20.086936950683594</v>
      </c>
      <c r="DR2">
        <v>19.760713577270508</v>
      </c>
      <c r="DS2">
        <v>8.5948257446289062</v>
      </c>
      <c r="DT2">
        <v>6.5040264129638672</v>
      </c>
      <c r="DU2">
        <v>6.6213617324829102</v>
      </c>
      <c r="DV2">
        <v>-0.2448342889547348</v>
      </c>
      <c r="DW2">
        <v>0.85777288675308228</v>
      </c>
      <c r="DX2">
        <v>1.3480401039123535</v>
      </c>
      <c r="DY2">
        <v>1.7897683382034302</v>
      </c>
      <c r="DZ2">
        <v>1.4659096002578735</v>
      </c>
      <c r="EA2">
        <v>1.1455701589584351</v>
      </c>
      <c r="EB2">
        <v>1.9234803915023804</v>
      </c>
      <c r="EC2">
        <v>2.0193846225738525</v>
      </c>
      <c r="ED2">
        <v>3.0108098983764648</v>
      </c>
      <c r="EE2">
        <v>3.7695600986480713</v>
      </c>
      <c r="EF2">
        <v>4.291501522064209</v>
      </c>
      <c r="EG2">
        <v>5.7707786560058594</v>
      </c>
      <c r="EH2">
        <v>6.1232519149780273</v>
      </c>
      <c r="EI2">
        <v>6.0705151557922363</v>
      </c>
      <c r="EJ2">
        <v>5.724703311920166</v>
      </c>
      <c r="EK2">
        <v>5.0592823028564453</v>
      </c>
      <c r="EL2">
        <v>9.9601774215698242</v>
      </c>
      <c r="EM2">
        <v>19.466352462768555</v>
      </c>
      <c r="EN2">
        <v>19.854019165039063</v>
      </c>
      <c r="EO2">
        <v>21.269596099853516</v>
      </c>
      <c r="EP2">
        <v>20.972993850708008</v>
      </c>
      <c r="EQ2">
        <v>9.8377170562744141</v>
      </c>
      <c r="ER2">
        <v>7.7606797218322754</v>
      </c>
      <c r="ES2">
        <v>7.8397121429443359</v>
      </c>
      <c r="ET2">
        <v>51.268348693847656</v>
      </c>
      <c r="EU2">
        <v>51.125007629394531</v>
      </c>
      <c r="EV2">
        <v>50.912334442138672</v>
      </c>
      <c r="EW2">
        <v>50.716617584228516</v>
      </c>
      <c r="EX2">
        <v>50.384967803955078</v>
      </c>
      <c r="EY2">
        <v>50.455757141113281</v>
      </c>
      <c r="EZ2">
        <v>50.63665771484375</v>
      </c>
      <c r="FA2">
        <v>50.965885162353516</v>
      </c>
      <c r="FB2">
        <v>52.726654052734375</v>
      </c>
      <c r="FC2">
        <v>54.913558959960938</v>
      </c>
      <c r="FD2">
        <v>56.541652679443359</v>
      </c>
      <c r="FE2">
        <v>57.854106903076172</v>
      </c>
      <c r="FF2">
        <v>57.901927947998047</v>
      </c>
      <c r="FG2">
        <v>57.261325836181641</v>
      </c>
      <c r="FH2">
        <v>56.105205535888672</v>
      </c>
      <c r="FI2">
        <v>55.481986999511719</v>
      </c>
      <c r="FJ2">
        <v>54.432140350341797</v>
      </c>
      <c r="FK2">
        <v>52.856575012207031</v>
      </c>
      <c r="FL2">
        <v>52.069690704345703</v>
      </c>
      <c r="FM2">
        <v>51.881866455078125</v>
      </c>
      <c r="FN2">
        <v>51.425704956054688</v>
      </c>
      <c r="FO2">
        <v>51.473747253417969</v>
      </c>
      <c r="FP2">
        <v>51.306621551513672</v>
      </c>
      <c r="FQ2">
        <v>50.782207489013672</v>
      </c>
      <c r="FR2">
        <v>547</v>
      </c>
      <c r="FS2">
        <v>5.4418839514255524E-2</v>
      </c>
      <c r="FT2">
        <v>1</v>
      </c>
    </row>
    <row r="3" spans="1:176" x14ac:dyDescent="0.2">
      <c r="A3" t="s">
        <v>1</v>
      </c>
      <c r="B3" t="s">
        <v>225</v>
      </c>
      <c r="C3" t="s">
        <v>233</v>
      </c>
      <c r="D3">
        <v>817</v>
      </c>
      <c r="E3">
        <v>817</v>
      </c>
      <c r="F3">
        <v>106.60639190673828</v>
      </c>
      <c r="G3">
        <v>103.53857421875</v>
      </c>
      <c r="H3">
        <v>101.14493560791016</v>
      </c>
      <c r="I3">
        <v>101.22720336914062</v>
      </c>
      <c r="J3">
        <v>103.96499633789062</v>
      </c>
      <c r="K3">
        <v>107.87648010253906</v>
      </c>
      <c r="L3">
        <v>114.59371185302734</v>
      </c>
      <c r="M3">
        <v>122.12815093994141</v>
      </c>
      <c r="N3">
        <v>135.62109375</v>
      </c>
      <c r="O3">
        <v>143.04811096191406</v>
      </c>
      <c r="P3">
        <v>154.666748046875</v>
      </c>
      <c r="Q3">
        <v>158.3363037109375</v>
      </c>
      <c r="R3">
        <v>160.66778564453125</v>
      </c>
      <c r="S3">
        <v>163.53883361816406</v>
      </c>
      <c r="T3">
        <v>165.83863830566406</v>
      </c>
      <c r="U3">
        <v>165.47468566894531</v>
      </c>
      <c r="V3">
        <v>169.0146484375</v>
      </c>
      <c r="W3">
        <v>171.74931335449219</v>
      </c>
      <c r="X3">
        <v>173.82513427734375</v>
      </c>
      <c r="Y3">
        <v>177.80372619628906</v>
      </c>
      <c r="Z3">
        <v>172.05783081054687</v>
      </c>
      <c r="AA3">
        <v>152.83645629882812</v>
      </c>
      <c r="AB3">
        <v>131.75764465332031</v>
      </c>
      <c r="AC3">
        <v>116.86433410644531</v>
      </c>
      <c r="AD3">
        <v>-5.655616283416748</v>
      </c>
      <c r="AE3">
        <v>-5.5948247909545898</v>
      </c>
      <c r="AF3">
        <v>-4.9025478363037109</v>
      </c>
      <c r="AG3">
        <v>-4.9140243530273437</v>
      </c>
      <c r="AH3">
        <v>-1.4051357507705688</v>
      </c>
      <c r="AI3">
        <v>-1.5240364074707031</v>
      </c>
      <c r="AJ3">
        <v>-0.91789424419403076</v>
      </c>
      <c r="AK3">
        <v>-1.1958955526351929</v>
      </c>
      <c r="AL3">
        <v>0.41705992817878723</v>
      </c>
      <c r="AM3">
        <v>-1.2271168231964111</v>
      </c>
      <c r="AN3">
        <v>2.0052876472473145</v>
      </c>
      <c r="AO3">
        <v>0.76061046123504639</v>
      </c>
      <c r="AP3">
        <v>0.2171323299407959</v>
      </c>
      <c r="AQ3">
        <v>-0.39765489101409912</v>
      </c>
      <c r="AR3">
        <v>-0.22086797654628754</v>
      </c>
      <c r="AS3">
        <v>-3.634727954864502</v>
      </c>
      <c r="AT3">
        <v>3.6980562210083008</v>
      </c>
      <c r="AU3">
        <v>41.181095123291016</v>
      </c>
      <c r="AV3">
        <v>8.5677061080932617</v>
      </c>
      <c r="AW3">
        <v>3.6541223526000977</v>
      </c>
      <c r="AX3">
        <v>-0.56184089183807373</v>
      </c>
      <c r="AY3">
        <v>-1.6400065422058105</v>
      </c>
      <c r="AZ3">
        <v>-1.6603611707687378</v>
      </c>
      <c r="BA3">
        <v>-2.757455587387085</v>
      </c>
      <c r="BB3">
        <v>-4.327174186706543</v>
      </c>
      <c r="BC3">
        <v>-4.2813019752502441</v>
      </c>
      <c r="BD3">
        <v>-3.5981013774871826</v>
      </c>
      <c r="BE3">
        <v>-3.5915296077728271</v>
      </c>
      <c r="BF3">
        <v>-6.7701883614063263E-2</v>
      </c>
      <c r="BG3">
        <v>-0.1848006397485733</v>
      </c>
      <c r="BH3">
        <v>0.45135995745658875</v>
      </c>
      <c r="BI3">
        <v>0.29869723320007324</v>
      </c>
      <c r="BJ3">
        <v>2.0894477367401123</v>
      </c>
      <c r="BK3">
        <v>0.52642673254013062</v>
      </c>
      <c r="BL3">
        <v>3.7756989002227783</v>
      </c>
      <c r="BM3">
        <v>2.5198910236358643</v>
      </c>
      <c r="BN3">
        <v>1.9868576526641846</v>
      </c>
      <c r="BO3">
        <v>1.3799960613250732</v>
      </c>
      <c r="BP3">
        <v>1.5931532382965088</v>
      </c>
      <c r="BQ3">
        <v>-1.753817081451416</v>
      </c>
      <c r="BR3">
        <v>5.5721874237060547</v>
      </c>
      <c r="BS3">
        <v>43.021865844726563</v>
      </c>
      <c r="BT3">
        <v>10.363083839416504</v>
      </c>
      <c r="BU3">
        <v>5.4379973411560059</v>
      </c>
      <c r="BV3">
        <v>1.2443152666091919</v>
      </c>
      <c r="BW3">
        <v>0.17610235512256622</v>
      </c>
      <c r="BX3">
        <v>0.12771441042423248</v>
      </c>
      <c r="BY3">
        <v>-0.95003914833068848</v>
      </c>
      <c r="BZ3">
        <v>-3.4070992469787598</v>
      </c>
      <c r="CA3">
        <v>-3.3715600967407227</v>
      </c>
      <c r="CB3">
        <v>-2.694645881652832</v>
      </c>
      <c r="CC3">
        <v>-2.6755738258361816</v>
      </c>
      <c r="CD3">
        <v>0.85860073566436768</v>
      </c>
      <c r="CE3">
        <v>0.74274998903274536</v>
      </c>
      <c r="CF3">
        <v>1.3997012376785278</v>
      </c>
      <c r="CG3">
        <v>1.3338476419448853</v>
      </c>
      <c r="CH3">
        <v>3.2477385997772217</v>
      </c>
      <c r="CI3">
        <v>1.740925669670105</v>
      </c>
      <c r="CJ3">
        <v>5.0018801689147949</v>
      </c>
      <c r="CK3">
        <v>3.7383632659912109</v>
      </c>
      <c r="CL3">
        <v>3.2125639915466309</v>
      </c>
      <c r="CM3">
        <v>2.6111917495727539</v>
      </c>
      <c r="CN3">
        <v>2.8495388031005859</v>
      </c>
      <c r="CO3">
        <v>-0.45110398530960083</v>
      </c>
      <c r="CP3">
        <v>6.8702049255371094</v>
      </c>
      <c r="CQ3">
        <v>44.296775817871094</v>
      </c>
      <c r="CR3">
        <v>11.606557846069336</v>
      </c>
      <c r="CS3">
        <v>6.6735038757324219</v>
      </c>
      <c r="CT3">
        <v>2.4952535629272461</v>
      </c>
      <c r="CU3">
        <v>1.4339338541030884</v>
      </c>
      <c r="CV3">
        <v>1.3661301136016846</v>
      </c>
      <c r="CW3">
        <v>0.30177208781242371</v>
      </c>
      <c r="CX3">
        <v>-2.4870243072509766</v>
      </c>
      <c r="CY3">
        <v>-2.4618182182312012</v>
      </c>
      <c r="CZ3">
        <v>-1.7911902666091919</v>
      </c>
      <c r="DA3">
        <v>-1.7596180438995361</v>
      </c>
      <c r="DB3">
        <v>1.7849034070968628</v>
      </c>
      <c r="DC3">
        <v>1.6703006029129028</v>
      </c>
      <c r="DD3">
        <v>2.3480424880981445</v>
      </c>
      <c r="DE3">
        <v>2.3689980506896973</v>
      </c>
      <c r="DF3">
        <v>4.406029224395752</v>
      </c>
      <c r="DG3">
        <v>2.9554245471954346</v>
      </c>
      <c r="DH3">
        <v>6.2280616760253906</v>
      </c>
      <c r="DI3">
        <v>4.9568357467651367</v>
      </c>
      <c r="DJ3">
        <v>4.4382705688476563</v>
      </c>
      <c r="DK3">
        <v>3.8423874378204346</v>
      </c>
      <c r="DL3">
        <v>4.105924129486084</v>
      </c>
      <c r="DM3">
        <v>0.85160917043685913</v>
      </c>
      <c r="DN3">
        <v>8.1682224273681641</v>
      </c>
      <c r="DO3">
        <v>45.571685791015625</v>
      </c>
      <c r="DP3">
        <v>12.850031852722168</v>
      </c>
      <c r="DQ3">
        <v>7.9090104103088379</v>
      </c>
      <c r="DR3">
        <v>3.7461917400360107</v>
      </c>
      <c r="DS3">
        <v>2.691765308380127</v>
      </c>
      <c r="DT3">
        <v>2.6045458316802979</v>
      </c>
      <c r="DU3">
        <v>1.5535832643508911</v>
      </c>
      <c r="DV3">
        <v>-1.1585819721221924</v>
      </c>
      <c r="DW3">
        <v>-1.1482956409454346</v>
      </c>
      <c r="DX3">
        <v>-0.48674389719963074</v>
      </c>
      <c r="DY3">
        <v>-0.43712323904037476</v>
      </c>
      <c r="DZ3">
        <v>3.1223371028900146</v>
      </c>
      <c r="EA3">
        <v>3.0095365047454834</v>
      </c>
      <c r="EB3">
        <v>3.7172966003417969</v>
      </c>
      <c r="EC3">
        <v>3.8635907173156738</v>
      </c>
      <c r="ED3">
        <v>6.0784173011779785</v>
      </c>
      <c r="EE3">
        <v>4.7089681625366211</v>
      </c>
      <c r="EF3">
        <v>7.9984726905822754</v>
      </c>
      <c r="EG3">
        <v>6.7161159515380859</v>
      </c>
      <c r="EH3">
        <v>6.2079958915710449</v>
      </c>
      <c r="EI3">
        <v>5.6200385093688965</v>
      </c>
      <c r="EJ3">
        <v>5.9199457168579102</v>
      </c>
      <c r="EK3">
        <v>2.7325201034545898</v>
      </c>
      <c r="EL3">
        <v>10.042353630065918</v>
      </c>
      <c r="EM3">
        <v>47.412456512451172</v>
      </c>
      <c r="EN3">
        <v>14.64540958404541</v>
      </c>
      <c r="EO3">
        <v>9.6928853988647461</v>
      </c>
      <c r="EP3">
        <v>5.5523481369018555</v>
      </c>
      <c r="EQ3">
        <v>4.5078744888305664</v>
      </c>
      <c r="ER3">
        <v>4.3926215171813965</v>
      </c>
      <c r="ES3">
        <v>3.3609998226165771</v>
      </c>
      <c r="ET3">
        <v>67.452156066894531</v>
      </c>
      <c r="EU3">
        <v>65.500709533691406</v>
      </c>
      <c r="EV3">
        <v>64.55218505859375</v>
      </c>
      <c r="EW3">
        <v>64.178878784179687</v>
      </c>
      <c r="EX3">
        <v>65.415870666503906</v>
      </c>
      <c r="EY3">
        <v>67.404350280761719</v>
      </c>
      <c r="EZ3">
        <v>72.786514282226563</v>
      </c>
      <c r="FA3">
        <v>78.249397277832031</v>
      </c>
      <c r="FB3">
        <v>82.03094482421875</v>
      </c>
      <c r="FC3">
        <v>84.819320678710937</v>
      </c>
      <c r="FD3">
        <v>86.524124145507813</v>
      </c>
      <c r="FE3">
        <v>87.524528503417969</v>
      </c>
      <c r="FF3">
        <v>88.829948425292969</v>
      </c>
      <c r="FG3">
        <v>90.23016357421875</v>
      </c>
      <c r="FH3">
        <v>90.89337158203125</v>
      </c>
      <c r="FI3">
        <v>90.552658081054687</v>
      </c>
      <c r="FJ3">
        <v>89.760086059570313</v>
      </c>
      <c r="FK3">
        <v>88.06414794921875</v>
      </c>
      <c r="FL3">
        <v>85.480262756347656</v>
      </c>
      <c r="FM3">
        <v>81.316009521484375</v>
      </c>
      <c r="FN3">
        <v>78.582435607910156</v>
      </c>
      <c r="FO3">
        <v>76.584396362304688</v>
      </c>
      <c r="FP3">
        <v>75.396697998046875</v>
      </c>
      <c r="FQ3">
        <v>74.759201049804687</v>
      </c>
      <c r="FR3">
        <v>817</v>
      </c>
      <c r="FS3">
        <v>8.9408211410045624E-2</v>
      </c>
      <c r="FT3">
        <v>1</v>
      </c>
    </row>
    <row r="4" spans="1:176" x14ac:dyDescent="0.2">
      <c r="A4" t="s">
        <v>1</v>
      </c>
      <c r="B4" t="s">
        <v>225</v>
      </c>
      <c r="C4" t="s">
        <v>234</v>
      </c>
      <c r="D4">
        <v>817</v>
      </c>
      <c r="E4">
        <v>817</v>
      </c>
      <c r="F4">
        <v>110.02503967285156</v>
      </c>
      <c r="G4">
        <v>105.90605163574219</v>
      </c>
      <c r="H4">
        <v>102.72657775878906</v>
      </c>
      <c r="I4">
        <v>103.64840698242187</v>
      </c>
      <c r="J4">
        <v>107.21651458740234</v>
      </c>
      <c r="K4">
        <v>111.53042602539062</v>
      </c>
      <c r="L4">
        <v>118.83251953125</v>
      </c>
      <c r="M4">
        <v>127.17949676513672</v>
      </c>
      <c r="N4">
        <v>140.84979248046875</v>
      </c>
      <c r="O4">
        <v>147.7724609375</v>
      </c>
      <c r="P4">
        <v>159.42257690429688</v>
      </c>
      <c r="Q4">
        <v>163.25294494628906</v>
      </c>
      <c r="R4">
        <v>165.91085815429687</v>
      </c>
      <c r="S4">
        <v>169.57569885253906</v>
      </c>
      <c r="T4">
        <v>172.23916625976562</v>
      </c>
      <c r="U4">
        <v>171.15577697753906</v>
      </c>
      <c r="V4">
        <v>174.74777221679687</v>
      </c>
      <c r="W4">
        <v>177.86334228515625</v>
      </c>
      <c r="X4">
        <v>179.80955505371094</v>
      </c>
      <c r="Y4">
        <v>185.398193359375</v>
      </c>
      <c r="Z4">
        <v>179.42387390136719</v>
      </c>
      <c r="AA4">
        <v>158.99949645996094</v>
      </c>
      <c r="AB4">
        <v>136.10134887695312</v>
      </c>
      <c r="AC4">
        <v>120.38900756835937</v>
      </c>
      <c r="AD4">
        <v>-3.8448235988616943</v>
      </c>
      <c r="AE4">
        <v>-5.8735923767089844</v>
      </c>
      <c r="AF4">
        <v>-6.3293328285217285</v>
      </c>
      <c r="AG4">
        <v>-4.9689488410949707</v>
      </c>
      <c r="AH4">
        <v>-4.0772242546081543</v>
      </c>
      <c r="AI4">
        <v>-4.379605770111084</v>
      </c>
      <c r="AJ4">
        <v>-1.5561550855636597</v>
      </c>
      <c r="AK4">
        <v>-1.2176676988601685</v>
      </c>
      <c r="AL4">
        <v>1.2099134922027588</v>
      </c>
      <c r="AM4">
        <v>-1.3843961954116821</v>
      </c>
      <c r="AN4">
        <v>-1.8078582286834717</v>
      </c>
      <c r="AO4">
        <v>-2.966214656829834</v>
      </c>
      <c r="AP4">
        <v>-3.922762393951416</v>
      </c>
      <c r="AQ4">
        <v>5.3506588935852051</v>
      </c>
      <c r="AR4">
        <v>46.107948303222656</v>
      </c>
      <c r="AS4">
        <v>38.630123138427734</v>
      </c>
      <c r="AT4">
        <v>37.817958831787109</v>
      </c>
      <c r="AU4">
        <v>36.406436920166016</v>
      </c>
      <c r="AV4">
        <v>1.0374965667724609</v>
      </c>
      <c r="AW4">
        <v>-1.3919023275375366</v>
      </c>
      <c r="AX4">
        <v>-3.3091297149658203</v>
      </c>
      <c r="AY4">
        <v>-3.9360420703887939</v>
      </c>
      <c r="AZ4">
        <v>-4.8109512329101562</v>
      </c>
      <c r="BA4">
        <v>-5.5756525993347168</v>
      </c>
      <c r="BB4">
        <v>-2.2296826839447021</v>
      </c>
      <c r="BC4">
        <v>-4.2712550163269043</v>
      </c>
      <c r="BD4">
        <v>-4.7750935554504395</v>
      </c>
      <c r="BE4">
        <v>-3.4759316444396973</v>
      </c>
      <c r="BF4">
        <v>-2.5777482986450195</v>
      </c>
      <c r="BG4">
        <v>-2.8427102565765381</v>
      </c>
      <c r="BH4">
        <v>4.886205866932869E-2</v>
      </c>
      <c r="BI4">
        <v>0.46824011206626892</v>
      </c>
      <c r="BJ4">
        <v>2.9927396774291992</v>
      </c>
      <c r="BK4">
        <v>0.45466318726539612</v>
      </c>
      <c r="BL4">
        <v>6.05020672082901E-2</v>
      </c>
      <c r="BM4">
        <v>-1.0735385417938232</v>
      </c>
      <c r="BN4">
        <v>-1.9701474905014038</v>
      </c>
      <c r="BO4">
        <v>7.3286128044128418</v>
      </c>
      <c r="BP4">
        <v>48.107860565185547</v>
      </c>
      <c r="BQ4">
        <v>40.699748992919922</v>
      </c>
      <c r="BR4">
        <v>39.880329132080078</v>
      </c>
      <c r="BS4">
        <v>38.429130554199219</v>
      </c>
      <c r="BT4">
        <v>3.0020177364349365</v>
      </c>
      <c r="BU4">
        <v>0.53638178110122681</v>
      </c>
      <c r="BV4">
        <v>-1.3774681091308594</v>
      </c>
      <c r="BW4">
        <v>-1.9920105934143066</v>
      </c>
      <c r="BX4">
        <v>-2.9111075401306152</v>
      </c>
      <c r="BY4">
        <v>-3.7080049514770508</v>
      </c>
      <c r="BZ4">
        <v>-1.1110410690307617</v>
      </c>
      <c r="CA4">
        <v>-3.1614809036254883</v>
      </c>
      <c r="CB4">
        <v>-3.698631763458252</v>
      </c>
      <c r="CC4">
        <v>-2.4418725967407227</v>
      </c>
      <c r="CD4">
        <v>-1.5392159223556519</v>
      </c>
      <c r="CE4">
        <v>-1.7782611846923828</v>
      </c>
      <c r="CF4">
        <v>1.1604920625686646</v>
      </c>
      <c r="CG4">
        <v>1.635894775390625</v>
      </c>
      <c r="CH4">
        <v>4.2275195121765137</v>
      </c>
      <c r="CI4">
        <v>1.728390097618103</v>
      </c>
      <c r="CJ4">
        <v>1.354522705078125</v>
      </c>
      <c r="CK4">
        <v>0.23732326924800873</v>
      </c>
      <c r="CL4">
        <v>-0.61777228116989136</v>
      </c>
      <c r="CM4">
        <v>8.6985378265380859</v>
      </c>
      <c r="CN4">
        <v>49.492992401123047</v>
      </c>
      <c r="CO4">
        <v>42.133167266845703</v>
      </c>
      <c r="CP4">
        <v>41.308719635009766</v>
      </c>
      <c r="CQ4">
        <v>39.830043792724609</v>
      </c>
      <c r="CR4">
        <v>4.3626389503479004</v>
      </c>
      <c r="CS4">
        <v>1.8719054460525513</v>
      </c>
      <c r="CT4">
        <v>-3.9605170488357544E-2</v>
      </c>
      <c r="CU4">
        <v>-0.64558035135269165</v>
      </c>
      <c r="CV4">
        <v>-1.5952818393707275</v>
      </c>
      <c r="CW4">
        <v>-2.4144778251647949</v>
      </c>
      <c r="CX4">
        <v>7.6005659066140652E-3</v>
      </c>
      <c r="CY4">
        <v>-2.0517067909240723</v>
      </c>
      <c r="CZ4">
        <v>-2.6221702098846436</v>
      </c>
      <c r="DA4">
        <v>-1.4078134298324585</v>
      </c>
      <c r="DB4">
        <v>-0.5006834864616394</v>
      </c>
      <c r="DC4">
        <v>-0.71381205320358276</v>
      </c>
      <c r="DD4">
        <v>2.2721221446990967</v>
      </c>
      <c r="DE4">
        <v>2.8035495281219482</v>
      </c>
      <c r="DF4">
        <v>5.4622993469238281</v>
      </c>
      <c r="DG4">
        <v>3.0021169185638428</v>
      </c>
      <c r="DH4">
        <v>2.6485433578491211</v>
      </c>
      <c r="DI4">
        <v>1.5481849908828735</v>
      </c>
      <c r="DJ4">
        <v>0.73460286855697632</v>
      </c>
      <c r="DK4">
        <v>10.068462371826172</v>
      </c>
      <c r="DL4">
        <v>50.878124237060547</v>
      </c>
      <c r="DM4">
        <v>43.566585540771484</v>
      </c>
      <c r="DN4">
        <v>42.737110137939453</v>
      </c>
      <c r="DO4">
        <v>41.23095703125</v>
      </c>
      <c r="DP4">
        <v>5.7232604026794434</v>
      </c>
      <c r="DQ4">
        <v>3.2074291706085205</v>
      </c>
      <c r="DR4">
        <v>1.2982577085494995</v>
      </c>
      <c r="DS4">
        <v>0.70084989070892334</v>
      </c>
      <c r="DT4">
        <v>-0.27945601940155029</v>
      </c>
      <c r="DU4">
        <v>-1.1209506988525391</v>
      </c>
      <c r="DV4">
        <v>1.6227414608001709</v>
      </c>
      <c r="DW4">
        <v>-0.44936925172805786</v>
      </c>
      <c r="DX4">
        <v>-1.0679305791854858</v>
      </c>
      <c r="DY4">
        <v>8.5203640162944794E-2</v>
      </c>
      <c r="DZ4">
        <v>0.99879240989685059</v>
      </c>
      <c r="EA4">
        <v>0.82308346033096313</v>
      </c>
      <c r="EB4">
        <v>3.8771393299102783</v>
      </c>
      <c r="EC4">
        <v>4.4894571304321289</v>
      </c>
      <c r="ED4">
        <v>7.2451257705688477</v>
      </c>
      <c r="EE4">
        <v>4.8411765098571777</v>
      </c>
      <c r="EF4">
        <v>4.5169034004211426</v>
      </c>
      <c r="EG4">
        <v>3.4408612251281738</v>
      </c>
      <c r="EH4">
        <v>2.6872177124023437</v>
      </c>
      <c r="EI4">
        <v>12.046417236328125</v>
      </c>
      <c r="EJ4">
        <v>52.878036499023438</v>
      </c>
      <c r="EK4">
        <v>45.636211395263672</v>
      </c>
      <c r="EL4">
        <v>44.799480438232422</v>
      </c>
      <c r="EM4">
        <v>43.253650665283203</v>
      </c>
      <c r="EN4">
        <v>7.6877813339233398</v>
      </c>
      <c r="EO4">
        <v>5.1357131004333496</v>
      </c>
      <c r="EP4">
        <v>3.22991943359375</v>
      </c>
      <c r="EQ4">
        <v>2.6448812484741211</v>
      </c>
      <c r="ER4">
        <v>1.6203874349594116</v>
      </c>
      <c r="ES4">
        <v>0.74669712781906128</v>
      </c>
      <c r="ET4">
        <v>73.646224975585938</v>
      </c>
      <c r="EU4">
        <v>71.846450805664063</v>
      </c>
      <c r="EV4">
        <v>69.945228576660156</v>
      </c>
      <c r="EW4">
        <v>69.945182800292969</v>
      </c>
      <c r="EX4">
        <v>70.17901611328125</v>
      </c>
      <c r="EY4">
        <v>71.651321411132813</v>
      </c>
      <c r="EZ4">
        <v>75.668182373046875</v>
      </c>
      <c r="FA4">
        <v>80.526107788085938</v>
      </c>
      <c r="FB4">
        <v>84.586563110351563</v>
      </c>
      <c r="FC4">
        <v>88.099273681640625</v>
      </c>
      <c r="FD4">
        <v>90.811485290527344</v>
      </c>
      <c r="FE4">
        <v>92.507888793945313</v>
      </c>
      <c r="FF4">
        <v>94.211112976074219</v>
      </c>
      <c r="FG4">
        <v>95.147605895996094</v>
      </c>
      <c r="FH4">
        <v>96.06500244140625</v>
      </c>
      <c r="FI4">
        <v>95.225028991699219</v>
      </c>
      <c r="FJ4">
        <v>93.180435180664063</v>
      </c>
      <c r="FK4">
        <v>91.502830505371094</v>
      </c>
      <c r="FL4">
        <v>88.5782470703125</v>
      </c>
      <c r="FM4">
        <v>84.061653137207031</v>
      </c>
      <c r="FN4">
        <v>80.610260009765625</v>
      </c>
      <c r="FO4">
        <v>77.798263549804688</v>
      </c>
      <c r="FP4">
        <v>75.579544067382813</v>
      </c>
      <c r="FQ4">
        <v>74.756118774414063</v>
      </c>
      <c r="FR4">
        <v>817</v>
      </c>
      <c r="FS4">
        <v>9.01670902967453E-2</v>
      </c>
      <c r="FT4">
        <v>1</v>
      </c>
    </row>
    <row r="5" spans="1:176" x14ac:dyDescent="0.2">
      <c r="A5" t="s">
        <v>1</v>
      </c>
      <c r="B5" t="s">
        <v>225</v>
      </c>
      <c r="C5" t="s">
        <v>235</v>
      </c>
      <c r="D5">
        <v>817</v>
      </c>
      <c r="E5">
        <v>817</v>
      </c>
      <c r="F5">
        <v>114.73865509033203</v>
      </c>
      <c r="G5">
        <v>111.02256011962891</v>
      </c>
      <c r="H5">
        <v>107.8115234375</v>
      </c>
      <c r="I5">
        <v>108.14139556884766</v>
      </c>
      <c r="J5">
        <v>111.36129760742187</v>
      </c>
      <c r="K5">
        <v>115.58660125732422</v>
      </c>
      <c r="L5">
        <v>122.45551300048828</v>
      </c>
      <c r="M5">
        <v>130.66539001464844</v>
      </c>
      <c r="N5">
        <v>144.91024780273438</v>
      </c>
      <c r="O5">
        <v>152.57565307617187</v>
      </c>
      <c r="P5">
        <v>165.05274963378906</v>
      </c>
      <c r="Q5">
        <v>169.31971740722656</v>
      </c>
      <c r="R5">
        <v>171.53253173828125</v>
      </c>
      <c r="S5">
        <v>174.40873718261719</v>
      </c>
      <c r="T5">
        <v>177.19752502441406</v>
      </c>
      <c r="U5">
        <v>175.26785278320312</v>
      </c>
      <c r="V5">
        <v>178.43904113769531</v>
      </c>
      <c r="W5">
        <v>181.35649108886719</v>
      </c>
      <c r="X5">
        <v>183.30918884277344</v>
      </c>
      <c r="Y5">
        <v>188.47398376464844</v>
      </c>
      <c r="Z5">
        <v>182.54551696777344</v>
      </c>
      <c r="AA5">
        <v>161.58038330078125</v>
      </c>
      <c r="AB5">
        <v>139.54779052734375</v>
      </c>
      <c r="AC5">
        <v>124.56688690185547</v>
      </c>
      <c r="AD5">
        <v>-5.9199185371398926</v>
      </c>
      <c r="AE5">
        <v>-5.8870058059692383</v>
      </c>
      <c r="AF5">
        <v>-5.3971385955810547</v>
      </c>
      <c r="AG5">
        <v>-4.9427599906921387</v>
      </c>
      <c r="AH5">
        <v>-4.6844611167907715</v>
      </c>
      <c r="AI5">
        <v>-5.0921940803527832</v>
      </c>
      <c r="AJ5">
        <v>-2.2905652523040771</v>
      </c>
      <c r="AK5">
        <v>-3.3794190883636475</v>
      </c>
      <c r="AL5">
        <v>-1.6420289278030396</v>
      </c>
      <c r="AM5">
        <v>-1.7410088777542114</v>
      </c>
      <c r="AN5">
        <v>-1.187614917755127</v>
      </c>
      <c r="AO5">
        <v>-2.398928165435791</v>
      </c>
      <c r="AP5">
        <v>-1.2386270761489868</v>
      </c>
      <c r="AQ5">
        <v>40.422519683837891</v>
      </c>
      <c r="AR5">
        <v>40.248031616210937</v>
      </c>
      <c r="AS5">
        <v>34.405494689941406</v>
      </c>
      <c r="AT5">
        <v>32.213706970214844</v>
      </c>
      <c r="AU5">
        <v>30.687515258789063</v>
      </c>
      <c r="AV5">
        <v>-4.9931039810180664</v>
      </c>
      <c r="AW5">
        <v>-8.0208311080932617</v>
      </c>
      <c r="AX5">
        <v>-7.8932056427001953</v>
      </c>
      <c r="AY5">
        <v>-7.6672224998474121</v>
      </c>
      <c r="AZ5">
        <v>-5.4724154472351074</v>
      </c>
      <c r="BA5">
        <v>-4.4840483665466309</v>
      </c>
      <c r="BB5">
        <v>-4.3496661186218262</v>
      </c>
      <c r="BC5">
        <v>-4.3444018363952637</v>
      </c>
      <c r="BD5">
        <v>-3.8699748516082764</v>
      </c>
      <c r="BE5">
        <v>-3.4416878223419189</v>
      </c>
      <c r="BF5">
        <v>-3.1659717559814453</v>
      </c>
      <c r="BG5">
        <v>-3.5702886581420898</v>
      </c>
      <c r="BH5">
        <v>-0.73931539058685303</v>
      </c>
      <c r="BI5">
        <v>-1.770038366317749</v>
      </c>
      <c r="BJ5">
        <v>3.8178317248821259E-2</v>
      </c>
      <c r="BK5">
        <v>5.2555356174707413E-2</v>
      </c>
      <c r="BL5">
        <v>0.72410053014755249</v>
      </c>
      <c r="BM5">
        <v>-0.42057421803474426</v>
      </c>
      <c r="BN5">
        <v>0.7876436710357666</v>
      </c>
      <c r="BO5">
        <v>42.461051940917969</v>
      </c>
      <c r="BP5">
        <v>42.281490325927734</v>
      </c>
      <c r="BQ5">
        <v>36.501457214355469</v>
      </c>
      <c r="BR5">
        <v>34.284198760986328</v>
      </c>
      <c r="BS5">
        <v>32.705936431884766</v>
      </c>
      <c r="BT5">
        <v>-3.0336401462554932</v>
      </c>
      <c r="BU5">
        <v>-6.0923447608947754</v>
      </c>
      <c r="BV5">
        <v>-5.9721808433532715</v>
      </c>
      <c r="BW5">
        <v>-5.750004768371582</v>
      </c>
      <c r="BX5">
        <v>-3.5938060283660889</v>
      </c>
      <c r="BY5">
        <v>-2.6145925521850586</v>
      </c>
      <c r="BZ5">
        <v>-3.2621140480041504</v>
      </c>
      <c r="CA5">
        <v>-3.2759990692138672</v>
      </c>
      <c r="CB5">
        <v>-2.8122661113739014</v>
      </c>
      <c r="CC5">
        <v>-2.4020500183105469</v>
      </c>
      <c r="CD5">
        <v>-2.1142706871032715</v>
      </c>
      <c r="CE5">
        <v>-2.5162215232849121</v>
      </c>
      <c r="CF5">
        <v>0.33507564663887024</v>
      </c>
      <c r="CG5">
        <v>-0.65538626909255981</v>
      </c>
      <c r="CH5">
        <v>1.2018847465515137</v>
      </c>
      <c r="CI5">
        <v>1.2947725057601929</v>
      </c>
      <c r="CJ5">
        <v>2.0481488704681396</v>
      </c>
      <c r="CK5">
        <v>0.94962775707244873</v>
      </c>
      <c r="CL5">
        <v>2.1910326480865479</v>
      </c>
      <c r="CM5">
        <v>43.872932434082031</v>
      </c>
      <c r="CN5">
        <v>43.689857482910156</v>
      </c>
      <c r="CO5">
        <v>37.953117370605469</v>
      </c>
      <c r="CP5">
        <v>35.718215942382812</v>
      </c>
      <c r="CQ5">
        <v>34.103889465332031</v>
      </c>
      <c r="CR5">
        <v>-1.6765214204788208</v>
      </c>
      <c r="CS5">
        <v>-4.7566814422607422</v>
      </c>
      <c r="CT5">
        <v>-4.6416850090026855</v>
      </c>
      <c r="CU5">
        <v>-4.4221458435058594</v>
      </c>
      <c r="CV5">
        <v>-2.292686939239502</v>
      </c>
      <c r="CW5">
        <v>-1.3198132514953613</v>
      </c>
      <c r="CX5">
        <v>-2.1745619773864746</v>
      </c>
      <c r="CY5">
        <v>-2.2075963020324707</v>
      </c>
      <c r="CZ5">
        <v>-1.7545572519302368</v>
      </c>
      <c r="DA5">
        <v>-1.3624120950698853</v>
      </c>
      <c r="DB5">
        <v>-1.0625696182250977</v>
      </c>
      <c r="DC5">
        <v>-1.4621543884277344</v>
      </c>
      <c r="DD5">
        <v>1.4094666242599487</v>
      </c>
      <c r="DE5">
        <v>0.45926588773727417</v>
      </c>
      <c r="DF5">
        <v>2.365591287612915</v>
      </c>
      <c r="DG5">
        <v>2.536989688873291</v>
      </c>
      <c r="DH5">
        <v>3.372197151184082</v>
      </c>
      <c r="DI5">
        <v>2.3198297023773193</v>
      </c>
      <c r="DJ5">
        <v>3.5944216251373291</v>
      </c>
      <c r="DK5">
        <v>45.284812927246094</v>
      </c>
      <c r="DL5">
        <v>45.098224639892578</v>
      </c>
      <c r="DM5">
        <v>39.404777526855469</v>
      </c>
      <c r="DN5">
        <v>37.152233123779297</v>
      </c>
      <c r="DO5">
        <v>35.501842498779297</v>
      </c>
      <c r="DP5">
        <v>-0.31940275430679321</v>
      </c>
      <c r="DQ5">
        <v>-3.4210178852081299</v>
      </c>
      <c r="DR5">
        <v>-3.3111891746520996</v>
      </c>
      <c r="DS5">
        <v>-3.0942869186401367</v>
      </c>
      <c r="DT5">
        <v>-0.99156779050827026</v>
      </c>
      <c r="DU5">
        <v>-2.5033950805664063E-2</v>
      </c>
      <c r="DV5">
        <v>-0.6043097972869873</v>
      </c>
      <c r="DW5">
        <v>-0.66499251127243042</v>
      </c>
      <c r="DX5">
        <v>-0.22739376127719879</v>
      </c>
      <c r="DY5">
        <v>0.13865981996059418</v>
      </c>
      <c r="DZ5">
        <v>0.45591956377029419</v>
      </c>
      <c r="EA5">
        <v>5.9751193970441818E-2</v>
      </c>
      <c r="EB5">
        <v>2.960716724395752</v>
      </c>
      <c r="EC5">
        <v>2.0686466693878174</v>
      </c>
      <c r="ED5">
        <v>4.0457983016967773</v>
      </c>
      <c r="EE5">
        <v>4.3305540084838867</v>
      </c>
      <c r="EF5">
        <v>5.2839126586914062</v>
      </c>
      <c r="EG5">
        <v>4.2981839179992676</v>
      </c>
      <c r="EH5">
        <v>5.620692253112793</v>
      </c>
      <c r="EI5">
        <v>47.323345184326172</v>
      </c>
      <c r="EJ5">
        <v>47.131683349609375</v>
      </c>
      <c r="EK5">
        <v>41.500740051269531</v>
      </c>
      <c r="EL5">
        <v>39.222724914550781</v>
      </c>
      <c r="EM5">
        <v>37.520263671875</v>
      </c>
      <c r="EN5">
        <v>1.6400611400604248</v>
      </c>
      <c r="EO5">
        <v>-1.4925321340560913</v>
      </c>
      <c r="EP5">
        <v>-1.3901644945144653</v>
      </c>
      <c r="EQ5">
        <v>-1.1770693063735962</v>
      </c>
      <c r="ER5">
        <v>0.88704162836074829</v>
      </c>
      <c r="ES5">
        <v>1.8444217443466187</v>
      </c>
      <c r="ET5">
        <v>72.768867492675781</v>
      </c>
      <c r="EU5">
        <v>71.027671813964844</v>
      </c>
      <c r="EV5">
        <v>69.787376403808594</v>
      </c>
      <c r="EW5">
        <v>68.693473815917969</v>
      </c>
      <c r="EX5">
        <v>68.437034606933594</v>
      </c>
      <c r="EY5">
        <v>69.450920104980469</v>
      </c>
      <c r="EZ5">
        <v>73.528457641601563</v>
      </c>
      <c r="FA5">
        <v>80.466766357421875</v>
      </c>
      <c r="FB5">
        <v>87.1629638671875</v>
      </c>
      <c r="FC5">
        <v>91.702392578125</v>
      </c>
      <c r="FD5">
        <v>94.163192749023438</v>
      </c>
      <c r="FE5">
        <v>95.693794250488281</v>
      </c>
      <c r="FF5">
        <v>96.868324279785156</v>
      </c>
      <c r="FG5">
        <v>97.02490234375</v>
      </c>
      <c r="FH5">
        <v>97.039588928222656</v>
      </c>
      <c r="FI5">
        <v>96.411346435546875</v>
      </c>
      <c r="FJ5">
        <v>95.119499206542969</v>
      </c>
      <c r="FK5">
        <v>92.947708129882813</v>
      </c>
      <c r="FL5">
        <v>89.289276123046875</v>
      </c>
      <c r="FM5">
        <v>85.674789428710938</v>
      </c>
      <c r="FN5">
        <v>82.836883544921875</v>
      </c>
      <c r="FO5">
        <v>80.490394592285156</v>
      </c>
      <c r="FP5">
        <v>78.40802001953125</v>
      </c>
      <c r="FQ5">
        <v>76.309913635253906</v>
      </c>
      <c r="FR5">
        <v>817</v>
      </c>
      <c r="FS5">
        <v>8.8296227157115936E-2</v>
      </c>
      <c r="FT5">
        <v>1</v>
      </c>
    </row>
    <row r="6" spans="1:176" x14ac:dyDescent="0.2">
      <c r="A6" t="s">
        <v>1</v>
      </c>
      <c r="B6" t="s">
        <v>225</v>
      </c>
      <c r="C6" t="s">
        <v>236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T6">
        <v>0</v>
      </c>
    </row>
    <row r="7" spans="1:176" x14ac:dyDescent="0.2">
      <c r="A7" t="s">
        <v>1</v>
      </c>
      <c r="B7" t="s">
        <v>225</v>
      </c>
      <c r="C7" t="s">
        <v>237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T7">
        <v>0</v>
      </c>
    </row>
    <row r="8" spans="1:176" x14ac:dyDescent="0.2">
      <c r="A8" t="s">
        <v>1</v>
      </c>
      <c r="B8" t="s">
        <v>225</v>
      </c>
      <c r="C8" t="s">
        <v>238</v>
      </c>
      <c r="D8">
        <v>854</v>
      </c>
      <c r="E8">
        <v>854</v>
      </c>
      <c r="F8">
        <v>127.71878814697266</v>
      </c>
      <c r="G8">
        <v>125.97154998779297</v>
      </c>
      <c r="H8">
        <v>124.04367828369141</v>
      </c>
      <c r="I8">
        <v>125.13589477539062</v>
      </c>
      <c r="J8">
        <v>128.49113464355469</v>
      </c>
      <c r="K8">
        <v>133.95925903320312</v>
      </c>
      <c r="L8">
        <v>140.81819152832031</v>
      </c>
      <c r="M8">
        <v>148.82083129882812</v>
      </c>
      <c r="N8">
        <v>160.70564270019531</v>
      </c>
      <c r="O8">
        <v>168.30888366699219</v>
      </c>
      <c r="P8">
        <v>176.67214965820312</v>
      </c>
      <c r="Q8">
        <v>178.81472778320312</v>
      </c>
      <c r="R8">
        <v>180.7928466796875</v>
      </c>
      <c r="S8">
        <v>184.5411376953125</v>
      </c>
      <c r="T8">
        <v>185.37527465820313</v>
      </c>
      <c r="U8">
        <v>189.86470031738281</v>
      </c>
      <c r="V8">
        <v>193.24351501464844</v>
      </c>
      <c r="W8">
        <v>194.89190673828125</v>
      </c>
      <c r="X8">
        <v>196.43910217285156</v>
      </c>
      <c r="Y8">
        <v>193.30073547363281</v>
      </c>
      <c r="Z8">
        <v>189.05174255371094</v>
      </c>
      <c r="AA8">
        <v>171.37379455566406</v>
      </c>
      <c r="AB8">
        <v>149.55569458007813</v>
      </c>
      <c r="AC8">
        <v>135.61027526855469</v>
      </c>
      <c r="AD8">
        <v>-1.0830997228622437</v>
      </c>
      <c r="AE8">
        <v>-1.3308141231536865</v>
      </c>
      <c r="AF8">
        <v>-1.8506783246994019</v>
      </c>
      <c r="AG8">
        <v>-1.2316296100616455</v>
      </c>
      <c r="AH8">
        <v>-2.1633002758026123</v>
      </c>
      <c r="AI8">
        <v>-0.915904700756073</v>
      </c>
      <c r="AJ8">
        <v>-1.3218554258346558</v>
      </c>
      <c r="AK8">
        <v>-5.8634700775146484</v>
      </c>
      <c r="AL8">
        <v>-8.1614179611206055</v>
      </c>
      <c r="AM8">
        <v>-7.0651907920837402</v>
      </c>
      <c r="AN8">
        <v>-5.1333494186401367</v>
      </c>
      <c r="AO8">
        <v>-2.5081686973571777</v>
      </c>
      <c r="AP8">
        <v>3.4786233901977539</v>
      </c>
      <c r="AQ8">
        <v>44.916248321533203</v>
      </c>
      <c r="AR8">
        <v>41.731498718261719</v>
      </c>
      <c r="AS8">
        <v>6.9403781890869141</v>
      </c>
      <c r="AT8">
        <v>-3.1712205410003662</v>
      </c>
      <c r="AU8">
        <v>-2.1014118194580078</v>
      </c>
      <c r="AV8">
        <v>-0.93038201332092285</v>
      </c>
      <c r="AW8">
        <v>-2.2309069633483887</v>
      </c>
      <c r="AX8">
        <v>-3.9515438079833984</v>
      </c>
      <c r="AY8">
        <v>-2.9387788772583008</v>
      </c>
      <c r="AZ8">
        <v>-2.9009995460510254</v>
      </c>
      <c r="BA8">
        <v>-2.7987031936645508</v>
      </c>
      <c r="BB8">
        <v>0.35256266593933105</v>
      </c>
      <c r="BC8">
        <v>8.7635494768619537E-2</v>
      </c>
      <c r="BD8">
        <v>-0.45542401075363159</v>
      </c>
      <c r="BE8">
        <v>0.14588494598865509</v>
      </c>
      <c r="BF8">
        <v>-0.79337602853775024</v>
      </c>
      <c r="BG8">
        <v>0.44564232230186462</v>
      </c>
      <c r="BH8">
        <v>6.0849890112876892E-2</v>
      </c>
      <c r="BI8">
        <v>-4.3704981803894043</v>
      </c>
      <c r="BJ8">
        <v>-6.5513753890991211</v>
      </c>
      <c r="BK8">
        <v>-5.3575587272644043</v>
      </c>
      <c r="BL8">
        <v>-3.3741507530212402</v>
      </c>
      <c r="BM8">
        <v>-0.72686588764190674</v>
      </c>
      <c r="BN8">
        <v>5.2954254150390625</v>
      </c>
      <c r="BO8">
        <v>46.756885528564453</v>
      </c>
      <c r="BP8">
        <v>43.641773223876953</v>
      </c>
      <c r="BQ8">
        <v>8.8966159820556641</v>
      </c>
      <c r="BR8">
        <v>-1.2177398204803467</v>
      </c>
      <c r="BS8">
        <v>-0.18738937377929688</v>
      </c>
      <c r="BT8">
        <v>0.9324040412902832</v>
      </c>
      <c r="BU8">
        <v>-0.45336857438087463</v>
      </c>
      <c r="BV8">
        <v>-2.202683687210083</v>
      </c>
      <c r="BW8">
        <v>-1.1736187934875488</v>
      </c>
      <c r="BX8">
        <v>-1.1513038873672485</v>
      </c>
      <c r="BY8">
        <v>-1.0856766700744629</v>
      </c>
      <c r="BZ8">
        <v>1.346898078918457</v>
      </c>
      <c r="CA8">
        <v>1.0700494050979614</v>
      </c>
      <c r="CB8">
        <v>0.51092487573623657</v>
      </c>
      <c r="CC8">
        <v>1.0999473333358765</v>
      </c>
      <c r="CD8">
        <v>0.15542943775653839</v>
      </c>
      <c r="CE8">
        <v>1.3886456489562988</v>
      </c>
      <c r="CF8">
        <v>1.0185073614120483</v>
      </c>
      <c r="CG8">
        <v>-3.3364701271057129</v>
      </c>
      <c r="CH8">
        <v>-5.4362649917602539</v>
      </c>
      <c r="CI8">
        <v>-4.1748576164245605</v>
      </c>
      <c r="CJ8">
        <v>-2.1557350158691406</v>
      </c>
      <c r="CK8">
        <v>0.5068589448928833</v>
      </c>
      <c r="CL8">
        <v>6.553736686706543</v>
      </c>
      <c r="CM8">
        <v>48.031703948974609</v>
      </c>
      <c r="CN8">
        <v>44.964820861816406</v>
      </c>
      <c r="CO8">
        <v>10.251500129699707</v>
      </c>
      <c r="CP8">
        <v>0.13523499667644501</v>
      </c>
      <c r="CQ8">
        <v>1.1382566690444946</v>
      </c>
      <c r="CR8">
        <v>2.2225639820098877</v>
      </c>
      <c r="CS8">
        <v>0.77774906158447266</v>
      </c>
      <c r="CT8">
        <v>-0.99142831563949585</v>
      </c>
      <c r="CU8">
        <v>4.8925738781690598E-2</v>
      </c>
      <c r="CV8">
        <v>6.0530051589012146E-2</v>
      </c>
      <c r="CW8">
        <v>0.10076043009757996</v>
      </c>
      <c r="CX8">
        <v>2.341233491897583</v>
      </c>
      <c r="CY8">
        <v>2.0524632930755615</v>
      </c>
      <c r="CZ8">
        <v>1.4772738218307495</v>
      </c>
      <c r="DA8">
        <v>2.0540096759796143</v>
      </c>
      <c r="DB8">
        <v>1.1042349338531494</v>
      </c>
      <c r="DC8">
        <v>2.3316490650177002</v>
      </c>
      <c r="DD8">
        <v>1.9761648178100586</v>
      </c>
      <c r="DE8">
        <v>-2.3024423122406006</v>
      </c>
      <c r="DF8">
        <v>-4.3211545944213867</v>
      </c>
      <c r="DG8">
        <v>-2.9921567440032959</v>
      </c>
      <c r="DH8">
        <v>-0.93731933832168579</v>
      </c>
      <c r="DI8">
        <v>1.7405837774276733</v>
      </c>
      <c r="DJ8">
        <v>7.8120479583740234</v>
      </c>
      <c r="DK8">
        <v>49.306522369384766</v>
      </c>
      <c r="DL8">
        <v>46.287868499755859</v>
      </c>
      <c r="DM8">
        <v>11.60638427734375</v>
      </c>
      <c r="DN8">
        <v>1.4882098436355591</v>
      </c>
      <c r="DO8">
        <v>2.4639027118682861</v>
      </c>
      <c r="DP8">
        <v>3.5127239227294922</v>
      </c>
      <c r="DQ8">
        <v>2.0088667869567871</v>
      </c>
      <c r="DR8">
        <v>0.21982693672180176</v>
      </c>
      <c r="DS8">
        <v>1.271470308303833</v>
      </c>
      <c r="DT8">
        <v>1.2723639011383057</v>
      </c>
      <c r="DU8">
        <v>1.287197470664978</v>
      </c>
      <c r="DV8">
        <v>3.7768957614898682</v>
      </c>
      <c r="DW8">
        <v>3.4709129333496094</v>
      </c>
      <c r="DX8">
        <v>2.872528076171875</v>
      </c>
      <c r="DY8">
        <v>3.4315242767333984</v>
      </c>
      <c r="DZ8">
        <v>2.4741592407226562</v>
      </c>
      <c r="EA8">
        <v>3.6931960582733154</v>
      </c>
      <c r="EB8">
        <v>3.3588700294494629</v>
      </c>
      <c r="EC8">
        <v>-0.80947011709213257</v>
      </c>
      <c r="ED8">
        <v>-2.7111122608184814</v>
      </c>
      <c r="EE8">
        <v>-1.2845245599746704</v>
      </c>
      <c r="EF8">
        <v>0.82187938690185547</v>
      </c>
      <c r="EG8">
        <v>3.5218865871429443</v>
      </c>
      <c r="EH8">
        <v>9.628849983215332</v>
      </c>
      <c r="EI8">
        <v>51.147159576416016</v>
      </c>
      <c r="EJ8">
        <v>48.198143005371094</v>
      </c>
      <c r="EK8">
        <v>13.5626220703125</v>
      </c>
      <c r="EL8">
        <v>3.4416904449462891</v>
      </c>
      <c r="EM8">
        <v>4.377924919128418</v>
      </c>
      <c r="EN8">
        <v>5.3755097389221191</v>
      </c>
      <c r="EO8">
        <v>3.786405086517334</v>
      </c>
      <c r="EP8">
        <v>1.9686871767044067</v>
      </c>
      <c r="EQ8">
        <v>3.036630392074585</v>
      </c>
      <c r="ER8">
        <v>3.0220596790313721</v>
      </c>
      <c r="ES8">
        <v>3.0002241134643555</v>
      </c>
      <c r="ET8">
        <v>68.595649719238281</v>
      </c>
      <c r="EU8">
        <v>68.067840576171875</v>
      </c>
      <c r="EV8">
        <v>67.285255432128906</v>
      </c>
      <c r="EW8">
        <v>66.501396179199219</v>
      </c>
      <c r="EX8">
        <v>66.151863098144531</v>
      </c>
      <c r="EY8">
        <v>66.302169799804688</v>
      </c>
      <c r="EZ8">
        <v>67.826080322265625</v>
      </c>
      <c r="FA8">
        <v>69.810691833496094</v>
      </c>
      <c r="FB8">
        <v>71.893272399902344</v>
      </c>
      <c r="FC8">
        <v>74.636825561523438</v>
      </c>
      <c r="FD8">
        <v>77.562126159667969</v>
      </c>
      <c r="FE8">
        <v>80.296104431152344</v>
      </c>
      <c r="FF8">
        <v>82.409011840820312</v>
      </c>
      <c r="FG8">
        <v>82.695220947265625</v>
      </c>
      <c r="FH8">
        <v>83.037750244140625</v>
      </c>
      <c r="FI8">
        <v>83.448532104492187</v>
      </c>
      <c r="FJ8">
        <v>82.598320007324219</v>
      </c>
      <c r="FK8">
        <v>80.366874694824219</v>
      </c>
      <c r="FL8">
        <v>77.40960693359375</v>
      </c>
      <c r="FM8">
        <v>74.092300415039062</v>
      </c>
      <c r="FN8">
        <v>72.140670776367188</v>
      </c>
      <c r="FO8">
        <v>71.233016967773438</v>
      </c>
      <c r="FP8">
        <v>70.426155090332031</v>
      </c>
      <c r="FQ8">
        <v>69.826095581054688</v>
      </c>
      <c r="FR8">
        <v>854</v>
      </c>
      <c r="FS8">
        <v>7.6925188302993774E-2</v>
      </c>
      <c r="FT8">
        <v>1</v>
      </c>
    </row>
    <row r="9" spans="1:176" x14ac:dyDescent="0.2">
      <c r="A9" t="s">
        <v>1</v>
      </c>
      <c r="B9" t="s">
        <v>225</v>
      </c>
      <c r="C9" t="s">
        <v>239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T9">
        <v>0</v>
      </c>
    </row>
    <row r="10" spans="1:176" x14ac:dyDescent="0.2">
      <c r="A10" t="s">
        <v>1</v>
      </c>
      <c r="B10" t="s">
        <v>225</v>
      </c>
      <c r="C10" t="s">
        <v>240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T10">
        <v>0</v>
      </c>
    </row>
    <row r="11" spans="1:176" x14ac:dyDescent="0.2">
      <c r="A11" t="s">
        <v>1</v>
      </c>
      <c r="B11" t="s">
        <v>225</v>
      </c>
      <c r="C11" t="s">
        <v>241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T11">
        <v>0</v>
      </c>
    </row>
    <row r="12" spans="1:176" x14ac:dyDescent="0.2">
      <c r="A12" t="s">
        <v>1</v>
      </c>
      <c r="B12" t="s">
        <v>225</v>
      </c>
      <c r="C12" t="s">
        <v>242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T12">
        <v>0</v>
      </c>
    </row>
    <row r="13" spans="1:176" x14ac:dyDescent="0.2">
      <c r="A13" t="s">
        <v>1</v>
      </c>
      <c r="B13" t="s">
        <v>225</v>
      </c>
      <c r="C13" t="s">
        <v>243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T13">
        <v>0</v>
      </c>
    </row>
    <row r="14" spans="1:176" x14ac:dyDescent="0.2">
      <c r="A14" t="s">
        <v>1</v>
      </c>
      <c r="B14" t="s">
        <v>225</v>
      </c>
      <c r="C14" t="s">
        <v>2</v>
      </c>
      <c r="D14">
        <v>817</v>
      </c>
      <c r="E14">
        <v>817</v>
      </c>
      <c r="F14">
        <v>110.02503967285156</v>
      </c>
      <c r="G14">
        <v>105.90605163574219</v>
      </c>
      <c r="H14">
        <v>102.72657775878906</v>
      </c>
      <c r="I14">
        <v>103.64840698242187</v>
      </c>
      <c r="J14">
        <v>107.21651458740234</v>
      </c>
      <c r="K14">
        <v>111.53042602539062</v>
      </c>
      <c r="L14">
        <v>118.83251953125</v>
      </c>
      <c r="M14">
        <v>127.17949676513672</v>
      </c>
      <c r="N14">
        <v>140.84979248046875</v>
      </c>
      <c r="O14">
        <v>147.7724609375</v>
      </c>
      <c r="P14">
        <v>159.42257690429688</v>
      </c>
      <c r="Q14">
        <v>163.25294494628906</v>
      </c>
      <c r="R14">
        <v>165.91085815429687</v>
      </c>
      <c r="S14">
        <v>169.57569885253906</v>
      </c>
      <c r="T14">
        <v>172.23916625976562</v>
      </c>
      <c r="U14">
        <v>171.15577697753906</v>
      </c>
      <c r="V14">
        <v>174.74777221679687</v>
      </c>
      <c r="W14">
        <v>177.86334228515625</v>
      </c>
      <c r="X14">
        <v>179.80955505371094</v>
      </c>
      <c r="Y14">
        <v>185.398193359375</v>
      </c>
      <c r="Z14">
        <v>179.42387390136719</v>
      </c>
      <c r="AA14">
        <v>158.99949645996094</v>
      </c>
      <c r="AB14">
        <v>136.10134887695312</v>
      </c>
      <c r="AC14">
        <v>120.38900756835937</v>
      </c>
      <c r="AD14">
        <v>-3.8448235988616943</v>
      </c>
      <c r="AE14">
        <v>-5.8735923767089844</v>
      </c>
      <c r="AF14">
        <v>-6.3293328285217285</v>
      </c>
      <c r="AG14">
        <v>-4.9689488410949707</v>
      </c>
      <c r="AH14">
        <v>-4.0772242546081543</v>
      </c>
      <c r="AI14">
        <v>-4.379605770111084</v>
      </c>
      <c r="AJ14">
        <v>-1.5561550855636597</v>
      </c>
      <c r="AK14">
        <v>-1.2176676988601685</v>
      </c>
      <c r="AL14">
        <v>1.2099134922027588</v>
      </c>
      <c r="AM14">
        <v>-1.3843961954116821</v>
      </c>
      <c r="AN14">
        <v>-1.8078582286834717</v>
      </c>
      <c r="AO14">
        <v>-2.966214656829834</v>
      </c>
      <c r="AP14">
        <v>-3.922762393951416</v>
      </c>
      <c r="AQ14">
        <v>5.3506588935852051</v>
      </c>
      <c r="AR14">
        <v>46.107948303222656</v>
      </c>
      <c r="AS14">
        <v>38.630123138427734</v>
      </c>
      <c r="AT14">
        <v>37.817958831787109</v>
      </c>
      <c r="AU14">
        <v>36.406436920166016</v>
      </c>
      <c r="AV14">
        <v>1.0374965667724609</v>
      </c>
      <c r="AW14">
        <v>-1.3919023275375366</v>
      </c>
      <c r="AX14">
        <v>-3.3091297149658203</v>
      </c>
      <c r="AY14">
        <v>-3.9360420703887939</v>
      </c>
      <c r="AZ14">
        <v>-4.8109512329101562</v>
      </c>
      <c r="BA14">
        <v>-5.5756525993347168</v>
      </c>
      <c r="BB14">
        <v>-2.2296826839447021</v>
      </c>
      <c r="BC14">
        <v>-4.2712550163269043</v>
      </c>
      <c r="BD14">
        <v>-4.7750935554504395</v>
      </c>
      <c r="BE14">
        <v>-3.4759316444396973</v>
      </c>
      <c r="BF14">
        <v>-2.5777482986450195</v>
      </c>
      <c r="BG14">
        <v>-2.8427102565765381</v>
      </c>
      <c r="BH14">
        <v>4.886205866932869E-2</v>
      </c>
      <c r="BI14">
        <v>0.46824011206626892</v>
      </c>
      <c r="BJ14">
        <v>2.9927396774291992</v>
      </c>
      <c r="BK14">
        <v>0.45466318726539612</v>
      </c>
      <c r="BL14">
        <v>6.05020672082901E-2</v>
      </c>
      <c r="BM14">
        <v>-1.0735385417938232</v>
      </c>
      <c r="BN14">
        <v>-1.9701474905014038</v>
      </c>
      <c r="BO14">
        <v>7.3286128044128418</v>
      </c>
      <c r="BP14">
        <v>48.107860565185547</v>
      </c>
      <c r="BQ14">
        <v>40.699748992919922</v>
      </c>
      <c r="BR14">
        <v>39.880329132080078</v>
      </c>
      <c r="BS14">
        <v>38.429130554199219</v>
      </c>
      <c r="BT14">
        <v>3.0020177364349365</v>
      </c>
      <c r="BU14">
        <v>0.53638178110122681</v>
      </c>
      <c r="BV14">
        <v>-1.3774681091308594</v>
      </c>
      <c r="BW14">
        <v>-1.9920105934143066</v>
      </c>
      <c r="BX14">
        <v>-2.9111075401306152</v>
      </c>
      <c r="BY14">
        <v>-3.7080049514770508</v>
      </c>
      <c r="BZ14">
        <v>-1.1110410690307617</v>
      </c>
      <c r="CA14">
        <v>-3.1614809036254883</v>
      </c>
      <c r="CB14">
        <v>-3.698631763458252</v>
      </c>
      <c r="CC14">
        <v>-2.4418725967407227</v>
      </c>
      <c r="CD14">
        <v>-1.5392159223556519</v>
      </c>
      <c r="CE14">
        <v>-1.7782611846923828</v>
      </c>
      <c r="CF14">
        <v>1.1604920625686646</v>
      </c>
      <c r="CG14">
        <v>1.635894775390625</v>
      </c>
      <c r="CH14">
        <v>4.2275195121765137</v>
      </c>
      <c r="CI14">
        <v>1.728390097618103</v>
      </c>
      <c r="CJ14">
        <v>1.354522705078125</v>
      </c>
      <c r="CK14">
        <v>0.23732326924800873</v>
      </c>
      <c r="CL14">
        <v>-0.61777228116989136</v>
      </c>
      <c r="CM14">
        <v>8.6985378265380859</v>
      </c>
      <c r="CN14">
        <v>49.492992401123047</v>
      </c>
      <c r="CO14">
        <v>42.133167266845703</v>
      </c>
      <c r="CP14">
        <v>41.308719635009766</v>
      </c>
      <c r="CQ14">
        <v>39.830043792724609</v>
      </c>
      <c r="CR14">
        <v>4.3626389503479004</v>
      </c>
      <c r="CS14">
        <v>1.8719054460525513</v>
      </c>
      <c r="CT14">
        <v>-3.9605170488357544E-2</v>
      </c>
      <c r="CU14">
        <v>-0.64558035135269165</v>
      </c>
      <c r="CV14">
        <v>-1.5952818393707275</v>
      </c>
      <c r="CW14">
        <v>-2.4144778251647949</v>
      </c>
      <c r="CX14">
        <v>7.6005659066140652E-3</v>
      </c>
      <c r="CY14">
        <v>-2.0517067909240723</v>
      </c>
      <c r="CZ14">
        <v>-2.6221702098846436</v>
      </c>
      <c r="DA14">
        <v>-1.4078134298324585</v>
      </c>
      <c r="DB14">
        <v>-0.5006834864616394</v>
      </c>
      <c r="DC14">
        <v>-0.71381205320358276</v>
      </c>
      <c r="DD14">
        <v>2.2721221446990967</v>
      </c>
      <c r="DE14">
        <v>2.8035495281219482</v>
      </c>
      <c r="DF14">
        <v>5.4622993469238281</v>
      </c>
      <c r="DG14">
        <v>3.0021169185638428</v>
      </c>
      <c r="DH14">
        <v>2.6485433578491211</v>
      </c>
      <c r="DI14">
        <v>1.5481849908828735</v>
      </c>
      <c r="DJ14">
        <v>0.73460286855697632</v>
      </c>
      <c r="DK14">
        <v>10.068462371826172</v>
      </c>
      <c r="DL14">
        <v>50.878124237060547</v>
      </c>
      <c r="DM14">
        <v>43.566585540771484</v>
      </c>
      <c r="DN14">
        <v>42.737110137939453</v>
      </c>
      <c r="DO14">
        <v>41.23095703125</v>
      </c>
      <c r="DP14">
        <v>5.7232604026794434</v>
      </c>
      <c r="DQ14">
        <v>3.2074291706085205</v>
      </c>
      <c r="DR14">
        <v>1.2982577085494995</v>
      </c>
      <c r="DS14">
        <v>0.70084989070892334</v>
      </c>
      <c r="DT14">
        <v>-0.27945601940155029</v>
      </c>
      <c r="DU14">
        <v>-1.1209506988525391</v>
      </c>
      <c r="DV14">
        <v>1.6227414608001709</v>
      </c>
      <c r="DW14">
        <v>-0.44936925172805786</v>
      </c>
      <c r="DX14">
        <v>-1.0679305791854858</v>
      </c>
      <c r="DY14">
        <v>8.5203640162944794E-2</v>
      </c>
      <c r="DZ14">
        <v>0.99879240989685059</v>
      </c>
      <c r="EA14">
        <v>0.82308346033096313</v>
      </c>
      <c r="EB14">
        <v>3.8771393299102783</v>
      </c>
      <c r="EC14">
        <v>4.4894571304321289</v>
      </c>
      <c r="ED14">
        <v>7.2451257705688477</v>
      </c>
      <c r="EE14">
        <v>4.8411765098571777</v>
      </c>
      <c r="EF14">
        <v>4.5169034004211426</v>
      </c>
      <c r="EG14">
        <v>3.4408612251281738</v>
      </c>
      <c r="EH14">
        <v>2.6872177124023437</v>
      </c>
      <c r="EI14">
        <v>12.046417236328125</v>
      </c>
      <c r="EJ14">
        <v>52.878036499023438</v>
      </c>
      <c r="EK14">
        <v>45.636211395263672</v>
      </c>
      <c r="EL14">
        <v>44.799480438232422</v>
      </c>
      <c r="EM14">
        <v>43.253650665283203</v>
      </c>
      <c r="EN14">
        <v>7.6877813339233398</v>
      </c>
      <c r="EO14">
        <v>5.1357131004333496</v>
      </c>
      <c r="EP14">
        <v>3.22991943359375</v>
      </c>
      <c r="EQ14">
        <v>2.6448812484741211</v>
      </c>
      <c r="ER14">
        <v>1.6203874349594116</v>
      </c>
      <c r="ES14">
        <v>0.74669712781906128</v>
      </c>
      <c r="ET14">
        <v>73.646224975585938</v>
      </c>
      <c r="EU14">
        <v>71.846450805664063</v>
      </c>
      <c r="EV14">
        <v>69.945228576660156</v>
      </c>
      <c r="EW14">
        <v>69.945182800292969</v>
      </c>
      <c r="EX14">
        <v>70.17901611328125</v>
      </c>
      <c r="EY14">
        <v>71.651321411132813</v>
      </c>
      <c r="EZ14">
        <v>75.668182373046875</v>
      </c>
      <c r="FA14">
        <v>80.526107788085938</v>
      </c>
      <c r="FB14">
        <v>84.586563110351563</v>
      </c>
      <c r="FC14">
        <v>88.099273681640625</v>
      </c>
      <c r="FD14">
        <v>90.811485290527344</v>
      </c>
      <c r="FE14">
        <v>92.507888793945313</v>
      </c>
      <c r="FF14">
        <v>94.211112976074219</v>
      </c>
      <c r="FG14">
        <v>95.147605895996094</v>
      </c>
      <c r="FH14">
        <v>96.06500244140625</v>
      </c>
      <c r="FI14">
        <v>95.225028991699219</v>
      </c>
      <c r="FJ14">
        <v>93.180435180664063</v>
      </c>
      <c r="FK14">
        <v>91.502830505371094</v>
      </c>
      <c r="FL14">
        <v>88.5782470703125</v>
      </c>
      <c r="FM14">
        <v>84.061653137207031</v>
      </c>
      <c r="FN14">
        <v>80.610260009765625</v>
      </c>
      <c r="FO14">
        <v>77.798263549804688</v>
      </c>
      <c r="FP14">
        <v>75.579544067382813</v>
      </c>
      <c r="FQ14">
        <v>74.756118774414063</v>
      </c>
      <c r="FR14">
        <v>272.33333333333331</v>
      </c>
      <c r="FS14">
        <v>9.01670902967453E-2</v>
      </c>
      <c r="FT14">
        <v>1</v>
      </c>
    </row>
    <row r="15" spans="1:176" x14ac:dyDescent="0.2">
      <c r="A15" t="s">
        <v>1</v>
      </c>
      <c r="B15" t="s">
        <v>226</v>
      </c>
      <c r="C15" t="s">
        <v>244</v>
      </c>
      <c r="D15">
        <v>787</v>
      </c>
      <c r="E15">
        <v>787</v>
      </c>
      <c r="F15">
        <v>172.12713623046875</v>
      </c>
      <c r="G15">
        <v>168.90885925292969</v>
      </c>
      <c r="H15">
        <v>166.64140319824219</v>
      </c>
      <c r="I15">
        <v>165.56292724609375</v>
      </c>
      <c r="J15">
        <v>169.67074584960937</v>
      </c>
      <c r="K15">
        <v>178.22996520996094</v>
      </c>
      <c r="L15">
        <v>195.3800048828125</v>
      </c>
      <c r="M15">
        <v>201.62005615234375</v>
      </c>
      <c r="N15">
        <v>207.55937194824219</v>
      </c>
      <c r="O15">
        <v>208.13131713867187</v>
      </c>
      <c r="P15">
        <v>210.39651489257812</v>
      </c>
      <c r="Q15">
        <v>211.65411376953125</v>
      </c>
      <c r="R15">
        <v>211.40495300292969</v>
      </c>
      <c r="S15">
        <v>211.39369201660156</v>
      </c>
      <c r="T15">
        <v>210.46284484863281</v>
      </c>
      <c r="U15">
        <v>208.17005920410156</v>
      </c>
      <c r="V15">
        <v>205.65296936035156</v>
      </c>
      <c r="W15">
        <v>205.70431518554687</v>
      </c>
      <c r="X15">
        <v>201.01033020019531</v>
      </c>
      <c r="Y15">
        <v>198.96038818359375</v>
      </c>
      <c r="Z15">
        <v>196.52220153808594</v>
      </c>
      <c r="AA15">
        <v>192.11753845214844</v>
      </c>
      <c r="AB15">
        <v>186.29286193847656</v>
      </c>
      <c r="AC15">
        <v>177.67585754394531</v>
      </c>
      <c r="AD15">
        <v>-1.391575813293457</v>
      </c>
      <c r="AE15">
        <v>-1.460858941078186</v>
      </c>
      <c r="AF15">
        <v>-1.9976956844329834</v>
      </c>
      <c r="AG15">
        <v>-1.1673473119735718</v>
      </c>
      <c r="AH15">
        <v>-2.0794949531555176</v>
      </c>
      <c r="AI15">
        <v>-2.6216332912445068</v>
      </c>
      <c r="AJ15">
        <v>-3.3089015483856201</v>
      </c>
      <c r="AK15">
        <v>-2.4829363822937012</v>
      </c>
      <c r="AL15">
        <v>-1.3795489072799683</v>
      </c>
      <c r="AM15">
        <v>-7.1375832557678223</v>
      </c>
      <c r="AN15">
        <v>-4.5706348419189453</v>
      </c>
      <c r="AO15">
        <v>44.480461120605469</v>
      </c>
      <c r="AP15">
        <v>46.203094482421875</v>
      </c>
      <c r="AQ15">
        <v>47.565616607666016</v>
      </c>
      <c r="AR15">
        <v>47.694061279296875</v>
      </c>
      <c r="AS15">
        <v>46.297527313232422</v>
      </c>
      <c r="AT15">
        <v>45.945449829101563</v>
      </c>
      <c r="AU15">
        <v>43.246532440185547</v>
      </c>
      <c r="AV15">
        <v>40.749889373779297</v>
      </c>
      <c r="AW15">
        <v>11.927600860595703</v>
      </c>
      <c r="AX15">
        <v>-0.40982529520988464</v>
      </c>
      <c r="AY15">
        <v>-2.7322061061859131</v>
      </c>
      <c r="AZ15">
        <v>-4.4774093627929687</v>
      </c>
      <c r="BA15">
        <v>-3.8835585117340088</v>
      </c>
      <c r="BB15">
        <v>0.19182218611240387</v>
      </c>
      <c r="BC15">
        <v>8.7352558970451355E-2</v>
      </c>
      <c r="BD15">
        <v>-0.47046902775764465</v>
      </c>
      <c r="BE15">
        <v>0.35200825333595276</v>
      </c>
      <c r="BF15">
        <v>-0.53289002180099487</v>
      </c>
      <c r="BG15">
        <v>-1.0397471189498901</v>
      </c>
      <c r="BH15">
        <v>-1.6735696792602539</v>
      </c>
      <c r="BI15">
        <v>-0.81008034944534302</v>
      </c>
      <c r="BJ15">
        <v>0.37929782271385193</v>
      </c>
      <c r="BK15">
        <v>-5.3042669296264648</v>
      </c>
      <c r="BL15">
        <v>-2.7016365528106689</v>
      </c>
      <c r="BM15">
        <v>46.449867248535156</v>
      </c>
      <c r="BN15">
        <v>48.314792633056641</v>
      </c>
      <c r="BO15">
        <v>49.8682861328125</v>
      </c>
      <c r="BP15">
        <v>50.209514617919922</v>
      </c>
      <c r="BQ15">
        <v>48.761074066162109</v>
      </c>
      <c r="BR15">
        <v>48.356082916259766</v>
      </c>
      <c r="BS15">
        <v>45.577049255371094</v>
      </c>
      <c r="BT15">
        <v>42.874771118164062</v>
      </c>
      <c r="BU15">
        <v>13.904274940490723</v>
      </c>
      <c r="BV15">
        <v>1.5428394079208374</v>
      </c>
      <c r="BW15">
        <v>-0.82137215137481689</v>
      </c>
      <c r="BX15">
        <v>-2.5656781196594238</v>
      </c>
      <c r="BY15">
        <v>-1.9910479784011841</v>
      </c>
      <c r="BZ15">
        <v>1.2884788513183594</v>
      </c>
      <c r="CA15">
        <v>1.1596391201019287</v>
      </c>
      <c r="CB15">
        <v>0.58728355169296265</v>
      </c>
      <c r="CC15">
        <v>1.4043092727661133</v>
      </c>
      <c r="CD15">
        <v>0.5382838249206543</v>
      </c>
      <c r="CE15">
        <v>5.5862423032522202E-2</v>
      </c>
      <c r="CF15">
        <v>-0.54094374179840088</v>
      </c>
      <c r="CG15">
        <v>0.34853476285934448</v>
      </c>
      <c r="CH15">
        <v>1.597469687461853</v>
      </c>
      <c r="CI15">
        <v>-4.034517765045166</v>
      </c>
      <c r="CJ15">
        <v>-1.4071741104125977</v>
      </c>
      <c r="CK15">
        <v>47.813873291015625</v>
      </c>
      <c r="CL15">
        <v>49.777347564697266</v>
      </c>
      <c r="CM15">
        <v>51.463108062744141</v>
      </c>
      <c r="CN15">
        <v>51.951705932617187</v>
      </c>
      <c r="CO15">
        <v>50.467319488525391</v>
      </c>
      <c r="CP15">
        <v>50.025684356689453</v>
      </c>
      <c r="CQ15">
        <v>47.191154479980469</v>
      </c>
      <c r="CR15">
        <v>44.346458435058594</v>
      </c>
      <c r="CS15">
        <v>15.273313522338867</v>
      </c>
      <c r="CT15">
        <v>2.8952491283416748</v>
      </c>
      <c r="CU15">
        <v>0.50206565856933594</v>
      </c>
      <c r="CV15">
        <v>-1.2416187524795532</v>
      </c>
      <c r="CW15">
        <v>-0.68030089139938354</v>
      </c>
      <c r="CX15">
        <v>2.3851354122161865</v>
      </c>
      <c r="CY15">
        <v>2.2319257259368896</v>
      </c>
      <c r="CZ15">
        <v>1.6450361013412476</v>
      </c>
      <c r="DA15">
        <v>2.4566102027893066</v>
      </c>
      <c r="DB15">
        <v>1.6094576120376587</v>
      </c>
      <c r="DC15">
        <v>1.1514719724655151</v>
      </c>
      <c r="DD15">
        <v>0.59168213605880737</v>
      </c>
      <c r="DE15">
        <v>1.5071498155593872</v>
      </c>
      <c r="DF15">
        <v>2.8156416416168213</v>
      </c>
      <c r="DG15">
        <v>-2.7647686004638672</v>
      </c>
      <c r="DH15">
        <v>-0.11271163076162338</v>
      </c>
      <c r="DI15">
        <v>49.177879333496094</v>
      </c>
      <c r="DJ15">
        <v>51.239902496337891</v>
      </c>
      <c r="DK15">
        <v>53.057929992675781</v>
      </c>
      <c r="DL15">
        <v>53.693897247314453</v>
      </c>
      <c r="DM15">
        <v>52.173564910888672</v>
      </c>
      <c r="DN15">
        <v>51.695285797119141</v>
      </c>
      <c r="DO15">
        <v>48.805259704589844</v>
      </c>
      <c r="DP15">
        <v>45.818145751953125</v>
      </c>
      <c r="DQ15">
        <v>16.642351150512695</v>
      </c>
      <c r="DR15">
        <v>4.2476587295532227</v>
      </c>
      <c r="DS15">
        <v>1.8255034685134888</v>
      </c>
      <c r="DT15">
        <v>8.2440577447414398E-2</v>
      </c>
      <c r="DU15">
        <v>0.63044619560241699</v>
      </c>
      <c r="DV15">
        <v>3.9685335159301758</v>
      </c>
      <c r="DW15">
        <v>3.7801370620727539</v>
      </c>
      <c r="DX15">
        <v>3.1722629070281982</v>
      </c>
      <c r="DY15">
        <v>3.9759657382965088</v>
      </c>
      <c r="DZ15">
        <v>3.1560626029968262</v>
      </c>
      <c r="EA15">
        <v>2.7333581447601318</v>
      </c>
      <c r="EB15">
        <v>2.2270140647888184</v>
      </c>
      <c r="EC15">
        <v>3.1800060272216797</v>
      </c>
      <c r="ED15">
        <v>4.5744881629943848</v>
      </c>
      <c r="EE15">
        <v>-0.93145245313644409</v>
      </c>
      <c r="EF15">
        <v>1.75628662109375</v>
      </c>
      <c r="EG15">
        <v>51.147285461425781</v>
      </c>
      <c r="EH15">
        <v>53.351600646972656</v>
      </c>
      <c r="EI15">
        <v>55.360599517822266</v>
      </c>
      <c r="EJ15">
        <v>56.2093505859375</v>
      </c>
      <c r="EK15">
        <v>54.637111663818359</v>
      </c>
      <c r="EL15">
        <v>54.105918884277344</v>
      </c>
      <c r="EM15">
        <v>51.135776519775391</v>
      </c>
      <c r="EN15">
        <v>47.943027496337891</v>
      </c>
      <c r="EO15">
        <v>18.619026184082031</v>
      </c>
      <c r="EP15">
        <v>6.2003235816955566</v>
      </c>
      <c r="EQ15">
        <v>3.736337423324585</v>
      </c>
      <c r="ER15">
        <v>1.9941719770431519</v>
      </c>
      <c r="ES15">
        <v>2.5229568481445312</v>
      </c>
      <c r="ET15">
        <v>49.626762390136719</v>
      </c>
      <c r="EU15">
        <v>49.667449951171875</v>
      </c>
      <c r="EV15">
        <v>49.403114318847656</v>
      </c>
      <c r="EW15">
        <v>49.373828887939453</v>
      </c>
      <c r="EX15">
        <v>49.236396789550781</v>
      </c>
      <c r="EY15">
        <v>49.241981506347656</v>
      </c>
      <c r="EZ15">
        <v>49.2120361328125</v>
      </c>
      <c r="FA15">
        <v>49.563114166259766</v>
      </c>
      <c r="FB15">
        <v>51.707500457763672</v>
      </c>
      <c r="FC15">
        <v>53.803497314453125</v>
      </c>
      <c r="FD15">
        <v>55.106960296630859</v>
      </c>
      <c r="FE15">
        <v>56.244277954101563</v>
      </c>
      <c r="FF15">
        <v>55.818881988525391</v>
      </c>
      <c r="FG15">
        <v>54.958065032958984</v>
      </c>
      <c r="FH15">
        <v>53.558975219726563</v>
      </c>
      <c r="FI15">
        <v>53.0059814453125</v>
      </c>
      <c r="FJ15">
        <v>52.397239685058594</v>
      </c>
      <c r="FK15">
        <v>51.538970947265625</v>
      </c>
      <c r="FL15">
        <v>50.762001037597656</v>
      </c>
      <c r="FM15">
        <v>50.145805358886719</v>
      </c>
      <c r="FN15">
        <v>49.421241760253906</v>
      </c>
      <c r="FO15">
        <v>49.313064575195313</v>
      </c>
      <c r="FP15">
        <v>49.483219146728516</v>
      </c>
      <c r="FQ15">
        <v>49.203151702880859</v>
      </c>
      <c r="FR15">
        <v>787</v>
      </c>
      <c r="FS15">
        <v>6.9705270230770111E-2</v>
      </c>
      <c r="FT15">
        <v>1</v>
      </c>
    </row>
    <row r="16" spans="1:176" x14ac:dyDescent="0.2">
      <c r="A16" t="s">
        <v>1</v>
      </c>
      <c r="B16" t="s">
        <v>226</v>
      </c>
      <c r="C16" t="s">
        <v>233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T16">
        <v>0</v>
      </c>
    </row>
    <row r="17" spans="1:176" x14ac:dyDescent="0.2">
      <c r="A17" t="s">
        <v>1</v>
      </c>
      <c r="B17" t="s">
        <v>226</v>
      </c>
      <c r="C17" t="s">
        <v>234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T17">
        <v>0</v>
      </c>
    </row>
    <row r="18" spans="1:176" x14ac:dyDescent="0.2">
      <c r="A18" t="s">
        <v>1</v>
      </c>
      <c r="B18" t="s">
        <v>226</v>
      </c>
      <c r="C18" t="s">
        <v>235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T18">
        <v>0</v>
      </c>
    </row>
    <row r="19" spans="1:176" x14ac:dyDescent="0.2">
      <c r="A19" t="s">
        <v>1</v>
      </c>
      <c r="B19" t="s">
        <v>226</v>
      </c>
      <c r="C19" t="s">
        <v>236</v>
      </c>
      <c r="D19">
        <v>889</v>
      </c>
      <c r="E19">
        <v>889</v>
      </c>
      <c r="F19">
        <v>247.00382995605469</v>
      </c>
      <c r="G19">
        <v>242.34632873535156</v>
      </c>
      <c r="H19">
        <v>238.70724487304688</v>
      </c>
      <c r="I19">
        <v>236.48074340820313</v>
      </c>
      <c r="J19">
        <v>240.65762329101562</v>
      </c>
      <c r="K19">
        <v>252.12295532226562</v>
      </c>
      <c r="L19">
        <v>269.79693603515625</v>
      </c>
      <c r="M19">
        <v>279.87335205078125</v>
      </c>
      <c r="N19">
        <v>289.13467407226562</v>
      </c>
      <c r="O19">
        <v>294.05950927734375</v>
      </c>
      <c r="P19">
        <v>297.76370239257812</v>
      </c>
      <c r="Q19">
        <v>298.57125854492187</v>
      </c>
      <c r="R19">
        <v>296.833984375</v>
      </c>
      <c r="S19">
        <v>297.19564819335937</v>
      </c>
      <c r="T19">
        <v>295.87429809570312</v>
      </c>
      <c r="U19">
        <v>294.22238159179687</v>
      </c>
      <c r="V19">
        <v>291.39785766601562</v>
      </c>
      <c r="W19">
        <v>285.4854736328125</v>
      </c>
      <c r="X19">
        <v>282.00473022460937</v>
      </c>
      <c r="Y19">
        <v>280.39663696289062</v>
      </c>
      <c r="Z19">
        <v>279.4208984375</v>
      </c>
      <c r="AA19">
        <v>273.68963623046875</v>
      </c>
      <c r="AB19">
        <v>266.14654541015625</v>
      </c>
      <c r="AC19">
        <v>254.87507629394531</v>
      </c>
      <c r="AD19">
        <v>-4.72894287109375</v>
      </c>
      <c r="AE19">
        <v>-3.922196626663208</v>
      </c>
      <c r="AF19">
        <v>-2.8260970115661621</v>
      </c>
      <c r="AG19">
        <v>-3.365915060043335</v>
      </c>
      <c r="AH19">
        <v>-2.6822090148925781</v>
      </c>
      <c r="AI19">
        <v>-3.712092399597168</v>
      </c>
      <c r="AJ19">
        <v>-3.0128779411315918</v>
      </c>
      <c r="AK19">
        <v>-4.5914125442504883</v>
      </c>
      <c r="AL19">
        <v>-4.0636730194091797</v>
      </c>
      <c r="AM19">
        <v>-0.67779296636581421</v>
      </c>
      <c r="AN19">
        <v>-2.3790419101715088</v>
      </c>
      <c r="AO19">
        <v>-6.1208925247192383</v>
      </c>
      <c r="AP19">
        <v>-10.52176570892334</v>
      </c>
      <c r="AQ19">
        <v>7.5967693328857422</v>
      </c>
      <c r="AR19">
        <v>79.159805297851563</v>
      </c>
      <c r="AS19">
        <v>80.366065979003906</v>
      </c>
      <c r="AT19">
        <v>25.943466186523438</v>
      </c>
      <c r="AU19">
        <v>-0.23594719171524048</v>
      </c>
      <c r="AV19">
        <v>-3.4886136054992676</v>
      </c>
      <c r="AW19">
        <v>-1.8418114185333252</v>
      </c>
      <c r="AX19">
        <v>-1.2593181133270264</v>
      </c>
      <c r="AY19">
        <v>-1.7984620332717896</v>
      </c>
      <c r="AZ19">
        <v>-4.6611647605895996</v>
      </c>
      <c r="BA19">
        <v>-5.9028778076171875</v>
      </c>
      <c r="BB19">
        <v>-2.8278641700744629</v>
      </c>
      <c r="BC19">
        <v>-2.1135764122009277</v>
      </c>
      <c r="BD19">
        <v>-1.082789421081543</v>
      </c>
      <c r="BE19">
        <v>-1.6833682060241699</v>
      </c>
      <c r="BF19">
        <v>-0.98879289627075195</v>
      </c>
      <c r="BG19">
        <v>-2.0214533805847168</v>
      </c>
      <c r="BH19">
        <v>-1.2872819900512695</v>
      </c>
      <c r="BI19">
        <v>-2.797288179397583</v>
      </c>
      <c r="BJ19">
        <v>-2.1948883533477783</v>
      </c>
      <c r="BK19">
        <v>1.2781480550765991</v>
      </c>
      <c r="BL19">
        <v>-0.33400017023086548</v>
      </c>
      <c r="BM19">
        <v>-4.0943360328674316</v>
      </c>
      <c r="BN19">
        <v>-8.5248050689697266</v>
      </c>
      <c r="BO19">
        <v>9.6199617385864258</v>
      </c>
      <c r="BP19">
        <v>81.205024719238281</v>
      </c>
      <c r="BQ19">
        <v>82.448127746582031</v>
      </c>
      <c r="BR19">
        <v>28.046876907348633</v>
      </c>
      <c r="BS19">
        <v>1.9228755235671997</v>
      </c>
      <c r="BT19">
        <v>-1.289615273475647</v>
      </c>
      <c r="BU19">
        <v>0.34385806322097778</v>
      </c>
      <c r="BV19">
        <v>0.89029937982559204</v>
      </c>
      <c r="BW19">
        <v>0.31199067831039429</v>
      </c>
      <c r="BX19">
        <v>-2.5640096664428711</v>
      </c>
      <c r="BY19">
        <v>-3.8191845417022705</v>
      </c>
      <c r="BZ19">
        <v>-1.5111827850341797</v>
      </c>
      <c r="CA19">
        <v>-0.86093175411224365</v>
      </c>
      <c r="CB19">
        <v>0.12462016195058823</v>
      </c>
      <c r="CC19">
        <v>-0.51804125308990479</v>
      </c>
      <c r="CD19">
        <v>0.18406200408935547</v>
      </c>
      <c r="CE19">
        <v>-0.85052192211151123</v>
      </c>
      <c r="CF19">
        <v>-9.2139586806297302E-2</v>
      </c>
      <c r="CG19">
        <v>-1.5546829700469971</v>
      </c>
      <c r="CH19">
        <v>-0.90057367086410522</v>
      </c>
      <c r="CI19">
        <v>2.6328268051147461</v>
      </c>
      <c r="CJ19">
        <v>1.0823894739151001</v>
      </c>
      <c r="CK19">
        <v>-2.6907491683959961</v>
      </c>
      <c r="CL19">
        <v>-7.1417155265808105</v>
      </c>
      <c r="CM19">
        <v>11.021218299865723</v>
      </c>
      <c r="CN19">
        <v>82.621536254882813</v>
      </c>
      <c r="CO19">
        <v>83.890159606933594</v>
      </c>
      <c r="CP19">
        <v>29.503692626953125</v>
      </c>
      <c r="CQ19">
        <v>3.41806960105896</v>
      </c>
      <c r="CR19">
        <v>0.23340418934822083</v>
      </c>
      <c r="CS19">
        <v>1.857646107673645</v>
      </c>
      <c r="CT19">
        <v>2.3791179656982422</v>
      </c>
      <c r="CU19">
        <v>1.7736837863922119</v>
      </c>
      <c r="CV19">
        <v>-1.1115264892578125</v>
      </c>
      <c r="CW19">
        <v>-2.3760249614715576</v>
      </c>
      <c r="CX19">
        <v>-0.19450141489505768</v>
      </c>
      <c r="CY19">
        <v>0.39171299338340759</v>
      </c>
      <c r="CZ19">
        <v>1.3320297002792358</v>
      </c>
      <c r="DA19">
        <v>0.64728564023971558</v>
      </c>
      <c r="DB19">
        <v>1.3569169044494629</v>
      </c>
      <c r="DC19">
        <v>0.32040956616401672</v>
      </c>
      <c r="DD19">
        <v>1.1030027866363525</v>
      </c>
      <c r="DE19">
        <v>-0.3120778501033783</v>
      </c>
      <c r="DF19">
        <v>0.39374104142189026</v>
      </c>
      <c r="DG19">
        <v>3.9875056743621826</v>
      </c>
      <c r="DH19">
        <v>2.4987790584564209</v>
      </c>
      <c r="DI19">
        <v>-1.2871624231338501</v>
      </c>
      <c r="DJ19">
        <v>-5.7586264610290527</v>
      </c>
      <c r="DK19">
        <v>12.42247486114502</v>
      </c>
      <c r="DL19">
        <v>84.038047790527344</v>
      </c>
      <c r="DM19">
        <v>85.332191467285156</v>
      </c>
      <c r="DN19">
        <v>30.960508346557617</v>
      </c>
      <c r="DO19">
        <v>4.9132637977600098</v>
      </c>
      <c r="DP19">
        <v>1.7564237117767334</v>
      </c>
      <c r="DQ19">
        <v>3.371434211730957</v>
      </c>
      <c r="DR19">
        <v>3.8679366111755371</v>
      </c>
      <c r="DS19">
        <v>3.2353768348693848</v>
      </c>
      <c r="DT19">
        <v>0.34095677733421326</v>
      </c>
      <c r="DU19">
        <v>-0.9328654408454895</v>
      </c>
      <c r="DV19">
        <v>1.7065774202346802</v>
      </c>
      <c r="DW19">
        <v>2.2003331184387207</v>
      </c>
      <c r="DX19">
        <v>3.0753374099731445</v>
      </c>
      <c r="DY19">
        <v>2.3298325538635254</v>
      </c>
      <c r="DZ19">
        <v>3.0503330230712891</v>
      </c>
      <c r="EA19">
        <v>2.0110485553741455</v>
      </c>
      <c r="EB19">
        <v>2.8285987377166748</v>
      </c>
      <c r="EC19">
        <v>1.4820466041564941</v>
      </c>
      <c r="ED19">
        <v>2.2625257968902588</v>
      </c>
      <c r="EE19">
        <v>5.9434466361999512</v>
      </c>
      <c r="EF19">
        <v>4.543820858001709</v>
      </c>
      <c r="EG19">
        <v>0.73939394950866699</v>
      </c>
      <c r="EH19">
        <v>-3.7616651058197021</v>
      </c>
      <c r="EI19">
        <v>14.445667266845703</v>
      </c>
      <c r="EJ19">
        <v>86.083267211914063</v>
      </c>
      <c r="EK19">
        <v>87.414253234863281</v>
      </c>
      <c r="EL19">
        <v>33.063919067382813</v>
      </c>
      <c r="EM19">
        <v>7.0720863342285156</v>
      </c>
      <c r="EN19">
        <v>3.9554219245910645</v>
      </c>
      <c r="EO19">
        <v>5.5571036338806152</v>
      </c>
      <c r="EP19">
        <v>6.0175542831420898</v>
      </c>
      <c r="EQ19">
        <v>5.3458294868469238</v>
      </c>
      <c r="ER19">
        <v>2.4381120204925537</v>
      </c>
      <c r="ES19">
        <v>1.1508276462554932</v>
      </c>
      <c r="ET19">
        <v>61.359378814697266</v>
      </c>
      <c r="EU19">
        <v>60.651943206787109</v>
      </c>
      <c r="EV19">
        <v>59.77886962890625</v>
      </c>
      <c r="EW19">
        <v>59.400093078613281</v>
      </c>
      <c r="EX19">
        <v>59.203475952148438</v>
      </c>
      <c r="EY19">
        <v>59.704185485839844</v>
      </c>
      <c r="EZ19">
        <v>61.194084167480469</v>
      </c>
      <c r="FA19">
        <v>63.940391540527344</v>
      </c>
      <c r="FB19">
        <v>67.5802001953125</v>
      </c>
      <c r="FC19">
        <v>70.763267517089844</v>
      </c>
      <c r="FD19">
        <v>73.404937744140625</v>
      </c>
      <c r="FE19">
        <v>75.593391418457031</v>
      </c>
      <c r="FF19">
        <v>77.0999755859375</v>
      </c>
      <c r="FG19">
        <v>78.048599243164063</v>
      </c>
      <c r="FH19">
        <v>78.194549560546875</v>
      </c>
      <c r="FI19">
        <v>77.795082092285156</v>
      </c>
      <c r="FJ19">
        <v>77.411712646484375</v>
      </c>
      <c r="FK19">
        <v>75.613945007324219</v>
      </c>
      <c r="FL19">
        <v>72.406669616699219</v>
      </c>
      <c r="FM19">
        <v>68.869682312011719</v>
      </c>
      <c r="FN19">
        <v>66.84674072265625</v>
      </c>
      <c r="FO19">
        <v>65.510154724121094</v>
      </c>
      <c r="FP19">
        <v>64.137687683105469</v>
      </c>
      <c r="FQ19">
        <v>63.026756286621094</v>
      </c>
      <c r="FR19">
        <v>889</v>
      </c>
      <c r="FS19">
        <v>4.6682514250278473E-2</v>
      </c>
      <c r="FT19">
        <v>1</v>
      </c>
    </row>
    <row r="20" spans="1:176" x14ac:dyDescent="0.2">
      <c r="A20" t="s">
        <v>1</v>
      </c>
      <c r="B20" t="s">
        <v>226</v>
      </c>
      <c r="C20" t="s">
        <v>237</v>
      </c>
      <c r="D20">
        <v>611</v>
      </c>
      <c r="E20">
        <v>939</v>
      </c>
      <c r="F20">
        <v>132.02413940429688</v>
      </c>
      <c r="G20">
        <v>130.25213623046875</v>
      </c>
      <c r="H20">
        <v>129.00364685058594</v>
      </c>
      <c r="I20">
        <v>128.41667175292969</v>
      </c>
      <c r="J20">
        <v>131.73641967773437</v>
      </c>
      <c r="K20">
        <v>138.65171813964844</v>
      </c>
      <c r="L20">
        <v>147.20057678222656</v>
      </c>
      <c r="M20">
        <v>148.9664306640625</v>
      </c>
      <c r="N20">
        <v>150.93898010253906</v>
      </c>
      <c r="O20">
        <v>151.15643310546875</v>
      </c>
      <c r="P20">
        <v>151.54240417480469</v>
      </c>
      <c r="Q20">
        <v>150.62760925292969</v>
      </c>
      <c r="R20">
        <v>149.31278991699219</v>
      </c>
      <c r="S20">
        <v>148.94918823242187</v>
      </c>
      <c r="T20">
        <v>147.90611267089844</v>
      </c>
      <c r="U20">
        <v>146.63386535644531</v>
      </c>
      <c r="V20">
        <v>144.99287414550781</v>
      </c>
      <c r="W20">
        <v>141.17939758300781</v>
      </c>
      <c r="X20">
        <v>141.44631958007812</v>
      </c>
      <c r="Y20">
        <v>141.93391418457031</v>
      </c>
      <c r="Z20">
        <v>141.90126037597656</v>
      </c>
      <c r="AA20">
        <v>139.994140625</v>
      </c>
      <c r="AB20">
        <v>137.29225158691406</v>
      </c>
      <c r="AC20">
        <v>132.53518676757812</v>
      </c>
      <c r="AD20">
        <v>-5.7014279365539551</v>
      </c>
      <c r="AE20">
        <v>-4.2276105880737305</v>
      </c>
      <c r="AF20">
        <v>-3.5261640548706055</v>
      </c>
      <c r="AG20">
        <v>-2.0231268405914307</v>
      </c>
      <c r="AH20">
        <v>-0.27597671747207642</v>
      </c>
      <c r="AI20">
        <v>-0.47700688242912292</v>
      </c>
      <c r="AJ20">
        <v>-0.598183274269104</v>
      </c>
      <c r="AK20">
        <v>4.7907661646604538E-2</v>
      </c>
      <c r="AL20">
        <v>0.43371415138244629</v>
      </c>
      <c r="AM20">
        <v>-1.9258800745010376</v>
      </c>
      <c r="AN20">
        <v>-3.2421202659606934</v>
      </c>
      <c r="AO20">
        <v>-3.2073895931243896</v>
      </c>
      <c r="AP20">
        <v>-3.4117629528045654</v>
      </c>
      <c r="AQ20">
        <v>7.523158073425293</v>
      </c>
      <c r="AR20">
        <v>53.84375</v>
      </c>
      <c r="AS20">
        <v>53.383228302001953</v>
      </c>
      <c r="AT20">
        <v>15.489026069641113</v>
      </c>
      <c r="AU20">
        <v>-2.5293295383453369</v>
      </c>
      <c r="AV20">
        <v>-4.3470191955566406</v>
      </c>
      <c r="AW20">
        <v>-3.635645866394043</v>
      </c>
      <c r="AX20">
        <v>-4.3162155151367188</v>
      </c>
      <c r="AY20">
        <v>-3.6021974086761475</v>
      </c>
      <c r="AZ20">
        <v>-3.6495108604431152</v>
      </c>
      <c r="BA20">
        <v>-3.7605509757995605</v>
      </c>
      <c r="BB20">
        <v>-4.2971978187561035</v>
      </c>
      <c r="BC20">
        <v>-2.8609347343444824</v>
      </c>
      <c r="BD20">
        <v>-2.2044649124145508</v>
      </c>
      <c r="BE20">
        <v>-0.73374909162521362</v>
      </c>
      <c r="BF20">
        <v>1.0040234327316284</v>
      </c>
      <c r="BG20">
        <v>0.80576276779174805</v>
      </c>
      <c r="BH20">
        <v>0.71472024917602539</v>
      </c>
      <c r="BI20">
        <v>1.4489983320236206</v>
      </c>
      <c r="BJ20">
        <v>1.8960205316543579</v>
      </c>
      <c r="BK20">
        <v>-0.37516814470291138</v>
      </c>
      <c r="BL20">
        <v>-1.6214748620986938</v>
      </c>
      <c r="BM20">
        <v>-1.5531814098358154</v>
      </c>
      <c r="BN20">
        <v>-1.7326343059539795</v>
      </c>
      <c r="BO20">
        <v>9.2217874526977539</v>
      </c>
      <c r="BP20">
        <v>55.541049957275391</v>
      </c>
      <c r="BQ20">
        <v>55.093162536621094</v>
      </c>
      <c r="BR20">
        <v>17.191835403442383</v>
      </c>
      <c r="BS20">
        <v>-0.81227123737335205</v>
      </c>
      <c r="BT20">
        <v>-2.6118505001068115</v>
      </c>
      <c r="BU20">
        <v>-1.9006826877593994</v>
      </c>
      <c r="BV20">
        <v>-2.5786960124969482</v>
      </c>
      <c r="BW20">
        <v>-1.854114294052124</v>
      </c>
      <c r="BX20">
        <v>-1.8751550912857056</v>
      </c>
      <c r="BY20">
        <v>-2.0265741348266602</v>
      </c>
      <c r="BZ20">
        <v>-3.3246324062347412</v>
      </c>
      <c r="CA20">
        <v>-1.914379358291626</v>
      </c>
      <c r="CB20">
        <v>-1.289060115814209</v>
      </c>
      <c r="CC20">
        <v>0.1592700332403183</v>
      </c>
      <c r="CD20">
        <v>1.8905476331710815</v>
      </c>
      <c r="CE20">
        <v>1.6942051649093628</v>
      </c>
      <c r="CF20">
        <v>1.6240332126617432</v>
      </c>
      <c r="CG20">
        <v>2.4193894863128662</v>
      </c>
      <c r="CH20">
        <v>2.9088094234466553</v>
      </c>
      <c r="CI20">
        <v>0.69885015487670898</v>
      </c>
      <c r="CJ20">
        <v>-0.4990207850933075</v>
      </c>
      <c r="CK20">
        <v>-0.407481849193573</v>
      </c>
      <c r="CL20">
        <v>-0.56967508792877197</v>
      </c>
      <c r="CM20">
        <v>10.398253440856934</v>
      </c>
      <c r="CN20">
        <v>56.716594696044922</v>
      </c>
      <c r="CO20">
        <v>56.277458190917969</v>
      </c>
      <c r="CP20">
        <v>18.371194839477539</v>
      </c>
      <c r="CQ20">
        <v>0.37695816159248352</v>
      </c>
      <c r="CR20">
        <v>-1.410077691078186</v>
      </c>
      <c r="CS20">
        <v>-0.69905251264572144</v>
      </c>
      <c r="CT20">
        <v>-1.3752954006195068</v>
      </c>
      <c r="CU20">
        <v>-0.64339733123779297</v>
      </c>
      <c r="CV20">
        <v>-0.64624184370040894</v>
      </c>
      <c r="CW20">
        <v>-0.8256269097328186</v>
      </c>
      <c r="CX20">
        <v>-2.3520669937133789</v>
      </c>
      <c r="CY20">
        <v>-0.96782398223876953</v>
      </c>
      <c r="CZ20">
        <v>-0.37365525960922241</v>
      </c>
      <c r="DA20">
        <v>1.0522891283035278</v>
      </c>
      <c r="DB20">
        <v>2.7770719528198242</v>
      </c>
      <c r="DC20">
        <v>2.5826475620269775</v>
      </c>
      <c r="DD20">
        <v>2.5333461761474609</v>
      </c>
      <c r="DE20">
        <v>3.3897805213928223</v>
      </c>
      <c r="DF20">
        <v>3.9215984344482422</v>
      </c>
      <c r="DG20">
        <v>1.7728685140609741</v>
      </c>
      <c r="DH20">
        <v>0.62343329191207886</v>
      </c>
      <c r="DI20">
        <v>0.73821771144866943</v>
      </c>
      <c r="DJ20">
        <v>0.59328418970108032</v>
      </c>
      <c r="DK20">
        <v>11.574719429016113</v>
      </c>
      <c r="DL20">
        <v>57.892139434814453</v>
      </c>
      <c r="DM20">
        <v>57.461753845214844</v>
      </c>
      <c r="DN20">
        <v>19.550554275512695</v>
      </c>
      <c r="DO20">
        <v>1.5661876201629639</v>
      </c>
      <c r="DP20">
        <v>-0.20830497145652771</v>
      </c>
      <c r="DQ20">
        <v>0.50257766246795654</v>
      </c>
      <c r="DR20">
        <v>-0.17189469933509827</v>
      </c>
      <c r="DS20">
        <v>0.56731969118118286</v>
      </c>
      <c r="DT20">
        <v>0.58267146348953247</v>
      </c>
      <c r="DU20">
        <v>0.37532025575637817</v>
      </c>
      <c r="DV20">
        <v>-0.94783699512481689</v>
      </c>
      <c r="DW20">
        <v>0.39885169267654419</v>
      </c>
      <c r="DX20">
        <v>0.94804394245147705</v>
      </c>
      <c r="DY20">
        <v>2.3416669368743896</v>
      </c>
      <c r="DZ20">
        <v>4.0570721626281738</v>
      </c>
      <c r="EA20">
        <v>3.8654172420501709</v>
      </c>
      <c r="EB20">
        <v>3.8462495803833008</v>
      </c>
      <c r="EC20">
        <v>4.7908711433410645</v>
      </c>
      <c r="ED20">
        <v>5.3839049339294434</v>
      </c>
      <c r="EE20">
        <v>3.323580265045166</v>
      </c>
      <c r="EF20">
        <v>2.2440786361694336</v>
      </c>
      <c r="EG20">
        <v>2.3924260139465332</v>
      </c>
      <c r="EH20">
        <v>2.2724127769470215</v>
      </c>
      <c r="EI20">
        <v>13.273348808288574</v>
      </c>
      <c r="EJ20">
        <v>59.589439392089844</v>
      </c>
      <c r="EK20">
        <v>59.171688079833984</v>
      </c>
      <c r="EL20">
        <v>21.253364562988281</v>
      </c>
      <c r="EM20">
        <v>3.2832460403442383</v>
      </c>
      <c r="EN20">
        <v>1.5268639326095581</v>
      </c>
      <c r="EO20">
        <v>2.2375407218933105</v>
      </c>
      <c r="EP20">
        <v>1.5656247138977051</v>
      </c>
      <c r="EQ20">
        <v>2.3154027462005615</v>
      </c>
      <c r="ER20">
        <v>2.3570270538330078</v>
      </c>
      <c r="ES20">
        <v>2.1092972755432129</v>
      </c>
      <c r="ET20">
        <v>63.5087890625</v>
      </c>
      <c r="EU20">
        <v>62.254463195800781</v>
      </c>
      <c r="EV20">
        <v>60.794990539550781</v>
      </c>
      <c r="EW20">
        <v>59.818431854248047</v>
      </c>
      <c r="EX20">
        <v>59.112972259521484</v>
      </c>
      <c r="EY20">
        <v>59.580364227294922</v>
      </c>
      <c r="EZ20">
        <v>63.192497253417969</v>
      </c>
      <c r="FA20">
        <v>66.013259887695312</v>
      </c>
      <c r="FB20">
        <v>68.69482421875</v>
      </c>
      <c r="FC20">
        <v>71.902259826660156</v>
      </c>
      <c r="FD20">
        <v>75.531639099121094</v>
      </c>
      <c r="FE20">
        <v>78.702415466308594</v>
      </c>
      <c r="FF20">
        <v>81.123458862304687</v>
      </c>
      <c r="FG20">
        <v>82.621505737304688</v>
      </c>
      <c r="FH20">
        <v>82.927467346191406</v>
      </c>
      <c r="FI20">
        <v>81.96307373046875</v>
      </c>
      <c r="FJ20">
        <v>79.252761840820313</v>
      </c>
      <c r="FK20">
        <v>76.283653259277344</v>
      </c>
      <c r="FL20">
        <v>73.023086547851563</v>
      </c>
      <c r="FM20">
        <v>69.423942565917969</v>
      </c>
      <c r="FN20">
        <v>67.304924011230469</v>
      </c>
      <c r="FO20">
        <v>65.36688232421875</v>
      </c>
      <c r="FP20">
        <v>63.870018005371094</v>
      </c>
      <c r="FQ20">
        <v>62.944477081298828</v>
      </c>
      <c r="FR20">
        <v>611</v>
      </c>
      <c r="FS20">
        <v>3.6786649376153946E-2</v>
      </c>
      <c r="FT20">
        <v>1</v>
      </c>
    </row>
    <row r="21" spans="1:176" x14ac:dyDescent="0.2">
      <c r="A21" t="s">
        <v>1</v>
      </c>
      <c r="B21" t="s">
        <v>226</v>
      </c>
      <c r="C21" t="s">
        <v>238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T21">
        <v>0</v>
      </c>
    </row>
    <row r="22" spans="1:176" x14ac:dyDescent="0.2">
      <c r="A22" t="s">
        <v>1</v>
      </c>
      <c r="B22" t="s">
        <v>226</v>
      </c>
      <c r="C22" t="s">
        <v>239</v>
      </c>
      <c r="D22">
        <v>951</v>
      </c>
      <c r="E22">
        <v>951</v>
      </c>
      <c r="F22">
        <v>270.279052734375</v>
      </c>
      <c r="G22">
        <v>265.02102661132812</v>
      </c>
      <c r="H22">
        <v>261.42852783203125</v>
      </c>
      <c r="I22">
        <v>259.52935791015625</v>
      </c>
      <c r="J22">
        <v>263.86477661132812</v>
      </c>
      <c r="K22">
        <v>277.40899658203125</v>
      </c>
      <c r="L22">
        <v>296.02090454101562</v>
      </c>
      <c r="M22">
        <v>303.36895751953125</v>
      </c>
      <c r="N22">
        <v>311.96157836914062</v>
      </c>
      <c r="O22">
        <v>318.775390625</v>
      </c>
      <c r="P22">
        <v>322.24917602539062</v>
      </c>
      <c r="Q22">
        <v>321.6788330078125</v>
      </c>
      <c r="R22">
        <v>317.92550659179687</v>
      </c>
      <c r="S22">
        <v>317.7584228515625</v>
      </c>
      <c r="T22">
        <v>315.8826904296875</v>
      </c>
      <c r="U22">
        <v>312.19119262695312</v>
      </c>
      <c r="V22">
        <v>307.89047241210937</v>
      </c>
      <c r="W22">
        <v>300.62728881835937</v>
      </c>
      <c r="X22">
        <v>295.41549682617187</v>
      </c>
      <c r="Y22">
        <v>294.42852783203125</v>
      </c>
      <c r="Z22">
        <v>293.73532104492187</v>
      </c>
      <c r="AA22">
        <v>286.85260009765625</v>
      </c>
      <c r="AB22">
        <v>278.23138427734375</v>
      </c>
      <c r="AC22">
        <v>266.01211547851562</v>
      </c>
      <c r="AD22">
        <v>-4.3207030296325684</v>
      </c>
      <c r="AE22">
        <v>-3.5626518726348877</v>
      </c>
      <c r="AF22">
        <v>-3.3418838977813721</v>
      </c>
      <c r="AG22">
        <v>-3.7312023639678955</v>
      </c>
      <c r="AH22">
        <v>-2.7197470664978027</v>
      </c>
      <c r="AI22">
        <v>-2.7703976631164551</v>
      </c>
      <c r="AJ22">
        <v>-2.5041606426239014</v>
      </c>
      <c r="AK22">
        <v>-3.3759200572967529</v>
      </c>
      <c r="AL22">
        <v>-2.1023695468902588</v>
      </c>
      <c r="AM22">
        <v>-3.7566976547241211</v>
      </c>
      <c r="AN22">
        <v>-4.3307018280029297</v>
      </c>
      <c r="AO22">
        <v>-5.2763772010803223</v>
      </c>
      <c r="AP22">
        <v>-5.3909578323364258</v>
      </c>
      <c r="AQ22">
        <v>15.03868579864502</v>
      </c>
      <c r="AR22">
        <v>92.577743530273438</v>
      </c>
      <c r="AS22">
        <v>92.924575805664063</v>
      </c>
      <c r="AT22">
        <v>31.265092849731445</v>
      </c>
      <c r="AU22">
        <v>5.7285399436950684</v>
      </c>
      <c r="AV22">
        <v>-0.64947724342346191</v>
      </c>
      <c r="AW22">
        <v>-2.7431223392486572</v>
      </c>
      <c r="AX22">
        <v>-4.3910226821899414</v>
      </c>
      <c r="AY22">
        <v>-5.5181517601013184</v>
      </c>
      <c r="AZ22">
        <v>-6.2476434707641602</v>
      </c>
      <c r="BA22">
        <v>-8.3441610336303711</v>
      </c>
      <c r="BB22">
        <v>-2.0933976173400879</v>
      </c>
      <c r="BC22">
        <v>-1.4259153604507446</v>
      </c>
      <c r="BD22">
        <v>-1.2420488595962524</v>
      </c>
      <c r="BE22">
        <v>-1.6695135831832886</v>
      </c>
      <c r="BF22">
        <v>-0.63525813817977905</v>
      </c>
      <c r="BG22">
        <v>-0.66817152500152588</v>
      </c>
      <c r="BH22">
        <v>-0.36435967683792114</v>
      </c>
      <c r="BI22">
        <v>-1.1453689336776733</v>
      </c>
      <c r="BJ22">
        <v>0.23194378614425659</v>
      </c>
      <c r="BK22">
        <v>-1.2918441295623779</v>
      </c>
      <c r="BL22">
        <v>-1.7727888822555542</v>
      </c>
      <c r="BM22">
        <v>-2.6471927165985107</v>
      </c>
      <c r="BN22">
        <v>-2.7454149723052979</v>
      </c>
      <c r="BO22">
        <v>17.738502502441406</v>
      </c>
      <c r="BP22">
        <v>95.320259094238281</v>
      </c>
      <c r="BQ22">
        <v>95.647560119628906</v>
      </c>
      <c r="BR22">
        <v>33.966976165771484</v>
      </c>
      <c r="BS22">
        <v>8.3754281997680664</v>
      </c>
      <c r="BT22">
        <v>1.9588863849639893</v>
      </c>
      <c r="BU22">
        <v>-0.12148337066173553</v>
      </c>
      <c r="BV22">
        <v>-1.8015966415405273</v>
      </c>
      <c r="BW22">
        <v>-2.9503390789031982</v>
      </c>
      <c r="BX22">
        <v>-3.6629314422607422</v>
      </c>
      <c r="BY22">
        <v>-5.7816810607910156</v>
      </c>
      <c r="BZ22">
        <v>-0.55077272653579712</v>
      </c>
      <c r="CA22">
        <v>5.3981751203536987E-2</v>
      </c>
      <c r="CB22">
        <v>0.21229037642478943</v>
      </c>
      <c r="CC22">
        <v>-0.24159419536590576</v>
      </c>
      <c r="CD22">
        <v>0.80845260620117188</v>
      </c>
      <c r="CE22">
        <v>0.78782385587692261</v>
      </c>
      <c r="CF22">
        <v>1.1176599264144897</v>
      </c>
      <c r="CG22">
        <v>0.39950406551361084</v>
      </c>
      <c r="CH22">
        <v>1.8486820459365845</v>
      </c>
      <c r="CI22">
        <v>0.41530594229698181</v>
      </c>
      <c r="CJ22">
        <v>-1.1859867954626679E-3</v>
      </c>
      <c r="CK22">
        <v>-0.82622754573822021</v>
      </c>
      <c r="CL22">
        <v>-0.9131198525428772</v>
      </c>
      <c r="CM22">
        <v>19.608386993408203</v>
      </c>
      <c r="CN22">
        <v>97.219711303710938</v>
      </c>
      <c r="CO22">
        <v>97.533493041992188</v>
      </c>
      <c r="CP22">
        <v>35.838294982910156</v>
      </c>
      <c r="CQ22">
        <v>10.20865535736084</v>
      </c>
      <c r="CR22">
        <v>3.7654311656951904</v>
      </c>
      <c r="CS22">
        <v>1.6942558288574219</v>
      </c>
      <c r="CT22">
        <v>-8.1682605668902397E-3</v>
      </c>
      <c r="CU22">
        <v>-1.1718796491622925</v>
      </c>
      <c r="CV22">
        <v>-1.8727679252624512</v>
      </c>
      <c r="CW22">
        <v>-4.0069150924682617</v>
      </c>
      <c r="CX22">
        <v>0.99185210466384888</v>
      </c>
      <c r="CY22">
        <v>1.5338789224624634</v>
      </c>
      <c r="CZ22">
        <v>1.6666296720504761</v>
      </c>
      <c r="DA22">
        <v>1.1863251924514771</v>
      </c>
      <c r="DB22">
        <v>2.2521634101867676</v>
      </c>
      <c r="DC22">
        <v>2.2438192367553711</v>
      </c>
      <c r="DD22">
        <v>2.5996794700622559</v>
      </c>
      <c r="DE22">
        <v>1.944377064704895</v>
      </c>
      <c r="DF22">
        <v>3.4654202461242676</v>
      </c>
      <c r="DG22">
        <v>2.1224560737609863</v>
      </c>
      <c r="DH22">
        <v>1.7704168558120728</v>
      </c>
      <c r="DI22">
        <v>0.99473762512207031</v>
      </c>
      <c r="DJ22">
        <v>0.91917514801025391</v>
      </c>
      <c r="DK22">
        <v>21.478271484375</v>
      </c>
      <c r="DL22">
        <v>99.119163513183594</v>
      </c>
      <c r="DM22">
        <v>99.419425964355469</v>
      </c>
      <c r="DN22">
        <v>37.709613800048828</v>
      </c>
      <c r="DO22">
        <v>12.041882514953613</v>
      </c>
      <c r="DP22">
        <v>5.5719757080078125</v>
      </c>
      <c r="DQ22">
        <v>3.5099949836730957</v>
      </c>
      <c r="DR22">
        <v>1.7852602005004883</v>
      </c>
      <c r="DS22">
        <v>0.60657966136932373</v>
      </c>
      <c r="DT22">
        <v>-8.2604333758354187E-2</v>
      </c>
      <c r="DU22">
        <v>-2.2321491241455078</v>
      </c>
      <c r="DV22">
        <v>3.2191574573516846</v>
      </c>
      <c r="DW22">
        <v>3.6706154346466064</v>
      </c>
      <c r="DX22">
        <v>3.7664647102355957</v>
      </c>
      <c r="DY22">
        <v>3.248013973236084</v>
      </c>
      <c r="DZ22">
        <v>4.3366522789001465</v>
      </c>
      <c r="EA22">
        <v>4.3460454940795898</v>
      </c>
      <c r="EB22">
        <v>4.7394804954528809</v>
      </c>
      <c r="EC22">
        <v>4.1749281883239746</v>
      </c>
      <c r="ED22">
        <v>5.7997336387634277</v>
      </c>
      <c r="EE22">
        <v>4.5873093605041504</v>
      </c>
      <c r="EF22">
        <v>4.3283300399780273</v>
      </c>
      <c r="EG22">
        <v>3.6239221096038818</v>
      </c>
      <c r="EH22">
        <v>3.5647180080413818</v>
      </c>
      <c r="EI22">
        <v>24.178089141845703</v>
      </c>
      <c r="EJ22">
        <v>101.86167907714844</v>
      </c>
      <c r="EK22">
        <v>102.14241027832031</v>
      </c>
      <c r="EL22">
        <v>40.4114990234375</v>
      </c>
      <c r="EM22">
        <v>14.68877124786377</v>
      </c>
      <c r="EN22">
        <v>8.1803398132324219</v>
      </c>
      <c r="EO22">
        <v>6.1316342353820801</v>
      </c>
      <c r="EP22">
        <v>4.3746857643127441</v>
      </c>
      <c r="EQ22">
        <v>3.1743924617767334</v>
      </c>
      <c r="ER22">
        <v>2.5021076202392578</v>
      </c>
      <c r="ES22">
        <v>0.33033120632171631</v>
      </c>
      <c r="ET22">
        <v>72.931465148925781</v>
      </c>
      <c r="EU22">
        <v>71.762138366699219</v>
      </c>
      <c r="EV22">
        <v>70.330802917480469</v>
      </c>
      <c r="EW22">
        <v>69.466506958007812</v>
      </c>
      <c r="EX22">
        <v>68.170936584472656</v>
      </c>
      <c r="EY22">
        <v>67.831672668457031</v>
      </c>
      <c r="EZ22">
        <v>70.002723693847656</v>
      </c>
      <c r="FA22">
        <v>73.598136901855469</v>
      </c>
      <c r="FB22">
        <v>77.350112915039063</v>
      </c>
      <c r="FC22">
        <v>80.803321838378906</v>
      </c>
      <c r="FD22">
        <v>82.832771301269531</v>
      </c>
      <c r="FE22">
        <v>84.642074584960938</v>
      </c>
      <c r="FF22">
        <v>85.930961608886719</v>
      </c>
      <c r="FG22">
        <v>85.558204650878906</v>
      </c>
      <c r="FH22">
        <v>84.945297241210938</v>
      </c>
      <c r="FI22">
        <v>85.137008666992188</v>
      </c>
      <c r="FJ22">
        <v>84.202934265136719</v>
      </c>
      <c r="FK22">
        <v>81.969894409179688</v>
      </c>
      <c r="FL22">
        <v>78.626289367675781</v>
      </c>
      <c r="FM22">
        <v>75.997764587402344</v>
      </c>
      <c r="FN22">
        <v>74.357566833496094</v>
      </c>
      <c r="FO22">
        <v>73.212493896484375</v>
      </c>
      <c r="FP22">
        <v>72.255691528320313</v>
      </c>
      <c r="FQ22">
        <v>71.310714721679687</v>
      </c>
      <c r="FR22">
        <v>951</v>
      </c>
      <c r="FS22">
        <v>4.3518111109733582E-2</v>
      </c>
      <c r="FT22">
        <v>1</v>
      </c>
    </row>
    <row r="23" spans="1:176" x14ac:dyDescent="0.2">
      <c r="A23" t="s">
        <v>1</v>
      </c>
      <c r="B23" t="s">
        <v>226</v>
      </c>
      <c r="C23" t="s">
        <v>240</v>
      </c>
      <c r="D23">
        <v>963</v>
      </c>
      <c r="E23">
        <v>963</v>
      </c>
      <c r="F23">
        <v>236.14015197753906</v>
      </c>
      <c r="G23">
        <v>234.73089599609375</v>
      </c>
      <c r="H23">
        <v>234.62875366210937</v>
      </c>
      <c r="I23">
        <v>236.21971130371094</v>
      </c>
      <c r="J23">
        <v>244.65718078613281</v>
      </c>
      <c r="K23">
        <v>261.38735961914062</v>
      </c>
      <c r="L23">
        <v>283.2896728515625</v>
      </c>
      <c r="M23">
        <v>293.149658203125</v>
      </c>
      <c r="N23">
        <v>303.68795776367187</v>
      </c>
      <c r="O23">
        <v>310.5859375</v>
      </c>
      <c r="P23">
        <v>315.92654418945312</v>
      </c>
      <c r="Q23">
        <v>318.78961181640625</v>
      </c>
      <c r="R23">
        <v>316.81509399414062</v>
      </c>
      <c r="S23">
        <v>319.4344482421875</v>
      </c>
      <c r="T23">
        <v>317.7388916015625</v>
      </c>
      <c r="U23">
        <v>316.70492553710937</v>
      </c>
      <c r="V23">
        <v>312.97216796875</v>
      </c>
      <c r="W23">
        <v>306.703857421875</v>
      </c>
      <c r="X23">
        <v>301.15716552734375</v>
      </c>
      <c r="Y23">
        <v>298.64413452148437</v>
      </c>
      <c r="Z23">
        <v>297.34027099609375</v>
      </c>
      <c r="AA23">
        <v>290.97891235351562</v>
      </c>
      <c r="AB23">
        <v>281.64614868164062</v>
      </c>
      <c r="AC23">
        <v>269.98388671875</v>
      </c>
      <c r="AD23">
        <v>-3.1693019866943359</v>
      </c>
      <c r="AE23">
        <v>-2.8810296058654785</v>
      </c>
      <c r="AF23">
        <v>-1.9347836971282959</v>
      </c>
      <c r="AG23">
        <v>-2.5993537902832031</v>
      </c>
      <c r="AH23">
        <v>-3.2109925746917725</v>
      </c>
      <c r="AI23">
        <v>-4.3684835433959961</v>
      </c>
      <c r="AJ23">
        <v>-2.3367631435394287</v>
      </c>
      <c r="AK23">
        <v>-6.7110443115234375</v>
      </c>
      <c r="AL23">
        <v>-8.3218460083007813</v>
      </c>
      <c r="AM23">
        <v>-10.45074462890625</v>
      </c>
      <c r="AN23">
        <v>-6.2837014198303223</v>
      </c>
      <c r="AO23">
        <v>-4.3375859260559082</v>
      </c>
      <c r="AP23">
        <v>-5.8121342658996582</v>
      </c>
      <c r="AQ23">
        <v>-5.049537181854248</v>
      </c>
      <c r="AR23">
        <v>-2.9522607326507568</v>
      </c>
      <c r="AS23">
        <v>15.709653854370117</v>
      </c>
      <c r="AT23">
        <v>81.191596984863281</v>
      </c>
      <c r="AU23">
        <v>78.664703369140625</v>
      </c>
      <c r="AV23">
        <v>78.605796813964844</v>
      </c>
      <c r="AW23">
        <v>26.140657424926758</v>
      </c>
      <c r="AX23">
        <v>3.041269063949585</v>
      </c>
      <c r="AY23">
        <v>-3.4372971057891846</v>
      </c>
      <c r="AZ23">
        <v>-7.6836686134338379</v>
      </c>
      <c r="BA23">
        <v>-9.6889829635620117</v>
      </c>
      <c r="BB23">
        <v>-1.1091551780700684</v>
      </c>
      <c r="BC23">
        <v>-0.87482494115829468</v>
      </c>
      <c r="BD23">
        <v>6.5324507653713226E-2</v>
      </c>
      <c r="BE23">
        <v>-0.58004993200302124</v>
      </c>
      <c r="BF23">
        <v>-1.1805520057678223</v>
      </c>
      <c r="BG23">
        <v>-2.3501458168029785</v>
      </c>
      <c r="BH23">
        <v>-0.29169762134552002</v>
      </c>
      <c r="BI23">
        <v>-4.6189556121826172</v>
      </c>
      <c r="BJ23">
        <v>-6.1268248558044434</v>
      </c>
      <c r="BK23">
        <v>-8.1179037094116211</v>
      </c>
      <c r="BL23">
        <v>-3.8566901683807373</v>
      </c>
      <c r="BM23">
        <v>-1.8508656024932861</v>
      </c>
      <c r="BN23">
        <v>-3.3109831809997559</v>
      </c>
      <c r="BO23">
        <v>-2.4658715724945068</v>
      </c>
      <c r="BP23">
        <v>-0.36904987692832947</v>
      </c>
      <c r="BQ23">
        <v>18.233661651611328</v>
      </c>
      <c r="BR23">
        <v>83.710052490234375</v>
      </c>
      <c r="BS23">
        <v>81.205451965332031</v>
      </c>
      <c r="BT23">
        <v>81.153282165527344</v>
      </c>
      <c r="BU23">
        <v>28.692413330078125</v>
      </c>
      <c r="BV23">
        <v>5.5569734573364258</v>
      </c>
      <c r="BW23">
        <v>-0.92282146215438843</v>
      </c>
      <c r="BX23">
        <v>-5.1564764976501465</v>
      </c>
      <c r="BY23">
        <v>-7.1668882369995117</v>
      </c>
      <c r="BZ23">
        <v>0.317696213722229</v>
      </c>
      <c r="CA23">
        <v>0.51466631889343262</v>
      </c>
      <c r="CB23">
        <v>1.4505933523178101</v>
      </c>
      <c r="CC23">
        <v>0.81851375102996826</v>
      </c>
      <c r="CD23">
        <v>0.2257249504327774</v>
      </c>
      <c r="CE23">
        <v>-0.9522508978843689</v>
      </c>
      <c r="CF23">
        <v>1.1247085332870483</v>
      </c>
      <c r="CG23">
        <v>-3.1699810028076172</v>
      </c>
      <c r="CH23">
        <v>-4.6065597534179687</v>
      </c>
      <c r="CI23">
        <v>-6.5021848678588867</v>
      </c>
      <c r="CJ23">
        <v>-2.1757495403289795</v>
      </c>
      <c r="CK23">
        <v>-0.12857067584991455</v>
      </c>
      <c r="CL23">
        <v>-1.5786936283111572</v>
      </c>
      <c r="CM23">
        <v>-0.67643243074417114</v>
      </c>
      <c r="CN23">
        <v>1.4200741052627563</v>
      </c>
      <c r="CO23">
        <v>19.981782913208008</v>
      </c>
      <c r="CP23">
        <v>85.454330444335938</v>
      </c>
      <c r="CQ23">
        <v>82.965164184570313</v>
      </c>
      <c r="CR23">
        <v>82.917655944824219</v>
      </c>
      <c r="CS23">
        <v>30.459751129150391</v>
      </c>
      <c r="CT23">
        <v>7.2993426322937012</v>
      </c>
      <c r="CU23">
        <v>0.81869667768478394</v>
      </c>
      <c r="CV23">
        <v>-3.406151294708252</v>
      </c>
      <c r="CW23">
        <v>-5.4200925827026367</v>
      </c>
      <c r="CX23">
        <v>1.7445476055145264</v>
      </c>
      <c r="CY23">
        <v>1.9041575193405151</v>
      </c>
      <c r="CZ23">
        <v>2.8358621597290039</v>
      </c>
      <c r="DA23">
        <v>2.2170774936676025</v>
      </c>
      <c r="DB23">
        <v>1.6320018768310547</v>
      </c>
      <c r="DC23">
        <v>0.44564390182495117</v>
      </c>
      <c r="DD23">
        <v>2.5411145687103271</v>
      </c>
      <c r="DE23">
        <v>-1.7210066318511963</v>
      </c>
      <c r="DF23">
        <v>-3.0862948894500732</v>
      </c>
      <c r="DG23">
        <v>-4.8864660263061523</v>
      </c>
      <c r="DH23">
        <v>-0.49480900168418884</v>
      </c>
      <c r="DI23">
        <v>1.593724250793457</v>
      </c>
      <c r="DJ23">
        <v>0.15359592437744141</v>
      </c>
      <c r="DK23">
        <v>1.113006591796875</v>
      </c>
      <c r="DL23">
        <v>3.209197998046875</v>
      </c>
      <c r="DM23">
        <v>21.729904174804687</v>
      </c>
      <c r="DN23">
        <v>87.1986083984375</v>
      </c>
      <c r="DO23">
        <v>84.724876403808594</v>
      </c>
      <c r="DP23">
        <v>84.682029724121094</v>
      </c>
      <c r="DQ23">
        <v>32.227088928222656</v>
      </c>
      <c r="DR23">
        <v>9.0417118072509766</v>
      </c>
      <c r="DS23">
        <v>2.5602147579193115</v>
      </c>
      <c r="DT23">
        <v>-1.6558258533477783</v>
      </c>
      <c r="DU23">
        <v>-3.6732971668243408</v>
      </c>
      <c r="DV23">
        <v>3.8046944141387939</v>
      </c>
      <c r="DW23">
        <v>3.9103622436523437</v>
      </c>
      <c r="DX23">
        <v>4.835970401763916</v>
      </c>
      <c r="DY23">
        <v>4.2363815307617187</v>
      </c>
      <c r="DZ23">
        <v>3.6624424457550049</v>
      </c>
      <c r="EA23">
        <v>2.4639818668365479</v>
      </c>
      <c r="EB23">
        <v>4.5861802101135254</v>
      </c>
      <c r="EC23">
        <v>0.37108224630355835</v>
      </c>
      <c r="ED23">
        <v>-0.89127373695373535</v>
      </c>
      <c r="EE23">
        <v>-2.5536248683929443</v>
      </c>
      <c r="EF23">
        <v>1.9322021007537842</v>
      </c>
      <c r="EG23">
        <v>4.0804443359375</v>
      </c>
      <c r="EH23">
        <v>2.6547470092773438</v>
      </c>
      <c r="EI23">
        <v>3.6966724395751953</v>
      </c>
      <c r="EJ23">
        <v>5.7924089431762695</v>
      </c>
      <c r="EK23">
        <v>24.253911972045898</v>
      </c>
      <c r="EL23">
        <v>89.717063903808594</v>
      </c>
      <c r="EM23">
        <v>87.265625</v>
      </c>
      <c r="EN23">
        <v>87.229515075683594</v>
      </c>
      <c r="EO23">
        <v>34.778846740722656</v>
      </c>
      <c r="EP23">
        <v>11.557415962219238</v>
      </c>
      <c r="EQ23">
        <v>5.0746903419494629</v>
      </c>
      <c r="ER23">
        <v>0.87136602401733398</v>
      </c>
      <c r="ES23">
        <v>-1.1512017250061035</v>
      </c>
      <c r="ET23">
        <v>68.925521850585937</v>
      </c>
      <c r="EU23">
        <v>68.088821411132812</v>
      </c>
      <c r="EV23">
        <v>67.300216674804688</v>
      </c>
      <c r="EW23">
        <v>66.380729675292969</v>
      </c>
      <c r="EX23">
        <v>65.661331176757813</v>
      </c>
      <c r="EY23">
        <v>65.452438354492188</v>
      </c>
      <c r="EZ23">
        <v>67.830368041992188</v>
      </c>
      <c r="FA23">
        <v>71.587699890136719</v>
      </c>
      <c r="FB23">
        <v>75.613288879394531</v>
      </c>
      <c r="FC23">
        <v>79.122825622558594</v>
      </c>
      <c r="FD23">
        <v>81.946823120117188</v>
      </c>
      <c r="FE23">
        <v>83.9822998046875</v>
      </c>
      <c r="FF23">
        <v>85.449089050292969</v>
      </c>
      <c r="FG23">
        <v>85.57940673828125</v>
      </c>
      <c r="FH23">
        <v>85.390182495117188</v>
      </c>
      <c r="FI23">
        <v>84.66168212890625</v>
      </c>
      <c r="FJ23">
        <v>82.083984375</v>
      </c>
      <c r="FK23">
        <v>79.919845581054687</v>
      </c>
      <c r="FL23">
        <v>76.941734313964844</v>
      </c>
      <c r="FM23">
        <v>74.841835021972656</v>
      </c>
      <c r="FN23">
        <v>72.804588317871094</v>
      </c>
      <c r="FO23">
        <v>71.585296630859375</v>
      </c>
      <c r="FP23">
        <v>70.592178344726563</v>
      </c>
      <c r="FQ23">
        <v>69.834884643554688</v>
      </c>
      <c r="FR23">
        <v>963</v>
      </c>
      <c r="FS23">
        <v>4.5009784400463104E-2</v>
      </c>
      <c r="FT23">
        <v>1</v>
      </c>
    </row>
    <row r="24" spans="1:176" x14ac:dyDescent="0.2">
      <c r="A24" t="s">
        <v>1</v>
      </c>
      <c r="B24" t="s">
        <v>226</v>
      </c>
      <c r="C24" t="s">
        <v>241</v>
      </c>
      <c r="D24">
        <v>962</v>
      </c>
      <c r="E24">
        <v>962</v>
      </c>
      <c r="F24">
        <v>262.11248779296875</v>
      </c>
      <c r="G24">
        <v>256.84494018554688</v>
      </c>
      <c r="H24">
        <v>252.8765869140625</v>
      </c>
      <c r="I24">
        <v>251.41416931152344</v>
      </c>
      <c r="J24">
        <v>256.40457153320312</v>
      </c>
      <c r="K24">
        <v>269.42837524414062</v>
      </c>
      <c r="L24">
        <v>289.4140625</v>
      </c>
      <c r="M24">
        <v>298.69265747070312</v>
      </c>
      <c r="N24">
        <v>309.25390625</v>
      </c>
      <c r="O24">
        <v>316.2872314453125</v>
      </c>
      <c r="P24">
        <v>321.64846801757812</v>
      </c>
      <c r="Q24">
        <v>324.59176635742187</v>
      </c>
      <c r="R24">
        <v>323.47805786132812</v>
      </c>
      <c r="S24">
        <v>324.63198852539062</v>
      </c>
      <c r="T24">
        <v>317.72055053710937</v>
      </c>
      <c r="U24">
        <v>315.8421630859375</v>
      </c>
      <c r="V24">
        <v>313.01376342773437</v>
      </c>
      <c r="W24">
        <v>306.72262573242187</v>
      </c>
      <c r="X24">
        <v>305.49972534179687</v>
      </c>
      <c r="Y24">
        <v>305.7620849609375</v>
      </c>
      <c r="Z24">
        <v>303.99899291992187</v>
      </c>
      <c r="AA24">
        <v>296.84466552734375</v>
      </c>
      <c r="AB24">
        <v>286.12518310546875</v>
      </c>
      <c r="AC24">
        <v>274.14337158203125</v>
      </c>
      <c r="AD24">
        <v>-4.4250702857971191</v>
      </c>
      <c r="AE24">
        <v>-3.0055077075958252</v>
      </c>
      <c r="AF24">
        <v>-2.4128236770629883</v>
      </c>
      <c r="AG24">
        <v>-2.5993916988372803</v>
      </c>
      <c r="AH24">
        <v>-3.1235918998718262</v>
      </c>
      <c r="AI24">
        <v>-4.1988506317138672</v>
      </c>
      <c r="AJ24">
        <v>-5.613283634185791</v>
      </c>
      <c r="AK24">
        <v>-6.2186923027038574</v>
      </c>
      <c r="AL24">
        <v>-7.4666852951049805</v>
      </c>
      <c r="AM24">
        <v>-7.7584729194641113</v>
      </c>
      <c r="AN24">
        <v>-10.550129890441895</v>
      </c>
      <c r="AO24">
        <v>-10.514084815979004</v>
      </c>
      <c r="AP24">
        <v>-11.938892364501953</v>
      </c>
      <c r="AQ24">
        <v>9.3144474029541016</v>
      </c>
      <c r="AR24">
        <v>83.18560791015625</v>
      </c>
      <c r="AS24">
        <v>84.885871887207031</v>
      </c>
      <c r="AT24">
        <v>77.042556762695313</v>
      </c>
      <c r="AU24">
        <v>71.508956909179688</v>
      </c>
      <c r="AV24">
        <v>75.968742370605469</v>
      </c>
      <c r="AW24">
        <v>25.760002136230469</v>
      </c>
      <c r="AX24">
        <v>4.3496084213256836</v>
      </c>
      <c r="AY24">
        <v>-1.312124490737915</v>
      </c>
      <c r="AZ24">
        <v>-5.3104066848754883</v>
      </c>
      <c r="BA24">
        <v>-4.5853052139282227</v>
      </c>
      <c r="BB24">
        <v>-2.4172601699829102</v>
      </c>
      <c r="BC24">
        <v>-1.0496481657028198</v>
      </c>
      <c r="BD24">
        <v>-0.47249019145965576</v>
      </c>
      <c r="BE24">
        <v>-0.70295196771621704</v>
      </c>
      <c r="BF24">
        <v>-1.2055703401565552</v>
      </c>
      <c r="BG24">
        <v>-2.266380786895752</v>
      </c>
      <c r="BH24">
        <v>-3.680588960647583</v>
      </c>
      <c r="BI24">
        <v>-4.2144918441772461</v>
      </c>
      <c r="BJ24">
        <v>-5.3760919570922852</v>
      </c>
      <c r="BK24">
        <v>-5.5783166885375977</v>
      </c>
      <c r="BL24">
        <v>-8.253631591796875</v>
      </c>
      <c r="BM24">
        <v>-8.2003040313720703</v>
      </c>
      <c r="BN24">
        <v>-9.615443229675293</v>
      </c>
      <c r="BO24">
        <v>11.660289764404297</v>
      </c>
      <c r="BP24">
        <v>85.555831909179688</v>
      </c>
      <c r="BQ24">
        <v>87.256546020507813</v>
      </c>
      <c r="BR24">
        <v>79.423591613769531</v>
      </c>
      <c r="BS24">
        <v>73.9229736328125</v>
      </c>
      <c r="BT24">
        <v>78.420585632324219</v>
      </c>
      <c r="BU24">
        <v>28.206880569458008</v>
      </c>
      <c r="BV24">
        <v>6.7656688690185547</v>
      </c>
      <c r="BW24">
        <v>1.0858184099197388</v>
      </c>
      <c r="BX24">
        <v>-2.9112815856933594</v>
      </c>
      <c r="BY24">
        <v>-2.1829595565795898</v>
      </c>
      <c r="BZ24">
        <v>-1.0266569852828979</v>
      </c>
      <c r="CA24">
        <v>0.3049742579460144</v>
      </c>
      <c r="CB24">
        <v>0.87137889862060547</v>
      </c>
      <c r="CC24">
        <v>0.61051648855209351</v>
      </c>
      <c r="CD24">
        <v>0.12284555286169052</v>
      </c>
      <c r="CE24">
        <v>-0.92795783281326294</v>
      </c>
      <c r="CF24">
        <v>-2.3420107364654541</v>
      </c>
      <c r="CG24">
        <v>-2.8263885974884033</v>
      </c>
      <c r="CH24">
        <v>-3.9281535148620605</v>
      </c>
      <c r="CI24">
        <v>-4.0683469772338867</v>
      </c>
      <c r="CJ24">
        <v>-6.663083553314209</v>
      </c>
      <c r="CK24">
        <v>-6.5977864265441895</v>
      </c>
      <c r="CL24">
        <v>-8.0062284469604492</v>
      </c>
      <c r="CM24">
        <v>13.285013198852539</v>
      </c>
      <c r="CN24">
        <v>87.197433471679688</v>
      </c>
      <c r="CO24">
        <v>88.898468017578125</v>
      </c>
      <c r="CP24">
        <v>81.072685241699219</v>
      </c>
      <c r="CQ24">
        <v>75.59490966796875</v>
      </c>
      <c r="CR24">
        <v>80.118721008300781</v>
      </c>
      <c r="CS24">
        <v>29.901580810546875</v>
      </c>
      <c r="CT24">
        <v>8.4390249252319336</v>
      </c>
      <c r="CU24">
        <v>2.7466263771057129</v>
      </c>
      <c r="CV24">
        <v>-1.2496548891067505</v>
      </c>
      <c r="CW24">
        <v>-0.51910227537155151</v>
      </c>
      <c r="CX24">
        <v>0.36394625902175903</v>
      </c>
      <c r="CY24">
        <v>1.6595966815948486</v>
      </c>
      <c r="CZ24">
        <v>2.2152478694915771</v>
      </c>
      <c r="DA24">
        <v>1.9239848852157593</v>
      </c>
      <c r="DB24">
        <v>1.4512614011764526</v>
      </c>
      <c r="DC24">
        <v>0.41046509146690369</v>
      </c>
      <c r="DD24">
        <v>-1.0034323930740356</v>
      </c>
      <c r="DE24">
        <v>-1.4382853507995605</v>
      </c>
      <c r="DF24">
        <v>-2.4802150726318359</v>
      </c>
      <c r="DG24">
        <v>-2.5583772659301758</v>
      </c>
      <c r="DH24">
        <v>-5.0725359916687012</v>
      </c>
      <c r="DI24">
        <v>-4.9952688217163086</v>
      </c>
      <c r="DJ24">
        <v>-6.3970141410827637</v>
      </c>
      <c r="DK24">
        <v>14.909736633300781</v>
      </c>
      <c r="DL24">
        <v>88.839035034179688</v>
      </c>
      <c r="DM24">
        <v>90.540390014648438</v>
      </c>
      <c r="DN24">
        <v>82.721778869628906</v>
      </c>
      <c r="DO24">
        <v>77.266845703125</v>
      </c>
      <c r="DP24">
        <v>81.816856384277344</v>
      </c>
      <c r="DQ24">
        <v>31.596281051635742</v>
      </c>
      <c r="DR24">
        <v>10.112380981445312</v>
      </c>
      <c r="DS24">
        <v>4.4074344635009766</v>
      </c>
      <c r="DT24">
        <v>0.41197186708450317</v>
      </c>
      <c r="DU24">
        <v>1.1447550058364868</v>
      </c>
      <c r="DV24">
        <v>2.3717565536499023</v>
      </c>
      <c r="DW24">
        <v>3.6154563426971436</v>
      </c>
      <c r="DX24">
        <v>4.1555814743041992</v>
      </c>
      <c r="DY24">
        <v>3.8204247951507568</v>
      </c>
      <c r="DZ24">
        <v>3.3692829608917236</v>
      </c>
      <c r="EA24">
        <v>2.3429350852966309</v>
      </c>
      <c r="EB24">
        <v>0.92926210165023804</v>
      </c>
      <c r="EC24">
        <v>0.56591516733169556</v>
      </c>
      <c r="ED24">
        <v>-0.38962170481681824</v>
      </c>
      <c r="EE24">
        <v>-0.37822109460830688</v>
      </c>
      <c r="EF24">
        <v>-2.7760374546051025</v>
      </c>
      <c r="EG24">
        <v>-2.6814875602722168</v>
      </c>
      <c r="EH24">
        <v>-4.0735640525817871</v>
      </c>
      <c r="EI24">
        <v>17.255578994750977</v>
      </c>
      <c r="EJ24">
        <v>91.209259033203125</v>
      </c>
      <c r="EK24">
        <v>92.911064147949219</v>
      </c>
      <c r="EL24">
        <v>85.102813720703125</v>
      </c>
      <c r="EM24">
        <v>79.680862426757813</v>
      </c>
      <c r="EN24">
        <v>84.268699645996094</v>
      </c>
      <c r="EO24">
        <v>34.043159484863281</v>
      </c>
      <c r="EP24">
        <v>12.528441429138184</v>
      </c>
      <c r="EQ24">
        <v>6.8053774833679199</v>
      </c>
      <c r="ER24">
        <v>2.8110969066619873</v>
      </c>
      <c r="ES24">
        <v>3.5471005439758301</v>
      </c>
      <c r="ET24">
        <v>72.299240112304688</v>
      </c>
      <c r="EU24">
        <v>71.522171020507813</v>
      </c>
      <c r="EV24">
        <v>70.782081604003906</v>
      </c>
      <c r="EW24">
        <v>69.943763732910156</v>
      </c>
      <c r="EX24">
        <v>69.330589294433594</v>
      </c>
      <c r="EY24">
        <v>69.136756896972656</v>
      </c>
      <c r="EZ24">
        <v>71.4298095703125</v>
      </c>
      <c r="FA24">
        <v>75.777267456054687</v>
      </c>
      <c r="FB24">
        <v>80.492012023925781</v>
      </c>
      <c r="FC24">
        <v>84.407508850097656</v>
      </c>
      <c r="FD24">
        <v>87.155448913574219</v>
      </c>
      <c r="FE24">
        <v>89.385452270507813</v>
      </c>
      <c r="FF24">
        <v>90.643096923828125</v>
      </c>
      <c r="FG24">
        <v>90.885025024414063</v>
      </c>
      <c r="FH24">
        <v>89.673614501953125</v>
      </c>
      <c r="FI24">
        <v>88.562408447265625</v>
      </c>
      <c r="FJ24">
        <v>87.378684997558594</v>
      </c>
      <c r="FK24">
        <v>85.045402526855469</v>
      </c>
      <c r="FL24">
        <v>81.510093688964844</v>
      </c>
      <c r="FM24">
        <v>79.504165649414063</v>
      </c>
      <c r="FN24">
        <v>77.523101806640625</v>
      </c>
      <c r="FO24">
        <v>75.502388000488281</v>
      </c>
      <c r="FP24">
        <v>74.055450439453125</v>
      </c>
      <c r="FQ24">
        <v>72.233436584472656</v>
      </c>
      <c r="FR24">
        <v>962</v>
      </c>
      <c r="FS24">
        <v>4.5223630964756012E-2</v>
      </c>
      <c r="FT24">
        <v>1</v>
      </c>
    </row>
    <row r="25" spans="1:176" x14ac:dyDescent="0.2">
      <c r="A25" t="s">
        <v>1</v>
      </c>
      <c r="B25" t="s">
        <v>226</v>
      </c>
      <c r="C25" t="s">
        <v>242</v>
      </c>
      <c r="D25">
        <v>959</v>
      </c>
      <c r="E25">
        <v>959</v>
      </c>
      <c r="F25">
        <v>264.01712036132812</v>
      </c>
      <c r="G25">
        <v>259.06661987304687</v>
      </c>
      <c r="H25">
        <v>254.97035217285156</v>
      </c>
      <c r="I25">
        <v>253.25759887695312</v>
      </c>
      <c r="J25">
        <v>258.4373779296875</v>
      </c>
      <c r="K25">
        <v>271.07766723632812</v>
      </c>
      <c r="L25">
        <v>290.1778564453125</v>
      </c>
      <c r="M25">
        <v>299.45330810546875</v>
      </c>
      <c r="N25">
        <v>309.48159790039062</v>
      </c>
      <c r="O25">
        <v>316.74990844726562</v>
      </c>
      <c r="P25">
        <v>322.69546508789062</v>
      </c>
      <c r="Q25">
        <v>325.87051391601563</v>
      </c>
      <c r="R25">
        <v>325.141845703125</v>
      </c>
      <c r="S25">
        <v>325.82565307617187</v>
      </c>
      <c r="T25">
        <v>318.87908935546875</v>
      </c>
      <c r="U25">
        <v>317.02352905273437</v>
      </c>
      <c r="V25">
        <v>314.47332763671875</v>
      </c>
      <c r="W25">
        <v>308.27679443359375</v>
      </c>
      <c r="X25">
        <v>306.52767944335937</v>
      </c>
      <c r="Y25">
        <v>305.80099487304687</v>
      </c>
      <c r="Z25">
        <v>303.63296508789062</v>
      </c>
      <c r="AA25">
        <v>296.7388916015625</v>
      </c>
      <c r="AB25">
        <v>286.5687255859375</v>
      </c>
      <c r="AC25">
        <v>274.64849853515625</v>
      </c>
      <c r="AD25">
        <v>-2.2053928375244141</v>
      </c>
      <c r="AE25">
        <v>-2.8956129550933838</v>
      </c>
      <c r="AF25">
        <v>-4.2531185150146484</v>
      </c>
      <c r="AG25">
        <v>-4.2365331649780273</v>
      </c>
      <c r="AH25">
        <v>-3.2268779277801514</v>
      </c>
      <c r="AI25">
        <v>-3.9973471164703369</v>
      </c>
      <c r="AJ25">
        <v>-3.3251121044158936</v>
      </c>
      <c r="AK25">
        <v>-4.2286138534545898</v>
      </c>
      <c r="AL25">
        <v>-6.2547774314880371</v>
      </c>
      <c r="AM25">
        <v>-6.1400623321533203</v>
      </c>
      <c r="AN25">
        <v>-7.3970212936401367</v>
      </c>
      <c r="AO25">
        <v>-4.5751547813415527</v>
      </c>
      <c r="AP25">
        <v>-5.9896841049194336</v>
      </c>
      <c r="AQ25">
        <v>-5.8514499664306641</v>
      </c>
      <c r="AR25">
        <v>12.876063346862793</v>
      </c>
      <c r="AS25">
        <v>74.54339599609375</v>
      </c>
      <c r="AT25">
        <v>74.817855834960937</v>
      </c>
      <c r="AU25">
        <v>74.221870422363281</v>
      </c>
      <c r="AV25">
        <v>75.714836120605469</v>
      </c>
      <c r="AW25">
        <v>25.348409652709961</v>
      </c>
      <c r="AX25">
        <v>7.1152534484863281</v>
      </c>
      <c r="AY25">
        <v>5.9151320457458496</v>
      </c>
      <c r="AZ25">
        <v>5.1721310615539551</v>
      </c>
      <c r="BA25">
        <v>1.5476300716400146</v>
      </c>
      <c r="BB25">
        <v>-0.26550465822219849</v>
      </c>
      <c r="BC25">
        <v>-1.0267565250396729</v>
      </c>
      <c r="BD25">
        <v>-2.3868353366851807</v>
      </c>
      <c r="BE25">
        <v>-2.411583423614502</v>
      </c>
      <c r="BF25">
        <v>-1.3528541326522827</v>
      </c>
      <c r="BG25">
        <v>-2.1100664138793945</v>
      </c>
      <c r="BH25">
        <v>-1.4366618394851685</v>
      </c>
      <c r="BI25">
        <v>-2.2583472728729248</v>
      </c>
      <c r="BJ25">
        <v>-4.1953253746032715</v>
      </c>
      <c r="BK25">
        <v>-3.9932546615600586</v>
      </c>
      <c r="BL25">
        <v>-5.1279482841491699</v>
      </c>
      <c r="BM25">
        <v>-2.2480480670928955</v>
      </c>
      <c r="BN25">
        <v>-3.6377513408660889</v>
      </c>
      <c r="BO25">
        <v>-3.4986758232116699</v>
      </c>
      <c r="BP25">
        <v>15.245702743530273</v>
      </c>
      <c r="BQ25">
        <v>76.910781860351563</v>
      </c>
      <c r="BR25">
        <v>77.1727294921875</v>
      </c>
      <c r="BS25">
        <v>76.586166381835938</v>
      </c>
      <c r="BT25">
        <v>78.118934631347656</v>
      </c>
      <c r="BU25">
        <v>27.72944450378418</v>
      </c>
      <c r="BV25">
        <v>9.4703283309936523</v>
      </c>
      <c r="BW25">
        <v>8.2635498046875</v>
      </c>
      <c r="BX25">
        <v>7.5463671684265137</v>
      </c>
      <c r="BY25">
        <v>3.999408483505249</v>
      </c>
      <c r="BZ25">
        <v>1.0780559778213501</v>
      </c>
      <c r="CA25">
        <v>0.26760780811309814</v>
      </c>
      <c r="CB25">
        <v>-1.0942533016204834</v>
      </c>
      <c r="CC25">
        <v>-1.1476286649703979</v>
      </c>
      <c r="CD25">
        <v>-5.4910887032747269E-2</v>
      </c>
      <c r="CE25">
        <v>-0.80294162034988403</v>
      </c>
      <c r="CF25">
        <v>-0.12872697412967682</v>
      </c>
      <c r="CG25">
        <v>-0.89374655485153198</v>
      </c>
      <c r="CH25">
        <v>-2.7689552307128906</v>
      </c>
      <c r="CI25">
        <v>-2.5063822269439697</v>
      </c>
      <c r="CJ25">
        <v>-3.5563952922821045</v>
      </c>
      <c r="CK25">
        <v>-0.63630110025405884</v>
      </c>
      <c r="CL25">
        <v>-2.0088100433349609</v>
      </c>
      <c r="CM25">
        <v>-1.8691515922546387</v>
      </c>
      <c r="CN25">
        <v>16.886907577514648</v>
      </c>
      <c r="CO25">
        <v>78.550430297851563</v>
      </c>
      <c r="CP25">
        <v>78.8037109375</v>
      </c>
      <c r="CQ25">
        <v>78.223663330078125</v>
      </c>
      <c r="CR25">
        <v>79.784004211425781</v>
      </c>
      <c r="CS25">
        <v>29.378541946411133</v>
      </c>
      <c r="CT25">
        <v>11.101446151733398</v>
      </c>
      <c r="CU25">
        <v>9.8900566101074219</v>
      </c>
      <c r="CV25">
        <v>9.1907558441162109</v>
      </c>
      <c r="CW25">
        <v>5.697502613067627</v>
      </c>
      <c r="CX25">
        <v>2.4216165542602539</v>
      </c>
      <c r="CY25">
        <v>1.5619721412658691</v>
      </c>
      <c r="CZ25">
        <v>0.1983286589384079</v>
      </c>
      <c r="DA25">
        <v>0.11632601916790009</v>
      </c>
      <c r="DB25">
        <v>1.2430323362350464</v>
      </c>
      <c r="DC25">
        <v>0.50418323278427124</v>
      </c>
      <c r="DD25">
        <v>1.1792079210281372</v>
      </c>
      <c r="DE25">
        <v>0.47085410356521606</v>
      </c>
      <c r="DF25">
        <v>-1.3425849676132202</v>
      </c>
      <c r="DG25">
        <v>-1.0195096731185913</v>
      </c>
      <c r="DH25">
        <v>-1.9848421812057495</v>
      </c>
      <c r="DI25">
        <v>0.97544598579406738</v>
      </c>
      <c r="DJ25">
        <v>-0.37986865639686584</v>
      </c>
      <c r="DK25">
        <v>-0.23962746560573578</v>
      </c>
      <c r="DL25">
        <v>18.528112411499023</v>
      </c>
      <c r="DM25">
        <v>80.190078735351563</v>
      </c>
      <c r="DN25">
        <v>80.4346923828125</v>
      </c>
      <c r="DO25">
        <v>79.861160278320313</v>
      </c>
      <c r="DP25">
        <v>81.449073791503906</v>
      </c>
      <c r="DQ25">
        <v>31.027639389038086</v>
      </c>
      <c r="DR25">
        <v>12.732563972473145</v>
      </c>
      <c r="DS25">
        <v>11.516563415527344</v>
      </c>
      <c r="DT25">
        <v>10.835144996643066</v>
      </c>
      <c r="DU25">
        <v>7.395596981048584</v>
      </c>
      <c r="DV25">
        <v>4.3615050315856934</v>
      </c>
      <c r="DW25">
        <v>3.4308285713195801</v>
      </c>
      <c r="DX25">
        <v>2.0646116733551025</v>
      </c>
      <c r="DY25">
        <v>1.9412758350372314</v>
      </c>
      <c r="DZ25">
        <v>3.117056131362915</v>
      </c>
      <c r="EA25">
        <v>2.3914637565612793</v>
      </c>
      <c r="EB25">
        <v>3.0676581859588623</v>
      </c>
      <c r="EC25">
        <v>2.4411206245422363</v>
      </c>
      <c r="ED25">
        <v>0.71686720848083496</v>
      </c>
      <c r="EE25">
        <v>1.1272979974746704</v>
      </c>
      <c r="EF25">
        <v>0.2842307984828949</v>
      </c>
      <c r="EG25">
        <v>3.3025527000427246</v>
      </c>
      <c r="EH25">
        <v>1.9720638990402222</v>
      </c>
      <c r="EI25">
        <v>2.1131465435028076</v>
      </c>
      <c r="EJ25">
        <v>20.89775276184082</v>
      </c>
      <c r="EK25">
        <v>82.557464599609375</v>
      </c>
      <c r="EL25">
        <v>82.789566040039063</v>
      </c>
      <c r="EM25">
        <v>82.225456237792969</v>
      </c>
      <c r="EN25">
        <v>83.853172302246094</v>
      </c>
      <c r="EO25">
        <v>33.408676147460938</v>
      </c>
      <c r="EP25">
        <v>15.087638854980469</v>
      </c>
      <c r="EQ25">
        <v>13.864981651306152</v>
      </c>
      <c r="ER25">
        <v>13.209380149841309</v>
      </c>
      <c r="ES25">
        <v>9.8473749160766602</v>
      </c>
      <c r="ET25">
        <v>70.491897583007812</v>
      </c>
      <c r="EU25">
        <v>70.015625</v>
      </c>
      <c r="EV25">
        <v>69.237586975097656</v>
      </c>
      <c r="EW25">
        <v>68.462760925292969</v>
      </c>
      <c r="EX25">
        <v>67.7828369140625</v>
      </c>
      <c r="EY25">
        <v>66.923667907714844</v>
      </c>
      <c r="EZ25">
        <v>69.299911499023437</v>
      </c>
      <c r="FA25">
        <v>74.030593872070312</v>
      </c>
      <c r="FB25">
        <v>79.104774475097656</v>
      </c>
      <c r="FC25">
        <v>83.276626586914063</v>
      </c>
      <c r="FD25">
        <v>86.449409484863281</v>
      </c>
      <c r="FE25">
        <v>88.419540405273437</v>
      </c>
      <c r="FF25">
        <v>89.282211303710938</v>
      </c>
      <c r="FG25">
        <v>90.022041320800781</v>
      </c>
      <c r="FH25">
        <v>89.912269592285156</v>
      </c>
      <c r="FI25">
        <v>87.944229125976562</v>
      </c>
      <c r="FJ25">
        <v>86.418792724609375</v>
      </c>
      <c r="FK25">
        <v>83.626777648925781</v>
      </c>
      <c r="FL25">
        <v>79.783439636230469</v>
      </c>
      <c r="FM25">
        <v>77.850257873535156</v>
      </c>
      <c r="FN25">
        <v>75.968307495117187</v>
      </c>
      <c r="FO25">
        <v>74.586090087890625</v>
      </c>
      <c r="FP25">
        <v>73.132530212402344</v>
      </c>
      <c r="FQ25">
        <v>72.359794616699219</v>
      </c>
      <c r="FR25">
        <v>959</v>
      </c>
      <c r="FS25">
        <v>4.4249426573514938E-2</v>
      </c>
      <c r="FT25">
        <v>1</v>
      </c>
    </row>
    <row r="26" spans="1:176" x14ac:dyDescent="0.2">
      <c r="A26" t="s">
        <v>1</v>
      </c>
      <c r="B26" t="s">
        <v>226</v>
      </c>
      <c r="C26" t="s">
        <v>243</v>
      </c>
      <c r="D26">
        <v>959</v>
      </c>
      <c r="E26">
        <v>959</v>
      </c>
      <c r="F26">
        <v>276.70297241210937</v>
      </c>
      <c r="G26">
        <v>271.07943725585937</v>
      </c>
      <c r="H26">
        <v>266.94873046875</v>
      </c>
      <c r="I26">
        <v>266.32394409179688</v>
      </c>
      <c r="J26">
        <v>273.5650634765625</v>
      </c>
      <c r="K26">
        <v>289.34945678710937</v>
      </c>
      <c r="L26">
        <v>310.9609375</v>
      </c>
      <c r="M26">
        <v>320.01580810546875</v>
      </c>
      <c r="N26">
        <v>331.44015502929687</v>
      </c>
      <c r="O26">
        <v>339.10302734375</v>
      </c>
      <c r="P26">
        <v>344.84075927734375</v>
      </c>
      <c r="Q26">
        <v>345.49343872070313</v>
      </c>
      <c r="R26">
        <v>342.22073364257812</v>
      </c>
      <c r="S26">
        <v>342.45599365234375</v>
      </c>
      <c r="T26">
        <v>334.14767456054687</v>
      </c>
      <c r="U26">
        <v>330.52548217773437</v>
      </c>
      <c r="V26">
        <v>325.75579833984375</v>
      </c>
      <c r="W26">
        <v>318.05599975585937</v>
      </c>
      <c r="X26">
        <v>317.47427368164062</v>
      </c>
      <c r="Y26">
        <v>319.87286376953125</v>
      </c>
      <c r="Z26">
        <v>319.93450927734375</v>
      </c>
      <c r="AA26">
        <v>313.00338745117187</v>
      </c>
      <c r="AB26">
        <v>301.02337646484375</v>
      </c>
      <c r="AC26">
        <v>287.94522094726562</v>
      </c>
      <c r="AD26">
        <v>-0.32370924949645996</v>
      </c>
      <c r="AE26">
        <v>-0.35792800784111023</v>
      </c>
      <c r="AF26">
        <v>-2.8198606967926025</v>
      </c>
      <c r="AG26">
        <v>-2.8460912704467773</v>
      </c>
      <c r="AH26">
        <v>-4.1337261199951172</v>
      </c>
      <c r="AI26">
        <v>-7.7139892578125</v>
      </c>
      <c r="AJ26">
        <v>-7.5519394874572754</v>
      </c>
      <c r="AK26">
        <v>-4.627352237701416</v>
      </c>
      <c r="AL26">
        <v>-10.069631576538086</v>
      </c>
      <c r="AM26">
        <v>-11.17638111114502</v>
      </c>
      <c r="AN26">
        <v>-13.029548645019531</v>
      </c>
      <c r="AO26">
        <v>-8.5077409744262695</v>
      </c>
      <c r="AP26">
        <v>-6.380180835723877</v>
      </c>
      <c r="AQ26">
        <v>10.021028518676758</v>
      </c>
      <c r="AR26">
        <v>78.322364807128906</v>
      </c>
      <c r="AS26">
        <v>80.106925964355469</v>
      </c>
      <c r="AT26">
        <v>76.286972045898438</v>
      </c>
      <c r="AU26">
        <v>72.023712158203125</v>
      </c>
      <c r="AV26">
        <v>76.519500732421875</v>
      </c>
      <c r="AW26">
        <v>25.374565124511719</v>
      </c>
      <c r="AX26">
        <v>4.6293911933898926</v>
      </c>
      <c r="AY26">
        <v>-0.42082062363624573</v>
      </c>
      <c r="AZ26">
        <v>-3.4921541213989258</v>
      </c>
      <c r="BA26">
        <v>-3.783531665802002</v>
      </c>
      <c r="BB26">
        <v>2.0874881744384766</v>
      </c>
      <c r="BC26">
        <v>1.9726157188415527</v>
      </c>
      <c r="BD26">
        <v>-0.51451683044433594</v>
      </c>
      <c r="BE26">
        <v>-0.59586691856384277</v>
      </c>
      <c r="BF26">
        <v>-1.8537859916687012</v>
      </c>
      <c r="BG26">
        <v>-5.4204459190368652</v>
      </c>
      <c r="BH26">
        <v>-5.2298789024353027</v>
      </c>
      <c r="BI26">
        <v>-2.2282505035400391</v>
      </c>
      <c r="BJ26">
        <v>-7.5604362487792969</v>
      </c>
      <c r="BK26">
        <v>-8.5802783966064453</v>
      </c>
      <c r="BL26">
        <v>-10.338037490844727</v>
      </c>
      <c r="BM26">
        <v>-5.7800612449645996</v>
      </c>
      <c r="BN26">
        <v>-3.6340670585632324</v>
      </c>
      <c r="BO26">
        <v>12.832831382751465</v>
      </c>
      <c r="BP26">
        <v>81.177902221679688</v>
      </c>
      <c r="BQ26">
        <v>83.015617370605469</v>
      </c>
      <c r="BR26">
        <v>79.285751342773438</v>
      </c>
      <c r="BS26">
        <v>75.09881591796875</v>
      </c>
      <c r="BT26">
        <v>79.532211303710938</v>
      </c>
      <c r="BU26">
        <v>28.255067825317383</v>
      </c>
      <c r="BV26">
        <v>7.4383888244628906</v>
      </c>
      <c r="BW26">
        <v>2.3786756992340088</v>
      </c>
      <c r="BX26">
        <v>-0.60733598470687866</v>
      </c>
      <c r="BY26">
        <v>-0.80886715650558472</v>
      </c>
      <c r="BZ26">
        <v>3.7574763298034668</v>
      </c>
      <c r="CA26">
        <v>3.5867431163787842</v>
      </c>
      <c r="CB26">
        <v>1.0821572542190552</v>
      </c>
      <c r="CC26">
        <v>0.96263158321380615</v>
      </c>
      <c r="CD26">
        <v>-0.27470627427101135</v>
      </c>
      <c r="CE26">
        <v>-3.8319447040557861</v>
      </c>
      <c r="CF26">
        <v>-3.6216268539428711</v>
      </c>
      <c r="CG26">
        <v>-0.56664007902145386</v>
      </c>
      <c r="CH26">
        <v>-5.8225750923156738</v>
      </c>
      <c r="CI26">
        <v>-6.7822260856628418</v>
      </c>
      <c r="CJ26">
        <v>-8.4739046096801758</v>
      </c>
      <c r="CK26">
        <v>-3.8908789157867432</v>
      </c>
      <c r="CL26">
        <v>-1.7321171760559082</v>
      </c>
      <c r="CM26">
        <v>14.780278205871582</v>
      </c>
      <c r="CN26">
        <v>83.1556396484375</v>
      </c>
      <c r="CO26">
        <v>85.030174255371094</v>
      </c>
      <c r="CP26">
        <v>81.362693786621094</v>
      </c>
      <c r="CQ26">
        <v>77.228622436523438</v>
      </c>
      <c r="CR26">
        <v>81.618804931640625</v>
      </c>
      <c r="CS26">
        <v>30.250095367431641</v>
      </c>
      <c r="CT26">
        <v>9.3838920593261719</v>
      </c>
      <c r="CU26">
        <v>4.3175983428955078</v>
      </c>
      <c r="CV26">
        <v>1.3906803131103516</v>
      </c>
      <c r="CW26">
        <v>1.2513763904571533</v>
      </c>
      <c r="CX26">
        <v>5.427464485168457</v>
      </c>
      <c r="CY26">
        <v>5.2008705139160156</v>
      </c>
      <c r="CZ26">
        <v>2.6788313388824463</v>
      </c>
      <c r="DA26">
        <v>2.5211300849914551</v>
      </c>
      <c r="DB26">
        <v>1.3043733835220337</v>
      </c>
      <c r="DC26">
        <v>-2.2434437274932861</v>
      </c>
      <c r="DD26">
        <v>-2.0133748054504395</v>
      </c>
      <c r="DE26">
        <v>1.0949704647064209</v>
      </c>
      <c r="DF26">
        <v>-4.0847139358520508</v>
      </c>
      <c r="DG26">
        <v>-4.9841732978820801</v>
      </c>
      <c r="DH26">
        <v>-6.609771728515625</v>
      </c>
      <c r="DI26">
        <v>-2.0016963481903076</v>
      </c>
      <c r="DJ26">
        <v>0.16983276605606079</v>
      </c>
      <c r="DK26">
        <v>16.727724075317383</v>
      </c>
      <c r="DL26">
        <v>85.133377075195313</v>
      </c>
      <c r="DM26">
        <v>87.044731140136719</v>
      </c>
      <c r="DN26">
        <v>83.43963623046875</v>
      </c>
      <c r="DO26">
        <v>79.358428955078125</v>
      </c>
      <c r="DP26">
        <v>83.705398559570313</v>
      </c>
      <c r="DQ26">
        <v>32.245124816894531</v>
      </c>
      <c r="DR26">
        <v>11.329395294189453</v>
      </c>
      <c r="DS26">
        <v>6.2565207481384277</v>
      </c>
      <c r="DT26">
        <v>3.3886966705322266</v>
      </c>
      <c r="DU26">
        <v>3.3116199970245361</v>
      </c>
      <c r="DV26">
        <v>7.8386616706848145</v>
      </c>
      <c r="DW26">
        <v>7.5314140319824219</v>
      </c>
      <c r="DX26">
        <v>4.9841752052307129</v>
      </c>
      <c r="DY26">
        <v>4.7713541984558105</v>
      </c>
      <c r="DZ26">
        <v>3.5843136310577393</v>
      </c>
      <c r="EA26">
        <v>5.009961873292923E-2</v>
      </c>
      <c r="EB26">
        <v>0.30868574976921082</v>
      </c>
      <c r="EC26">
        <v>3.4940721988677979</v>
      </c>
      <c r="ED26">
        <v>-1.5755184888839722</v>
      </c>
      <c r="EE26">
        <v>-2.3880710601806641</v>
      </c>
      <c r="EF26">
        <v>-3.9182603359222412</v>
      </c>
      <c r="EG26">
        <v>0.72598296403884888</v>
      </c>
      <c r="EH26">
        <v>2.9159464836120605</v>
      </c>
      <c r="EI26">
        <v>19.539527893066406</v>
      </c>
      <c r="EJ26">
        <v>87.988914489746094</v>
      </c>
      <c r="EK26">
        <v>89.953422546386719</v>
      </c>
      <c r="EL26">
        <v>86.43841552734375</v>
      </c>
      <c r="EM26">
        <v>82.43353271484375</v>
      </c>
      <c r="EN26">
        <v>86.718109130859375</v>
      </c>
      <c r="EO26">
        <v>35.125625610351563</v>
      </c>
      <c r="EP26">
        <v>14.138392448425293</v>
      </c>
      <c r="EQ26">
        <v>9.0560169219970703</v>
      </c>
      <c r="ER26">
        <v>6.2735147476196289</v>
      </c>
      <c r="ES26">
        <v>6.2862844467163086</v>
      </c>
      <c r="ET26">
        <v>78.89239501953125</v>
      </c>
      <c r="EU26">
        <v>77.890213012695312</v>
      </c>
      <c r="EV26">
        <v>77.050361633300781</v>
      </c>
      <c r="EW26">
        <v>76.061027526855469</v>
      </c>
      <c r="EX26">
        <v>75.716827392578125</v>
      </c>
      <c r="EY26">
        <v>75.394737243652344</v>
      </c>
      <c r="EZ26">
        <v>77.072601318359375</v>
      </c>
      <c r="FA26">
        <v>81.58721923828125</v>
      </c>
      <c r="FB26">
        <v>86.2027587890625</v>
      </c>
      <c r="FC26">
        <v>90.313652038574219</v>
      </c>
      <c r="FD26">
        <v>92.311210632324219</v>
      </c>
      <c r="FE26">
        <v>93.900016784667969</v>
      </c>
      <c r="FF26">
        <v>94.809715270996094</v>
      </c>
      <c r="FG26">
        <v>94.571945190429688</v>
      </c>
      <c r="FH26">
        <v>92.750312805175781</v>
      </c>
      <c r="FI26">
        <v>91.262138366699219</v>
      </c>
      <c r="FJ26">
        <v>90.984626770019531</v>
      </c>
      <c r="FK26">
        <v>90.585548400878906</v>
      </c>
      <c r="FL26">
        <v>87.575187683105469</v>
      </c>
      <c r="FM26">
        <v>86.040298461914063</v>
      </c>
      <c r="FN26">
        <v>84.548362731933594</v>
      </c>
      <c r="FO26">
        <v>82.927925109863281</v>
      </c>
      <c r="FP26">
        <v>81.623367309570312</v>
      </c>
      <c r="FQ26">
        <v>80.470787048339844</v>
      </c>
      <c r="FR26">
        <v>959</v>
      </c>
      <c r="FS26">
        <v>4.226529598236084E-2</v>
      </c>
      <c r="FT26">
        <v>1</v>
      </c>
    </row>
    <row r="27" spans="1:176" x14ac:dyDescent="0.2">
      <c r="A27" t="s">
        <v>1</v>
      </c>
      <c r="B27" t="s">
        <v>226</v>
      </c>
      <c r="C27" t="s">
        <v>2</v>
      </c>
      <c r="D27">
        <v>920</v>
      </c>
      <c r="E27">
        <v>920</v>
      </c>
      <c r="F27">
        <v>258.64144897460937</v>
      </c>
      <c r="G27">
        <v>253.68367004394531</v>
      </c>
      <c r="H27">
        <v>250.06788635253906</v>
      </c>
      <c r="I27">
        <v>248.00505065917969</v>
      </c>
      <c r="J27">
        <v>252.26119995117187</v>
      </c>
      <c r="K27">
        <v>264.7659912109375</v>
      </c>
      <c r="L27">
        <v>282.908935546875</v>
      </c>
      <c r="M27">
        <v>291.62115478515625</v>
      </c>
      <c r="N27">
        <v>300.54812622070312</v>
      </c>
      <c r="O27">
        <v>306.41744995117187</v>
      </c>
      <c r="P27">
        <v>310.00643920898437</v>
      </c>
      <c r="Q27">
        <v>310.12506103515625</v>
      </c>
      <c r="R27">
        <v>307.37973022460937</v>
      </c>
      <c r="S27">
        <v>307.47702026367188</v>
      </c>
      <c r="T27">
        <v>305.87847900390625</v>
      </c>
      <c r="U27">
        <v>303.206787109375</v>
      </c>
      <c r="V27">
        <v>299.6441650390625</v>
      </c>
      <c r="W27">
        <v>293.05636596679687</v>
      </c>
      <c r="X27">
        <v>288.71011352539062</v>
      </c>
      <c r="Y27">
        <v>287.41256713867187</v>
      </c>
      <c r="Z27">
        <v>286.578125</v>
      </c>
      <c r="AA27">
        <v>280.2711181640625</v>
      </c>
      <c r="AB27">
        <v>272.18896484375</v>
      </c>
      <c r="AC27">
        <v>260.443603515625</v>
      </c>
      <c r="AD27">
        <v>-4.5357141494750977</v>
      </c>
      <c r="AE27">
        <v>-3.7539510726928711</v>
      </c>
      <c r="AF27">
        <v>-3.0979559421539307</v>
      </c>
      <c r="AG27">
        <v>-3.5647628307342529</v>
      </c>
      <c r="AH27">
        <v>-2.7180624008178711</v>
      </c>
      <c r="AI27">
        <v>-3.2600893974304199</v>
      </c>
      <c r="AJ27">
        <v>-2.7772471904754639</v>
      </c>
      <c r="AK27">
        <v>-4.0036334991455078</v>
      </c>
      <c r="AL27">
        <v>-3.1047730445861816</v>
      </c>
      <c r="AM27">
        <v>-2.2419540882110596</v>
      </c>
      <c r="AN27">
        <v>-3.3789782524108887</v>
      </c>
      <c r="AO27">
        <v>-5.7315049171447754</v>
      </c>
      <c r="AP27">
        <v>-7.9945182800292969</v>
      </c>
      <c r="AQ27">
        <v>11.276918411254883</v>
      </c>
      <c r="AR27">
        <v>85.826026916503906</v>
      </c>
      <c r="AS27">
        <v>86.609306335449219</v>
      </c>
      <c r="AT27">
        <v>28.572860717773438</v>
      </c>
      <c r="AU27">
        <v>2.7253756523132324</v>
      </c>
      <c r="AV27">
        <v>-2.0837695598602295</v>
      </c>
      <c r="AW27">
        <v>-2.3091628551483154</v>
      </c>
      <c r="AX27">
        <v>-2.8424046039581299</v>
      </c>
      <c r="AY27">
        <v>-3.6771821975708008</v>
      </c>
      <c r="AZ27">
        <v>-5.4758305549621582</v>
      </c>
      <c r="BA27">
        <v>-7.1443419456481934</v>
      </c>
      <c r="BB27">
        <v>-2.4650874137878418</v>
      </c>
      <c r="BC27">
        <v>-1.7744625806808472</v>
      </c>
      <c r="BD27">
        <v>-1.1681337356567383</v>
      </c>
      <c r="BE27">
        <v>-1.683071494102478</v>
      </c>
      <c r="BF27">
        <v>-0.81901627779006958</v>
      </c>
      <c r="BG27">
        <v>-1.3525233268737793</v>
      </c>
      <c r="BH27">
        <v>-0.83348417282104492</v>
      </c>
      <c r="BI27">
        <v>-1.9794988632202148</v>
      </c>
      <c r="BJ27">
        <v>-0.99037289619445801</v>
      </c>
      <c r="BK27">
        <v>-1.6958680003881454E-2</v>
      </c>
      <c r="BL27">
        <v>-1.0632585287094116</v>
      </c>
      <c r="BM27">
        <v>-3.3842144012451172</v>
      </c>
      <c r="BN27">
        <v>-5.6507229804992676</v>
      </c>
      <c r="BO27">
        <v>13.662533760070801</v>
      </c>
      <c r="BP27">
        <v>88.245147705078125</v>
      </c>
      <c r="BQ27">
        <v>89.033103942871094</v>
      </c>
      <c r="BR27">
        <v>30.994071960449219</v>
      </c>
      <c r="BS27">
        <v>5.1405916213989258</v>
      </c>
      <c r="BT27">
        <v>0.32861056923866272</v>
      </c>
      <c r="BU27">
        <v>0.10435550659894943</v>
      </c>
      <c r="BV27">
        <v>-0.46270075440406799</v>
      </c>
      <c r="BW27">
        <v>-1.3268978595733643</v>
      </c>
      <c r="BX27">
        <v>-3.1222381591796875</v>
      </c>
      <c r="BY27">
        <v>-4.8089532852172852</v>
      </c>
      <c r="BZ27">
        <v>-1.030977725982666</v>
      </c>
      <c r="CA27">
        <v>-0.40347498655319214</v>
      </c>
      <c r="CB27">
        <v>0.16845527291297913</v>
      </c>
      <c r="CC27">
        <v>-0.37981772422790527</v>
      </c>
      <c r="CD27">
        <v>0.49625730514526367</v>
      </c>
      <c r="CE27">
        <v>-3.134903684258461E-2</v>
      </c>
      <c r="CF27">
        <v>0.51276016235351563</v>
      </c>
      <c r="CG27">
        <v>-0.57758945226669312</v>
      </c>
      <c r="CH27">
        <v>0.47405418753623962</v>
      </c>
      <c r="CI27">
        <v>1.5240663290023804</v>
      </c>
      <c r="CJ27">
        <v>0.54060178995132446</v>
      </c>
      <c r="CK27">
        <v>-1.7584884166717529</v>
      </c>
      <c r="CL27">
        <v>-4.0274176597595215</v>
      </c>
      <c r="CM27">
        <v>15.314803123474121</v>
      </c>
      <c r="CN27">
        <v>89.920623779296875</v>
      </c>
      <c r="CO27">
        <v>90.711822509765625</v>
      </c>
      <c r="CP27">
        <v>32.670993804931641</v>
      </c>
      <c r="CQ27">
        <v>6.8133625984191895</v>
      </c>
      <c r="CR27">
        <v>1.9994176626205444</v>
      </c>
      <c r="CS27">
        <v>1.7759510278701782</v>
      </c>
      <c r="CT27">
        <v>1.1854748725891113</v>
      </c>
      <c r="CU27">
        <v>0.30090206861495972</v>
      </c>
      <c r="CV27">
        <v>-1.4921472072601318</v>
      </c>
      <c r="CW27">
        <v>-3.1914701461791992</v>
      </c>
      <c r="CX27">
        <v>0.40313196182250977</v>
      </c>
      <c r="CY27">
        <v>0.96751266717910767</v>
      </c>
      <c r="CZ27">
        <v>1.5050443410873413</v>
      </c>
      <c r="DA27">
        <v>0.92343604564666748</v>
      </c>
      <c r="DB27">
        <v>1.8115308284759521</v>
      </c>
      <c r="DC27">
        <v>1.2898253202438354</v>
      </c>
      <c r="DD27">
        <v>1.8590044975280762</v>
      </c>
      <c r="DE27">
        <v>0.82431995868682861</v>
      </c>
      <c r="DF27">
        <v>1.9384812116622925</v>
      </c>
      <c r="DG27">
        <v>3.0650913715362549</v>
      </c>
      <c r="DH27">
        <v>2.1444621086120605</v>
      </c>
      <c r="DI27">
        <v>-0.1327623575925827</v>
      </c>
      <c r="DJ27">
        <v>-2.4041123390197754</v>
      </c>
      <c r="DK27">
        <v>16.967073440551758</v>
      </c>
      <c r="DL27">
        <v>91.596099853515625</v>
      </c>
      <c r="DM27">
        <v>92.390541076660156</v>
      </c>
      <c r="DN27">
        <v>34.347915649414063</v>
      </c>
      <c r="DO27">
        <v>8.4861335754394531</v>
      </c>
      <c r="DP27">
        <v>3.670224666595459</v>
      </c>
      <c r="DQ27">
        <v>3.4475464820861816</v>
      </c>
      <c r="DR27">
        <v>2.8336505889892578</v>
      </c>
      <c r="DS27">
        <v>1.9287019968032837</v>
      </c>
      <c r="DT27">
        <v>0.13794378936290741</v>
      </c>
      <c r="DU27">
        <v>-1.5739870071411133</v>
      </c>
      <c r="DV27">
        <v>2.4737586975097656</v>
      </c>
      <c r="DW27">
        <v>2.9470009803771973</v>
      </c>
      <c r="DX27">
        <v>3.4348666667938232</v>
      </c>
      <c r="DY27">
        <v>2.8051273822784424</v>
      </c>
      <c r="DZ27">
        <v>3.7105770111083984</v>
      </c>
      <c r="EA27">
        <v>3.1973912715911865</v>
      </c>
      <c r="EB27">
        <v>3.8027675151824951</v>
      </c>
      <c r="EC27">
        <v>2.848454475402832</v>
      </c>
      <c r="ED27">
        <v>4.0528812408447266</v>
      </c>
      <c r="EE27">
        <v>5.2900867462158203</v>
      </c>
      <c r="EF27">
        <v>4.460181713104248</v>
      </c>
      <c r="EG27">
        <v>2.2145278453826904</v>
      </c>
      <c r="EH27">
        <v>-6.0317050665616989E-2</v>
      </c>
      <c r="EI27">
        <v>19.352687835693359</v>
      </c>
      <c r="EJ27">
        <v>94.015220642089844</v>
      </c>
      <c r="EK27">
        <v>94.814338684082031</v>
      </c>
      <c r="EL27">
        <v>36.769126892089844</v>
      </c>
      <c r="EM27">
        <v>10.901350021362305</v>
      </c>
      <c r="EN27">
        <v>6.0826048851013184</v>
      </c>
      <c r="EO27">
        <v>5.8610649108886719</v>
      </c>
      <c r="EP27">
        <v>5.2133541107177734</v>
      </c>
      <c r="EQ27">
        <v>4.2789864540100098</v>
      </c>
      <c r="ER27">
        <v>2.4915363788604736</v>
      </c>
      <c r="ES27">
        <v>0.76140183210372925</v>
      </c>
      <c r="ET27">
        <v>67.394035339355469</v>
      </c>
      <c r="EU27">
        <v>66.444908142089844</v>
      </c>
      <c r="EV27">
        <v>65.29376220703125</v>
      </c>
      <c r="EW27">
        <v>64.664024353027344</v>
      </c>
      <c r="EX27">
        <v>63.888298034667969</v>
      </c>
      <c r="EY27">
        <v>63.949386596679688</v>
      </c>
      <c r="EZ27">
        <v>65.793472290039063</v>
      </c>
      <c r="FA27">
        <v>68.947257995605469</v>
      </c>
      <c r="FB27">
        <v>72.628578186035156</v>
      </c>
      <c r="FC27">
        <v>76.005020141601563</v>
      </c>
      <c r="FD27">
        <v>78.313591003417969</v>
      </c>
      <c r="FE27">
        <v>80.271812438964844</v>
      </c>
      <c r="FF27">
        <v>81.620841979980469</v>
      </c>
      <c r="FG27">
        <v>81.880355834960938</v>
      </c>
      <c r="FH27">
        <v>81.612205505371094</v>
      </c>
      <c r="FI27">
        <v>81.503402709960937</v>
      </c>
      <c r="FJ27">
        <v>80.871925354003906</v>
      </c>
      <c r="FK27">
        <v>78.838279724121094</v>
      </c>
      <c r="FL27">
        <v>75.570053100585937</v>
      </c>
      <c r="FM27">
        <v>72.522285461425781</v>
      </c>
      <c r="FN27">
        <v>70.7120361328125</v>
      </c>
      <c r="FO27">
        <v>69.472114562988281</v>
      </c>
      <c r="FP27">
        <v>68.291946411132813</v>
      </c>
      <c r="FQ27">
        <v>67.269035339355469</v>
      </c>
      <c r="FR27">
        <v>613.33333333333337</v>
      </c>
      <c r="FS27">
        <v>4.5100312680006027E-2</v>
      </c>
      <c r="FT27">
        <v>1</v>
      </c>
    </row>
    <row r="28" spans="1:176" x14ac:dyDescent="0.2">
      <c r="A28" t="s">
        <v>227</v>
      </c>
      <c r="B28" t="s">
        <v>225</v>
      </c>
      <c r="C28" t="s">
        <v>244</v>
      </c>
      <c r="D28">
        <v>358</v>
      </c>
      <c r="E28">
        <v>358</v>
      </c>
      <c r="F28">
        <v>38.928627014160156</v>
      </c>
      <c r="G28">
        <v>37.439476013183594</v>
      </c>
      <c r="H28">
        <v>36.998546600341797</v>
      </c>
      <c r="I28">
        <v>37.663490295410156</v>
      </c>
      <c r="J28">
        <v>39.661090850830078</v>
      </c>
      <c r="K28">
        <v>41.912067413330078</v>
      </c>
      <c r="L28">
        <v>44.487659454345703</v>
      </c>
      <c r="M28">
        <v>46.818462371826172</v>
      </c>
      <c r="N28">
        <v>54.097797393798828</v>
      </c>
      <c r="O28">
        <v>55.715892791748047</v>
      </c>
      <c r="P28">
        <v>57.369388580322266</v>
      </c>
      <c r="Q28">
        <v>58.651077270507812</v>
      </c>
      <c r="R28">
        <v>59.345840454101563</v>
      </c>
      <c r="S28">
        <v>59.081390380859375</v>
      </c>
      <c r="T28">
        <v>59.172405242919922</v>
      </c>
      <c r="U28">
        <v>58.915519714355469</v>
      </c>
      <c r="V28">
        <v>59.506458282470703</v>
      </c>
      <c r="W28">
        <v>61.251087188720703</v>
      </c>
      <c r="X28">
        <v>60.889202117919922</v>
      </c>
      <c r="Y28">
        <v>61.010448455810547</v>
      </c>
      <c r="Z28">
        <v>59.863571166992187</v>
      </c>
      <c r="AA28">
        <v>54.487010955810547</v>
      </c>
      <c r="AB28">
        <v>49.683315277099609</v>
      </c>
      <c r="AC28">
        <v>43.47821044921875</v>
      </c>
      <c r="AD28">
        <v>-3.1965329647064209</v>
      </c>
      <c r="AE28">
        <v>-1.9751505851745605</v>
      </c>
      <c r="AF28">
        <v>-1.4336891174316406</v>
      </c>
      <c r="AG28">
        <v>-0.94250404834747314</v>
      </c>
      <c r="AH28">
        <v>-1.2133578062057495</v>
      </c>
      <c r="AI28">
        <v>-1.5641306638717651</v>
      </c>
      <c r="AJ28">
        <v>-0.95866209268569946</v>
      </c>
      <c r="AK28">
        <v>-1.4052928686141968</v>
      </c>
      <c r="AL28">
        <v>-0.73941445350646973</v>
      </c>
      <c r="AM28">
        <v>-0.38839873671531677</v>
      </c>
      <c r="AN28">
        <v>-1.1539695262908936</v>
      </c>
      <c r="AO28">
        <v>-0.93472039699554443</v>
      </c>
      <c r="AP28">
        <v>-0.28651529550552368</v>
      </c>
      <c r="AQ28">
        <v>-0.55072188377380371</v>
      </c>
      <c r="AR28">
        <v>-1.2198581695556641</v>
      </c>
      <c r="AS28">
        <v>-1.966005802154541</v>
      </c>
      <c r="AT28">
        <v>2.5297491550445557</v>
      </c>
      <c r="AU28">
        <v>10.90797233581543</v>
      </c>
      <c r="AV28">
        <v>11.546577453613281</v>
      </c>
      <c r="AW28">
        <v>13.1087646484375</v>
      </c>
      <c r="AX28">
        <v>12.59464168548584</v>
      </c>
      <c r="AY28">
        <v>2.0772039890289307</v>
      </c>
      <c r="AZ28">
        <v>5.1294700242578983E-3</v>
      </c>
      <c r="BA28">
        <v>0.57134675979614258</v>
      </c>
      <c r="BB28">
        <v>-2.328333854675293</v>
      </c>
      <c r="BC28">
        <v>-1.1316680908203125</v>
      </c>
      <c r="BD28">
        <v>-0.59748232364654541</v>
      </c>
      <c r="BE28">
        <v>-0.12700507044792175</v>
      </c>
      <c r="BF28">
        <v>-0.40197265148162842</v>
      </c>
      <c r="BG28">
        <v>-0.74834209680557251</v>
      </c>
      <c r="BH28">
        <v>-9.710819274187088E-2</v>
      </c>
      <c r="BI28">
        <v>-0.51439559459686279</v>
      </c>
      <c r="BJ28">
        <v>0.18211166560649872</v>
      </c>
      <c r="BK28">
        <v>0.56668215990066528</v>
      </c>
      <c r="BL28">
        <v>-0.15942400693893433</v>
      </c>
      <c r="BM28">
        <v>8.5077971220016479E-2</v>
      </c>
      <c r="BN28">
        <v>0.79066330194473267</v>
      </c>
      <c r="BO28">
        <v>0.58556836843490601</v>
      </c>
      <c r="BP28">
        <v>4.5902901329100132E-3</v>
      </c>
      <c r="BQ28">
        <v>-0.76777809858322144</v>
      </c>
      <c r="BR28">
        <v>3.7109909057617187</v>
      </c>
      <c r="BS28">
        <v>12.079168319702148</v>
      </c>
      <c r="BT28">
        <v>12.691650390625</v>
      </c>
      <c r="BU28">
        <v>14.18016529083252</v>
      </c>
      <c r="BV28">
        <v>13.699051856994629</v>
      </c>
      <c r="BW28">
        <v>3.2045233249664307</v>
      </c>
      <c r="BX28">
        <v>1.1331022977828979</v>
      </c>
      <c r="BY28">
        <v>1.6569004058837891</v>
      </c>
      <c r="BZ28">
        <v>-1.7270218133926392</v>
      </c>
      <c r="CA28">
        <v>-0.54747468233108521</v>
      </c>
      <c r="CB28">
        <v>-1.8327983096241951E-2</v>
      </c>
      <c r="CC28">
        <v>0.43780705332756042</v>
      </c>
      <c r="CD28">
        <v>0.15999023616313934</v>
      </c>
      <c r="CE28">
        <v>-0.18332943320274353</v>
      </c>
      <c r="CF28">
        <v>0.49960139393806458</v>
      </c>
      <c r="CG28">
        <v>0.1026371568441391</v>
      </c>
      <c r="CH28">
        <v>0.82035785913467407</v>
      </c>
      <c r="CI28">
        <v>1.228168249130249</v>
      </c>
      <c r="CJ28">
        <v>0.52939516305923462</v>
      </c>
      <c r="CK28">
        <v>0.79138720035552979</v>
      </c>
      <c r="CL28">
        <v>1.5367139577865601</v>
      </c>
      <c r="CM28">
        <v>1.3725595474243164</v>
      </c>
      <c r="CN28">
        <v>0.85263955593109131</v>
      </c>
      <c r="CO28">
        <v>6.2110785394906998E-2</v>
      </c>
      <c r="CP28">
        <v>4.5291152000427246</v>
      </c>
      <c r="CQ28">
        <v>12.890335083007813</v>
      </c>
      <c r="CR28">
        <v>13.484724998474121</v>
      </c>
      <c r="CS28">
        <v>14.922213554382324</v>
      </c>
      <c r="CT28">
        <v>14.463963508605957</v>
      </c>
      <c r="CU28">
        <v>3.9853012561798096</v>
      </c>
      <c r="CV28">
        <v>1.9143328666687012</v>
      </c>
      <c r="CW28">
        <v>2.4087514877319336</v>
      </c>
      <c r="CX28">
        <v>-1.1257097721099854</v>
      </c>
      <c r="CY28">
        <v>3.6718722432851791E-2</v>
      </c>
      <c r="CZ28">
        <v>0.56082636117935181</v>
      </c>
      <c r="DA28">
        <v>1.0026191473007202</v>
      </c>
      <c r="DB28">
        <v>0.72195309400558472</v>
      </c>
      <c r="DC28">
        <v>0.38168323040008545</v>
      </c>
      <c r="DD28">
        <v>1.0963109731674194</v>
      </c>
      <c r="DE28">
        <v>0.71966993808746338</v>
      </c>
      <c r="DF28">
        <v>1.458604097366333</v>
      </c>
      <c r="DG28">
        <v>1.8896543979644775</v>
      </c>
      <c r="DH28">
        <v>1.2182142734527588</v>
      </c>
      <c r="DI28">
        <v>1.4976963996887207</v>
      </c>
      <c r="DJ28">
        <v>2.2827646732330322</v>
      </c>
      <c r="DK28">
        <v>2.159550666809082</v>
      </c>
      <c r="DL28">
        <v>1.7006888389587402</v>
      </c>
      <c r="DM28">
        <v>0.89199966192245483</v>
      </c>
      <c r="DN28">
        <v>5.3472394943237305</v>
      </c>
      <c r="DO28">
        <v>13.701501846313477</v>
      </c>
      <c r="DP28">
        <v>14.277799606323242</v>
      </c>
      <c r="DQ28">
        <v>15.664261817932129</v>
      </c>
      <c r="DR28">
        <v>15.228875160217285</v>
      </c>
      <c r="DS28">
        <v>4.7660794258117676</v>
      </c>
      <c r="DT28">
        <v>2.6955633163452148</v>
      </c>
      <c r="DU28">
        <v>3.1606025695800781</v>
      </c>
      <c r="DV28">
        <v>-0.25751060247421265</v>
      </c>
      <c r="DW28">
        <v>0.88020122051239014</v>
      </c>
      <c r="DX28">
        <v>1.3970332145690918</v>
      </c>
      <c r="DY28">
        <v>1.8181182146072388</v>
      </c>
      <c r="DZ28">
        <v>1.5333383083343506</v>
      </c>
      <c r="EA28">
        <v>1.1974717378616333</v>
      </c>
      <c r="EB28">
        <v>1.9578648805618286</v>
      </c>
      <c r="EC28">
        <v>1.6105672121047974</v>
      </c>
      <c r="ED28">
        <v>2.3801302909851074</v>
      </c>
      <c r="EE28">
        <v>2.8447351455688477</v>
      </c>
      <c r="EF28">
        <v>2.2127597332000732</v>
      </c>
      <c r="EG28">
        <v>2.5174946784973145</v>
      </c>
      <c r="EH28">
        <v>3.359943151473999</v>
      </c>
      <c r="EI28">
        <v>3.2958409786224365</v>
      </c>
      <c r="EJ28">
        <v>2.9251372814178467</v>
      </c>
      <c r="EK28">
        <v>2.0902273654937744</v>
      </c>
      <c r="EL28">
        <v>6.5284814834594727</v>
      </c>
      <c r="EM28">
        <v>14.872697830200195</v>
      </c>
      <c r="EN28">
        <v>15.422872543334961</v>
      </c>
      <c r="EO28">
        <v>16.735662460327148</v>
      </c>
      <c r="EP28">
        <v>16.333284378051758</v>
      </c>
      <c r="EQ28">
        <v>5.8933987617492676</v>
      </c>
      <c r="ER28">
        <v>3.8235361576080322</v>
      </c>
      <c r="ES28">
        <v>4.2461562156677246</v>
      </c>
      <c r="ET28">
        <v>52.214359283447266</v>
      </c>
      <c r="EU28">
        <v>51.976219177246094</v>
      </c>
      <c r="EV28">
        <v>51.795886993408203</v>
      </c>
      <c r="EW28">
        <v>51.574798583984375</v>
      </c>
      <c r="EX28">
        <v>51.196392059326172</v>
      </c>
      <c r="EY28">
        <v>51.264755249023438</v>
      </c>
      <c r="EZ28">
        <v>51.532463073730469</v>
      </c>
      <c r="FA28">
        <v>51.874237060546875</v>
      </c>
      <c r="FB28">
        <v>53.549491882324219</v>
      </c>
      <c r="FC28">
        <v>55.813709259033203</v>
      </c>
      <c r="FD28">
        <v>57.311416625976563</v>
      </c>
      <c r="FE28">
        <v>58.519779205322266</v>
      </c>
      <c r="FF28">
        <v>58.694660186767578</v>
      </c>
      <c r="FG28">
        <v>58.041500091552734</v>
      </c>
      <c r="FH28">
        <v>56.869255065917969</v>
      </c>
      <c r="FI28">
        <v>56.154262542724609</v>
      </c>
      <c r="FJ28">
        <v>54.988388061523437</v>
      </c>
      <c r="FK28">
        <v>53.228744506835938</v>
      </c>
      <c r="FL28">
        <v>52.378536224365234</v>
      </c>
      <c r="FM28">
        <v>52.157188415527344</v>
      </c>
      <c r="FN28">
        <v>51.669261932373047</v>
      </c>
      <c r="FO28">
        <v>51.723373413085938</v>
      </c>
      <c r="FP28">
        <v>51.460109710693359</v>
      </c>
      <c r="FQ28">
        <v>50.895912170410156</v>
      </c>
      <c r="FR28">
        <v>358</v>
      </c>
      <c r="FS28">
        <v>6.3805170357227325E-2</v>
      </c>
      <c r="FT28">
        <v>1</v>
      </c>
    </row>
    <row r="29" spans="1:176" x14ac:dyDescent="0.2">
      <c r="A29" t="s">
        <v>227</v>
      </c>
      <c r="B29" t="s">
        <v>225</v>
      </c>
      <c r="C29" t="s">
        <v>233</v>
      </c>
      <c r="D29">
        <v>557</v>
      </c>
      <c r="E29">
        <v>557</v>
      </c>
      <c r="F29">
        <v>84.579963684082031</v>
      </c>
      <c r="G29">
        <v>81.864463806152344</v>
      </c>
      <c r="H29">
        <v>79.71893310546875</v>
      </c>
      <c r="I29">
        <v>79.88055419921875</v>
      </c>
      <c r="J29">
        <v>82.544944763183594</v>
      </c>
      <c r="K29">
        <v>86.077995300292969</v>
      </c>
      <c r="L29">
        <v>91.663597106933594</v>
      </c>
      <c r="M29">
        <v>97.984344482421875</v>
      </c>
      <c r="N29">
        <v>109.27662658691406</v>
      </c>
      <c r="O29">
        <v>116.16408538818359</v>
      </c>
      <c r="P29">
        <v>125.57996368408203</v>
      </c>
      <c r="Q29">
        <v>128.32502746582031</v>
      </c>
      <c r="R29">
        <v>130.16152954101562</v>
      </c>
      <c r="S29">
        <v>132.38250732421875</v>
      </c>
      <c r="T29">
        <v>134.1280517578125</v>
      </c>
      <c r="U29">
        <v>133.58737182617187</v>
      </c>
      <c r="V29">
        <v>136.4866943359375</v>
      </c>
      <c r="W29">
        <v>138.74273681640625</v>
      </c>
      <c r="X29">
        <v>140.12701416015625</v>
      </c>
      <c r="Y29">
        <v>143.47447204589844</v>
      </c>
      <c r="Z29">
        <v>138.7391357421875</v>
      </c>
      <c r="AA29">
        <v>123.16215515136719</v>
      </c>
      <c r="AB29">
        <v>106.28102111816406</v>
      </c>
      <c r="AC29">
        <v>93.8131103515625</v>
      </c>
      <c r="AD29">
        <v>-4.7473564147949219</v>
      </c>
      <c r="AE29">
        <v>-4.5048971176147461</v>
      </c>
      <c r="AF29">
        <v>-4.5366592407226562</v>
      </c>
      <c r="AG29">
        <v>-4.374112606048584</v>
      </c>
      <c r="AH29">
        <v>-0.87119239568710327</v>
      </c>
      <c r="AI29">
        <v>-0.77286213636398315</v>
      </c>
      <c r="AJ29">
        <v>-0.77093333005905151</v>
      </c>
      <c r="AK29">
        <v>-1.287950873374939</v>
      </c>
      <c r="AL29">
        <v>0.25185170769691467</v>
      </c>
      <c r="AM29">
        <v>-1.1814048290252686</v>
      </c>
      <c r="AN29">
        <v>1.4958237409591675</v>
      </c>
      <c r="AO29">
        <v>-2.3700857535004616E-2</v>
      </c>
      <c r="AP29">
        <v>-0.19031746685504913</v>
      </c>
      <c r="AQ29">
        <v>-1.2734501361846924</v>
      </c>
      <c r="AR29">
        <v>-1.1107889413833618</v>
      </c>
      <c r="AS29">
        <v>-4.0812716484069824</v>
      </c>
      <c r="AT29">
        <v>0.20708566904067993</v>
      </c>
      <c r="AU29">
        <v>28.87513542175293</v>
      </c>
      <c r="AV29">
        <v>4.8086228370666504</v>
      </c>
      <c r="AW29">
        <v>2.9784605503082275</v>
      </c>
      <c r="AX29">
        <v>0.25213983654975891</v>
      </c>
      <c r="AY29">
        <v>-0.34134787321090698</v>
      </c>
      <c r="AZ29">
        <v>-0.20625512301921844</v>
      </c>
      <c r="BA29">
        <v>-0.6087878942489624</v>
      </c>
      <c r="BB29">
        <v>-3.5702905654907227</v>
      </c>
      <c r="BC29">
        <v>-3.350827693939209</v>
      </c>
      <c r="BD29">
        <v>-3.389129638671875</v>
      </c>
      <c r="BE29">
        <v>-3.2161822319030762</v>
      </c>
      <c r="BF29">
        <v>0.30570927262306213</v>
      </c>
      <c r="BG29">
        <v>0.39547944068908691</v>
      </c>
      <c r="BH29">
        <v>0.43586269021034241</v>
      </c>
      <c r="BI29">
        <v>4.3770868331193924E-2</v>
      </c>
      <c r="BJ29">
        <v>1.7423471212387085</v>
      </c>
      <c r="BK29">
        <v>0.38984757661819458</v>
      </c>
      <c r="BL29">
        <v>3.0606660842895508</v>
      </c>
      <c r="BM29">
        <v>1.5141227245330811</v>
      </c>
      <c r="BN29">
        <v>1.3401153087615967</v>
      </c>
      <c r="BO29">
        <v>0.26100125908851624</v>
      </c>
      <c r="BP29">
        <v>0.44273325800895691</v>
      </c>
      <c r="BQ29">
        <v>-2.4763691425323486</v>
      </c>
      <c r="BR29">
        <v>1.8147698640823364</v>
      </c>
      <c r="BS29">
        <v>30.446441650390625</v>
      </c>
      <c r="BT29">
        <v>6.3408627510070801</v>
      </c>
      <c r="BU29">
        <v>4.4993033409118652</v>
      </c>
      <c r="BV29">
        <v>1.7858139276504517</v>
      </c>
      <c r="BW29">
        <v>1.2193163633346558</v>
      </c>
      <c r="BX29">
        <v>1.3431003093719482</v>
      </c>
      <c r="BY29">
        <v>0.97979158163070679</v>
      </c>
      <c r="BZ29">
        <v>-2.7550582885742187</v>
      </c>
      <c r="CA29">
        <v>-2.551522970199585</v>
      </c>
      <c r="CB29">
        <v>-2.5943543910980225</v>
      </c>
      <c r="CC29">
        <v>-2.414203405380249</v>
      </c>
      <c r="CD29">
        <v>1.1208277940750122</v>
      </c>
      <c r="CE29">
        <v>1.2046692371368408</v>
      </c>
      <c r="CF29">
        <v>1.2716859579086304</v>
      </c>
      <c r="CG29">
        <v>0.966117262840271</v>
      </c>
      <c r="CH29">
        <v>2.7746596336364746</v>
      </c>
      <c r="CI29">
        <v>1.4780921936035156</v>
      </c>
      <c r="CJ29">
        <v>4.1444711685180664</v>
      </c>
      <c r="CK29">
        <v>2.5792145729064941</v>
      </c>
      <c r="CL29">
        <v>2.4000883102416992</v>
      </c>
      <c r="CM29">
        <v>1.3237576484680176</v>
      </c>
      <c r="CN29">
        <v>1.51869797706604</v>
      </c>
      <c r="CO29">
        <v>-1.3648184537887573</v>
      </c>
      <c r="CP29">
        <v>2.9282469749450684</v>
      </c>
      <c r="CQ29">
        <v>31.534725189208984</v>
      </c>
      <c r="CR29">
        <v>7.4020872116088867</v>
      </c>
      <c r="CS29">
        <v>5.5526347160339355</v>
      </c>
      <c r="CT29">
        <v>2.8480319976806641</v>
      </c>
      <c r="CU29">
        <v>2.3002276420593262</v>
      </c>
      <c r="CV29">
        <v>2.4161791801452637</v>
      </c>
      <c r="CW29">
        <v>2.0800368785858154</v>
      </c>
      <c r="CX29">
        <v>-1.9398260116577148</v>
      </c>
      <c r="CY29">
        <v>-1.7522181272506714</v>
      </c>
      <c r="CZ29">
        <v>-1.7995790243148804</v>
      </c>
      <c r="DA29">
        <v>-1.6122245788574219</v>
      </c>
      <c r="DB29">
        <v>1.9359463453292847</v>
      </c>
      <c r="DC29">
        <v>2.0138590335845947</v>
      </c>
      <c r="DD29">
        <v>2.1075091361999512</v>
      </c>
      <c r="DE29">
        <v>1.8884636163711548</v>
      </c>
      <c r="DF29">
        <v>3.8069722652435303</v>
      </c>
      <c r="DG29">
        <v>2.5663368701934814</v>
      </c>
      <c r="DH29">
        <v>5.228276252746582</v>
      </c>
      <c r="DI29">
        <v>3.6443064212799072</v>
      </c>
      <c r="DJ29">
        <v>3.4600613117218018</v>
      </c>
      <c r="DK29">
        <v>2.3865139484405518</v>
      </c>
      <c r="DL29">
        <v>2.5946626663208008</v>
      </c>
      <c r="DM29">
        <v>-0.25326785445213318</v>
      </c>
      <c r="DN29">
        <v>4.0417242050170898</v>
      </c>
      <c r="DO29">
        <v>32.623008728027344</v>
      </c>
      <c r="DP29">
        <v>8.4633121490478516</v>
      </c>
      <c r="DQ29">
        <v>6.6059660911560059</v>
      </c>
      <c r="DR29">
        <v>3.9102499485015869</v>
      </c>
      <c r="DS29">
        <v>3.3811390399932861</v>
      </c>
      <c r="DT29">
        <v>3.4892580509185791</v>
      </c>
      <c r="DU29">
        <v>3.1802821159362793</v>
      </c>
      <c r="DV29">
        <v>-0.76276004314422607</v>
      </c>
      <c r="DW29">
        <v>-0.59814894199371338</v>
      </c>
      <c r="DX29">
        <v>-0.652049720287323</v>
      </c>
      <c r="DY29">
        <v>-0.45429438352584839</v>
      </c>
      <c r="DZ29">
        <v>3.1128480434417725</v>
      </c>
      <c r="EA29">
        <v>3.1822006702423096</v>
      </c>
      <c r="EB29">
        <v>3.314305305480957</v>
      </c>
      <c r="EC29">
        <v>3.2201852798461914</v>
      </c>
      <c r="ED29">
        <v>5.2974677085876465</v>
      </c>
      <c r="EE29">
        <v>4.1375889778137207</v>
      </c>
      <c r="EF29">
        <v>6.7931184768676758</v>
      </c>
      <c r="EG29">
        <v>5.1821298599243164</v>
      </c>
      <c r="EH29">
        <v>4.9904942512512207</v>
      </c>
      <c r="EI29">
        <v>3.9209654331207275</v>
      </c>
      <c r="EJ29">
        <v>4.1481847763061523</v>
      </c>
      <c r="EK29">
        <v>1.3516347408294678</v>
      </c>
      <c r="EL29">
        <v>5.6494083404541016</v>
      </c>
      <c r="EM29">
        <v>34.194316864013672</v>
      </c>
      <c r="EN29">
        <v>9.9955520629882812</v>
      </c>
      <c r="EO29">
        <v>8.1268091201782227</v>
      </c>
      <c r="EP29">
        <v>5.4439239501953125</v>
      </c>
      <c r="EQ29">
        <v>4.941802978515625</v>
      </c>
      <c r="ER29">
        <v>5.0386133193969727</v>
      </c>
      <c r="ES29">
        <v>4.7688617706298828</v>
      </c>
      <c r="ET29">
        <v>68.416419982910156</v>
      </c>
      <c r="EU29">
        <v>66.608024597167969</v>
      </c>
      <c r="EV29">
        <v>65.3646240234375</v>
      </c>
      <c r="EW29">
        <v>64.92803955078125</v>
      </c>
      <c r="EX29">
        <v>66.451042175292969</v>
      </c>
      <c r="EY29">
        <v>68.888191223144531</v>
      </c>
      <c r="EZ29">
        <v>74.391448974609375</v>
      </c>
      <c r="FA29">
        <v>79.634506225585937</v>
      </c>
      <c r="FB29">
        <v>83.045745849609375</v>
      </c>
      <c r="FC29">
        <v>85.592254638671875</v>
      </c>
      <c r="FD29">
        <v>86.98248291015625</v>
      </c>
      <c r="FE29">
        <v>87.819442749023438</v>
      </c>
      <c r="FF29">
        <v>89.033836364746094</v>
      </c>
      <c r="FG29">
        <v>90.452392578125</v>
      </c>
      <c r="FH29">
        <v>91.009132385253906</v>
      </c>
      <c r="FI29">
        <v>90.784690856933594</v>
      </c>
      <c r="FJ29">
        <v>90.084030151367188</v>
      </c>
      <c r="FK29">
        <v>88.228172302246094</v>
      </c>
      <c r="FL29">
        <v>85.596832275390625</v>
      </c>
      <c r="FM29">
        <v>81.80230712890625</v>
      </c>
      <c r="FN29">
        <v>79.39459228515625</v>
      </c>
      <c r="FO29">
        <v>77.851005554199219</v>
      </c>
      <c r="FP29">
        <v>77.026298522949219</v>
      </c>
      <c r="FQ29">
        <v>76.729438781738281</v>
      </c>
      <c r="FR29">
        <v>557</v>
      </c>
      <c r="FS29">
        <v>0.11089179664850235</v>
      </c>
      <c r="FT29">
        <v>1</v>
      </c>
    </row>
    <row r="30" spans="1:176" x14ac:dyDescent="0.2">
      <c r="A30" t="s">
        <v>227</v>
      </c>
      <c r="B30" t="s">
        <v>225</v>
      </c>
      <c r="C30" t="s">
        <v>234</v>
      </c>
      <c r="D30">
        <v>557</v>
      </c>
      <c r="E30">
        <v>557</v>
      </c>
      <c r="F30">
        <v>86.9993896484375</v>
      </c>
      <c r="G30">
        <v>83.292411804199219</v>
      </c>
      <c r="H30">
        <v>80.457534790039063</v>
      </c>
      <c r="I30">
        <v>81.44683837890625</v>
      </c>
      <c r="J30">
        <v>84.906784057617188</v>
      </c>
      <c r="K30">
        <v>88.81182861328125</v>
      </c>
      <c r="L30">
        <v>94.792091369628906</v>
      </c>
      <c r="M30">
        <v>101.77717590332031</v>
      </c>
      <c r="N30">
        <v>112.95766448974609</v>
      </c>
      <c r="O30">
        <v>119.36118316650391</v>
      </c>
      <c r="P30">
        <v>128.73930358886719</v>
      </c>
      <c r="Q30">
        <v>131.62060546875</v>
      </c>
      <c r="R30">
        <v>133.76744079589844</v>
      </c>
      <c r="S30">
        <v>136.66650390625</v>
      </c>
      <c r="T30">
        <v>138.76470947265625</v>
      </c>
      <c r="U30">
        <v>137.68890380859375</v>
      </c>
      <c r="V30">
        <v>140.69160461425781</v>
      </c>
      <c r="W30">
        <v>143.26876831054687</v>
      </c>
      <c r="X30">
        <v>144.60963439941406</v>
      </c>
      <c r="Y30">
        <v>149.55747985839844</v>
      </c>
      <c r="Z30">
        <v>144.53936767578125</v>
      </c>
      <c r="AA30">
        <v>128.04707336425781</v>
      </c>
      <c r="AB30">
        <v>109.54787445068359</v>
      </c>
      <c r="AC30">
        <v>96.304130554199219</v>
      </c>
      <c r="AD30">
        <v>-2.5681374073028564</v>
      </c>
      <c r="AE30">
        <v>-4.3511185646057129</v>
      </c>
      <c r="AF30">
        <v>-4.8489551544189453</v>
      </c>
      <c r="AG30">
        <v>-4.2564182281494141</v>
      </c>
      <c r="AH30">
        <v>-3.6343698501586914</v>
      </c>
      <c r="AI30">
        <v>-3.8699841499328613</v>
      </c>
      <c r="AJ30">
        <v>-1.4981942176818848</v>
      </c>
      <c r="AK30">
        <v>-1.0979962348937988</v>
      </c>
      <c r="AL30">
        <v>0.77995908260345459</v>
      </c>
      <c r="AM30">
        <v>-1.6623542308807373</v>
      </c>
      <c r="AN30">
        <v>-2.6877012252807617</v>
      </c>
      <c r="AO30">
        <v>-3.6651787757873535</v>
      </c>
      <c r="AP30">
        <v>-4.0113000869750977</v>
      </c>
      <c r="AQ30">
        <v>2.8297200202941895</v>
      </c>
      <c r="AR30">
        <v>33.266654968261719</v>
      </c>
      <c r="AS30">
        <v>26.572542190551758</v>
      </c>
      <c r="AT30">
        <v>26.211057662963867</v>
      </c>
      <c r="AU30">
        <v>25.392553329467773</v>
      </c>
      <c r="AV30">
        <v>-1.1284396648406982</v>
      </c>
      <c r="AW30">
        <v>-0.98001748323440552</v>
      </c>
      <c r="AX30">
        <v>-2.9665107727050781</v>
      </c>
      <c r="AY30">
        <v>-3.7347884178161621</v>
      </c>
      <c r="AZ30">
        <v>-4.1286215782165527</v>
      </c>
      <c r="BA30">
        <v>-4.6578292846679687</v>
      </c>
      <c r="BB30">
        <v>-1.1065540313720703</v>
      </c>
      <c r="BC30">
        <v>-2.8963503837585449</v>
      </c>
      <c r="BD30">
        <v>-3.451744556427002</v>
      </c>
      <c r="BE30">
        <v>-2.9269123077392578</v>
      </c>
      <c r="BF30">
        <v>-2.3059098720550537</v>
      </c>
      <c r="BG30">
        <v>-2.5019834041595459</v>
      </c>
      <c r="BH30">
        <v>-6.9637127220630646E-2</v>
      </c>
      <c r="BI30">
        <v>0.41142752766609192</v>
      </c>
      <c r="BJ30">
        <v>2.3600797653198242</v>
      </c>
      <c r="BK30">
        <v>-1.9655941054224968E-2</v>
      </c>
      <c r="BL30">
        <v>-1.0318841934204102</v>
      </c>
      <c r="BM30">
        <v>-2.0017435550689697</v>
      </c>
      <c r="BN30">
        <v>-2.2992815971374512</v>
      </c>
      <c r="BO30">
        <v>4.5623111724853516</v>
      </c>
      <c r="BP30">
        <v>35.015132904052734</v>
      </c>
      <c r="BQ30">
        <v>28.380029678344727</v>
      </c>
      <c r="BR30">
        <v>28.012289047241211</v>
      </c>
      <c r="BS30">
        <v>27.158058166503906</v>
      </c>
      <c r="BT30">
        <v>0.58107161521911621</v>
      </c>
      <c r="BU30">
        <v>0.69175678491592407</v>
      </c>
      <c r="BV30">
        <v>-1.2966150045394897</v>
      </c>
      <c r="BW30">
        <v>-2.0357458591461182</v>
      </c>
      <c r="BX30">
        <v>-2.48232102394104</v>
      </c>
      <c r="BY30">
        <v>-3.02659010887146</v>
      </c>
      <c r="BZ30">
        <v>-9.4265833497047424E-2</v>
      </c>
      <c r="CA30">
        <v>-1.888782262802124</v>
      </c>
      <c r="CB30">
        <v>-2.4840407371520996</v>
      </c>
      <c r="CC30">
        <v>-2.0061006546020508</v>
      </c>
      <c r="CD30">
        <v>-1.3858222961425781</v>
      </c>
      <c r="CE30">
        <v>-1.5545101165771484</v>
      </c>
      <c r="CF30">
        <v>0.91977715492248535</v>
      </c>
      <c r="CG30">
        <v>1.4568498134613037</v>
      </c>
      <c r="CH30">
        <v>3.4544663429260254</v>
      </c>
      <c r="CI30">
        <v>1.1180719137191772</v>
      </c>
      <c r="CJ30">
        <v>0.11492962390184402</v>
      </c>
      <c r="CK30">
        <v>-0.84965342283248901</v>
      </c>
      <c r="CL30">
        <v>-1.113542914390564</v>
      </c>
      <c r="CM30">
        <v>5.762298583984375</v>
      </c>
      <c r="CN30">
        <v>36.226123809814453</v>
      </c>
      <c r="CO30">
        <v>29.631889343261719</v>
      </c>
      <c r="CP30">
        <v>29.259817123413086</v>
      </c>
      <c r="CQ30">
        <v>28.380842208862305</v>
      </c>
      <c r="CR30">
        <v>1.7650738954544067</v>
      </c>
      <c r="CS30">
        <v>1.8496226072311401</v>
      </c>
      <c r="CT30">
        <v>-0.1400502622127533</v>
      </c>
      <c r="CU30">
        <v>-0.85899412631988525</v>
      </c>
      <c r="CV30">
        <v>-1.3420983552932739</v>
      </c>
      <c r="CW30">
        <v>-1.8967989683151245</v>
      </c>
      <c r="CX30">
        <v>0.91802233457565308</v>
      </c>
      <c r="CY30">
        <v>-0.8812142014503479</v>
      </c>
      <c r="CZ30">
        <v>-1.5163370370864868</v>
      </c>
      <c r="DA30">
        <v>-1.0852890014648437</v>
      </c>
      <c r="DB30">
        <v>-0.4657348096370697</v>
      </c>
      <c r="DC30">
        <v>-0.60703688859939575</v>
      </c>
      <c r="DD30">
        <v>1.9091914892196655</v>
      </c>
      <c r="DE30">
        <v>2.5022721290588379</v>
      </c>
      <c r="DF30">
        <v>4.5488529205322266</v>
      </c>
      <c r="DG30">
        <v>2.2557997703552246</v>
      </c>
      <c r="DH30">
        <v>1.261743426322937</v>
      </c>
      <c r="DI30">
        <v>0.30243676900863647</v>
      </c>
      <c r="DJ30">
        <v>7.2195865213871002E-2</v>
      </c>
      <c r="DK30">
        <v>6.9622859954833984</v>
      </c>
      <c r="DL30">
        <v>37.437114715576172</v>
      </c>
      <c r="DM30">
        <v>30.883749008178711</v>
      </c>
      <c r="DN30">
        <v>30.507345199584961</v>
      </c>
      <c r="DO30">
        <v>29.603626251220703</v>
      </c>
      <c r="DP30">
        <v>2.9490761756896973</v>
      </c>
      <c r="DQ30">
        <v>3.007488489151001</v>
      </c>
      <c r="DR30">
        <v>1.0165145397186279</v>
      </c>
      <c r="DS30">
        <v>0.31775760650634766</v>
      </c>
      <c r="DT30">
        <v>-0.2018757164478302</v>
      </c>
      <c r="DU30">
        <v>-0.76700782775878906</v>
      </c>
      <c r="DV30">
        <v>2.379605770111084</v>
      </c>
      <c r="DW30">
        <v>0.57355403900146484</v>
      </c>
      <c r="DX30">
        <v>-0.11912646889686584</v>
      </c>
      <c r="DY30">
        <v>0.24421671032905579</v>
      </c>
      <c r="DZ30">
        <v>0.86272537708282471</v>
      </c>
      <c r="EA30">
        <v>0.76096397638320923</v>
      </c>
      <c r="EB30">
        <v>3.3377485275268555</v>
      </c>
      <c r="EC30">
        <v>4.0116958618164062</v>
      </c>
      <c r="ED30">
        <v>6.1289734840393066</v>
      </c>
      <c r="EE30">
        <v>3.8984980583190918</v>
      </c>
      <c r="EF30">
        <v>2.917560338973999</v>
      </c>
      <c r="EG30">
        <v>1.965872049331665</v>
      </c>
      <c r="EH30">
        <v>1.7842143774032593</v>
      </c>
      <c r="EI30">
        <v>8.6948766708374023</v>
      </c>
      <c r="EJ30">
        <v>39.185592651367188</v>
      </c>
      <c r="EK30">
        <v>32.691238403320313</v>
      </c>
      <c r="EL30">
        <v>32.308574676513672</v>
      </c>
      <c r="EM30">
        <v>31.369131088256836</v>
      </c>
      <c r="EN30">
        <v>4.6585874557495117</v>
      </c>
      <c r="EO30">
        <v>4.679262638092041</v>
      </c>
      <c r="EP30">
        <v>2.6864104270935059</v>
      </c>
      <c r="EQ30">
        <v>2.0168001651763916</v>
      </c>
      <c r="ER30">
        <v>1.4444246292114258</v>
      </c>
      <c r="ES30">
        <v>0.8642311692237854</v>
      </c>
      <c r="ET30">
        <v>75.076736450195313</v>
      </c>
      <c r="EU30">
        <v>73.143867492675781</v>
      </c>
      <c r="EV30">
        <v>71.462974548339844</v>
      </c>
      <c r="EW30">
        <v>71.310760498046875</v>
      </c>
      <c r="EX30">
        <v>71.57855224609375</v>
      </c>
      <c r="EY30">
        <v>72.923355102539063</v>
      </c>
      <c r="EZ30">
        <v>76.904335021972656</v>
      </c>
      <c r="FA30">
        <v>81.50372314453125</v>
      </c>
      <c r="FB30">
        <v>85.514335632324219</v>
      </c>
      <c r="FC30">
        <v>88.825904846191406</v>
      </c>
      <c r="FD30">
        <v>91.452110290527344</v>
      </c>
      <c r="FE30">
        <v>92.955650329589844</v>
      </c>
      <c r="FF30">
        <v>94.661247253417969</v>
      </c>
      <c r="FG30">
        <v>95.516456604003906</v>
      </c>
      <c r="FH30">
        <v>96.462593078613281</v>
      </c>
      <c r="FI30">
        <v>95.693588256835938</v>
      </c>
      <c r="FJ30">
        <v>93.415122985839844</v>
      </c>
      <c r="FK30">
        <v>91.815719604492188</v>
      </c>
      <c r="FL30">
        <v>88.876510620117188</v>
      </c>
      <c r="FM30">
        <v>84.614128112792969</v>
      </c>
      <c r="FN30">
        <v>81.482337951660156</v>
      </c>
      <c r="FO30">
        <v>78.532341003417969</v>
      </c>
      <c r="FP30">
        <v>76.702301025390625</v>
      </c>
      <c r="FQ30">
        <v>75.483779907226563</v>
      </c>
      <c r="FR30">
        <v>557</v>
      </c>
      <c r="FS30">
        <v>0.1116337776184082</v>
      </c>
      <c r="FT30">
        <v>1</v>
      </c>
    </row>
    <row r="31" spans="1:176" x14ac:dyDescent="0.2">
      <c r="A31" t="s">
        <v>227</v>
      </c>
      <c r="B31" t="s">
        <v>225</v>
      </c>
      <c r="C31" t="s">
        <v>235</v>
      </c>
      <c r="D31">
        <v>557</v>
      </c>
      <c r="E31">
        <v>557</v>
      </c>
      <c r="F31">
        <v>91.818557739257813</v>
      </c>
      <c r="G31">
        <v>88.583534240722656</v>
      </c>
      <c r="H31">
        <v>85.759757995605469</v>
      </c>
      <c r="I31">
        <v>86.10284423828125</v>
      </c>
      <c r="J31">
        <v>89.238754272460938</v>
      </c>
      <c r="K31">
        <v>93.131187438964844</v>
      </c>
      <c r="L31">
        <v>98.749504089355469</v>
      </c>
      <c r="M31">
        <v>105.4061279296875</v>
      </c>
      <c r="N31">
        <v>117.08050537109375</v>
      </c>
      <c r="O31">
        <v>124.19403076171875</v>
      </c>
      <c r="P31">
        <v>134.10003662109375</v>
      </c>
      <c r="Q31">
        <v>137.18318176269531</v>
      </c>
      <c r="R31">
        <v>138.84709167480469</v>
      </c>
      <c r="S31">
        <v>140.927490234375</v>
      </c>
      <c r="T31">
        <v>143.17158508300781</v>
      </c>
      <c r="U31">
        <v>141.3551025390625</v>
      </c>
      <c r="V31">
        <v>143.88497924804687</v>
      </c>
      <c r="W31">
        <v>146.23684692382812</v>
      </c>
      <c r="X31">
        <v>147.65615844726562</v>
      </c>
      <c r="Y31">
        <v>152.19998168945312</v>
      </c>
      <c r="Z31">
        <v>147.26811218261719</v>
      </c>
      <c r="AA31">
        <v>130.31794738769531</v>
      </c>
      <c r="AB31">
        <v>112.84700775146484</v>
      </c>
      <c r="AC31">
        <v>100.2794189453125</v>
      </c>
      <c r="AD31">
        <v>-4.5873851776123047</v>
      </c>
      <c r="AE31">
        <v>-4.4732341766357422</v>
      </c>
      <c r="AF31">
        <v>-4.1520371437072754</v>
      </c>
      <c r="AG31">
        <v>-3.4763829708099365</v>
      </c>
      <c r="AH31">
        <v>-3.1473195552825928</v>
      </c>
      <c r="AI31">
        <v>-3.7013983726501465</v>
      </c>
      <c r="AJ31">
        <v>-2.1641204357147217</v>
      </c>
      <c r="AK31">
        <v>-3.3640565872192383</v>
      </c>
      <c r="AL31">
        <v>-1.9031288623809814</v>
      </c>
      <c r="AM31">
        <v>-1.7619137763977051</v>
      </c>
      <c r="AN31">
        <v>-1.8104363679885864</v>
      </c>
      <c r="AO31">
        <v>-3.3281941413879395</v>
      </c>
      <c r="AP31">
        <v>-3.1926784515380859</v>
      </c>
      <c r="AQ31">
        <v>28.460920333862305</v>
      </c>
      <c r="AR31">
        <v>27.997308731079102</v>
      </c>
      <c r="AS31">
        <v>22.898216247558594</v>
      </c>
      <c r="AT31">
        <v>21.026542663574219</v>
      </c>
      <c r="AU31">
        <v>20.486532211303711</v>
      </c>
      <c r="AV31">
        <v>-5.1387844085693359</v>
      </c>
      <c r="AW31">
        <v>-6.0823974609375</v>
      </c>
      <c r="AX31">
        <v>-6.0496916770935059</v>
      </c>
      <c r="AY31">
        <v>-5.5818796157836914</v>
      </c>
      <c r="AZ31">
        <v>-4.1692390441894531</v>
      </c>
      <c r="BA31">
        <v>-3.0697507858276367</v>
      </c>
      <c r="BB31">
        <v>-3.1859984397888184</v>
      </c>
      <c r="BC31">
        <v>-3.1030521392822266</v>
      </c>
      <c r="BD31">
        <v>-2.8068139553070068</v>
      </c>
      <c r="BE31">
        <v>-2.1607840061187744</v>
      </c>
      <c r="BF31">
        <v>-1.8186891078948975</v>
      </c>
      <c r="BG31">
        <v>-2.3717195987701416</v>
      </c>
      <c r="BH31">
        <v>-0.80565303564071655</v>
      </c>
      <c r="BI31">
        <v>-1.9564753770828247</v>
      </c>
      <c r="BJ31">
        <v>-0.4465906023979187</v>
      </c>
      <c r="BK31">
        <v>-0.17702050507068634</v>
      </c>
      <c r="BL31">
        <v>-0.11815398186445236</v>
      </c>
      <c r="BM31">
        <v>-1.5898376703262329</v>
      </c>
      <c r="BN31">
        <v>-1.4131262302398682</v>
      </c>
      <c r="BO31">
        <v>30.235445022583008</v>
      </c>
      <c r="BP31">
        <v>29.759313583374023</v>
      </c>
      <c r="BQ31">
        <v>24.71357536315918</v>
      </c>
      <c r="BR31">
        <v>22.816089630126953</v>
      </c>
      <c r="BS31">
        <v>22.230798721313477</v>
      </c>
      <c r="BT31">
        <v>-3.438591480255127</v>
      </c>
      <c r="BU31">
        <v>-4.4165887832641602</v>
      </c>
      <c r="BV31">
        <v>-4.3981442451477051</v>
      </c>
      <c r="BW31">
        <v>-3.9282791614532471</v>
      </c>
      <c r="BX31">
        <v>-2.5512211322784424</v>
      </c>
      <c r="BY31">
        <v>-1.4479787349700928</v>
      </c>
      <c r="BZ31">
        <v>-2.215402364730835</v>
      </c>
      <c r="CA31">
        <v>-2.1540682315826416</v>
      </c>
      <c r="CB31">
        <v>-1.8751164674758911</v>
      </c>
      <c r="CC31">
        <v>-1.2496041059494019</v>
      </c>
      <c r="CD31">
        <v>-0.8984837532043457</v>
      </c>
      <c r="CE31">
        <v>-1.4507880210876465</v>
      </c>
      <c r="CF31">
        <v>0.13521738350391388</v>
      </c>
      <c r="CG31">
        <v>-0.98158878087997437</v>
      </c>
      <c r="CH31">
        <v>0.56220334768295288</v>
      </c>
      <c r="CI31">
        <v>0.92067176103591919</v>
      </c>
      <c r="CJ31">
        <v>1.0539156198501587</v>
      </c>
      <c r="CK31">
        <v>-0.38585719466209412</v>
      </c>
      <c r="CL31">
        <v>-0.18061380088329315</v>
      </c>
      <c r="CM31">
        <v>31.464473724365234</v>
      </c>
      <c r="CN31">
        <v>30.979671478271484</v>
      </c>
      <c r="CO31">
        <v>25.970888137817383</v>
      </c>
      <c r="CP31">
        <v>24.055522918701172</v>
      </c>
      <c r="CQ31">
        <v>23.438873291015625</v>
      </c>
      <c r="CR31">
        <v>-2.2610430717468262</v>
      </c>
      <c r="CS31">
        <v>-3.2628548145294189</v>
      </c>
      <c r="CT31">
        <v>-3.2542874813079834</v>
      </c>
      <c r="CU31">
        <v>-2.7830007076263428</v>
      </c>
      <c r="CV31">
        <v>-1.430586576461792</v>
      </c>
      <c r="CW31">
        <v>-0.32474434375762939</v>
      </c>
      <c r="CX31">
        <v>-1.2448062896728516</v>
      </c>
      <c r="CY31">
        <v>-1.2050843238830566</v>
      </c>
      <c r="CZ31">
        <v>-0.94341892004013062</v>
      </c>
      <c r="DA31">
        <v>-0.33842423558235168</v>
      </c>
      <c r="DB31">
        <v>2.1721618250012398E-2</v>
      </c>
      <c r="DC31">
        <v>-0.52985656261444092</v>
      </c>
      <c r="DD31">
        <v>1.0760878324508667</v>
      </c>
      <c r="DE31">
        <v>-6.7022391594946384E-3</v>
      </c>
      <c r="DF31">
        <v>1.5709972381591797</v>
      </c>
      <c r="DG31">
        <v>2.0183639526367187</v>
      </c>
      <c r="DH31">
        <v>2.2259852886199951</v>
      </c>
      <c r="DI31">
        <v>0.8181232213973999</v>
      </c>
      <c r="DJ31">
        <v>1.0518985986709595</v>
      </c>
      <c r="DK31">
        <v>32.693504333496094</v>
      </c>
      <c r="DL31">
        <v>32.200031280517578</v>
      </c>
      <c r="DM31">
        <v>27.228200912475586</v>
      </c>
      <c r="DN31">
        <v>25.294956207275391</v>
      </c>
      <c r="DO31">
        <v>24.646947860717773</v>
      </c>
      <c r="DP31">
        <v>-1.0834946632385254</v>
      </c>
      <c r="DQ31">
        <v>-2.1091208457946777</v>
      </c>
      <c r="DR31">
        <v>-2.1104307174682617</v>
      </c>
      <c r="DS31">
        <v>-1.6377222537994385</v>
      </c>
      <c r="DT31">
        <v>-0.30995213985443115</v>
      </c>
      <c r="DU31">
        <v>0.79849004745483398</v>
      </c>
      <c r="DV31">
        <v>0.15658025443553925</v>
      </c>
      <c r="DW31">
        <v>0.16509759426116943</v>
      </c>
      <c r="DX31">
        <v>0.40180429816246033</v>
      </c>
      <c r="DY31">
        <v>0.97717475891113281</v>
      </c>
      <c r="DZ31">
        <v>1.3503520488739014</v>
      </c>
      <c r="EA31">
        <v>0.79982221126556396</v>
      </c>
      <c r="EB31">
        <v>2.4345552921295166</v>
      </c>
      <c r="EC31">
        <v>1.4008791446685791</v>
      </c>
      <c r="ED31">
        <v>3.0275354385375977</v>
      </c>
      <c r="EE31">
        <v>3.603257417678833</v>
      </c>
      <c r="EF31">
        <v>3.9182674884796143</v>
      </c>
      <c r="EG31">
        <v>2.5564796924591064</v>
      </c>
      <c r="EH31">
        <v>2.8314509391784668</v>
      </c>
      <c r="EI31">
        <v>34.468025207519531</v>
      </c>
      <c r="EJ31">
        <v>33.962032318115234</v>
      </c>
      <c r="EK31">
        <v>29.043560028076172</v>
      </c>
      <c r="EL31">
        <v>27.084503173828125</v>
      </c>
      <c r="EM31">
        <v>26.391214370727539</v>
      </c>
      <c r="EN31">
        <v>0.61669820547103882</v>
      </c>
      <c r="EO31">
        <v>-0.44331204891204834</v>
      </c>
      <c r="EP31">
        <v>-0.45888346433639526</v>
      </c>
      <c r="EQ31">
        <v>1.5877988189458847E-2</v>
      </c>
      <c r="ER31">
        <v>1.3080660104751587</v>
      </c>
      <c r="ES31">
        <v>2.4202620983123779</v>
      </c>
      <c r="ET31">
        <v>73.657333374023437</v>
      </c>
      <c r="EU31">
        <v>72.072380065917969</v>
      </c>
      <c r="EV31">
        <v>70.953277587890625</v>
      </c>
      <c r="EW31">
        <v>69.597572326660156</v>
      </c>
      <c r="EX31">
        <v>69.321891784667969</v>
      </c>
      <c r="EY31">
        <v>70.199951171875</v>
      </c>
      <c r="EZ31">
        <v>74.318992614746094</v>
      </c>
      <c r="FA31">
        <v>81.388282775878906</v>
      </c>
      <c r="FB31">
        <v>88.135551452636719</v>
      </c>
      <c r="FC31">
        <v>92.448005676269531</v>
      </c>
      <c r="FD31">
        <v>94.870079040527344</v>
      </c>
      <c r="FE31">
        <v>96.346893310546875</v>
      </c>
      <c r="FF31">
        <v>97.427421569824219</v>
      </c>
      <c r="FG31">
        <v>97.422477722167969</v>
      </c>
      <c r="FH31">
        <v>97.450637817382813</v>
      </c>
      <c r="FI31">
        <v>96.8052978515625</v>
      </c>
      <c r="FJ31">
        <v>95.545219421386719</v>
      </c>
      <c r="FK31">
        <v>93.432052612304688</v>
      </c>
      <c r="FL31">
        <v>89.651092529296875</v>
      </c>
      <c r="FM31">
        <v>86.325439453125</v>
      </c>
      <c r="FN31">
        <v>83.604232788085938</v>
      </c>
      <c r="FO31">
        <v>81.24920654296875</v>
      </c>
      <c r="FP31">
        <v>79.116546630859375</v>
      </c>
      <c r="FQ31">
        <v>76.561325073242188</v>
      </c>
      <c r="FR31">
        <v>557</v>
      </c>
      <c r="FS31">
        <v>0.10867489874362946</v>
      </c>
      <c r="FT31">
        <v>1</v>
      </c>
    </row>
    <row r="32" spans="1:176" x14ac:dyDescent="0.2">
      <c r="A32" t="s">
        <v>227</v>
      </c>
      <c r="B32" t="s">
        <v>225</v>
      </c>
      <c r="C32" t="s">
        <v>236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</row>
    <row r="33" spans="1:176" x14ac:dyDescent="0.2">
      <c r="A33" t="s">
        <v>227</v>
      </c>
      <c r="B33" t="s">
        <v>225</v>
      </c>
      <c r="C33" t="s">
        <v>237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</row>
    <row r="34" spans="1:176" x14ac:dyDescent="0.2">
      <c r="A34" t="s">
        <v>227</v>
      </c>
      <c r="B34" t="s">
        <v>225</v>
      </c>
      <c r="C34" t="s">
        <v>238</v>
      </c>
      <c r="D34">
        <v>583</v>
      </c>
      <c r="E34">
        <v>583</v>
      </c>
      <c r="F34">
        <v>102.98160552978516</v>
      </c>
      <c r="G34">
        <v>101.15871429443359</v>
      </c>
      <c r="H34">
        <v>99.54266357421875</v>
      </c>
      <c r="I34">
        <v>100.68457794189453</v>
      </c>
      <c r="J34">
        <v>103.80097961425781</v>
      </c>
      <c r="K34">
        <v>108.37931060791016</v>
      </c>
      <c r="L34">
        <v>113.93631744384766</v>
      </c>
      <c r="M34">
        <v>120.38421630859375</v>
      </c>
      <c r="N34">
        <v>129.65110778808594</v>
      </c>
      <c r="O34">
        <v>136.20625305175781</v>
      </c>
      <c r="P34">
        <v>142.50282287597656</v>
      </c>
      <c r="Q34">
        <v>143.32583618164062</v>
      </c>
      <c r="R34">
        <v>144.47808837890625</v>
      </c>
      <c r="S34">
        <v>147.51446533203125</v>
      </c>
      <c r="T34">
        <v>148.27815246582031</v>
      </c>
      <c r="U34">
        <v>152.19223022460937</v>
      </c>
      <c r="V34">
        <v>154.66941833496094</v>
      </c>
      <c r="W34">
        <v>156.21527099609375</v>
      </c>
      <c r="X34">
        <v>157.38011169433594</v>
      </c>
      <c r="Y34">
        <v>154.91928100585937</v>
      </c>
      <c r="Z34">
        <v>151.53073120117187</v>
      </c>
      <c r="AA34">
        <v>137.26959228515625</v>
      </c>
      <c r="AB34">
        <v>120.22135162353516</v>
      </c>
      <c r="AC34">
        <v>108.56194305419922</v>
      </c>
      <c r="AD34">
        <v>-0.27859124541282654</v>
      </c>
      <c r="AE34">
        <v>-0.79519456624984741</v>
      </c>
      <c r="AF34">
        <v>-0.89930766820907593</v>
      </c>
      <c r="AG34">
        <v>-0.64881885051727295</v>
      </c>
      <c r="AH34">
        <v>-1.8933448791503906</v>
      </c>
      <c r="AI34">
        <v>-1.0141030550003052</v>
      </c>
      <c r="AJ34">
        <v>-2.0061964988708496</v>
      </c>
      <c r="AK34">
        <v>-6.0765142440795898</v>
      </c>
      <c r="AL34">
        <v>-7.8551235198974609</v>
      </c>
      <c r="AM34">
        <v>-6.6860923767089844</v>
      </c>
      <c r="AN34">
        <v>-5.0509519577026367</v>
      </c>
      <c r="AO34">
        <v>-2.3470795154571533</v>
      </c>
      <c r="AP34">
        <v>1.2475966215133667</v>
      </c>
      <c r="AQ34">
        <v>30.526247024536133</v>
      </c>
      <c r="AR34">
        <v>28.032333374023438</v>
      </c>
      <c r="AS34">
        <v>2.3789963722229004</v>
      </c>
      <c r="AT34">
        <v>-3.434941291809082</v>
      </c>
      <c r="AU34">
        <v>-1.5133718252182007</v>
      </c>
      <c r="AV34">
        <v>-0.57648217678070068</v>
      </c>
      <c r="AW34">
        <v>-1.6057085990905762</v>
      </c>
      <c r="AX34">
        <v>-3.2126834392547607</v>
      </c>
      <c r="AY34">
        <v>-2.562786340713501</v>
      </c>
      <c r="AZ34">
        <v>-2.5922739505767822</v>
      </c>
      <c r="BA34">
        <v>-2.0750117301940918</v>
      </c>
      <c r="BB34">
        <v>0.97615379095077515</v>
      </c>
      <c r="BC34">
        <v>0.43671229481697083</v>
      </c>
      <c r="BD34">
        <v>0.32239103317260742</v>
      </c>
      <c r="BE34">
        <v>0.56301039457321167</v>
      </c>
      <c r="BF34">
        <v>-0.68534660339355469</v>
      </c>
      <c r="BG34">
        <v>0.18864934146404266</v>
      </c>
      <c r="BH34">
        <v>-0.78079384565353394</v>
      </c>
      <c r="BI34">
        <v>-4.7625231742858887</v>
      </c>
      <c r="BJ34">
        <v>-6.4631919860839844</v>
      </c>
      <c r="BK34">
        <v>-5.2141213417053223</v>
      </c>
      <c r="BL34">
        <v>-3.5357456207275391</v>
      </c>
      <c r="BM34">
        <v>-0.82255429029464722</v>
      </c>
      <c r="BN34">
        <v>2.8037340641021729</v>
      </c>
      <c r="BO34">
        <v>32.099067687988281</v>
      </c>
      <c r="BP34">
        <v>29.658834457397461</v>
      </c>
      <c r="BQ34">
        <v>4.0562648773193359</v>
      </c>
      <c r="BR34">
        <v>-1.7658872604370117</v>
      </c>
      <c r="BS34">
        <v>0.12518416345119476</v>
      </c>
      <c r="BT34">
        <v>1.017125129699707</v>
      </c>
      <c r="BU34">
        <v>-8.3751454949378967E-2</v>
      </c>
      <c r="BV34">
        <v>-1.7247815132141113</v>
      </c>
      <c r="BW34">
        <v>-1.0520005226135254</v>
      </c>
      <c r="BX34">
        <v>-1.1192125082015991</v>
      </c>
      <c r="BY34">
        <v>-0.62959891557693481</v>
      </c>
      <c r="BZ34">
        <v>1.8451863527297974</v>
      </c>
      <c r="CA34">
        <v>1.2899272441864014</v>
      </c>
      <c r="CB34">
        <v>1.1685358285903931</v>
      </c>
      <c r="CC34">
        <v>1.4023196697235107</v>
      </c>
      <c r="CD34">
        <v>0.15130937099456787</v>
      </c>
      <c r="CE34">
        <v>1.0216720104217529</v>
      </c>
      <c r="CF34">
        <v>6.7916274070739746E-2</v>
      </c>
      <c r="CG34">
        <v>-3.8524570465087891</v>
      </c>
      <c r="CH34">
        <v>-5.4991440773010254</v>
      </c>
      <c r="CI34">
        <v>-4.194638729095459</v>
      </c>
      <c r="CJ34">
        <v>-2.4863181114196777</v>
      </c>
      <c r="CK34">
        <v>0.2333272248506546</v>
      </c>
      <c r="CL34">
        <v>3.8815100193023682</v>
      </c>
      <c r="CM34">
        <v>33.188396453857422</v>
      </c>
      <c r="CN34">
        <v>30.785345077514648</v>
      </c>
      <c r="CO34">
        <v>5.2179360389709473</v>
      </c>
      <c r="CP34">
        <v>-0.60990548133850098</v>
      </c>
      <c r="CQ34">
        <v>1.2600430250167847</v>
      </c>
      <c r="CR34">
        <v>2.1208527088165283</v>
      </c>
      <c r="CS34">
        <v>0.9703514575958252</v>
      </c>
      <c r="CT34">
        <v>-0.69426512718200684</v>
      </c>
      <c r="CU34">
        <v>-5.6349351070821285E-3</v>
      </c>
      <c r="CV34">
        <v>-9.8974697291851044E-2</v>
      </c>
      <c r="CW34">
        <v>0.37148970365524292</v>
      </c>
      <c r="CX34">
        <v>2.7142188549041748</v>
      </c>
      <c r="CY34">
        <v>2.1431422233581543</v>
      </c>
      <c r="CZ34">
        <v>2.0146806240081787</v>
      </c>
      <c r="DA34">
        <v>2.241628885269165</v>
      </c>
      <c r="DB34">
        <v>0.98796534538269043</v>
      </c>
      <c r="DC34">
        <v>1.8546947240829468</v>
      </c>
      <c r="DD34">
        <v>0.91662639379501343</v>
      </c>
      <c r="DE34">
        <v>-2.9423909187316895</v>
      </c>
      <c r="DF34">
        <v>-4.5350961685180664</v>
      </c>
      <c r="DG34">
        <v>-3.1751561164855957</v>
      </c>
      <c r="DH34">
        <v>-1.436890721321106</v>
      </c>
      <c r="DI34">
        <v>1.2892087697982788</v>
      </c>
      <c r="DJ34">
        <v>4.9592862129211426</v>
      </c>
      <c r="DK34">
        <v>34.277725219726563</v>
      </c>
      <c r="DL34">
        <v>31.911855697631836</v>
      </c>
      <c r="DM34">
        <v>6.3796072006225586</v>
      </c>
      <c r="DN34">
        <v>0.54607629776000977</v>
      </c>
      <c r="DO34">
        <v>2.3949019908905029</v>
      </c>
      <c r="DP34">
        <v>3.2245802879333496</v>
      </c>
      <c r="DQ34">
        <v>2.0244543552398682</v>
      </c>
      <c r="DR34">
        <v>0.33625122904777527</v>
      </c>
      <c r="DS34">
        <v>1.0407307147979736</v>
      </c>
      <c r="DT34">
        <v>0.92126315832138062</v>
      </c>
      <c r="DU34">
        <v>1.3725782632827759</v>
      </c>
      <c r="DV34">
        <v>3.9689638614654541</v>
      </c>
      <c r="DW34">
        <v>3.3750491142272949</v>
      </c>
      <c r="DX34">
        <v>3.2363793849945068</v>
      </c>
      <c r="DY34">
        <v>3.453458309173584</v>
      </c>
      <c r="DZ34">
        <v>2.1959636211395264</v>
      </c>
      <c r="EA34">
        <v>3.0574471950531006</v>
      </c>
      <c r="EB34">
        <v>2.1420290470123291</v>
      </c>
      <c r="EC34">
        <v>-1.6283998489379883</v>
      </c>
      <c r="ED34">
        <v>-3.1431643962860107</v>
      </c>
      <c r="EE34">
        <v>-1.7031853199005127</v>
      </c>
      <c r="EF34">
        <v>7.8315801918506622E-2</v>
      </c>
      <c r="EG34">
        <v>2.8137340545654297</v>
      </c>
      <c r="EH34">
        <v>6.5154232978820801</v>
      </c>
      <c r="EI34">
        <v>35.850547790527344</v>
      </c>
      <c r="EJ34">
        <v>33.538356781005859</v>
      </c>
      <c r="EK34">
        <v>8.0568761825561523</v>
      </c>
      <c r="EL34">
        <v>2.2151303291320801</v>
      </c>
      <c r="EM34">
        <v>4.0334577560424805</v>
      </c>
      <c r="EN34">
        <v>4.8181877136230469</v>
      </c>
      <c r="EO34">
        <v>3.5464115142822266</v>
      </c>
      <c r="EP34">
        <v>1.8241531848907471</v>
      </c>
      <c r="EQ34">
        <v>2.5515165328979492</v>
      </c>
      <c r="ER34">
        <v>2.3943245410919189</v>
      </c>
      <c r="ES34">
        <v>2.8179912567138672</v>
      </c>
      <c r="ET34">
        <v>67.691291809082031</v>
      </c>
      <c r="EU34">
        <v>67.362556457519531</v>
      </c>
      <c r="EV34">
        <v>66.770774841308594</v>
      </c>
      <c r="EW34">
        <v>66.099586486816406</v>
      </c>
      <c r="EX34">
        <v>65.761749267578125</v>
      </c>
      <c r="EY34">
        <v>65.696128845214844</v>
      </c>
      <c r="EZ34">
        <v>66.702110290527344</v>
      </c>
      <c r="FA34">
        <v>68.355392456054687</v>
      </c>
      <c r="FB34">
        <v>70.260574340820313</v>
      </c>
      <c r="FC34">
        <v>72.931045532226563</v>
      </c>
      <c r="FD34">
        <v>75.804817199707031</v>
      </c>
      <c r="FE34">
        <v>78.451492309570313</v>
      </c>
      <c r="FF34">
        <v>80.814292907714844</v>
      </c>
      <c r="FG34">
        <v>81.663902282714844</v>
      </c>
      <c r="FH34">
        <v>81.983604431152344</v>
      </c>
      <c r="FI34">
        <v>82.228202819824219</v>
      </c>
      <c r="FJ34">
        <v>81.103118896484375</v>
      </c>
      <c r="FK34">
        <v>78.6075439453125</v>
      </c>
      <c r="FL34">
        <v>75.400108337402344</v>
      </c>
      <c r="FM34">
        <v>72.128273010253906</v>
      </c>
      <c r="FN34">
        <v>70.273605346679688</v>
      </c>
      <c r="FO34">
        <v>69.237602233886719</v>
      </c>
      <c r="FP34">
        <v>68.841773986816406</v>
      </c>
      <c r="FQ34">
        <v>68.318260192871094</v>
      </c>
      <c r="FR34">
        <v>583</v>
      </c>
      <c r="FS34">
        <v>9.5226339995861053E-2</v>
      </c>
      <c r="FT34">
        <v>1</v>
      </c>
    </row>
    <row r="35" spans="1:176" x14ac:dyDescent="0.2">
      <c r="A35" t="s">
        <v>227</v>
      </c>
      <c r="B35" t="s">
        <v>225</v>
      </c>
      <c r="C35" t="s">
        <v>239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0</v>
      </c>
      <c r="FT35">
        <v>0</v>
      </c>
    </row>
    <row r="36" spans="1:176" x14ac:dyDescent="0.2">
      <c r="A36" t="s">
        <v>227</v>
      </c>
      <c r="B36" t="s">
        <v>225</v>
      </c>
      <c r="C36" t="s">
        <v>240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</row>
    <row r="37" spans="1:176" x14ac:dyDescent="0.2">
      <c r="A37" t="s">
        <v>227</v>
      </c>
      <c r="B37" t="s">
        <v>225</v>
      </c>
      <c r="C37" t="s">
        <v>241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0</v>
      </c>
      <c r="FR37">
        <v>0</v>
      </c>
      <c r="FS37">
        <v>0</v>
      </c>
      <c r="FT37">
        <v>0</v>
      </c>
    </row>
    <row r="38" spans="1:176" x14ac:dyDescent="0.2">
      <c r="A38" t="s">
        <v>227</v>
      </c>
      <c r="B38" t="s">
        <v>225</v>
      </c>
      <c r="C38" t="s">
        <v>242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0</v>
      </c>
      <c r="FQ38">
        <v>0</v>
      </c>
      <c r="FR38">
        <v>0</v>
      </c>
      <c r="FS38">
        <v>0</v>
      </c>
      <c r="FT38">
        <v>0</v>
      </c>
    </row>
    <row r="39" spans="1:176" x14ac:dyDescent="0.2">
      <c r="A39" t="s">
        <v>227</v>
      </c>
      <c r="B39" t="s">
        <v>225</v>
      </c>
      <c r="C39" t="s">
        <v>243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</row>
    <row r="40" spans="1:176" x14ac:dyDescent="0.2">
      <c r="A40" t="s">
        <v>227</v>
      </c>
      <c r="B40" t="s">
        <v>225</v>
      </c>
      <c r="C40" t="s">
        <v>2</v>
      </c>
      <c r="D40">
        <v>557</v>
      </c>
      <c r="E40">
        <v>557</v>
      </c>
      <c r="F40">
        <v>86.9993896484375</v>
      </c>
      <c r="G40">
        <v>83.292411804199219</v>
      </c>
      <c r="H40">
        <v>80.457534790039063</v>
      </c>
      <c r="I40">
        <v>81.44683837890625</v>
      </c>
      <c r="J40">
        <v>84.906784057617188</v>
      </c>
      <c r="K40">
        <v>88.81182861328125</v>
      </c>
      <c r="L40">
        <v>94.792091369628906</v>
      </c>
      <c r="M40">
        <v>101.77717590332031</v>
      </c>
      <c r="N40">
        <v>112.95766448974609</v>
      </c>
      <c r="O40">
        <v>119.36118316650391</v>
      </c>
      <c r="P40">
        <v>128.73930358886719</v>
      </c>
      <c r="Q40">
        <v>131.62060546875</v>
      </c>
      <c r="R40">
        <v>133.76744079589844</v>
      </c>
      <c r="S40">
        <v>136.66650390625</v>
      </c>
      <c r="T40">
        <v>138.76470947265625</v>
      </c>
      <c r="U40">
        <v>137.68890380859375</v>
      </c>
      <c r="V40">
        <v>140.69160461425781</v>
      </c>
      <c r="W40">
        <v>143.26876831054687</v>
      </c>
      <c r="X40">
        <v>144.60963439941406</v>
      </c>
      <c r="Y40">
        <v>149.55747985839844</v>
      </c>
      <c r="Z40">
        <v>144.53936767578125</v>
      </c>
      <c r="AA40">
        <v>128.04707336425781</v>
      </c>
      <c r="AB40">
        <v>109.54787445068359</v>
      </c>
      <c r="AC40">
        <v>96.304130554199219</v>
      </c>
      <c r="AD40">
        <v>-2.5681374073028564</v>
      </c>
      <c r="AE40">
        <v>-4.3511185646057129</v>
      </c>
      <c r="AF40">
        <v>-4.8489551544189453</v>
      </c>
      <c r="AG40">
        <v>-4.2564182281494141</v>
      </c>
      <c r="AH40">
        <v>-3.6343698501586914</v>
      </c>
      <c r="AI40">
        <v>-3.8699841499328613</v>
      </c>
      <c r="AJ40">
        <v>-1.4981942176818848</v>
      </c>
      <c r="AK40">
        <v>-1.0979962348937988</v>
      </c>
      <c r="AL40">
        <v>0.77995908260345459</v>
      </c>
      <c r="AM40">
        <v>-1.6623542308807373</v>
      </c>
      <c r="AN40">
        <v>-2.6877012252807617</v>
      </c>
      <c r="AO40">
        <v>-3.6651787757873535</v>
      </c>
      <c r="AP40">
        <v>-4.0113000869750977</v>
      </c>
      <c r="AQ40">
        <v>2.8297200202941895</v>
      </c>
      <c r="AR40">
        <v>33.266654968261719</v>
      </c>
      <c r="AS40">
        <v>26.572542190551758</v>
      </c>
      <c r="AT40">
        <v>26.211057662963867</v>
      </c>
      <c r="AU40">
        <v>25.392553329467773</v>
      </c>
      <c r="AV40">
        <v>-1.1284396648406982</v>
      </c>
      <c r="AW40">
        <v>-0.98001748323440552</v>
      </c>
      <c r="AX40">
        <v>-2.9665107727050781</v>
      </c>
      <c r="AY40">
        <v>-3.7347884178161621</v>
      </c>
      <c r="AZ40">
        <v>-4.1286215782165527</v>
      </c>
      <c r="BA40">
        <v>-4.6578292846679687</v>
      </c>
      <c r="BB40">
        <v>-1.1065540313720703</v>
      </c>
      <c r="BC40">
        <v>-2.8963503837585449</v>
      </c>
      <c r="BD40">
        <v>-3.451744556427002</v>
      </c>
      <c r="BE40">
        <v>-2.9269123077392578</v>
      </c>
      <c r="BF40">
        <v>-2.3059098720550537</v>
      </c>
      <c r="BG40">
        <v>-2.5019834041595459</v>
      </c>
      <c r="BH40">
        <v>-6.9637127220630646E-2</v>
      </c>
      <c r="BI40">
        <v>0.41142752766609192</v>
      </c>
      <c r="BJ40">
        <v>2.3600797653198242</v>
      </c>
      <c r="BK40">
        <v>-1.9655941054224968E-2</v>
      </c>
      <c r="BL40">
        <v>-1.0318841934204102</v>
      </c>
      <c r="BM40">
        <v>-2.0017435550689697</v>
      </c>
      <c r="BN40">
        <v>-2.2992815971374512</v>
      </c>
      <c r="BO40">
        <v>4.5623111724853516</v>
      </c>
      <c r="BP40">
        <v>35.015132904052734</v>
      </c>
      <c r="BQ40">
        <v>28.380029678344727</v>
      </c>
      <c r="BR40">
        <v>28.012289047241211</v>
      </c>
      <c r="BS40">
        <v>27.158058166503906</v>
      </c>
      <c r="BT40">
        <v>0.58107161521911621</v>
      </c>
      <c r="BU40">
        <v>0.69175678491592407</v>
      </c>
      <c r="BV40">
        <v>-1.2966150045394897</v>
      </c>
      <c r="BW40">
        <v>-2.0357458591461182</v>
      </c>
      <c r="BX40">
        <v>-2.48232102394104</v>
      </c>
      <c r="BY40">
        <v>-3.02659010887146</v>
      </c>
      <c r="BZ40">
        <v>-9.4265833497047424E-2</v>
      </c>
      <c r="CA40">
        <v>-1.888782262802124</v>
      </c>
      <c r="CB40">
        <v>-2.4840407371520996</v>
      </c>
      <c r="CC40">
        <v>-2.0061006546020508</v>
      </c>
      <c r="CD40">
        <v>-1.3858222961425781</v>
      </c>
      <c r="CE40">
        <v>-1.5545101165771484</v>
      </c>
      <c r="CF40">
        <v>0.91977715492248535</v>
      </c>
      <c r="CG40">
        <v>1.4568498134613037</v>
      </c>
      <c r="CH40">
        <v>3.4544663429260254</v>
      </c>
      <c r="CI40">
        <v>1.1180719137191772</v>
      </c>
      <c r="CJ40">
        <v>0.11492962390184402</v>
      </c>
      <c r="CK40">
        <v>-0.84965342283248901</v>
      </c>
      <c r="CL40">
        <v>-1.113542914390564</v>
      </c>
      <c r="CM40">
        <v>5.762298583984375</v>
      </c>
      <c r="CN40">
        <v>36.226123809814453</v>
      </c>
      <c r="CO40">
        <v>29.631889343261719</v>
      </c>
      <c r="CP40">
        <v>29.259817123413086</v>
      </c>
      <c r="CQ40">
        <v>28.380842208862305</v>
      </c>
      <c r="CR40">
        <v>1.7650738954544067</v>
      </c>
      <c r="CS40">
        <v>1.8496226072311401</v>
      </c>
      <c r="CT40">
        <v>-0.1400502622127533</v>
      </c>
      <c r="CU40">
        <v>-0.85899412631988525</v>
      </c>
      <c r="CV40">
        <v>-1.3420983552932739</v>
      </c>
      <c r="CW40">
        <v>-1.8967989683151245</v>
      </c>
      <c r="CX40">
        <v>0.91802233457565308</v>
      </c>
      <c r="CY40">
        <v>-0.8812142014503479</v>
      </c>
      <c r="CZ40">
        <v>-1.5163370370864868</v>
      </c>
      <c r="DA40">
        <v>-1.0852890014648437</v>
      </c>
      <c r="DB40">
        <v>-0.4657348096370697</v>
      </c>
      <c r="DC40">
        <v>-0.60703688859939575</v>
      </c>
      <c r="DD40">
        <v>1.9091914892196655</v>
      </c>
      <c r="DE40">
        <v>2.5022721290588379</v>
      </c>
      <c r="DF40">
        <v>4.5488529205322266</v>
      </c>
      <c r="DG40">
        <v>2.2557997703552246</v>
      </c>
      <c r="DH40">
        <v>1.261743426322937</v>
      </c>
      <c r="DI40">
        <v>0.30243676900863647</v>
      </c>
      <c r="DJ40">
        <v>7.2195865213871002E-2</v>
      </c>
      <c r="DK40">
        <v>6.9622859954833984</v>
      </c>
      <c r="DL40">
        <v>37.437114715576172</v>
      </c>
      <c r="DM40">
        <v>30.883749008178711</v>
      </c>
      <c r="DN40">
        <v>30.507345199584961</v>
      </c>
      <c r="DO40">
        <v>29.603626251220703</v>
      </c>
      <c r="DP40">
        <v>2.9490761756896973</v>
      </c>
      <c r="DQ40">
        <v>3.007488489151001</v>
      </c>
      <c r="DR40">
        <v>1.0165145397186279</v>
      </c>
      <c r="DS40">
        <v>0.31775760650634766</v>
      </c>
      <c r="DT40">
        <v>-0.2018757164478302</v>
      </c>
      <c r="DU40">
        <v>-0.76700782775878906</v>
      </c>
      <c r="DV40">
        <v>2.379605770111084</v>
      </c>
      <c r="DW40">
        <v>0.57355403900146484</v>
      </c>
      <c r="DX40">
        <v>-0.11912646889686584</v>
      </c>
      <c r="DY40">
        <v>0.24421671032905579</v>
      </c>
      <c r="DZ40">
        <v>0.86272537708282471</v>
      </c>
      <c r="EA40">
        <v>0.76096397638320923</v>
      </c>
      <c r="EB40">
        <v>3.3377485275268555</v>
      </c>
      <c r="EC40">
        <v>4.0116958618164062</v>
      </c>
      <c r="ED40">
        <v>6.1289734840393066</v>
      </c>
      <c r="EE40">
        <v>3.8984980583190918</v>
      </c>
      <c r="EF40">
        <v>2.917560338973999</v>
      </c>
      <c r="EG40">
        <v>1.965872049331665</v>
      </c>
      <c r="EH40">
        <v>1.7842143774032593</v>
      </c>
      <c r="EI40">
        <v>8.6948766708374023</v>
      </c>
      <c r="EJ40">
        <v>39.185592651367188</v>
      </c>
      <c r="EK40">
        <v>32.691238403320313</v>
      </c>
      <c r="EL40">
        <v>32.308574676513672</v>
      </c>
      <c r="EM40">
        <v>31.369131088256836</v>
      </c>
      <c r="EN40">
        <v>4.6585874557495117</v>
      </c>
      <c r="EO40">
        <v>4.679262638092041</v>
      </c>
      <c r="EP40">
        <v>2.6864104270935059</v>
      </c>
      <c r="EQ40">
        <v>2.0168001651763916</v>
      </c>
      <c r="ER40">
        <v>1.4444246292114258</v>
      </c>
      <c r="ES40">
        <v>0.8642311692237854</v>
      </c>
      <c r="ET40">
        <v>75.076736450195313</v>
      </c>
      <c r="EU40">
        <v>73.143867492675781</v>
      </c>
      <c r="EV40">
        <v>71.462974548339844</v>
      </c>
      <c r="EW40">
        <v>71.310760498046875</v>
      </c>
      <c r="EX40">
        <v>71.57855224609375</v>
      </c>
      <c r="EY40">
        <v>72.923355102539063</v>
      </c>
      <c r="EZ40">
        <v>76.904335021972656</v>
      </c>
      <c r="FA40">
        <v>81.50372314453125</v>
      </c>
      <c r="FB40">
        <v>85.514335632324219</v>
      </c>
      <c r="FC40">
        <v>88.825904846191406</v>
      </c>
      <c r="FD40">
        <v>91.452110290527344</v>
      </c>
      <c r="FE40">
        <v>92.955650329589844</v>
      </c>
      <c r="FF40">
        <v>94.661247253417969</v>
      </c>
      <c r="FG40">
        <v>95.516456604003906</v>
      </c>
      <c r="FH40">
        <v>96.462593078613281</v>
      </c>
      <c r="FI40">
        <v>95.693588256835938</v>
      </c>
      <c r="FJ40">
        <v>93.415122985839844</v>
      </c>
      <c r="FK40">
        <v>91.815719604492188</v>
      </c>
      <c r="FL40">
        <v>88.876510620117188</v>
      </c>
      <c r="FM40">
        <v>84.614128112792969</v>
      </c>
      <c r="FN40">
        <v>81.482337951660156</v>
      </c>
      <c r="FO40">
        <v>78.532341003417969</v>
      </c>
      <c r="FP40">
        <v>76.702301025390625</v>
      </c>
      <c r="FQ40">
        <v>75.483779907226563</v>
      </c>
      <c r="FR40">
        <v>185.66666666666666</v>
      </c>
      <c r="FS40">
        <v>3.7211257964372635E-2</v>
      </c>
      <c r="FT40">
        <v>1</v>
      </c>
    </row>
    <row r="41" spans="1:176" x14ac:dyDescent="0.2">
      <c r="A41" t="s">
        <v>227</v>
      </c>
      <c r="B41" t="s">
        <v>226</v>
      </c>
      <c r="C41" t="s">
        <v>244</v>
      </c>
      <c r="D41">
        <v>612</v>
      </c>
      <c r="E41">
        <v>612</v>
      </c>
      <c r="F41">
        <v>133.25308227539062</v>
      </c>
      <c r="G41">
        <v>130.65365600585937</v>
      </c>
      <c r="H41">
        <v>128.96858215332031</v>
      </c>
      <c r="I41">
        <v>128.14631652832031</v>
      </c>
      <c r="J41">
        <v>131.83779907226562</v>
      </c>
      <c r="K41">
        <v>139.01780700683594</v>
      </c>
      <c r="L41">
        <v>152.71769714355469</v>
      </c>
      <c r="M41">
        <v>156.96437072753906</v>
      </c>
      <c r="N41">
        <v>161.00961303710937</v>
      </c>
      <c r="O41">
        <v>160.80802917480469</v>
      </c>
      <c r="P41">
        <v>162.58128356933594</v>
      </c>
      <c r="Q41">
        <v>163.97137451171875</v>
      </c>
      <c r="R41">
        <v>164.182373046875</v>
      </c>
      <c r="S41">
        <v>164.43000793457031</v>
      </c>
      <c r="T41">
        <v>163.91233825683594</v>
      </c>
      <c r="U41">
        <v>161.75215148925781</v>
      </c>
      <c r="V41">
        <v>159.89784240722656</v>
      </c>
      <c r="W41">
        <v>159.72505187988281</v>
      </c>
      <c r="X41">
        <v>155.43557739257812</v>
      </c>
      <c r="Y41">
        <v>154.082275390625</v>
      </c>
      <c r="Z41">
        <v>152.29582214355469</v>
      </c>
      <c r="AA41">
        <v>148.7293701171875</v>
      </c>
      <c r="AB41">
        <v>144.36520385742187</v>
      </c>
      <c r="AC41">
        <v>137.31297302246094</v>
      </c>
      <c r="AD41">
        <v>-1.7860283851623535</v>
      </c>
      <c r="AE41">
        <v>-2.1426074504852295</v>
      </c>
      <c r="AF41">
        <v>-2.6308834552764893</v>
      </c>
      <c r="AG41">
        <v>-1.6668581962585449</v>
      </c>
      <c r="AH41">
        <v>-2.2179121971130371</v>
      </c>
      <c r="AI41">
        <v>-2.2393598556518555</v>
      </c>
      <c r="AJ41">
        <v>-2.4819748401641846</v>
      </c>
      <c r="AK41">
        <v>-1.757630467414856</v>
      </c>
      <c r="AL41">
        <v>-0.75136125087738037</v>
      </c>
      <c r="AM41">
        <v>-4.1202363967895508</v>
      </c>
      <c r="AN41">
        <v>-2.4364337921142578</v>
      </c>
      <c r="AO41">
        <v>38.525371551513672</v>
      </c>
      <c r="AP41">
        <v>40.07745361328125</v>
      </c>
      <c r="AQ41">
        <v>41.697784423828125</v>
      </c>
      <c r="AR41">
        <v>41.405132293701172</v>
      </c>
      <c r="AS41">
        <v>40.339717864990234</v>
      </c>
      <c r="AT41">
        <v>40.121131896972656</v>
      </c>
      <c r="AU41">
        <v>38.177978515625</v>
      </c>
      <c r="AV41">
        <v>35.575263977050781</v>
      </c>
      <c r="AW41">
        <v>10.541504859924316</v>
      </c>
      <c r="AX41">
        <v>0.20312188565731049</v>
      </c>
      <c r="AY41">
        <v>-1.8799965381622314</v>
      </c>
      <c r="AZ41">
        <v>-3.6846692562103271</v>
      </c>
      <c r="BA41">
        <v>-3.5893795490264893</v>
      </c>
      <c r="BB41">
        <v>-0.37082135677337646</v>
      </c>
      <c r="BC41">
        <v>-0.76342129707336426</v>
      </c>
      <c r="BD41">
        <v>-1.2706583738327026</v>
      </c>
      <c r="BE41">
        <v>-0.31069201231002808</v>
      </c>
      <c r="BF41">
        <v>-0.8310469388961792</v>
      </c>
      <c r="BG41">
        <v>-0.8193783164024353</v>
      </c>
      <c r="BH41">
        <v>-1.0073271989822388</v>
      </c>
      <c r="BI41">
        <v>-0.25048163533210754</v>
      </c>
      <c r="BJ41">
        <v>0.82875388860702515</v>
      </c>
      <c r="BK41">
        <v>-2.4686949253082275</v>
      </c>
      <c r="BL41">
        <v>-0.76408517360687256</v>
      </c>
      <c r="BM41">
        <v>40.270050048828125</v>
      </c>
      <c r="BN41">
        <v>41.920578002929687</v>
      </c>
      <c r="BO41">
        <v>43.738601684570313</v>
      </c>
      <c r="BP41">
        <v>43.655109405517578</v>
      </c>
      <c r="BQ41">
        <v>42.537090301513672</v>
      </c>
      <c r="BR41">
        <v>42.284225463867188</v>
      </c>
      <c r="BS41">
        <v>40.288997650146484</v>
      </c>
      <c r="BT41">
        <v>37.497722625732422</v>
      </c>
      <c r="BU41">
        <v>12.333067893981934</v>
      </c>
      <c r="BV41">
        <v>1.9775277376174927</v>
      </c>
      <c r="BW41">
        <v>-0.15145431458950043</v>
      </c>
      <c r="BX41">
        <v>-1.9532452821731567</v>
      </c>
      <c r="BY41">
        <v>-1.8781177997589111</v>
      </c>
      <c r="BZ41">
        <v>0.60934668779373169</v>
      </c>
      <c r="CA41">
        <v>0.19179892539978027</v>
      </c>
      <c r="CB41">
        <v>-0.32857063412666321</v>
      </c>
      <c r="CC41">
        <v>0.62858456373214722</v>
      </c>
      <c r="CD41">
        <v>0.12949173152446747</v>
      </c>
      <c r="CE41">
        <v>0.16409660875797272</v>
      </c>
      <c r="CF41">
        <v>1.4009288512170315E-2</v>
      </c>
      <c r="CG41">
        <v>0.7933650016784668</v>
      </c>
      <c r="CH41">
        <v>1.923136830329895</v>
      </c>
      <c r="CI41">
        <v>-1.3248425722122192</v>
      </c>
      <c r="CJ41">
        <v>0.3941783607006073</v>
      </c>
      <c r="CK41">
        <v>41.478408813476562</v>
      </c>
      <c r="CL41">
        <v>43.197120666503906</v>
      </c>
      <c r="CM41">
        <v>45.152065277099609</v>
      </c>
      <c r="CN41">
        <v>45.213436126708984</v>
      </c>
      <c r="CO41">
        <v>44.058986663818359</v>
      </c>
      <c r="CP41">
        <v>43.782379150390625</v>
      </c>
      <c r="CQ41">
        <v>41.751083374023438</v>
      </c>
      <c r="CR41">
        <v>38.829208374023438</v>
      </c>
      <c r="CS41">
        <v>13.573899269104004</v>
      </c>
      <c r="CT41">
        <v>3.2064757347106934</v>
      </c>
      <c r="CU41">
        <v>1.0457288026809692</v>
      </c>
      <c r="CV41">
        <v>-0.75406622886657715</v>
      </c>
      <c r="CW41">
        <v>-0.69290310144424438</v>
      </c>
      <c r="CX41">
        <v>1.5895147323608398</v>
      </c>
      <c r="CY41">
        <v>1.1470191478729248</v>
      </c>
      <c r="CZ41">
        <v>0.61351710557937622</v>
      </c>
      <c r="DA41">
        <v>1.5678611993789673</v>
      </c>
      <c r="DB41">
        <v>1.0900304317474365</v>
      </c>
      <c r="DC41">
        <v>1.1475715637207031</v>
      </c>
      <c r="DD41">
        <v>1.0353457927703857</v>
      </c>
      <c r="DE41">
        <v>1.8372116088867187</v>
      </c>
      <c r="DF41">
        <v>3.0175197124481201</v>
      </c>
      <c r="DG41">
        <v>-0.18099015951156616</v>
      </c>
      <c r="DH41">
        <v>1.5524418354034424</v>
      </c>
      <c r="DI41">
        <v>42.686767578125</v>
      </c>
      <c r="DJ41">
        <v>44.473663330078125</v>
      </c>
      <c r="DK41">
        <v>46.565528869628906</v>
      </c>
      <c r="DL41">
        <v>46.771762847900391</v>
      </c>
      <c r="DM41">
        <v>45.580883026123047</v>
      </c>
      <c r="DN41">
        <v>45.280532836914063</v>
      </c>
      <c r="DO41">
        <v>43.213169097900391</v>
      </c>
      <c r="DP41">
        <v>40.160694122314453</v>
      </c>
      <c r="DQ41">
        <v>14.814730644226074</v>
      </c>
      <c r="DR41">
        <v>4.4354238510131836</v>
      </c>
      <c r="DS41">
        <v>2.2429118156433105</v>
      </c>
      <c r="DT41">
        <v>0.44511282444000244</v>
      </c>
      <c r="DU41">
        <v>0.49231156706809998</v>
      </c>
      <c r="DV41">
        <v>3.0047216415405273</v>
      </c>
      <c r="DW41">
        <v>2.52620530128479</v>
      </c>
      <c r="DX41">
        <v>1.9737422466278076</v>
      </c>
      <c r="DY41">
        <v>2.9240274429321289</v>
      </c>
      <c r="DZ41">
        <v>2.4768955707550049</v>
      </c>
      <c r="EA41">
        <v>2.5675532817840576</v>
      </c>
      <c r="EB41">
        <v>2.5099935531616211</v>
      </c>
      <c r="EC41">
        <v>3.3443603515625</v>
      </c>
      <c r="ED41">
        <v>4.5976347923278809</v>
      </c>
      <c r="EE41">
        <v>1.4705510139465332</v>
      </c>
      <c r="EF41">
        <v>3.2247903347015381</v>
      </c>
      <c r="EG41">
        <v>44.431446075439453</v>
      </c>
      <c r="EH41">
        <v>46.316787719726563</v>
      </c>
      <c r="EI41">
        <v>48.606346130371094</v>
      </c>
      <c r="EJ41">
        <v>49.021739959716797</v>
      </c>
      <c r="EK41">
        <v>47.778255462646484</v>
      </c>
      <c r="EL41">
        <v>47.443626403808594</v>
      </c>
      <c r="EM41">
        <v>45.324188232421875</v>
      </c>
      <c r="EN41">
        <v>42.083152770996094</v>
      </c>
      <c r="EO41">
        <v>16.606294631958008</v>
      </c>
      <c r="EP41">
        <v>6.2098298072814941</v>
      </c>
      <c r="EQ41">
        <v>3.9714541435241699</v>
      </c>
      <c r="ER41">
        <v>2.1765367984771729</v>
      </c>
      <c r="ES41">
        <v>2.2035732269287109</v>
      </c>
      <c r="ET41">
        <v>49.906665802001953</v>
      </c>
      <c r="EU41">
        <v>49.726840972900391</v>
      </c>
      <c r="EV41">
        <v>49.526073455810547</v>
      </c>
      <c r="EW41">
        <v>49.513198852539062</v>
      </c>
      <c r="EX41">
        <v>49.45098876953125</v>
      </c>
      <c r="EY41">
        <v>49.536136627197266</v>
      </c>
      <c r="EZ41">
        <v>49.648632049560547</v>
      </c>
      <c r="FA41">
        <v>50.131168365478516</v>
      </c>
      <c r="FB41">
        <v>52.023941040039063</v>
      </c>
      <c r="FC41">
        <v>54.082275390625</v>
      </c>
      <c r="FD41">
        <v>55.366962432861328</v>
      </c>
      <c r="FE41">
        <v>56.827472686767578</v>
      </c>
      <c r="FF41">
        <v>56.796028137207031</v>
      </c>
      <c r="FG41">
        <v>55.798423767089844</v>
      </c>
      <c r="FH41">
        <v>54.175399780273437</v>
      </c>
      <c r="FI41">
        <v>53.425697326660156</v>
      </c>
      <c r="FJ41">
        <v>52.59222412109375</v>
      </c>
      <c r="FK41">
        <v>51.440010070800781</v>
      </c>
      <c r="FL41">
        <v>50.529800415039063</v>
      </c>
      <c r="FM41">
        <v>49.802799224853516</v>
      </c>
      <c r="FN41">
        <v>48.872642517089844</v>
      </c>
      <c r="FO41">
        <v>48.798316955566406</v>
      </c>
      <c r="FP41">
        <v>49.123725891113281</v>
      </c>
      <c r="FQ41">
        <v>48.868049621582031</v>
      </c>
      <c r="FR41">
        <v>612</v>
      </c>
      <c r="FS41">
        <v>4.5306902378797531E-2</v>
      </c>
      <c r="FT41">
        <v>1</v>
      </c>
    </row>
    <row r="42" spans="1:176" x14ac:dyDescent="0.2">
      <c r="A42" t="s">
        <v>227</v>
      </c>
      <c r="B42" t="s">
        <v>226</v>
      </c>
      <c r="C42" t="s">
        <v>233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0</v>
      </c>
      <c r="FT42">
        <v>0</v>
      </c>
    </row>
    <row r="43" spans="1:176" x14ac:dyDescent="0.2">
      <c r="A43" t="s">
        <v>227</v>
      </c>
      <c r="B43" t="s">
        <v>226</v>
      </c>
      <c r="C43" t="s">
        <v>234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0</v>
      </c>
      <c r="FL43">
        <v>0</v>
      </c>
      <c r="FM43">
        <v>0</v>
      </c>
      <c r="FN43">
        <v>0</v>
      </c>
      <c r="FO43">
        <v>0</v>
      </c>
      <c r="FP43">
        <v>0</v>
      </c>
      <c r="FQ43">
        <v>0</v>
      </c>
      <c r="FR43">
        <v>0</v>
      </c>
      <c r="FS43">
        <v>0</v>
      </c>
      <c r="FT43">
        <v>0</v>
      </c>
    </row>
    <row r="44" spans="1:176" x14ac:dyDescent="0.2">
      <c r="A44" t="s">
        <v>227</v>
      </c>
      <c r="B44" t="s">
        <v>226</v>
      </c>
      <c r="C44" t="s">
        <v>235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0</v>
      </c>
      <c r="FO44">
        <v>0</v>
      </c>
      <c r="FP44">
        <v>0</v>
      </c>
      <c r="FQ44">
        <v>0</v>
      </c>
      <c r="FR44">
        <v>0</v>
      </c>
      <c r="FS44">
        <v>0</v>
      </c>
      <c r="FT44">
        <v>0</v>
      </c>
    </row>
    <row r="45" spans="1:176" x14ac:dyDescent="0.2">
      <c r="A45" t="s">
        <v>227</v>
      </c>
      <c r="B45" t="s">
        <v>226</v>
      </c>
      <c r="C45" t="s">
        <v>236</v>
      </c>
      <c r="D45">
        <v>672</v>
      </c>
      <c r="E45">
        <v>672</v>
      </c>
      <c r="F45">
        <v>193.63719177246094</v>
      </c>
      <c r="G45">
        <v>190.15611267089844</v>
      </c>
      <c r="H45">
        <v>187.2742919921875</v>
      </c>
      <c r="I45">
        <v>185.62997436523438</v>
      </c>
      <c r="J45">
        <v>189.69685363769531</v>
      </c>
      <c r="K45">
        <v>199.72315979003906</v>
      </c>
      <c r="L45">
        <v>214.41970825195312</v>
      </c>
      <c r="M45">
        <v>221.3349609375</v>
      </c>
      <c r="N45">
        <v>227.1395263671875</v>
      </c>
      <c r="O45">
        <v>230.15098571777344</v>
      </c>
      <c r="P45">
        <v>232.5396728515625</v>
      </c>
      <c r="Q45">
        <v>233.04466247558594</v>
      </c>
      <c r="R45">
        <v>231.69807434082031</v>
      </c>
      <c r="S45">
        <v>232.2850341796875</v>
      </c>
      <c r="T45">
        <v>231.40003967285156</v>
      </c>
      <c r="U45">
        <v>230.27413940429687</v>
      </c>
      <c r="V45">
        <v>228.41900634765625</v>
      </c>
      <c r="W45">
        <v>224.16009521484375</v>
      </c>
      <c r="X45">
        <v>221.38400268554687</v>
      </c>
      <c r="Y45">
        <v>219.85258483886719</v>
      </c>
      <c r="Z45">
        <v>218.79931640625</v>
      </c>
      <c r="AA45">
        <v>214.29563903808594</v>
      </c>
      <c r="AB45">
        <v>208.92324829101562</v>
      </c>
      <c r="AC45">
        <v>200.37294006347656</v>
      </c>
      <c r="AD45">
        <v>-4.4408054351806641</v>
      </c>
      <c r="AE45">
        <v>-3.7835469245910645</v>
      </c>
      <c r="AF45">
        <v>-2.6661238670349121</v>
      </c>
      <c r="AG45">
        <v>-3.5669925212860107</v>
      </c>
      <c r="AH45">
        <v>-3.0964529514312744</v>
      </c>
      <c r="AI45">
        <v>-3.3417863845825195</v>
      </c>
      <c r="AJ45">
        <v>-2.4935011863708496</v>
      </c>
      <c r="AK45">
        <v>-4.3022465705871582</v>
      </c>
      <c r="AL45">
        <v>-3.0009901523590088</v>
      </c>
      <c r="AM45">
        <v>0.1722627729177475</v>
      </c>
      <c r="AN45">
        <v>-1.2157191038131714</v>
      </c>
      <c r="AO45">
        <v>-3.9053611755371094</v>
      </c>
      <c r="AP45">
        <v>-8.3669633865356445</v>
      </c>
      <c r="AQ45">
        <v>6.484161376953125</v>
      </c>
      <c r="AR45">
        <v>63.273777008056641</v>
      </c>
      <c r="AS45">
        <v>66.099327087402344</v>
      </c>
      <c r="AT45">
        <v>20.827499389648438</v>
      </c>
      <c r="AU45">
        <v>-0.29840582609176636</v>
      </c>
      <c r="AV45">
        <v>-2.6103427410125732</v>
      </c>
      <c r="AW45">
        <v>-1.3288017511367798</v>
      </c>
      <c r="AX45">
        <v>-1.1772139072418213</v>
      </c>
      <c r="AY45">
        <v>-1.8628215789794922</v>
      </c>
      <c r="AZ45">
        <v>-3.8793697357177734</v>
      </c>
      <c r="BA45">
        <v>-4.8906388282775879</v>
      </c>
      <c r="BB45">
        <v>-2.7620925903320313</v>
      </c>
      <c r="BC45">
        <v>-2.1953976154327393</v>
      </c>
      <c r="BD45">
        <v>-1.1477099657058716</v>
      </c>
      <c r="BE45">
        <v>-2.0965900421142578</v>
      </c>
      <c r="BF45">
        <v>-1.6141300201416016</v>
      </c>
      <c r="BG45">
        <v>-1.8561128377914429</v>
      </c>
      <c r="BH45">
        <v>-0.97753477096557617</v>
      </c>
      <c r="BI45">
        <v>-2.7295496463775635</v>
      </c>
      <c r="BJ45">
        <v>-1.3621120452880859</v>
      </c>
      <c r="BK45">
        <v>1.8871201276779175</v>
      </c>
      <c r="BL45">
        <v>0.58169180154800415</v>
      </c>
      <c r="BM45">
        <v>-2.1193253993988037</v>
      </c>
      <c r="BN45">
        <v>-6.6203041076660156</v>
      </c>
      <c r="BO45">
        <v>8.2490882873535156</v>
      </c>
      <c r="BP45">
        <v>65.05810546875</v>
      </c>
      <c r="BQ45">
        <v>67.919837951660156</v>
      </c>
      <c r="BR45">
        <v>22.668350219726563</v>
      </c>
      <c r="BS45">
        <v>1.6012805700302124</v>
      </c>
      <c r="BT45">
        <v>-0.66207802295684814</v>
      </c>
      <c r="BU45">
        <v>0.6024775505065918</v>
      </c>
      <c r="BV45">
        <v>0.70335656404495239</v>
      </c>
      <c r="BW45">
        <v>-2.0637217909097672E-2</v>
      </c>
      <c r="BX45">
        <v>-2.054377555847168</v>
      </c>
      <c r="BY45">
        <v>-3.08119797706604</v>
      </c>
      <c r="BZ45">
        <v>-1.5994210243225098</v>
      </c>
      <c r="CA45">
        <v>-1.0954501628875732</v>
      </c>
      <c r="CB45">
        <v>-9.6061117947101593E-2</v>
      </c>
      <c r="CC45">
        <v>-1.0781937837600708</v>
      </c>
      <c r="CD45">
        <v>-0.58747774362564087</v>
      </c>
      <c r="CE45">
        <v>-0.82713997364044189</v>
      </c>
      <c r="CF45">
        <v>7.2418868541717529E-2</v>
      </c>
      <c r="CG45">
        <v>-1.6403046846389771</v>
      </c>
      <c r="CH45">
        <v>-0.22703003883361816</v>
      </c>
      <c r="CI45">
        <v>3.0748250484466553</v>
      </c>
      <c r="CJ45">
        <v>1.8265731334686279</v>
      </c>
      <c r="CK45">
        <v>-0.88232260942459106</v>
      </c>
      <c r="CL45">
        <v>-5.4105734825134277</v>
      </c>
      <c r="CM45">
        <v>9.471470832824707</v>
      </c>
      <c r="CN45">
        <v>66.293922424316406</v>
      </c>
      <c r="CO45">
        <v>69.18072509765625</v>
      </c>
      <c r="CP45">
        <v>23.943317413330078</v>
      </c>
      <c r="CQ45">
        <v>2.9169976711273193</v>
      </c>
      <c r="CR45">
        <v>0.68728411197662354</v>
      </c>
      <c r="CS45">
        <v>1.9400756359100342</v>
      </c>
      <c r="CT45">
        <v>2.0058338642120361</v>
      </c>
      <c r="CU45">
        <v>1.2552540302276611</v>
      </c>
      <c r="CV45">
        <v>-0.79039371013641357</v>
      </c>
      <c r="CW45">
        <v>-1.8279848098754883</v>
      </c>
      <c r="CX45">
        <v>-0.43674957752227783</v>
      </c>
      <c r="CY45">
        <v>4.4972114264965057E-3</v>
      </c>
      <c r="CZ45">
        <v>0.95558774471282959</v>
      </c>
      <c r="DA45">
        <v>-5.9797469526529312E-2</v>
      </c>
      <c r="DB45">
        <v>0.43917453289031982</v>
      </c>
      <c r="DC45">
        <v>0.20183292031288147</v>
      </c>
      <c r="DD45">
        <v>1.1223725080490112</v>
      </c>
      <c r="DE45">
        <v>-0.55105960369110107</v>
      </c>
      <c r="DF45">
        <v>0.90805202722549438</v>
      </c>
      <c r="DG45">
        <v>4.2625298500061035</v>
      </c>
      <c r="DH45">
        <v>3.0714545249938965</v>
      </c>
      <c r="DI45">
        <v>0.35468029975891113</v>
      </c>
      <c r="DJ45">
        <v>-4.2008428573608398</v>
      </c>
      <c r="DK45">
        <v>10.693853378295898</v>
      </c>
      <c r="DL45">
        <v>67.529739379882813</v>
      </c>
      <c r="DM45">
        <v>70.441612243652344</v>
      </c>
      <c r="DN45">
        <v>25.218284606933594</v>
      </c>
      <c r="DO45">
        <v>4.2327146530151367</v>
      </c>
      <c r="DP45">
        <v>2.0366463661193848</v>
      </c>
      <c r="DQ45">
        <v>3.2776737213134766</v>
      </c>
      <c r="DR45">
        <v>3.3083112239837646</v>
      </c>
      <c r="DS45">
        <v>2.5311453342437744</v>
      </c>
      <c r="DT45">
        <v>0.47359022498130798</v>
      </c>
      <c r="DU45">
        <v>-0.57477152347564697</v>
      </c>
      <c r="DV45">
        <v>1.2419633865356445</v>
      </c>
      <c r="DW45">
        <v>1.5926464796066284</v>
      </c>
      <c r="DX45">
        <v>2.4740016460418701</v>
      </c>
      <c r="DY45">
        <v>1.4106050729751587</v>
      </c>
      <c r="DZ45">
        <v>1.9214973449707031</v>
      </c>
      <c r="EA45">
        <v>1.6875063180923462</v>
      </c>
      <c r="EB45">
        <v>2.6383388042449951</v>
      </c>
      <c r="EC45">
        <v>1.0216373205184937</v>
      </c>
      <c r="ED45">
        <v>2.5469300746917725</v>
      </c>
      <c r="EE45">
        <v>5.9773874282836914</v>
      </c>
      <c r="EF45">
        <v>4.8688654899597168</v>
      </c>
      <c r="EG45">
        <v>2.1407160758972168</v>
      </c>
      <c r="EH45">
        <v>-2.4541835784912109</v>
      </c>
      <c r="EI45">
        <v>12.458780288696289</v>
      </c>
      <c r="EJ45">
        <v>69.314064025878906</v>
      </c>
      <c r="EK45">
        <v>72.262123107910156</v>
      </c>
      <c r="EL45">
        <v>27.059135437011719</v>
      </c>
      <c r="EM45">
        <v>6.1324009895324707</v>
      </c>
      <c r="EN45">
        <v>3.9849109649658203</v>
      </c>
      <c r="EO45">
        <v>5.2089529037475586</v>
      </c>
      <c r="EP45">
        <v>5.1888813972473145</v>
      </c>
      <c r="EQ45">
        <v>4.3733296394348145</v>
      </c>
      <c r="ER45">
        <v>2.2985823154449463</v>
      </c>
      <c r="ES45">
        <v>1.2346693277359009</v>
      </c>
      <c r="ET45">
        <v>61.338115692138672</v>
      </c>
      <c r="EU45">
        <v>60.606922149658203</v>
      </c>
      <c r="EV45">
        <v>59.634452819824219</v>
      </c>
      <c r="EW45">
        <v>59.395244598388672</v>
      </c>
      <c r="EX45">
        <v>59.242759704589844</v>
      </c>
      <c r="EY45">
        <v>59.718395233154297</v>
      </c>
      <c r="EZ45">
        <v>60.856754302978516</v>
      </c>
      <c r="FA45">
        <v>63.5343017578125</v>
      </c>
      <c r="FB45">
        <v>67.26080322265625</v>
      </c>
      <c r="FC45">
        <v>70.601875305175781</v>
      </c>
      <c r="FD45">
        <v>73.40234375</v>
      </c>
      <c r="FE45">
        <v>75.833755493164063</v>
      </c>
      <c r="FF45">
        <v>77.474113464355469</v>
      </c>
      <c r="FG45">
        <v>78.61083984375</v>
      </c>
      <c r="FH45">
        <v>79.335418701171875</v>
      </c>
      <c r="FI45">
        <v>78.916748046875</v>
      </c>
      <c r="FJ45">
        <v>78.332481384277344</v>
      </c>
      <c r="FK45">
        <v>76.353851318359375</v>
      </c>
      <c r="FL45">
        <v>72.832679748535156</v>
      </c>
      <c r="FM45">
        <v>69.151458740234375</v>
      </c>
      <c r="FN45">
        <v>67.245674133300781</v>
      </c>
      <c r="FO45">
        <v>65.949409484863281</v>
      </c>
      <c r="FP45">
        <v>64.6109619140625</v>
      </c>
      <c r="FQ45">
        <v>63.457817077636719</v>
      </c>
      <c r="FR45">
        <v>672</v>
      </c>
      <c r="FS45">
        <v>4.562995582818985E-2</v>
      </c>
      <c r="FT45">
        <v>1</v>
      </c>
    </row>
    <row r="46" spans="1:176" x14ac:dyDescent="0.2">
      <c r="A46" t="s">
        <v>227</v>
      </c>
      <c r="B46" t="s">
        <v>226</v>
      </c>
      <c r="C46" t="s">
        <v>237</v>
      </c>
      <c r="D46">
        <v>437</v>
      </c>
      <c r="E46">
        <v>678</v>
      </c>
      <c r="F46">
        <v>109.73328399658203</v>
      </c>
      <c r="G46">
        <v>108.47303771972656</v>
      </c>
      <c r="H46">
        <v>107.17146301269531</v>
      </c>
      <c r="I46">
        <v>106.75679016113281</v>
      </c>
      <c r="J46">
        <v>109.65064239501953</v>
      </c>
      <c r="K46">
        <v>115.70281219482422</v>
      </c>
      <c r="L46">
        <v>122.21929931640625</v>
      </c>
      <c r="M46">
        <v>122.91299438476562</v>
      </c>
      <c r="N46">
        <v>124.16233062744141</v>
      </c>
      <c r="O46">
        <v>124.1785888671875</v>
      </c>
      <c r="P46">
        <v>123.91671752929687</v>
      </c>
      <c r="Q46">
        <v>123.17830657958984</v>
      </c>
      <c r="R46">
        <v>121.59578704833984</v>
      </c>
      <c r="S46">
        <v>121.29694366455078</v>
      </c>
      <c r="T46">
        <v>120.64817047119141</v>
      </c>
      <c r="U46">
        <v>119.76387023925781</v>
      </c>
      <c r="V46">
        <v>118.64312744140625</v>
      </c>
      <c r="W46">
        <v>115.52440643310547</v>
      </c>
      <c r="X46">
        <v>115.92961883544922</v>
      </c>
      <c r="Y46">
        <v>116.64778900146484</v>
      </c>
      <c r="Z46">
        <v>116.58558654785156</v>
      </c>
      <c r="AA46">
        <v>115.13904571533203</v>
      </c>
      <c r="AB46">
        <v>113.26001739501953</v>
      </c>
      <c r="AC46">
        <v>109.60132598876953</v>
      </c>
      <c r="AD46">
        <v>-4.9145598411560059</v>
      </c>
      <c r="AE46">
        <v>-3.6559994220733643</v>
      </c>
      <c r="AF46">
        <v>-3.1184368133544922</v>
      </c>
      <c r="AG46">
        <v>-2.0886416435241699</v>
      </c>
      <c r="AH46">
        <v>-0.85888791084289551</v>
      </c>
      <c r="AI46">
        <v>-1.2533696889877319</v>
      </c>
      <c r="AJ46">
        <v>-1.3459527492523193</v>
      </c>
      <c r="AK46">
        <v>4.8497986048460007E-2</v>
      </c>
      <c r="AL46">
        <v>0.88484716415405273</v>
      </c>
      <c r="AM46">
        <v>-1.5280224084854126</v>
      </c>
      <c r="AN46">
        <v>-2.3125288486480713</v>
      </c>
      <c r="AO46">
        <v>-2.0099606513977051</v>
      </c>
      <c r="AP46">
        <v>-3.0223381519317627</v>
      </c>
      <c r="AQ46">
        <v>5.348567008972168</v>
      </c>
      <c r="AR46">
        <v>42.003501892089844</v>
      </c>
      <c r="AS46">
        <v>42.408546447753906</v>
      </c>
      <c r="AT46">
        <v>12.556820869445801</v>
      </c>
      <c r="AU46">
        <v>-2.0277168750762939</v>
      </c>
      <c r="AV46">
        <v>-2.5395922660827637</v>
      </c>
      <c r="AW46">
        <v>-1.6674618721008301</v>
      </c>
      <c r="AX46">
        <v>-2.6991665363311768</v>
      </c>
      <c r="AY46">
        <v>-1.9781342744827271</v>
      </c>
      <c r="AZ46">
        <v>-2.2243697643280029</v>
      </c>
      <c r="BA46">
        <v>-2.2233164310455322</v>
      </c>
      <c r="BB46">
        <v>-3.7204916477203369</v>
      </c>
      <c r="BC46">
        <v>-2.4883825778961182</v>
      </c>
      <c r="BD46">
        <v>-1.9856499433517456</v>
      </c>
      <c r="BE46">
        <v>-0.98131966590881348</v>
      </c>
      <c r="BF46">
        <v>0.24114303290843964</v>
      </c>
      <c r="BG46">
        <v>-0.1490166187286377</v>
      </c>
      <c r="BH46">
        <v>-0.22646088898181915</v>
      </c>
      <c r="BI46">
        <v>1.2472909688949585</v>
      </c>
      <c r="BJ46">
        <v>2.1257193088531494</v>
      </c>
      <c r="BK46">
        <v>-0.23563681542873383</v>
      </c>
      <c r="BL46">
        <v>-0.96453183889389038</v>
      </c>
      <c r="BM46">
        <v>-0.63246005773544312</v>
      </c>
      <c r="BN46">
        <v>-1.625138521194458</v>
      </c>
      <c r="BO46">
        <v>6.768951416015625</v>
      </c>
      <c r="BP46">
        <v>43.413768768310547</v>
      </c>
      <c r="BQ46">
        <v>43.807704925537109</v>
      </c>
      <c r="BR46">
        <v>13.93275260925293</v>
      </c>
      <c r="BS46">
        <v>-0.63746118545532227</v>
      </c>
      <c r="BT46">
        <v>-1.1171902418136597</v>
      </c>
      <c r="BU46">
        <v>-0.23263947665691376</v>
      </c>
      <c r="BV46">
        <v>-1.2375345230102539</v>
      </c>
      <c r="BW46">
        <v>-0.49583160877227783</v>
      </c>
      <c r="BX46">
        <v>-0.7044905424118042</v>
      </c>
      <c r="BY46">
        <v>-0.75152581930160522</v>
      </c>
      <c r="BZ46">
        <v>-2.8934838771820068</v>
      </c>
      <c r="CA46">
        <v>-1.6796947717666626</v>
      </c>
      <c r="CB46">
        <v>-1.2010852098464966</v>
      </c>
      <c r="CC46">
        <v>-0.21439181268215179</v>
      </c>
      <c r="CD46">
        <v>1.0030211210250854</v>
      </c>
      <c r="CE46">
        <v>0.61585491895675659</v>
      </c>
      <c r="CF46">
        <v>0.54889577627182007</v>
      </c>
      <c r="CG46">
        <v>2.0775713920593262</v>
      </c>
      <c r="CH46">
        <v>2.9851434230804443</v>
      </c>
      <c r="CI46">
        <v>0.65946555137634277</v>
      </c>
      <c r="CJ46">
        <v>-3.0913149937987328E-2</v>
      </c>
      <c r="CK46">
        <v>0.32159271836280823</v>
      </c>
      <c r="CL46">
        <v>-0.65744233131408691</v>
      </c>
      <c r="CM46">
        <v>7.7527055740356445</v>
      </c>
      <c r="CN46">
        <v>44.390514373779297</v>
      </c>
      <c r="CO46">
        <v>44.776756286621094</v>
      </c>
      <c r="CP46">
        <v>14.88571834564209</v>
      </c>
      <c r="CQ46">
        <v>0.3254256546497345</v>
      </c>
      <c r="CR46">
        <v>-0.13203898072242737</v>
      </c>
      <c r="CS46">
        <v>0.76111418008804321</v>
      </c>
      <c r="CT46">
        <v>-0.2252127081155777</v>
      </c>
      <c r="CU46">
        <v>0.53080672025680542</v>
      </c>
      <c r="CV46">
        <v>0.34817320108413696</v>
      </c>
      <c r="CW46">
        <v>0.26783186197280884</v>
      </c>
      <c r="CX46">
        <v>-2.0664761066436768</v>
      </c>
      <c r="CY46">
        <v>-0.87100696563720703</v>
      </c>
      <c r="CZ46">
        <v>-0.41652044653892517</v>
      </c>
      <c r="DA46">
        <v>0.55253607034683228</v>
      </c>
      <c r="DB46">
        <v>1.7648992538452148</v>
      </c>
      <c r="DC46">
        <v>1.3807264566421509</v>
      </c>
      <c r="DD46">
        <v>1.3242524862289429</v>
      </c>
      <c r="DE46">
        <v>2.9078516960144043</v>
      </c>
      <c r="DF46">
        <v>3.8445675373077393</v>
      </c>
      <c r="DG46">
        <v>1.5545679330825806</v>
      </c>
      <c r="DH46">
        <v>0.90270555019378662</v>
      </c>
      <c r="DI46">
        <v>1.2756454944610596</v>
      </c>
      <c r="DJ46">
        <v>0.31025385856628418</v>
      </c>
      <c r="DK46">
        <v>8.7364597320556641</v>
      </c>
      <c r="DL46">
        <v>45.367259979248047</v>
      </c>
      <c r="DM46">
        <v>45.745807647705078</v>
      </c>
      <c r="DN46">
        <v>15.83868408203125</v>
      </c>
      <c r="DO46">
        <v>1.288312554359436</v>
      </c>
      <c r="DP46">
        <v>0.85311228036880493</v>
      </c>
      <c r="DQ46">
        <v>1.7548677921295166</v>
      </c>
      <c r="DR46">
        <v>0.7871091365814209</v>
      </c>
      <c r="DS46">
        <v>1.5574450492858887</v>
      </c>
      <c r="DT46">
        <v>1.4008369445800781</v>
      </c>
      <c r="DU46">
        <v>1.2871896028518677</v>
      </c>
      <c r="DV46">
        <v>-0.87240797281265259</v>
      </c>
      <c r="DW46">
        <v>0.29660981893539429</v>
      </c>
      <c r="DX46">
        <v>0.7162664532661438</v>
      </c>
      <c r="DY46">
        <v>1.6598581075668335</v>
      </c>
      <c r="DZ46">
        <v>2.8649301528930664</v>
      </c>
      <c r="EA46">
        <v>2.4850795269012451</v>
      </c>
      <c r="EB46">
        <v>2.443744421005249</v>
      </c>
      <c r="EC46">
        <v>4.1066446304321289</v>
      </c>
      <c r="ED46">
        <v>5.0854396820068359</v>
      </c>
      <c r="EE46">
        <v>2.8469536304473877</v>
      </c>
      <c r="EF46">
        <v>2.2507026195526123</v>
      </c>
      <c r="EG46">
        <v>2.6531460285186768</v>
      </c>
      <c r="EH46">
        <v>1.7074534893035889</v>
      </c>
      <c r="EI46">
        <v>10.156844139099121</v>
      </c>
      <c r="EJ46">
        <v>46.77752685546875</v>
      </c>
      <c r="EK46">
        <v>47.144966125488281</v>
      </c>
      <c r="EL46">
        <v>17.214614868164062</v>
      </c>
      <c r="EM46">
        <v>2.6785681247711182</v>
      </c>
      <c r="EN46">
        <v>2.2755141258239746</v>
      </c>
      <c r="EO46">
        <v>3.1896903514862061</v>
      </c>
      <c r="EP46">
        <v>2.2487411499023437</v>
      </c>
      <c r="EQ46">
        <v>3.0397477149963379</v>
      </c>
      <c r="ER46">
        <v>2.9207162857055664</v>
      </c>
      <c r="ES46">
        <v>2.7589802742004395</v>
      </c>
      <c r="ET46">
        <v>62.212303161621094</v>
      </c>
      <c r="EU46">
        <v>60.985191345214844</v>
      </c>
      <c r="EV46">
        <v>59.438613891601562</v>
      </c>
      <c r="EW46">
        <v>58.476863861083984</v>
      </c>
      <c r="EX46">
        <v>57.926578521728516</v>
      </c>
      <c r="EY46">
        <v>58.580673217773438</v>
      </c>
      <c r="EZ46">
        <v>62.540908813476563</v>
      </c>
      <c r="FA46">
        <v>65.502410888671875</v>
      </c>
      <c r="FB46">
        <v>68.091812133789063</v>
      </c>
      <c r="FC46">
        <v>71.378807067871094</v>
      </c>
      <c r="FD46">
        <v>75.000785827636719</v>
      </c>
      <c r="FE46">
        <v>78.18365478515625</v>
      </c>
      <c r="FF46">
        <v>80.924057006835938</v>
      </c>
      <c r="FG46">
        <v>82.709518432617187</v>
      </c>
      <c r="FH46">
        <v>83.0479736328125</v>
      </c>
      <c r="FI46">
        <v>81.920372009277344</v>
      </c>
      <c r="FJ46">
        <v>78.783798217773438</v>
      </c>
      <c r="FK46">
        <v>75.41119384765625</v>
      </c>
      <c r="FL46">
        <v>71.834884643554688</v>
      </c>
      <c r="FM46">
        <v>68.008148193359375</v>
      </c>
      <c r="FN46">
        <v>66.029830932617188</v>
      </c>
      <c r="FO46">
        <v>63.934909820556641</v>
      </c>
      <c r="FP46">
        <v>62.461277008056641</v>
      </c>
      <c r="FQ46">
        <v>61.78167724609375</v>
      </c>
      <c r="FR46">
        <v>437</v>
      </c>
      <c r="FS46">
        <v>4.4687289744615555E-2</v>
      </c>
      <c r="FT46">
        <v>1</v>
      </c>
    </row>
    <row r="47" spans="1:176" x14ac:dyDescent="0.2">
      <c r="A47" t="s">
        <v>227</v>
      </c>
      <c r="B47" t="s">
        <v>226</v>
      </c>
      <c r="C47" t="s">
        <v>238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v>0</v>
      </c>
      <c r="FG47">
        <v>0</v>
      </c>
      <c r="FH47">
        <v>0</v>
      </c>
      <c r="FI47">
        <v>0</v>
      </c>
      <c r="FJ47">
        <v>0</v>
      </c>
      <c r="FK47">
        <v>0</v>
      </c>
      <c r="FL47">
        <v>0</v>
      </c>
      <c r="FM47">
        <v>0</v>
      </c>
      <c r="FN47">
        <v>0</v>
      </c>
      <c r="FO47">
        <v>0</v>
      </c>
      <c r="FP47">
        <v>0</v>
      </c>
      <c r="FQ47">
        <v>0</v>
      </c>
      <c r="FR47">
        <v>0</v>
      </c>
      <c r="FS47">
        <v>0</v>
      </c>
      <c r="FT47">
        <v>0</v>
      </c>
    </row>
    <row r="48" spans="1:176" x14ac:dyDescent="0.2">
      <c r="A48" t="s">
        <v>227</v>
      </c>
      <c r="B48" t="s">
        <v>226</v>
      </c>
      <c r="C48" t="s">
        <v>239</v>
      </c>
      <c r="D48">
        <v>685</v>
      </c>
      <c r="E48">
        <v>685</v>
      </c>
      <c r="F48">
        <v>204.57942199707031</v>
      </c>
      <c r="G48">
        <v>201.1195068359375</v>
      </c>
      <c r="H48">
        <v>198.70632934570312</v>
      </c>
      <c r="I48">
        <v>197.6656494140625</v>
      </c>
      <c r="J48">
        <v>201.72735595703125</v>
      </c>
      <c r="K48">
        <v>213.06541442871094</v>
      </c>
      <c r="L48">
        <v>228.28082275390625</v>
      </c>
      <c r="M48">
        <v>233.43623352050781</v>
      </c>
      <c r="N48">
        <v>239.70668029785156</v>
      </c>
      <c r="O48">
        <v>244.85858154296875</v>
      </c>
      <c r="P48">
        <v>246.91567993164062</v>
      </c>
      <c r="Q48">
        <v>246.00491333007812</v>
      </c>
      <c r="R48">
        <v>242.40866088867187</v>
      </c>
      <c r="S48">
        <v>241.90199279785156</v>
      </c>
      <c r="T48">
        <v>240.29673767089844</v>
      </c>
      <c r="U48">
        <v>236.82196044921875</v>
      </c>
      <c r="V48">
        <v>233.12716674804687</v>
      </c>
      <c r="W48">
        <v>226.6246337890625</v>
      </c>
      <c r="X48">
        <v>221.74517822265625</v>
      </c>
      <c r="Y48">
        <v>221.08050537109375</v>
      </c>
      <c r="Z48">
        <v>220.20124816894531</v>
      </c>
      <c r="AA48">
        <v>215.06521606445312</v>
      </c>
      <c r="AB48">
        <v>208.6396484375</v>
      </c>
      <c r="AC48">
        <v>199.64544677734375</v>
      </c>
      <c r="AD48">
        <v>-2.7239997386932373</v>
      </c>
      <c r="AE48">
        <v>-2.8079216480255127</v>
      </c>
      <c r="AF48">
        <v>-2.6008710861206055</v>
      </c>
      <c r="AG48">
        <v>-2.9105856418609619</v>
      </c>
      <c r="AH48">
        <v>-3.695976734161377</v>
      </c>
      <c r="AI48">
        <v>-4.0537500381469727</v>
      </c>
      <c r="AJ48">
        <v>-3.9515657424926758</v>
      </c>
      <c r="AK48">
        <v>-4.0556645393371582</v>
      </c>
      <c r="AL48">
        <v>-2.2086665630340576</v>
      </c>
      <c r="AM48">
        <v>-3.2046945095062256</v>
      </c>
      <c r="AN48">
        <v>-3.5844268798828125</v>
      </c>
      <c r="AO48">
        <v>-4.3763914108276367</v>
      </c>
      <c r="AP48">
        <v>-3.612804651260376</v>
      </c>
      <c r="AQ48">
        <v>12.622348785400391</v>
      </c>
      <c r="AR48">
        <v>70.717277526855469</v>
      </c>
      <c r="AS48">
        <v>69.98748779296875</v>
      </c>
      <c r="AT48">
        <v>23.810573577880859</v>
      </c>
      <c r="AU48">
        <v>4.5560803413391113</v>
      </c>
      <c r="AV48">
        <v>-1.3662853240966797</v>
      </c>
      <c r="AW48">
        <v>-3.0011811256408691</v>
      </c>
      <c r="AX48">
        <v>-4.4150419235229492</v>
      </c>
      <c r="AY48">
        <v>-5.0790891647338867</v>
      </c>
      <c r="AZ48">
        <v>-5.5408639907836914</v>
      </c>
      <c r="BA48">
        <v>-7.4439916610717773</v>
      </c>
      <c r="BB48">
        <v>-0.82996225357055664</v>
      </c>
      <c r="BC48">
        <v>-0.99922019243240356</v>
      </c>
      <c r="BD48">
        <v>-0.81816333532333374</v>
      </c>
      <c r="BE48">
        <v>-1.1537230014801025</v>
      </c>
      <c r="BF48">
        <v>-1.9189341068267822</v>
      </c>
      <c r="BG48">
        <v>-2.2393317222595215</v>
      </c>
      <c r="BH48">
        <v>-2.1074979305267334</v>
      </c>
      <c r="BI48">
        <v>-2.130101203918457</v>
      </c>
      <c r="BJ48">
        <v>-0.1782328337430954</v>
      </c>
      <c r="BK48">
        <v>-1.0646975040435791</v>
      </c>
      <c r="BL48">
        <v>-1.3692424297332764</v>
      </c>
      <c r="BM48">
        <v>-2.0964257717132568</v>
      </c>
      <c r="BN48">
        <v>-1.3302699327468872</v>
      </c>
      <c r="BO48">
        <v>14.947957038879395</v>
      </c>
      <c r="BP48">
        <v>73.069107055664062</v>
      </c>
      <c r="BQ48">
        <v>72.319198608398438</v>
      </c>
      <c r="BR48">
        <v>26.104803085327148</v>
      </c>
      <c r="BS48">
        <v>6.7910599708557129</v>
      </c>
      <c r="BT48">
        <v>0.8276900053024292</v>
      </c>
      <c r="BU48">
        <v>-0.7818642258644104</v>
      </c>
      <c r="BV48">
        <v>-2.2297329902648926</v>
      </c>
      <c r="BW48">
        <v>-2.9088287353515625</v>
      </c>
      <c r="BX48">
        <v>-3.3445713520050049</v>
      </c>
      <c r="BY48">
        <v>-5.2605690956115723</v>
      </c>
      <c r="BZ48">
        <v>0.48184230923652649</v>
      </c>
      <c r="CA48">
        <v>0.2534809410572052</v>
      </c>
      <c r="CB48">
        <v>0.41653472185134888</v>
      </c>
      <c r="CC48">
        <v>6.3074856996536255E-2</v>
      </c>
      <c r="CD48">
        <v>-0.68815982341766357</v>
      </c>
      <c r="CE48">
        <v>-0.98267114162445068</v>
      </c>
      <c r="CF48">
        <v>-0.83030217885971069</v>
      </c>
      <c r="CG48">
        <v>-0.79646182060241699</v>
      </c>
      <c r="CH48">
        <v>1.2280393838882446</v>
      </c>
      <c r="CI48">
        <v>0.41745787858963013</v>
      </c>
      <c r="CJ48">
        <v>0.16498765349388123</v>
      </c>
      <c r="CK48">
        <v>-0.51732861995697021</v>
      </c>
      <c r="CL48">
        <v>0.25060665607452393</v>
      </c>
      <c r="CM48">
        <v>16.558666229248047</v>
      </c>
      <c r="CN48">
        <v>74.697975158691406</v>
      </c>
      <c r="CO48">
        <v>73.934135437011719</v>
      </c>
      <c r="CP48">
        <v>27.693780899047852</v>
      </c>
      <c r="CQ48">
        <v>8.3389997482299805</v>
      </c>
      <c r="CR48">
        <v>2.3472306728363037</v>
      </c>
      <c r="CS48">
        <v>0.75522792339324951</v>
      </c>
      <c r="CT48">
        <v>-0.716194748878479</v>
      </c>
      <c r="CU48">
        <v>-1.4057132005691528</v>
      </c>
      <c r="CV48">
        <v>-1.8234256505966187</v>
      </c>
      <c r="CW48">
        <v>-3.7483370304107666</v>
      </c>
      <c r="CX48">
        <v>1.7936469316482544</v>
      </c>
      <c r="CY48">
        <v>1.506182074546814</v>
      </c>
      <c r="CZ48">
        <v>1.6512327194213867</v>
      </c>
      <c r="DA48">
        <v>1.2798726558685303</v>
      </c>
      <c r="DB48">
        <v>0.54261451959609985</v>
      </c>
      <c r="DC48">
        <v>0.27398934960365295</v>
      </c>
      <c r="DD48">
        <v>0.4468936026096344</v>
      </c>
      <c r="DE48">
        <v>0.53717756271362305</v>
      </c>
      <c r="DF48">
        <v>2.6343116760253906</v>
      </c>
      <c r="DG48">
        <v>1.8996132612228394</v>
      </c>
      <c r="DH48">
        <v>1.699217677116394</v>
      </c>
      <c r="DI48">
        <v>1.0617685317993164</v>
      </c>
      <c r="DJ48">
        <v>1.8314832448959351</v>
      </c>
      <c r="DK48">
        <v>18.169376373291016</v>
      </c>
      <c r="DL48">
        <v>76.32684326171875</v>
      </c>
      <c r="DM48">
        <v>75.549072265625</v>
      </c>
      <c r="DN48">
        <v>29.282758712768555</v>
      </c>
      <c r="DO48">
        <v>9.8869400024414062</v>
      </c>
      <c r="DP48">
        <v>3.8667712211608887</v>
      </c>
      <c r="DQ48">
        <v>2.2923200130462646</v>
      </c>
      <c r="DR48">
        <v>0.79734349250793457</v>
      </c>
      <c r="DS48">
        <v>9.7402423620223999E-2</v>
      </c>
      <c r="DT48">
        <v>-0.30228003859519958</v>
      </c>
      <c r="DU48">
        <v>-2.23610520362854</v>
      </c>
      <c r="DV48">
        <v>3.6876842975616455</v>
      </c>
      <c r="DW48">
        <v>3.3148834705352783</v>
      </c>
      <c r="DX48">
        <v>3.4339406490325928</v>
      </c>
      <c r="DY48">
        <v>3.0367355346679687</v>
      </c>
      <c r="DZ48">
        <v>2.3196570873260498</v>
      </c>
      <c r="EA48">
        <v>2.0884075164794922</v>
      </c>
      <c r="EB48">
        <v>2.2909615039825439</v>
      </c>
      <c r="EC48">
        <v>2.4627411365509033</v>
      </c>
      <c r="ED48">
        <v>4.6647453308105469</v>
      </c>
      <c r="EE48">
        <v>4.0396103858947754</v>
      </c>
      <c r="EF48">
        <v>3.9144022464752197</v>
      </c>
      <c r="EG48">
        <v>3.3417341709136963</v>
      </c>
      <c r="EH48">
        <v>4.1140179634094238</v>
      </c>
      <c r="EI48">
        <v>20.494983673095703</v>
      </c>
      <c r="EJ48">
        <v>78.678672790527344</v>
      </c>
      <c r="EK48">
        <v>77.880783081054687</v>
      </c>
      <c r="EL48">
        <v>31.576988220214844</v>
      </c>
      <c r="EM48">
        <v>12.121918678283691</v>
      </c>
      <c r="EN48">
        <v>6.0607466697692871</v>
      </c>
      <c r="EO48">
        <v>4.5116372108459473</v>
      </c>
      <c r="EP48">
        <v>2.9826524257659912</v>
      </c>
      <c r="EQ48">
        <v>2.2676627635955811</v>
      </c>
      <c r="ER48">
        <v>1.8940126895904541</v>
      </c>
      <c r="ES48">
        <v>-5.2682612091302872E-2</v>
      </c>
      <c r="ET48">
        <v>73.246315002441406</v>
      </c>
      <c r="EU48">
        <v>71.918441772460938</v>
      </c>
      <c r="EV48">
        <v>70.383659362792969</v>
      </c>
      <c r="EW48">
        <v>69.3773193359375</v>
      </c>
      <c r="EX48">
        <v>68.279205322265625</v>
      </c>
      <c r="EY48">
        <v>67.900260925292969</v>
      </c>
      <c r="EZ48">
        <v>69.716636657714844</v>
      </c>
      <c r="FA48">
        <v>73.095458984375</v>
      </c>
      <c r="FB48">
        <v>76.952659606933594</v>
      </c>
      <c r="FC48">
        <v>80.569992065429688</v>
      </c>
      <c r="FD48">
        <v>82.514877319335937</v>
      </c>
      <c r="FE48">
        <v>84.403068542480469</v>
      </c>
      <c r="FF48">
        <v>85.740470886230469</v>
      </c>
      <c r="FG48">
        <v>85.367828369140625</v>
      </c>
      <c r="FH48">
        <v>85.268272399902344</v>
      </c>
      <c r="FI48">
        <v>85.765647888183594</v>
      </c>
      <c r="FJ48">
        <v>84.248245239257813</v>
      </c>
      <c r="FK48">
        <v>81.840621948242187</v>
      </c>
      <c r="FL48">
        <v>78.377937316894531</v>
      </c>
      <c r="FM48">
        <v>75.626419067382813</v>
      </c>
      <c r="FN48">
        <v>73.930450439453125</v>
      </c>
      <c r="FO48">
        <v>72.795860290527344</v>
      </c>
      <c r="FP48">
        <v>71.977615356445313</v>
      </c>
      <c r="FQ48">
        <v>71.282424926757813</v>
      </c>
      <c r="FR48">
        <v>685</v>
      </c>
      <c r="FS48">
        <v>4.5439489185810089E-2</v>
      </c>
      <c r="FT48">
        <v>1</v>
      </c>
    </row>
    <row r="49" spans="1:176" x14ac:dyDescent="0.2">
      <c r="A49" t="s">
        <v>227</v>
      </c>
      <c r="B49" t="s">
        <v>226</v>
      </c>
      <c r="C49" t="s">
        <v>240</v>
      </c>
      <c r="D49">
        <v>691</v>
      </c>
      <c r="E49">
        <v>691</v>
      </c>
      <c r="F49">
        <v>179.81585693359375</v>
      </c>
      <c r="G49">
        <v>179.21749877929687</v>
      </c>
      <c r="H49">
        <v>179.15789794921875</v>
      </c>
      <c r="I49">
        <v>180.90953063964844</v>
      </c>
      <c r="J49">
        <v>187.94020080566406</v>
      </c>
      <c r="K49">
        <v>201.96237182617188</v>
      </c>
      <c r="L49">
        <v>219.68934631347656</v>
      </c>
      <c r="M49">
        <v>226.22779846191406</v>
      </c>
      <c r="N49">
        <v>233.7738037109375</v>
      </c>
      <c r="O49">
        <v>238.73310852050781</v>
      </c>
      <c r="P49">
        <v>241.99018859863281</v>
      </c>
      <c r="Q49">
        <v>244.01341247558594</v>
      </c>
      <c r="R49">
        <v>241.57421875</v>
      </c>
      <c r="S49">
        <v>243.13748168945312</v>
      </c>
      <c r="T49">
        <v>241.60798645019531</v>
      </c>
      <c r="U49">
        <v>240.82838439941406</v>
      </c>
      <c r="V49">
        <v>237.506103515625</v>
      </c>
      <c r="W49">
        <v>232.25617980957031</v>
      </c>
      <c r="X49">
        <v>226.33673095703125</v>
      </c>
      <c r="Y49">
        <v>224.03691101074219</v>
      </c>
      <c r="Z49">
        <v>223.24234008789062</v>
      </c>
      <c r="AA49">
        <v>218.16706848144531</v>
      </c>
      <c r="AB49">
        <v>211.02787780761719</v>
      </c>
      <c r="AC49">
        <v>202.31562805175781</v>
      </c>
      <c r="AD49">
        <v>-3.0657784938812256</v>
      </c>
      <c r="AE49">
        <v>-2.403742790222168</v>
      </c>
      <c r="AF49">
        <v>-1.7099735736846924</v>
      </c>
      <c r="AG49">
        <v>-1.8438552618026733</v>
      </c>
      <c r="AH49">
        <v>-2.7876565456390381</v>
      </c>
      <c r="AI49">
        <v>-3.796771764755249</v>
      </c>
      <c r="AJ49">
        <v>-1.7609537839889526</v>
      </c>
      <c r="AK49">
        <v>-6.0602669715881348</v>
      </c>
      <c r="AL49">
        <v>-6.1272964477539062</v>
      </c>
      <c r="AM49">
        <v>-9.5341806411743164</v>
      </c>
      <c r="AN49">
        <v>-6.0740976333618164</v>
      </c>
      <c r="AO49">
        <v>-3.9035930633544922</v>
      </c>
      <c r="AP49">
        <v>-5.0880126953125</v>
      </c>
      <c r="AQ49">
        <v>-4.4081416130065918</v>
      </c>
      <c r="AR49">
        <v>-2.8600332736968994</v>
      </c>
      <c r="AS49">
        <v>13.842095375061035</v>
      </c>
      <c r="AT49">
        <v>61.032096862792969</v>
      </c>
      <c r="AU49">
        <v>60.535526275634766</v>
      </c>
      <c r="AV49">
        <v>61.131649017333984</v>
      </c>
      <c r="AW49">
        <v>22.996620178222656</v>
      </c>
      <c r="AX49">
        <v>4.7463459968566895</v>
      </c>
      <c r="AY49">
        <v>-2.0843300819396973</v>
      </c>
      <c r="AZ49">
        <v>-6.3164396286010742</v>
      </c>
      <c r="BA49">
        <v>-8.9981698989868164</v>
      </c>
      <c r="BB49">
        <v>-1.3367637395858765</v>
      </c>
      <c r="BC49">
        <v>-0.7144244909286499</v>
      </c>
      <c r="BD49">
        <v>-6.236556451767683E-3</v>
      </c>
      <c r="BE49">
        <v>-0.12103289365768433</v>
      </c>
      <c r="BF49">
        <v>-1.0508692264556885</v>
      </c>
      <c r="BG49">
        <v>-2.0642366409301758</v>
      </c>
      <c r="BH49">
        <v>-1.1990129016339779E-2</v>
      </c>
      <c r="BI49">
        <v>-4.2779645919799805</v>
      </c>
      <c r="BJ49">
        <v>-4.2642245292663574</v>
      </c>
      <c r="BK49">
        <v>-7.5394926071166992</v>
      </c>
      <c r="BL49">
        <v>-3.9927201271057129</v>
      </c>
      <c r="BM49">
        <v>-1.7728573083877563</v>
      </c>
      <c r="BN49">
        <v>-2.964228630065918</v>
      </c>
      <c r="BO49">
        <v>-2.2086100578308105</v>
      </c>
      <c r="BP49">
        <v>-0.66549497842788696</v>
      </c>
      <c r="BQ49">
        <v>15.968598365783691</v>
      </c>
      <c r="BR49">
        <v>63.141437530517578</v>
      </c>
      <c r="BS49">
        <v>62.65704345703125</v>
      </c>
      <c r="BT49">
        <v>63.260395050048828</v>
      </c>
      <c r="BU49">
        <v>25.108333587646484</v>
      </c>
      <c r="BV49">
        <v>6.8174629211425781</v>
      </c>
      <c r="BW49">
        <v>-1.5302053652703762E-2</v>
      </c>
      <c r="BX49">
        <v>-4.212557315826416</v>
      </c>
      <c r="BY49">
        <v>-6.8999276161193848</v>
      </c>
      <c r="BZ49">
        <v>-0.13925348222255707</v>
      </c>
      <c r="CA49">
        <v>0.45559215545654297</v>
      </c>
      <c r="CB49">
        <v>1.1737664937973022</v>
      </c>
      <c r="CC49">
        <v>1.0721886157989502</v>
      </c>
      <c r="CD49">
        <v>0.15202438831329346</v>
      </c>
      <c r="CE49">
        <v>-0.8642880916595459</v>
      </c>
      <c r="CF49">
        <v>1.1993367671966553</v>
      </c>
      <c r="CG49">
        <v>-3.0435476303100586</v>
      </c>
      <c r="CH49">
        <v>-2.9738667011260986</v>
      </c>
      <c r="CI49">
        <v>-6.1579775810241699</v>
      </c>
      <c r="CJ49">
        <v>-2.5511643886566162</v>
      </c>
      <c r="CK49">
        <v>-0.29711621999740601</v>
      </c>
      <c r="CL49">
        <v>-1.4933023452758789</v>
      </c>
      <c r="CM49">
        <v>-0.68522137403488159</v>
      </c>
      <c r="CN49">
        <v>0.85443562269210815</v>
      </c>
      <c r="CO49">
        <v>17.441408157348633</v>
      </c>
      <c r="CP49">
        <v>64.602363586425781</v>
      </c>
      <c r="CQ49">
        <v>64.126396179199219</v>
      </c>
      <c r="CR49">
        <v>64.734756469726562</v>
      </c>
      <c r="CS49">
        <v>26.570898056030273</v>
      </c>
      <c r="CT49">
        <v>8.2519121170043945</v>
      </c>
      <c r="CU49">
        <v>1.4177005290985107</v>
      </c>
      <c r="CV49">
        <v>-2.7554149627685547</v>
      </c>
      <c r="CW49">
        <v>-5.4466915130615234</v>
      </c>
      <c r="CX49">
        <v>1.0582568645477295</v>
      </c>
      <c r="CY49">
        <v>1.6256088018417358</v>
      </c>
      <c r="CZ49">
        <v>2.3537695407867432</v>
      </c>
      <c r="DA49">
        <v>2.2654101848602295</v>
      </c>
      <c r="DB49">
        <v>1.3549180030822754</v>
      </c>
      <c r="DC49">
        <v>0.33566048741340637</v>
      </c>
      <c r="DD49">
        <v>2.4106636047363281</v>
      </c>
      <c r="DE49">
        <v>-1.8091305494308472</v>
      </c>
      <c r="DF49">
        <v>-1.6835088729858398</v>
      </c>
      <c r="DG49">
        <v>-4.7764625549316406</v>
      </c>
      <c r="DH49">
        <v>-1.1096086502075195</v>
      </c>
      <c r="DI49">
        <v>1.1786248683929443</v>
      </c>
      <c r="DJ49">
        <v>-2.2376000881195068E-2</v>
      </c>
      <c r="DK49">
        <v>0.83816736936569214</v>
      </c>
      <c r="DL49">
        <v>2.374366283416748</v>
      </c>
      <c r="DM49">
        <v>18.914216995239258</v>
      </c>
      <c r="DN49">
        <v>66.063285827636719</v>
      </c>
      <c r="DO49">
        <v>65.595748901367188</v>
      </c>
      <c r="DP49">
        <v>66.209121704101563</v>
      </c>
      <c r="DQ49">
        <v>28.033462524414063</v>
      </c>
      <c r="DR49">
        <v>9.6863613128662109</v>
      </c>
      <c r="DS49">
        <v>2.8507030010223389</v>
      </c>
      <c r="DT49">
        <v>-1.2982726097106934</v>
      </c>
      <c r="DU49">
        <v>-3.9934554100036621</v>
      </c>
      <c r="DV49">
        <v>2.7872714996337891</v>
      </c>
      <c r="DW49">
        <v>3.3149271011352539</v>
      </c>
      <c r="DX49">
        <v>4.0575065612792969</v>
      </c>
      <c r="DY49">
        <v>3.9882323741912842</v>
      </c>
      <c r="DZ49">
        <v>3.091705322265625</v>
      </c>
      <c r="EA49">
        <v>2.0681955814361572</v>
      </c>
      <c r="EB49">
        <v>4.1596274375915527</v>
      </c>
      <c r="EC49">
        <v>-2.682829275727272E-2</v>
      </c>
      <c r="ED49">
        <v>0.17956295609474182</v>
      </c>
      <c r="EE49">
        <v>-2.7817742824554443</v>
      </c>
      <c r="EF49">
        <v>0.97176903486251831</v>
      </c>
      <c r="EG49">
        <v>3.3093607425689697</v>
      </c>
      <c r="EH49">
        <v>2.1014080047607422</v>
      </c>
      <c r="EI49">
        <v>3.0376987457275391</v>
      </c>
      <c r="EJ49">
        <v>4.5689043998718262</v>
      </c>
      <c r="EK49">
        <v>21.040719985961914</v>
      </c>
      <c r="EL49">
        <v>68.172630310058594</v>
      </c>
      <c r="EM49">
        <v>67.717262268066406</v>
      </c>
      <c r="EN49">
        <v>68.337860107421875</v>
      </c>
      <c r="EO49">
        <v>30.145175933837891</v>
      </c>
      <c r="EP49">
        <v>11.757478713989258</v>
      </c>
      <c r="EQ49">
        <v>4.9197311401367187</v>
      </c>
      <c r="ER49">
        <v>0.80560958385467529</v>
      </c>
      <c r="ES49">
        <v>-1.8952131271362305</v>
      </c>
      <c r="ET49">
        <v>69.136390686035156</v>
      </c>
      <c r="EU49">
        <v>68.365257263183594</v>
      </c>
      <c r="EV49">
        <v>67.675323486328125</v>
      </c>
      <c r="EW49">
        <v>66.532272338867188</v>
      </c>
      <c r="EX49">
        <v>65.74578857421875</v>
      </c>
      <c r="EY49">
        <v>65.61749267578125</v>
      </c>
      <c r="EZ49">
        <v>68.027435302734375</v>
      </c>
      <c r="FA49">
        <v>71.834266662597656</v>
      </c>
      <c r="FB49">
        <v>75.705390930175781</v>
      </c>
      <c r="FC49">
        <v>79.266952514648437</v>
      </c>
      <c r="FD49">
        <v>82.242294311523438</v>
      </c>
      <c r="FE49">
        <v>84.326454162597656</v>
      </c>
      <c r="FF49">
        <v>85.990242004394531</v>
      </c>
      <c r="FG49">
        <v>85.81768798828125</v>
      </c>
      <c r="FH49">
        <v>85.447853088378906</v>
      </c>
      <c r="FI49">
        <v>84.693260192871094</v>
      </c>
      <c r="FJ49">
        <v>82.510894775390625</v>
      </c>
      <c r="FK49">
        <v>79.901153564453125</v>
      </c>
      <c r="FL49">
        <v>76.583534240722656</v>
      </c>
      <c r="FM49">
        <v>74.1148681640625</v>
      </c>
      <c r="FN49">
        <v>71.974235534667969</v>
      </c>
      <c r="FO49">
        <v>70.854873657226562</v>
      </c>
      <c r="FP49">
        <v>69.844779968261719</v>
      </c>
      <c r="FQ49">
        <v>69.075607299804687</v>
      </c>
      <c r="FR49">
        <v>691</v>
      </c>
      <c r="FS49">
        <v>4.5341555029153824E-2</v>
      </c>
      <c r="FT49">
        <v>1</v>
      </c>
    </row>
    <row r="50" spans="1:176" x14ac:dyDescent="0.2">
      <c r="A50" t="s">
        <v>227</v>
      </c>
      <c r="B50" t="s">
        <v>226</v>
      </c>
      <c r="C50" t="s">
        <v>241</v>
      </c>
      <c r="D50">
        <v>690</v>
      </c>
      <c r="E50">
        <v>690</v>
      </c>
      <c r="F50">
        <v>197.01329040527344</v>
      </c>
      <c r="G50">
        <v>193.74295043945312</v>
      </c>
      <c r="H50">
        <v>190.83412170410156</v>
      </c>
      <c r="I50">
        <v>190.09930419921875</v>
      </c>
      <c r="J50">
        <v>194.87120056152344</v>
      </c>
      <c r="K50">
        <v>206.16737365722656</v>
      </c>
      <c r="L50">
        <v>223.26206970214844</v>
      </c>
      <c r="M50">
        <v>231.00555419921875</v>
      </c>
      <c r="N50">
        <v>239.25028991699219</v>
      </c>
      <c r="O50">
        <v>244.69432067871094</v>
      </c>
      <c r="P50">
        <v>248.09481811523437</v>
      </c>
      <c r="Q50">
        <v>249.7431640625</v>
      </c>
      <c r="R50">
        <v>248.13470458984375</v>
      </c>
      <c r="S50">
        <v>248.50370788574219</v>
      </c>
      <c r="T50">
        <v>242.05699157714844</v>
      </c>
      <c r="U50">
        <v>239.97061157226562</v>
      </c>
      <c r="V50">
        <v>237.17111206054687</v>
      </c>
      <c r="W50">
        <v>231.29728698730469</v>
      </c>
      <c r="X50">
        <v>229.40403747558594</v>
      </c>
      <c r="Y50">
        <v>229.40519714355469</v>
      </c>
      <c r="Z50">
        <v>228.18693542480469</v>
      </c>
      <c r="AA50">
        <v>222.73933410644531</v>
      </c>
      <c r="AB50">
        <v>214.63726806640625</v>
      </c>
      <c r="AC50">
        <v>205.75300598144531</v>
      </c>
      <c r="AD50">
        <v>-4.2134976387023926</v>
      </c>
      <c r="AE50">
        <v>-2.7874994277954102</v>
      </c>
      <c r="AF50">
        <v>-2.9036304950714111</v>
      </c>
      <c r="AG50">
        <v>-2.4621312618255615</v>
      </c>
      <c r="AH50">
        <v>-2.0690197944641113</v>
      </c>
      <c r="AI50">
        <v>-3.3591053485870361</v>
      </c>
      <c r="AJ50">
        <v>-4.5625362396240234</v>
      </c>
      <c r="AK50">
        <v>-5.1362724304199219</v>
      </c>
      <c r="AL50">
        <v>-7.3105249404907227</v>
      </c>
      <c r="AM50">
        <v>-7.3889055252075195</v>
      </c>
      <c r="AN50">
        <v>-9.2542753219604492</v>
      </c>
      <c r="AO50">
        <v>-9.6098337173461914</v>
      </c>
      <c r="AP50">
        <v>-10.708945274353027</v>
      </c>
      <c r="AQ50">
        <v>7.7583351135253906</v>
      </c>
      <c r="AR50">
        <v>65.730865478515625</v>
      </c>
      <c r="AS50">
        <v>66.399429321289063</v>
      </c>
      <c r="AT50">
        <v>59.284507751464844</v>
      </c>
      <c r="AU50">
        <v>54.441436767578125</v>
      </c>
      <c r="AV50">
        <v>57.822231292724609</v>
      </c>
      <c r="AW50">
        <v>19.893516540527344</v>
      </c>
      <c r="AX50">
        <v>3.7842373847961426</v>
      </c>
      <c r="AY50">
        <v>-0.97156471014022827</v>
      </c>
      <c r="AZ50">
        <v>-4.6635313034057617</v>
      </c>
      <c r="BA50">
        <v>-3.8813652992248535</v>
      </c>
      <c r="BB50">
        <v>-2.4642486572265625</v>
      </c>
      <c r="BC50">
        <v>-1.0830782651901245</v>
      </c>
      <c r="BD50">
        <v>-1.208889365196228</v>
      </c>
      <c r="BE50">
        <v>-0.79798144102096558</v>
      </c>
      <c r="BF50">
        <v>-0.38298556208610535</v>
      </c>
      <c r="BG50">
        <v>-1.647663950920105</v>
      </c>
      <c r="BH50">
        <v>-2.8657679557800293</v>
      </c>
      <c r="BI50">
        <v>-3.3706212043762207</v>
      </c>
      <c r="BJ50">
        <v>-5.4700751304626465</v>
      </c>
      <c r="BK50">
        <v>-5.4582047462463379</v>
      </c>
      <c r="BL50">
        <v>-7.2264361381530762</v>
      </c>
      <c r="BM50">
        <v>-7.5706896781921387</v>
      </c>
      <c r="BN50">
        <v>-8.6814870834350586</v>
      </c>
      <c r="BO50">
        <v>9.8013849258422852</v>
      </c>
      <c r="BP50">
        <v>67.794708251953125</v>
      </c>
      <c r="BQ50">
        <v>68.46514892578125</v>
      </c>
      <c r="BR50">
        <v>61.350521087646484</v>
      </c>
      <c r="BS50">
        <v>56.534477233886719</v>
      </c>
      <c r="BT50">
        <v>59.957683563232422</v>
      </c>
      <c r="BU50">
        <v>22.017660140991211</v>
      </c>
      <c r="BV50">
        <v>5.8771648406982422</v>
      </c>
      <c r="BW50">
        <v>1.1072002649307251</v>
      </c>
      <c r="BX50">
        <v>-2.5950710773468018</v>
      </c>
      <c r="BY50">
        <v>-1.7962018251419067</v>
      </c>
      <c r="BZ50">
        <v>-1.2527241706848145</v>
      </c>
      <c r="CA50">
        <v>9.7398668527603149E-2</v>
      </c>
      <c r="CB50">
        <v>-3.5116761922836304E-2</v>
      </c>
      <c r="CC50">
        <v>0.35460361838340759</v>
      </c>
      <c r="CD50">
        <v>0.78475660085678101</v>
      </c>
      <c r="CE50">
        <v>-0.46232485771179199</v>
      </c>
      <c r="CF50">
        <v>-1.6905910968780518</v>
      </c>
      <c r="CG50">
        <v>-2.1477365493774414</v>
      </c>
      <c r="CH50">
        <v>-4.1953854560852051</v>
      </c>
      <c r="CI50">
        <v>-4.1210074424743652</v>
      </c>
      <c r="CJ50">
        <v>-5.82196044921875</v>
      </c>
      <c r="CK50">
        <v>-6.1583847999572754</v>
      </c>
      <c r="CL50">
        <v>-7.2772750854492187</v>
      </c>
      <c r="CM50">
        <v>11.216395378112793</v>
      </c>
      <c r="CN50">
        <v>69.22412109375</v>
      </c>
      <c r="CO50">
        <v>69.895858764648437</v>
      </c>
      <c r="CP50">
        <v>62.78143310546875</v>
      </c>
      <c r="CQ50">
        <v>57.984111785888672</v>
      </c>
      <c r="CR50">
        <v>61.436691284179688</v>
      </c>
      <c r="CS50">
        <v>23.488834381103516</v>
      </c>
      <c r="CT50">
        <v>7.3267202377319336</v>
      </c>
      <c r="CU50">
        <v>2.5469465255737305</v>
      </c>
      <c r="CV50">
        <v>-1.1624616384506226</v>
      </c>
      <c r="CW50">
        <v>-0.35202401876449585</v>
      </c>
      <c r="CX50">
        <v>-4.1199605911970139E-2</v>
      </c>
      <c r="CY50">
        <v>1.277875542640686</v>
      </c>
      <c r="CZ50">
        <v>1.1386557817459106</v>
      </c>
      <c r="DA50">
        <v>1.5071886777877808</v>
      </c>
      <c r="DB50">
        <v>1.9524987936019897</v>
      </c>
      <c r="DC50">
        <v>0.723014235496521</v>
      </c>
      <c r="DD50">
        <v>-0.51541435718536377</v>
      </c>
      <c r="DE50">
        <v>-0.92485189437866211</v>
      </c>
      <c r="DF50">
        <v>-2.9206957817077637</v>
      </c>
      <c r="DG50">
        <v>-2.7838101387023926</v>
      </c>
      <c r="DH50">
        <v>-4.4174847602844238</v>
      </c>
      <c r="DI50">
        <v>-4.7460799217224121</v>
      </c>
      <c r="DJ50">
        <v>-5.8730635643005371</v>
      </c>
      <c r="DK50">
        <v>12.631405830383301</v>
      </c>
      <c r="DL50">
        <v>70.653533935546875</v>
      </c>
      <c r="DM50">
        <v>71.326568603515625</v>
      </c>
      <c r="DN50">
        <v>64.212348937988281</v>
      </c>
      <c r="DO50">
        <v>59.433746337890625</v>
      </c>
      <c r="DP50">
        <v>62.915699005126953</v>
      </c>
      <c r="DQ50">
        <v>24.96000862121582</v>
      </c>
      <c r="DR50">
        <v>8.776275634765625</v>
      </c>
      <c r="DS50">
        <v>3.9866929054260254</v>
      </c>
      <c r="DT50">
        <v>0.27014774084091187</v>
      </c>
      <c r="DU50">
        <v>1.092153787612915</v>
      </c>
      <c r="DV50">
        <v>1.7080494165420532</v>
      </c>
      <c r="DW50">
        <v>2.9822967052459717</v>
      </c>
      <c r="DX50">
        <v>2.8333969116210937</v>
      </c>
      <c r="DY50">
        <v>3.1713383197784424</v>
      </c>
      <c r="DZ50">
        <v>3.6385331153869629</v>
      </c>
      <c r="EA50">
        <v>2.4344556331634521</v>
      </c>
      <c r="EB50">
        <v>1.181354284286499</v>
      </c>
      <c r="EC50">
        <v>0.84079927206039429</v>
      </c>
      <c r="ED50">
        <v>-1.0802462100982666</v>
      </c>
      <c r="EE50">
        <v>-0.85310935974121094</v>
      </c>
      <c r="EF50">
        <v>-2.3896450996398926</v>
      </c>
      <c r="EG50">
        <v>-2.7069358825683594</v>
      </c>
      <c r="EH50">
        <v>-3.8456048965454102</v>
      </c>
      <c r="EI50">
        <v>14.674455642700195</v>
      </c>
      <c r="EJ50">
        <v>72.717376708984375</v>
      </c>
      <c r="EK50">
        <v>73.392288208007813</v>
      </c>
      <c r="EL50">
        <v>66.278358459472656</v>
      </c>
      <c r="EM50">
        <v>61.526786804199219</v>
      </c>
      <c r="EN50">
        <v>65.0511474609375</v>
      </c>
      <c r="EO50">
        <v>27.084152221679688</v>
      </c>
      <c r="EP50">
        <v>10.869202613830566</v>
      </c>
      <c r="EQ50">
        <v>6.065457820892334</v>
      </c>
      <c r="ER50">
        <v>2.3386080265045166</v>
      </c>
      <c r="ES50">
        <v>3.1773173809051514</v>
      </c>
      <c r="ET50">
        <v>73.58441162109375</v>
      </c>
      <c r="EU50">
        <v>72.579299926757812</v>
      </c>
      <c r="EV50">
        <v>71.801124572753906</v>
      </c>
      <c r="EW50">
        <v>71.12371826171875</v>
      </c>
      <c r="EX50">
        <v>70.582992553710937</v>
      </c>
      <c r="EY50">
        <v>70.3577880859375</v>
      </c>
      <c r="EZ50">
        <v>72.404640197753906</v>
      </c>
      <c r="FA50">
        <v>76.619972229003906</v>
      </c>
      <c r="FB50">
        <v>81.330970764160156</v>
      </c>
      <c r="FC50">
        <v>85.421257019042969</v>
      </c>
      <c r="FD50">
        <v>88.167671203613281</v>
      </c>
      <c r="FE50">
        <v>90.430831909179688</v>
      </c>
      <c r="FF50">
        <v>91.688644409179687</v>
      </c>
      <c r="FG50">
        <v>92.015968322753906</v>
      </c>
      <c r="FH50">
        <v>90.821754455566406</v>
      </c>
      <c r="FI50">
        <v>89.647193908691406</v>
      </c>
      <c r="FJ50">
        <v>88.1749267578125</v>
      </c>
      <c r="FK50">
        <v>85.664886474609375</v>
      </c>
      <c r="FL50">
        <v>82.073249816894531</v>
      </c>
      <c r="FM50">
        <v>79.915374755859375</v>
      </c>
      <c r="FN50">
        <v>77.862777709960937</v>
      </c>
      <c r="FO50">
        <v>76.019699096679688</v>
      </c>
      <c r="FP50">
        <v>74.584381103515625</v>
      </c>
      <c r="FQ50">
        <v>72.974761962890625</v>
      </c>
      <c r="FR50">
        <v>690</v>
      </c>
      <c r="FS50">
        <v>4.1762493550777435E-2</v>
      </c>
      <c r="FT50">
        <v>1</v>
      </c>
    </row>
    <row r="51" spans="1:176" x14ac:dyDescent="0.2">
      <c r="A51" t="s">
        <v>227</v>
      </c>
      <c r="B51" t="s">
        <v>226</v>
      </c>
      <c r="C51" t="s">
        <v>242</v>
      </c>
      <c r="D51">
        <v>688</v>
      </c>
      <c r="E51">
        <v>688</v>
      </c>
      <c r="F51">
        <v>201.27534484863281</v>
      </c>
      <c r="G51">
        <v>198.33111572265625</v>
      </c>
      <c r="H51">
        <v>195.37199401855469</v>
      </c>
      <c r="I51">
        <v>194.298095703125</v>
      </c>
      <c r="J51">
        <v>199.15573120117187</v>
      </c>
      <c r="K51">
        <v>210.10150146484375</v>
      </c>
      <c r="L51">
        <v>226.42906188964844</v>
      </c>
      <c r="M51">
        <v>233.86451721191406</v>
      </c>
      <c r="N51">
        <v>241.49758911132812</v>
      </c>
      <c r="O51">
        <v>247.19375610351562</v>
      </c>
      <c r="P51">
        <v>251.26943969726562</v>
      </c>
      <c r="Q51">
        <v>253.04985046386719</v>
      </c>
      <c r="R51">
        <v>251.90692138671875</v>
      </c>
      <c r="S51">
        <v>252.0386962890625</v>
      </c>
      <c r="T51">
        <v>245.51701354980469</v>
      </c>
      <c r="U51">
        <v>243.19784545898437</v>
      </c>
      <c r="V51">
        <v>240.48875427246094</v>
      </c>
      <c r="W51">
        <v>234.58888244628906</v>
      </c>
      <c r="X51">
        <v>232.05349731445312</v>
      </c>
      <c r="Y51">
        <v>231.16410827636719</v>
      </c>
      <c r="Z51">
        <v>229.71388244628906</v>
      </c>
      <c r="AA51">
        <v>224.81230163574219</v>
      </c>
      <c r="AB51">
        <v>217.068115234375</v>
      </c>
      <c r="AC51">
        <v>208.35530090332031</v>
      </c>
      <c r="AD51">
        <v>-0.57514011859893799</v>
      </c>
      <c r="AE51">
        <v>-1.0886274576187134</v>
      </c>
      <c r="AF51">
        <v>-2.6624903678894043</v>
      </c>
      <c r="AG51">
        <v>-2.5189046859741211</v>
      </c>
      <c r="AH51">
        <v>-1.7062587738037109</v>
      </c>
      <c r="AI51">
        <v>-2.9951894283294678</v>
      </c>
      <c r="AJ51">
        <v>-3.0037763118743896</v>
      </c>
      <c r="AK51">
        <v>-3.6799871921539307</v>
      </c>
      <c r="AL51">
        <v>-5.4382314682006836</v>
      </c>
      <c r="AM51">
        <v>-5.7408108711242676</v>
      </c>
      <c r="AN51">
        <v>-6.922182559967041</v>
      </c>
      <c r="AO51">
        <v>-4.1924333572387695</v>
      </c>
      <c r="AP51">
        <v>-5.0280075073242188</v>
      </c>
      <c r="AQ51">
        <v>-4.9718999862670898</v>
      </c>
      <c r="AR51">
        <v>11.521005630493164</v>
      </c>
      <c r="AS51">
        <v>56.935024261474609</v>
      </c>
      <c r="AT51">
        <v>57.086509704589844</v>
      </c>
      <c r="AU51">
        <v>57.237308502197266</v>
      </c>
      <c r="AV51">
        <v>58.642391204833984</v>
      </c>
      <c r="AW51">
        <v>20.763017654418945</v>
      </c>
      <c r="AX51">
        <v>6.9151549339294434</v>
      </c>
      <c r="AY51">
        <v>6.7474198341369629</v>
      </c>
      <c r="AZ51">
        <v>5.5773835182189941</v>
      </c>
      <c r="BA51">
        <v>2.6551237106323242</v>
      </c>
      <c r="BB51">
        <v>1.0842314958572388</v>
      </c>
      <c r="BC51">
        <v>0.50756311416625977</v>
      </c>
      <c r="BD51">
        <v>-1.0577664375305176</v>
      </c>
      <c r="BE51">
        <v>-0.93896883726119995</v>
      </c>
      <c r="BF51">
        <v>-7.6952069997787476E-2</v>
      </c>
      <c r="BG51">
        <v>-1.3377704620361328</v>
      </c>
      <c r="BH51">
        <v>-1.3535985946655273</v>
      </c>
      <c r="BI51">
        <v>-1.9652819633483887</v>
      </c>
      <c r="BJ51">
        <v>-3.658961296081543</v>
      </c>
      <c r="BK51">
        <v>-3.8588740825653076</v>
      </c>
      <c r="BL51">
        <v>-4.9497079849243164</v>
      </c>
      <c r="BM51">
        <v>-2.1854171752929687</v>
      </c>
      <c r="BN51">
        <v>-3.0145111083984375</v>
      </c>
      <c r="BO51">
        <v>-2.9603919982910156</v>
      </c>
      <c r="BP51">
        <v>13.548039436340332</v>
      </c>
      <c r="BQ51">
        <v>58.954231262207031</v>
      </c>
      <c r="BR51">
        <v>59.0943603515625</v>
      </c>
      <c r="BS51">
        <v>59.252101898193359</v>
      </c>
      <c r="BT51">
        <v>60.702877044677734</v>
      </c>
      <c r="BU51">
        <v>22.81639289855957</v>
      </c>
      <c r="BV51">
        <v>8.9402532577514648</v>
      </c>
      <c r="BW51">
        <v>8.7409791946411133</v>
      </c>
      <c r="BX51">
        <v>7.5763301849365234</v>
      </c>
      <c r="BY51">
        <v>4.7032394409179687</v>
      </c>
      <c r="BZ51">
        <v>2.2335071563720703</v>
      </c>
      <c r="CA51">
        <v>1.6130797863006592</v>
      </c>
      <c r="CB51">
        <v>5.3660567849874496E-2</v>
      </c>
      <c r="CC51">
        <v>0.15528996288776398</v>
      </c>
      <c r="CD51">
        <v>1.0515007972717285</v>
      </c>
      <c r="CE51">
        <v>-0.1898472011089325</v>
      </c>
      <c r="CF51">
        <v>-0.21069049835205078</v>
      </c>
      <c r="CG51">
        <v>-0.77768224477767944</v>
      </c>
      <c r="CH51">
        <v>-2.4266440868377686</v>
      </c>
      <c r="CI51">
        <v>-2.555450439453125</v>
      </c>
      <c r="CJ51">
        <v>-3.58357834815979</v>
      </c>
      <c r="CK51">
        <v>-0.79536372423171997</v>
      </c>
      <c r="CL51">
        <v>-1.6199697256088257</v>
      </c>
      <c r="CM51">
        <v>-1.5672276020050049</v>
      </c>
      <c r="CN51">
        <v>14.951956748962402</v>
      </c>
      <c r="CO51">
        <v>60.352725982666016</v>
      </c>
      <c r="CP51">
        <v>60.484992980957031</v>
      </c>
      <c r="CQ51">
        <v>60.647541046142578</v>
      </c>
      <c r="CR51">
        <v>62.129962921142578</v>
      </c>
      <c r="CS51">
        <v>24.238555908203125</v>
      </c>
      <c r="CT51">
        <v>10.342830657958984</v>
      </c>
      <c r="CU51">
        <v>10.121712684631348</v>
      </c>
      <c r="CV51">
        <v>8.9607944488525391</v>
      </c>
      <c r="CW51">
        <v>6.121757984161377</v>
      </c>
      <c r="CX51">
        <v>3.3827829360961914</v>
      </c>
      <c r="CY51">
        <v>2.7185964584350586</v>
      </c>
      <c r="CZ51">
        <v>1.1650875806808472</v>
      </c>
      <c r="DA51">
        <v>1.2495487928390503</v>
      </c>
      <c r="DB51">
        <v>2.1799535751342773</v>
      </c>
      <c r="DC51">
        <v>0.9580761194229126</v>
      </c>
      <c r="DD51">
        <v>0.93221759796142578</v>
      </c>
      <c r="DE51">
        <v>0.4099174439907074</v>
      </c>
      <c r="DF51">
        <v>-1.1943268775939941</v>
      </c>
      <c r="DG51">
        <v>-1.2520267963409424</v>
      </c>
      <c r="DH51">
        <v>-2.2174484729766846</v>
      </c>
      <c r="DI51">
        <v>0.59468966722488403</v>
      </c>
      <c r="DJ51">
        <v>-0.2254282683134079</v>
      </c>
      <c r="DK51">
        <v>-0.17406319081783295</v>
      </c>
      <c r="DL51">
        <v>16.355875015258789</v>
      </c>
      <c r="DM51">
        <v>61.751220703125</v>
      </c>
      <c r="DN51">
        <v>61.875625610351563</v>
      </c>
      <c r="DO51">
        <v>62.042980194091797</v>
      </c>
      <c r="DP51">
        <v>63.557048797607422</v>
      </c>
      <c r="DQ51">
        <v>25.66071891784668</v>
      </c>
      <c r="DR51">
        <v>11.745408058166504</v>
      </c>
      <c r="DS51">
        <v>11.502446174621582</v>
      </c>
      <c r="DT51">
        <v>10.345258712768555</v>
      </c>
      <c r="DU51">
        <v>7.5402765274047852</v>
      </c>
      <c r="DV51">
        <v>5.0421543121337891</v>
      </c>
      <c r="DW51">
        <v>4.3147869110107422</v>
      </c>
      <c r="DX51">
        <v>2.7698116302490234</v>
      </c>
      <c r="DY51">
        <v>2.8294847011566162</v>
      </c>
      <c r="DZ51">
        <v>3.809260368347168</v>
      </c>
      <c r="EA51">
        <v>2.615494966506958</v>
      </c>
      <c r="EB51">
        <v>2.5823953151702881</v>
      </c>
      <c r="EC51">
        <v>2.1246228218078613</v>
      </c>
      <c r="ED51">
        <v>0.58494329452514648</v>
      </c>
      <c r="EE51">
        <v>0.6299099326133728</v>
      </c>
      <c r="EF51">
        <v>-0.24497394263744354</v>
      </c>
      <c r="EG51">
        <v>2.6017060279846191</v>
      </c>
      <c r="EH51">
        <v>1.7880680561065674</v>
      </c>
      <c r="EI51">
        <v>1.8374449014663696</v>
      </c>
      <c r="EJ51">
        <v>18.382907867431641</v>
      </c>
      <c r="EK51">
        <v>63.770427703857422</v>
      </c>
      <c r="EL51">
        <v>63.883476257324219</v>
      </c>
      <c r="EM51">
        <v>64.057777404785156</v>
      </c>
      <c r="EN51">
        <v>65.617538452148438</v>
      </c>
      <c r="EO51">
        <v>27.714094161987305</v>
      </c>
      <c r="EP51">
        <v>13.770505905151367</v>
      </c>
      <c r="EQ51">
        <v>13.496005058288574</v>
      </c>
      <c r="ER51">
        <v>12.344204902648926</v>
      </c>
      <c r="ES51">
        <v>9.5883922576904297</v>
      </c>
      <c r="ET51">
        <v>71.358879089355469</v>
      </c>
      <c r="EU51">
        <v>70.950965881347656</v>
      </c>
      <c r="EV51">
        <v>70.236526489257813</v>
      </c>
      <c r="EW51">
        <v>69.41143798828125</v>
      </c>
      <c r="EX51">
        <v>68.864295959472656</v>
      </c>
      <c r="EY51">
        <v>68.016357421875</v>
      </c>
      <c r="EZ51">
        <v>70.534660339355469</v>
      </c>
      <c r="FA51">
        <v>75.094276428222656</v>
      </c>
      <c r="FB51">
        <v>79.6376953125</v>
      </c>
      <c r="FC51">
        <v>83.896064758300781</v>
      </c>
      <c r="FD51">
        <v>87.362640380859375</v>
      </c>
      <c r="FE51">
        <v>89.531196594238281</v>
      </c>
      <c r="FF51">
        <v>90.372116088867188</v>
      </c>
      <c r="FG51">
        <v>91.061019897460938</v>
      </c>
      <c r="FH51">
        <v>91.010284423828125</v>
      </c>
      <c r="FI51">
        <v>89.141975402832031</v>
      </c>
      <c r="FJ51">
        <v>87.546722412109375</v>
      </c>
      <c r="FK51">
        <v>84.727157592773438</v>
      </c>
      <c r="FL51">
        <v>81.08978271484375</v>
      </c>
      <c r="FM51">
        <v>78.72039794921875</v>
      </c>
      <c r="FN51">
        <v>77.068183898925781</v>
      </c>
      <c r="FO51">
        <v>75.760948181152344</v>
      </c>
      <c r="FP51">
        <v>74.595733642578125</v>
      </c>
      <c r="FQ51">
        <v>73.573516845703125</v>
      </c>
      <c r="FR51">
        <v>688</v>
      </c>
      <c r="FS51">
        <v>3.9507009088993073E-2</v>
      </c>
      <c r="FT51">
        <v>1</v>
      </c>
    </row>
    <row r="52" spans="1:176" x14ac:dyDescent="0.2">
      <c r="A52" t="s">
        <v>227</v>
      </c>
      <c r="B52" t="s">
        <v>226</v>
      </c>
      <c r="C52" t="s">
        <v>243</v>
      </c>
      <c r="D52">
        <v>688</v>
      </c>
      <c r="E52">
        <v>688</v>
      </c>
      <c r="F52">
        <v>211.52658081054687</v>
      </c>
      <c r="G52">
        <v>208.10882568359375</v>
      </c>
      <c r="H52">
        <v>205.38475036621094</v>
      </c>
      <c r="I52">
        <v>205.393310546875</v>
      </c>
      <c r="J52">
        <v>212.46351623535156</v>
      </c>
      <c r="K52">
        <v>226.0335693359375</v>
      </c>
      <c r="L52">
        <v>244.3768310546875</v>
      </c>
      <c r="M52">
        <v>251.83200073242187</v>
      </c>
      <c r="N52">
        <v>260.9124755859375</v>
      </c>
      <c r="O52">
        <v>267.020751953125</v>
      </c>
      <c r="P52">
        <v>270.56979370117187</v>
      </c>
      <c r="Q52">
        <v>270.30441284179687</v>
      </c>
      <c r="R52">
        <v>266.599853515625</v>
      </c>
      <c r="S52">
        <v>266.16766357421875</v>
      </c>
      <c r="T52">
        <v>258.49893188476562</v>
      </c>
      <c r="U52">
        <v>254.26309204101562</v>
      </c>
      <c r="V52">
        <v>249.02030944824219</v>
      </c>
      <c r="W52">
        <v>241.59638977050781</v>
      </c>
      <c r="X52">
        <v>240.04020690917969</v>
      </c>
      <c r="Y52">
        <v>242.14956665039062</v>
      </c>
      <c r="Z52">
        <v>242.82870483398437</v>
      </c>
      <c r="AA52">
        <v>237.91175842285156</v>
      </c>
      <c r="AB52">
        <v>228.74996948242187</v>
      </c>
      <c r="AC52">
        <v>219.17910766601562</v>
      </c>
      <c r="AD52">
        <v>0.31557080149650574</v>
      </c>
      <c r="AE52">
        <v>0.56291306018829346</v>
      </c>
      <c r="AF52">
        <v>-1.4102146625518799</v>
      </c>
      <c r="AG52">
        <v>-1.2303155660629272</v>
      </c>
      <c r="AH52">
        <v>-1.8454592227935791</v>
      </c>
      <c r="AI52">
        <v>-5.6395735740661621</v>
      </c>
      <c r="AJ52">
        <v>-6.3108615875244141</v>
      </c>
      <c r="AK52">
        <v>-3.5221917629241943</v>
      </c>
      <c r="AL52">
        <v>-8.4002904891967773</v>
      </c>
      <c r="AM52">
        <v>-10.747393608093262</v>
      </c>
      <c r="AN52">
        <v>-12.525413513183594</v>
      </c>
      <c r="AO52">
        <v>-7.7758922576904297</v>
      </c>
      <c r="AP52">
        <v>-6.7106423377990723</v>
      </c>
      <c r="AQ52">
        <v>7.9800224304199219</v>
      </c>
      <c r="AR52">
        <v>60.189834594726562</v>
      </c>
      <c r="AS52">
        <v>62.093486785888672</v>
      </c>
      <c r="AT52">
        <v>57.942470550537109</v>
      </c>
      <c r="AU52">
        <v>54.150440216064453</v>
      </c>
      <c r="AV52">
        <v>57.640338897705078</v>
      </c>
      <c r="AW52">
        <v>19.023839950561523</v>
      </c>
      <c r="AX52">
        <v>1.9989912509918213</v>
      </c>
      <c r="AY52">
        <v>-2.1363928318023682</v>
      </c>
      <c r="AZ52">
        <v>-3.56056809425354</v>
      </c>
      <c r="BA52">
        <v>-2.7254841327667236</v>
      </c>
      <c r="BB52">
        <v>2.4006500244140625</v>
      </c>
      <c r="BC52">
        <v>2.5837197303771973</v>
      </c>
      <c r="BD52">
        <v>0.59794741868972778</v>
      </c>
      <c r="BE52">
        <v>0.74327754974365234</v>
      </c>
      <c r="BF52">
        <v>0.16373959183692932</v>
      </c>
      <c r="BG52">
        <v>-3.5985302925109863</v>
      </c>
      <c r="BH52">
        <v>-4.2528576850891113</v>
      </c>
      <c r="BI52">
        <v>-1.3989802598953247</v>
      </c>
      <c r="BJ52">
        <v>-6.1829009056091309</v>
      </c>
      <c r="BK52">
        <v>-8.4545230865478516</v>
      </c>
      <c r="BL52">
        <v>-10.146835327148437</v>
      </c>
      <c r="BM52">
        <v>-5.3694005012512207</v>
      </c>
      <c r="BN52">
        <v>-4.2973170280456543</v>
      </c>
      <c r="BO52">
        <v>10.450273513793945</v>
      </c>
      <c r="BP52">
        <v>62.717388153076172</v>
      </c>
      <c r="BQ52">
        <v>64.685897827148438</v>
      </c>
      <c r="BR52">
        <v>60.631313323974609</v>
      </c>
      <c r="BS52">
        <v>56.924560546875</v>
      </c>
      <c r="BT52">
        <v>60.341419219970703</v>
      </c>
      <c r="BU52">
        <v>21.570472717285156</v>
      </c>
      <c r="BV52">
        <v>4.4617352485656738</v>
      </c>
      <c r="BW52">
        <v>0.31181025505065918</v>
      </c>
      <c r="BX52">
        <v>-1.0287932157516479</v>
      </c>
      <c r="BY52">
        <v>-0.10851304978132248</v>
      </c>
      <c r="BZ52">
        <v>3.8447697162628174</v>
      </c>
      <c r="CA52">
        <v>3.9833242893218994</v>
      </c>
      <c r="CB52">
        <v>1.9887943267822266</v>
      </c>
      <c r="CC52">
        <v>2.1101820468902588</v>
      </c>
      <c r="CD52">
        <v>1.5553045272827148</v>
      </c>
      <c r="CE52">
        <v>-2.1849100589752197</v>
      </c>
      <c r="CF52">
        <v>-2.8274903297424316</v>
      </c>
      <c r="CG52">
        <v>7.154962420463562E-2</v>
      </c>
      <c r="CH52">
        <v>-4.6471433639526367</v>
      </c>
      <c r="CI52">
        <v>-6.8664875030517578</v>
      </c>
      <c r="CJ52">
        <v>-8.4994382858276367</v>
      </c>
      <c r="CK52">
        <v>-3.702672004699707</v>
      </c>
      <c r="CL52">
        <v>-2.6258554458618164</v>
      </c>
      <c r="CM52">
        <v>12.161161422729492</v>
      </c>
      <c r="CN52">
        <v>64.467964172363281</v>
      </c>
      <c r="CO52">
        <v>66.481399536132813</v>
      </c>
      <c r="CP52">
        <v>62.493598937988281</v>
      </c>
      <c r="CQ52">
        <v>58.845909118652344</v>
      </c>
      <c r="CR52">
        <v>62.212177276611328</v>
      </c>
      <c r="CS52">
        <v>23.334260940551758</v>
      </c>
      <c r="CT52">
        <v>6.167424201965332</v>
      </c>
      <c r="CU52">
        <v>2.0074281692504883</v>
      </c>
      <c r="CV52">
        <v>0.72470635175704956</v>
      </c>
      <c r="CW52">
        <v>1.7039930820465088</v>
      </c>
      <c r="CX52">
        <v>5.2888894081115723</v>
      </c>
      <c r="CY52">
        <v>5.3829288482666016</v>
      </c>
      <c r="CZ52">
        <v>3.3796412944793701</v>
      </c>
      <c r="DA52">
        <v>3.4770865440368652</v>
      </c>
      <c r="DB52">
        <v>2.9468693733215332</v>
      </c>
      <c r="DC52">
        <v>-0.77128976583480835</v>
      </c>
      <c r="DD52">
        <v>-1.4021230936050415</v>
      </c>
      <c r="DE52">
        <v>1.5420795679092407</v>
      </c>
      <c r="DF52">
        <v>-3.1113860607147217</v>
      </c>
      <c r="DG52">
        <v>-5.2784519195556641</v>
      </c>
      <c r="DH52">
        <v>-6.8520417213439941</v>
      </c>
      <c r="DI52">
        <v>-2.0359432697296143</v>
      </c>
      <c r="DJ52">
        <v>-0.95439368486404419</v>
      </c>
      <c r="DK52">
        <v>13.872049331665039</v>
      </c>
      <c r="DL52">
        <v>66.218544006347656</v>
      </c>
      <c r="DM52">
        <v>68.276901245117187</v>
      </c>
      <c r="DN52">
        <v>64.355880737304688</v>
      </c>
      <c r="DO52">
        <v>60.767257690429688</v>
      </c>
      <c r="DP52">
        <v>64.082939147949219</v>
      </c>
      <c r="DQ52">
        <v>25.098049163818359</v>
      </c>
      <c r="DR52">
        <v>7.8731131553649902</v>
      </c>
      <c r="DS52">
        <v>3.7030460834503174</v>
      </c>
      <c r="DT52">
        <v>2.4782059192657471</v>
      </c>
      <c r="DU52">
        <v>3.5164992809295654</v>
      </c>
      <c r="DV52">
        <v>7.3739686012268066</v>
      </c>
      <c r="DW52">
        <v>7.4037356376647949</v>
      </c>
      <c r="DX52">
        <v>5.3878030776977539</v>
      </c>
      <c r="DY52">
        <v>5.4506797790527344</v>
      </c>
      <c r="DZ52">
        <v>4.9560680389404297</v>
      </c>
      <c r="EA52">
        <v>1.2697534561157227</v>
      </c>
      <c r="EB52">
        <v>0.65588068962097168</v>
      </c>
      <c r="EC52">
        <v>3.6652910709381104</v>
      </c>
      <c r="ED52">
        <v>-0.89399623870849609</v>
      </c>
      <c r="EE52">
        <v>-2.9855813980102539</v>
      </c>
      <c r="EF52">
        <v>-4.4734625816345215</v>
      </c>
      <c r="EG52">
        <v>0.3705483078956604</v>
      </c>
      <c r="EH52">
        <v>1.458931565284729</v>
      </c>
      <c r="EI52">
        <v>16.342300415039063</v>
      </c>
      <c r="EJ52">
        <v>68.74609375</v>
      </c>
      <c r="EK52">
        <v>70.869316101074219</v>
      </c>
      <c r="EL52">
        <v>67.044731140136719</v>
      </c>
      <c r="EM52">
        <v>63.541378021240234</v>
      </c>
      <c r="EN52">
        <v>66.784011840820312</v>
      </c>
      <c r="EO52">
        <v>27.644681930541992</v>
      </c>
      <c r="EP52">
        <v>10.335857391357422</v>
      </c>
      <c r="EQ52">
        <v>6.1512489318847656</v>
      </c>
      <c r="ER52">
        <v>5.0099806785583496</v>
      </c>
      <c r="ES52">
        <v>6.1334700584411621</v>
      </c>
      <c r="ET52">
        <v>80.069999694824219</v>
      </c>
      <c r="EU52">
        <v>79.107589721679688</v>
      </c>
      <c r="EV52">
        <v>78.490104675292969</v>
      </c>
      <c r="EW52">
        <v>77.601066589355469</v>
      </c>
      <c r="EX52">
        <v>77.505393981933594</v>
      </c>
      <c r="EY52">
        <v>77.271400451660156</v>
      </c>
      <c r="EZ52">
        <v>78.792350769042969</v>
      </c>
      <c r="FA52">
        <v>83.118721008300781</v>
      </c>
      <c r="FB52">
        <v>87.8331298828125</v>
      </c>
      <c r="FC52">
        <v>91.993278503417969</v>
      </c>
      <c r="FD52">
        <v>94.034088134765625</v>
      </c>
      <c r="FE52">
        <v>95.522544860839844</v>
      </c>
      <c r="FF52">
        <v>96.312965393066406</v>
      </c>
      <c r="FG52">
        <v>95.695869445800781</v>
      </c>
      <c r="FH52">
        <v>93.375129699707031</v>
      </c>
      <c r="FI52">
        <v>91.834243774414063</v>
      </c>
      <c r="FJ52">
        <v>91.773429870605469</v>
      </c>
      <c r="FK52">
        <v>91.341117858886719</v>
      </c>
      <c r="FL52">
        <v>88.893814086914062</v>
      </c>
      <c r="FM52">
        <v>87.394882202148438</v>
      </c>
      <c r="FN52">
        <v>86.001960754394531</v>
      </c>
      <c r="FO52">
        <v>84.520965576171875</v>
      </c>
      <c r="FP52">
        <v>83.662406921386719</v>
      </c>
      <c r="FQ52">
        <v>82.376014709472656</v>
      </c>
      <c r="FR52">
        <v>688</v>
      </c>
      <c r="FS52">
        <v>3.8428634405136108E-2</v>
      </c>
      <c r="FT52">
        <v>1</v>
      </c>
    </row>
    <row r="53" spans="1:176" x14ac:dyDescent="0.2">
      <c r="A53" t="s">
        <v>227</v>
      </c>
      <c r="B53" t="s">
        <v>226</v>
      </c>
      <c r="C53" t="s">
        <v>2</v>
      </c>
      <c r="D53">
        <v>678.5</v>
      </c>
      <c r="E53">
        <v>678.5</v>
      </c>
      <c r="F53">
        <v>199.10830688476562</v>
      </c>
      <c r="G53">
        <v>195.6378173828125</v>
      </c>
      <c r="H53">
        <v>192.99031066894531</v>
      </c>
      <c r="I53">
        <v>191.64781188964844</v>
      </c>
      <c r="J53">
        <v>195.71209716796875</v>
      </c>
      <c r="K53">
        <v>206.394287109375</v>
      </c>
      <c r="L53">
        <v>221.35026550292969</v>
      </c>
      <c r="M53">
        <v>227.38560485839844</v>
      </c>
      <c r="N53">
        <v>233.423095703125</v>
      </c>
      <c r="O53">
        <v>237.50479125976563</v>
      </c>
      <c r="P53">
        <v>239.72767639160156</v>
      </c>
      <c r="Q53">
        <v>239.52479553222656</v>
      </c>
      <c r="R53">
        <v>237.05337524414062</v>
      </c>
      <c r="S53">
        <v>237.093505859375</v>
      </c>
      <c r="T53">
        <v>235.848388671875</v>
      </c>
      <c r="U53">
        <v>233.54804992675781</v>
      </c>
      <c r="V53">
        <v>230.77308654785156</v>
      </c>
      <c r="W53">
        <v>225.39236450195312</v>
      </c>
      <c r="X53">
        <v>221.56459045410156</v>
      </c>
      <c r="Y53">
        <v>220.46653747558594</v>
      </c>
      <c r="Z53">
        <v>219.50027465820313</v>
      </c>
      <c r="AA53">
        <v>214.680419921875</v>
      </c>
      <c r="AB53">
        <v>208.78144836425781</v>
      </c>
      <c r="AC53">
        <v>200.00918579101562</v>
      </c>
      <c r="AD53">
        <v>-3.5878889560699463</v>
      </c>
      <c r="AE53">
        <v>-3.3017873764038086</v>
      </c>
      <c r="AF53">
        <v>-2.6424369812011719</v>
      </c>
      <c r="AG53">
        <v>-3.2495274543762207</v>
      </c>
      <c r="AH53">
        <v>-3.407468318939209</v>
      </c>
      <c r="AI53">
        <v>-3.7115912437438965</v>
      </c>
      <c r="AJ53">
        <v>-3.236058235168457</v>
      </c>
      <c r="AK53">
        <v>-4.1939787864685059</v>
      </c>
      <c r="AL53">
        <v>-2.6224589347839355</v>
      </c>
      <c r="AM53">
        <v>-1.5359963178634644</v>
      </c>
      <c r="AN53">
        <v>-2.4184291362762451</v>
      </c>
      <c r="AO53">
        <v>-4.166172981262207</v>
      </c>
      <c r="AP53">
        <v>-6.0199098587036133</v>
      </c>
      <c r="AQ53">
        <v>9.5208873748779297</v>
      </c>
      <c r="AR53">
        <v>66.962730407714844</v>
      </c>
      <c r="AS53">
        <v>68.016868591308594</v>
      </c>
      <c r="AT53">
        <v>22.298065185546875</v>
      </c>
      <c r="AU53">
        <v>2.1173508167266846</v>
      </c>
      <c r="AV53">
        <v>-1.9944759607315063</v>
      </c>
      <c r="AW53">
        <v>-2.1734395027160645</v>
      </c>
      <c r="AX53">
        <v>-2.8057792186737061</v>
      </c>
      <c r="AY53">
        <v>-3.4822871685028076</v>
      </c>
      <c r="AZ53">
        <v>-4.7245931625366211</v>
      </c>
      <c r="BA53">
        <v>-6.1821045875549316</v>
      </c>
      <c r="BB53">
        <v>-1.7982723712921143</v>
      </c>
      <c r="BC53">
        <v>-1.5997858047485352</v>
      </c>
      <c r="BD53">
        <v>-0.98659461736679077</v>
      </c>
      <c r="BE53">
        <v>-1.629550576210022</v>
      </c>
      <c r="BF53">
        <v>-1.7711368799209595</v>
      </c>
      <c r="BG53">
        <v>-2.0533785820007324</v>
      </c>
      <c r="BH53">
        <v>-1.5480506420135498</v>
      </c>
      <c r="BI53">
        <v>-2.4359729290008545</v>
      </c>
      <c r="BJ53">
        <v>-0.77738678455352783</v>
      </c>
      <c r="BK53">
        <v>0.40311726927757263</v>
      </c>
      <c r="BL53">
        <v>-0.40128645300865173</v>
      </c>
      <c r="BM53">
        <v>-2.1182267665863037</v>
      </c>
      <c r="BN53">
        <v>-3.9875733852386475</v>
      </c>
      <c r="BO53">
        <v>11.585278511047363</v>
      </c>
      <c r="BP53">
        <v>69.050186157226563</v>
      </c>
      <c r="BQ53">
        <v>70.108657836914063</v>
      </c>
      <c r="BR53">
        <v>24.377996444702148</v>
      </c>
      <c r="BS53">
        <v>4.1914701461791992</v>
      </c>
      <c r="BT53">
        <v>8.0284520983695984E-2</v>
      </c>
      <c r="BU53">
        <v>-9.3150168657302856E-2</v>
      </c>
      <c r="BV53">
        <v>-0.76713752746582031</v>
      </c>
      <c r="BW53">
        <v>-1.4693700075149536</v>
      </c>
      <c r="BX53">
        <v>-2.7053980827331543</v>
      </c>
      <c r="BY53">
        <v>-4.1769351959228516</v>
      </c>
      <c r="BZ53">
        <v>-0.55878931283950806</v>
      </c>
      <c r="CA53">
        <v>-0.42098459601402283</v>
      </c>
      <c r="CB53">
        <v>0.16023680567741394</v>
      </c>
      <c r="CC53">
        <v>-0.50755947828292847</v>
      </c>
      <c r="CD53">
        <v>-0.63781875371932983</v>
      </c>
      <c r="CE53">
        <v>-0.90490555763244629</v>
      </c>
      <c r="CF53">
        <v>-0.37894168496131897</v>
      </c>
      <c r="CG53">
        <v>-1.2183833122253418</v>
      </c>
      <c r="CH53">
        <v>0.50050467252731323</v>
      </c>
      <c r="CI53">
        <v>1.7461414337158203</v>
      </c>
      <c r="CJ53">
        <v>0.99578040838241577</v>
      </c>
      <c r="CK53">
        <v>-0.69982564449310303</v>
      </c>
      <c r="CL53">
        <v>-2.5799834728240967</v>
      </c>
      <c r="CM53">
        <v>13.015069007873535</v>
      </c>
      <c r="CN53">
        <v>70.495948791503906</v>
      </c>
      <c r="CO53">
        <v>71.557426452636719</v>
      </c>
      <c r="CP53">
        <v>25.818550109863281</v>
      </c>
      <c r="CQ53">
        <v>5.6279988288879395</v>
      </c>
      <c r="CR53">
        <v>1.5172573328018188</v>
      </c>
      <c r="CS53">
        <v>1.3476518392562866</v>
      </c>
      <c r="CT53">
        <v>0.64481955766677856</v>
      </c>
      <c r="CU53">
        <v>-7.522960752248764E-2</v>
      </c>
      <c r="CV53">
        <v>-1.3069096803665161</v>
      </c>
      <c r="CW53">
        <v>-2.7881608009338379</v>
      </c>
      <c r="CX53">
        <v>0.68069374561309814</v>
      </c>
      <c r="CY53">
        <v>0.75781655311584473</v>
      </c>
      <c r="CZ53">
        <v>1.3070682287216187</v>
      </c>
      <c r="DA53">
        <v>0.61443161964416504</v>
      </c>
      <c r="DB53">
        <v>0.49549940228462219</v>
      </c>
      <c r="DC53">
        <v>0.24356748163700104</v>
      </c>
      <c r="DD53">
        <v>0.79016727209091187</v>
      </c>
      <c r="DE53">
        <v>-7.9369737068191171E-4</v>
      </c>
      <c r="DF53">
        <v>1.7783961296081543</v>
      </c>
      <c r="DG53">
        <v>3.0891656875610352</v>
      </c>
      <c r="DH53">
        <v>2.3928472995758057</v>
      </c>
      <c r="DI53">
        <v>0.71857553720474243</v>
      </c>
      <c r="DJ53">
        <v>-1.1723934412002563</v>
      </c>
      <c r="DK53">
        <v>14.444859504699707</v>
      </c>
      <c r="DL53">
        <v>71.94171142578125</v>
      </c>
      <c r="DM53">
        <v>73.006195068359375</v>
      </c>
      <c r="DN53">
        <v>27.259103775024414</v>
      </c>
      <c r="DO53">
        <v>7.0645275115966797</v>
      </c>
      <c r="DP53">
        <v>2.9542300701141357</v>
      </c>
      <c r="DQ53">
        <v>2.7884538173675537</v>
      </c>
      <c r="DR53">
        <v>2.0567765235900879</v>
      </c>
      <c r="DS53">
        <v>1.3189107179641724</v>
      </c>
      <c r="DT53">
        <v>9.1578744351863861E-2</v>
      </c>
      <c r="DU53">
        <v>-1.3993864059448242</v>
      </c>
      <c r="DV53">
        <v>2.4703104496002197</v>
      </c>
      <c r="DW53">
        <v>2.4598181247711182</v>
      </c>
      <c r="DX53">
        <v>2.9629106521606445</v>
      </c>
      <c r="DY53">
        <v>2.2344086170196533</v>
      </c>
      <c r="DZ53">
        <v>2.1318309307098389</v>
      </c>
      <c r="EA53">
        <v>1.9017801284790039</v>
      </c>
      <c r="EB53">
        <v>2.4781749248504639</v>
      </c>
      <c r="EC53">
        <v>1.7572122812271118</v>
      </c>
      <c r="ED53">
        <v>3.6234683990478516</v>
      </c>
      <c r="EE53">
        <v>5.0282793045043945</v>
      </c>
      <c r="EF53">
        <v>4.4099898338317871</v>
      </c>
      <c r="EG53">
        <v>2.766521692276001</v>
      </c>
      <c r="EH53">
        <v>0.85994291305541992</v>
      </c>
      <c r="EI53">
        <v>16.509250640869141</v>
      </c>
      <c r="EJ53">
        <v>74.029167175292969</v>
      </c>
      <c r="EK53">
        <v>75.097984313964844</v>
      </c>
      <c r="EL53">
        <v>29.339035034179687</v>
      </c>
      <c r="EM53">
        <v>9.1386470794677734</v>
      </c>
      <c r="EN53">
        <v>5.0289907455444336</v>
      </c>
      <c r="EO53">
        <v>4.8687429428100586</v>
      </c>
      <c r="EP53">
        <v>4.0954184532165527</v>
      </c>
      <c r="EQ53">
        <v>3.3318281173706055</v>
      </c>
      <c r="ER53">
        <v>2.110774040222168</v>
      </c>
      <c r="ES53">
        <v>0.60578310489654541</v>
      </c>
      <c r="ET53">
        <v>67.424331665039063</v>
      </c>
      <c r="EU53">
        <v>66.401359558105469</v>
      </c>
      <c r="EV53">
        <v>65.161231994628906</v>
      </c>
      <c r="EW53">
        <v>64.52777099609375</v>
      </c>
      <c r="EX53">
        <v>63.900558471679688</v>
      </c>
      <c r="EY53">
        <v>63.942512512207031</v>
      </c>
      <c r="EZ53">
        <v>65.434181213378906</v>
      </c>
      <c r="FA53">
        <v>68.432586669921875</v>
      </c>
      <c r="FB53">
        <v>72.222328186035156</v>
      </c>
      <c r="FC53">
        <v>75.769485473632813</v>
      </c>
      <c r="FD53">
        <v>78.111648559570313</v>
      </c>
      <c r="FE53">
        <v>80.230735778808594</v>
      </c>
      <c r="FF53">
        <v>81.650840759277344</v>
      </c>
      <c r="FG53">
        <v>82.008407592773438</v>
      </c>
      <c r="FH53">
        <v>82.306266784667969</v>
      </c>
      <c r="FI53">
        <v>82.36016845703125</v>
      </c>
      <c r="FJ53">
        <v>81.297271728515625</v>
      </c>
      <c r="FK53">
        <v>79.078773498535156</v>
      </c>
      <c r="FL53">
        <v>75.597122192382812</v>
      </c>
      <c r="FM53">
        <v>72.406761169433594</v>
      </c>
      <c r="FN53">
        <v>70.619552612304688</v>
      </c>
      <c r="FO53">
        <v>69.399971008300781</v>
      </c>
      <c r="FP53">
        <v>68.300857543945313</v>
      </c>
      <c r="FQ53">
        <v>67.381629943847656</v>
      </c>
      <c r="FR53">
        <v>452.33333333333331</v>
      </c>
      <c r="FS53">
        <v>3.0356481671333313E-2</v>
      </c>
      <c r="FT53">
        <v>1</v>
      </c>
    </row>
    <row r="54" spans="1:176" x14ac:dyDescent="0.2">
      <c r="A54" t="s">
        <v>228</v>
      </c>
      <c r="B54" t="s">
        <v>225</v>
      </c>
      <c r="C54" t="s">
        <v>244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0</v>
      </c>
      <c r="FL54">
        <v>0</v>
      </c>
      <c r="FM54">
        <v>0</v>
      </c>
      <c r="FN54">
        <v>0</v>
      </c>
      <c r="FO54">
        <v>0</v>
      </c>
      <c r="FP54">
        <v>0</v>
      </c>
      <c r="FQ54">
        <v>0</v>
      </c>
      <c r="FR54">
        <v>16</v>
      </c>
      <c r="FS54">
        <v>0.23873722553253174</v>
      </c>
      <c r="FT54">
        <v>0</v>
      </c>
    </row>
    <row r="55" spans="1:176" x14ac:dyDescent="0.2">
      <c r="A55" t="s">
        <v>228</v>
      </c>
      <c r="B55" t="s">
        <v>225</v>
      </c>
      <c r="C55" t="s">
        <v>233</v>
      </c>
      <c r="D55">
        <v>48</v>
      </c>
      <c r="E55">
        <v>48</v>
      </c>
      <c r="F55">
        <v>3.8191232681274414</v>
      </c>
      <c r="G55">
        <v>3.7561779022216797</v>
      </c>
      <c r="H55">
        <v>3.6485123634338379</v>
      </c>
      <c r="I55">
        <v>3.4984431266784668</v>
      </c>
      <c r="J55">
        <v>3.4702775478363037</v>
      </c>
      <c r="K55">
        <v>3.5210490226745605</v>
      </c>
      <c r="L55">
        <v>3.829756498336792</v>
      </c>
      <c r="M55">
        <v>4.0409436225891113</v>
      </c>
      <c r="N55">
        <v>4.7265739440917969</v>
      </c>
      <c r="O55">
        <v>4.9492249488830566</v>
      </c>
      <c r="P55">
        <v>5.315887451171875</v>
      </c>
      <c r="Q55">
        <v>5.4601707458496094</v>
      </c>
      <c r="R55">
        <v>5.5346717834472656</v>
      </c>
      <c r="S55">
        <v>5.6627383232116699</v>
      </c>
      <c r="T55">
        <v>5.7536273002624512</v>
      </c>
      <c r="U55">
        <v>5.760284423828125</v>
      </c>
      <c r="V55">
        <v>5.9132852554321289</v>
      </c>
      <c r="W55">
        <v>6.1252832412719727</v>
      </c>
      <c r="X55">
        <v>6.3421359062194824</v>
      </c>
      <c r="Y55">
        <v>6.463282585144043</v>
      </c>
      <c r="Z55">
        <v>6.2901997566223145</v>
      </c>
      <c r="AA55">
        <v>5.6567215919494629</v>
      </c>
      <c r="AB55">
        <v>4.6369404792785645</v>
      </c>
      <c r="AC55">
        <v>4.1356053352355957</v>
      </c>
      <c r="AD55">
        <v>-0.78056949377059937</v>
      </c>
      <c r="AE55">
        <v>-0.81165927648544312</v>
      </c>
      <c r="AF55">
        <v>-0.46138536930084229</v>
      </c>
      <c r="AG55">
        <v>-0.44771862030029297</v>
      </c>
      <c r="AH55">
        <v>-0.45472875237464905</v>
      </c>
      <c r="AI55">
        <v>-0.45927274227142334</v>
      </c>
      <c r="AJ55">
        <v>-0.36959335207939148</v>
      </c>
      <c r="AK55">
        <v>-0.39261475205421448</v>
      </c>
      <c r="AL55">
        <v>-0.42283421754837036</v>
      </c>
      <c r="AM55">
        <v>-0.58398634195327759</v>
      </c>
      <c r="AN55">
        <v>-0.46908235549926758</v>
      </c>
      <c r="AO55">
        <v>-0.55128383636474609</v>
      </c>
      <c r="AP55">
        <v>-0.47650864720344543</v>
      </c>
      <c r="AQ55">
        <v>-0.45644629001617432</v>
      </c>
      <c r="AR55">
        <v>-0.46785613894462585</v>
      </c>
      <c r="AS55">
        <v>-0.65025162696838379</v>
      </c>
      <c r="AT55">
        <v>-0.12181975692510605</v>
      </c>
      <c r="AU55">
        <v>1.3155956268310547</v>
      </c>
      <c r="AV55">
        <v>0.11362341791391373</v>
      </c>
      <c r="AW55">
        <v>-0.75140529870986938</v>
      </c>
      <c r="AX55">
        <v>-0.85560059547424316</v>
      </c>
      <c r="AY55">
        <v>-0.75408411026000977</v>
      </c>
      <c r="AZ55">
        <v>-0.72459441423416138</v>
      </c>
      <c r="BA55">
        <v>-0.79594051837921143</v>
      </c>
      <c r="BB55">
        <v>-0.47303459048271179</v>
      </c>
      <c r="BC55">
        <v>-0.50054138898849487</v>
      </c>
      <c r="BD55">
        <v>-0.15775857865810394</v>
      </c>
      <c r="BE55">
        <v>-0.15883602201938629</v>
      </c>
      <c r="BF55">
        <v>-0.16408291459083557</v>
      </c>
      <c r="BG55">
        <v>-0.17096911370754242</v>
      </c>
      <c r="BH55">
        <v>-7.9152144491672516E-2</v>
      </c>
      <c r="BI55">
        <v>-9.4547070562839508E-2</v>
      </c>
      <c r="BJ55">
        <v>-9.7760789096355438E-2</v>
      </c>
      <c r="BK55">
        <v>-0.227521613240242</v>
      </c>
      <c r="BL55">
        <v>-9.6855662763118744E-2</v>
      </c>
      <c r="BM55">
        <v>-0.18168933689594269</v>
      </c>
      <c r="BN55">
        <v>-0.11059729009866714</v>
      </c>
      <c r="BO55">
        <v>-9.3994662165641785E-2</v>
      </c>
      <c r="BP55">
        <v>-9.5124959945678711E-2</v>
      </c>
      <c r="BQ55">
        <v>-0.26675441861152649</v>
      </c>
      <c r="BR55">
        <v>0.25443929433822632</v>
      </c>
      <c r="BS55">
        <v>1.7020299434661865</v>
      </c>
      <c r="BT55">
        <v>0.49453669786453247</v>
      </c>
      <c r="BU55">
        <v>-0.37240910530090332</v>
      </c>
      <c r="BV55">
        <v>-0.4708721935749054</v>
      </c>
      <c r="BW55">
        <v>-0.35933825373649597</v>
      </c>
      <c r="BX55">
        <v>-0.31789103150367737</v>
      </c>
      <c r="BY55">
        <v>-0.40424299240112305</v>
      </c>
      <c r="BZ55">
        <v>-0.26003685593605042</v>
      </c>
      <c r="CA55">
        <v>-0.28506213426589966</v>
      </c>
      <c r="CB55">
        <v>5.2532419562339783E-2</v>
      </c>
      <c r="CC55">
        <v>4.1243191808462143E-2</v>
      </c>
      <c r="CD55">
        <v>3.7217516452074051E-2</v>
      </c>
      <c r="CE55">
        <v>2.8709081932902336E-2</v>
      </c>
      <c r="CF55">
        <v>0.12200654298067093</v>
      </c>
      <c r="CG55">
        <v>0.11189369112253189</v>
      </c>
      <c r="CH55">
        <v>0.12738408148288727</v>
      </c>
      <c r="CI55">
        <v>1.9364757463335991E-2</v>
      </c>
      <c r="CJ55">
        <v>0.16094741225242615</v>
      </c>
      <c r="CK55">
        <v>7.42906853556633E-2</v>
      </c>
      <c r="CL55">
        <v>0.14283180236816406</v>
      </c>
      <c r="CM55">
        <v>0.15703822672367096</v>
      </c>
      <c r="CN55">
        <v>0.16302752494812012</v>
      </c>
      <c r="CO55">
        <v>-1.1453963816165924E-3</v>
      </c>
      <c r="CP55">
        <v>0.51503515243530273</v>
      </c>
      <c r="CQ55">
        <v>1.9696731567382813</v>
      </c>
      <c r="CR55">
        <v>0.75835609436035156</v>
      </c>
      <c r="CS55">
        <v>-0.10991749167442322</v>
      </c>
      <c r="CT55">
        <v>-0.20441044867038727</v>
      </c>
      <c r="CU55">
        <v>-8.59384685754776E-2</v>
      </c>
      <c r="CV55">
        <v>-3.620954230427742E-2</v>
      </c>
      <c r="CW55">
        <v>-0.13295447826385498</v>
      </c>
      <c r="CX55">
        <v>-4.7039110213518143E-2</v>
      </c>
      <c r="CY55">
        <v>-6.9582857191562653E-2</v>
      </c>
      <c r="CZ55">
        <v>0.26282340288162231</v>
      </c>
      <c r="DA55">
        <v>0.24132239818572998</v>
      </c>
      <c r="DB55">
        <v>0.23851794004440308</v>
      </c>
      <c r="DC55">
        <v>0.22838728129863739</v>
      </c>
      <c r="DD55">
        <v>0.32316523790359497</v>
      </c>
      <c r="DE55">
        <v>0.31833446025848389</v>
      </c>
      <c r="DF55">
        <v>0.35252895951271057</v>
      </c>
      <c r="DG55">
        <v>0.26625114679336548</v>
      </c>
      <c r="DH55">
        <v>0.41875049471855164</v>
      </c>
      <c r="DI55">
        <v>0.33027070760726929</v>
      </c>
      <c r="DJ55">
        <v>0.39626088738441467</v>
      </c>
      <c r="DK55">
        <v>0.4080711305141449</v>
      </c>
      <c r="DL55">
        <v>0.42118000984191895</v>
      </c>
      <c r="DM55">
        <v>0.2644636332988739</v>
      </c>
      <c r="DN55">
        <v>0.77563101053237915</v>
      </c>
      <c r="DO55">
        <v>2.237316370010376</v>
      </c>
      <c r="DP55">
        <v>1.0221754312515259</v>
      </c>
      <c r="DQ55">
        <v>0.15257410705089569</v>
      </c>
      <c r="DR55">
        <v>6.2051285058259964E-2</v>
      </c>
      <c r="DS55">
        <v>0.18746131658554077</v>
      </c>
      <c r="DT55">
        <v>0.24547195434570313</v>
      </c>
      <c r="DU55">
        <v>0.13833403587341309</v>
      </c>
      <c r="DV55">
        <v>0.26049581170082092</v>
      </c>
      <c r="DW55">
        <v>0.2415349930524826</v>
      </c>
      <c r="DX55">
        <v>0.56645023822784424</v>
      </c>
      <c r="DY55">
        <v>0.53020501136779785</v>
      </c>
      <c r="DZ55">
        <v>0.52916377782821655</v>
      </c>
      <c r="EA55">
        <v>0.51669090986251831</v>
      </c>
      <c r="EB55">
        <v>0.61360645294189453</v>
      </c>
      <c r="EC55">
        <v>0.61640214920043945</v>
      </c>
      <c r="ED55">
        <v>0.67760241031646729</v>
      </c>
      <c r="EE55">
        <v>0.62271583080291748</v>
      </c>
      <c r="EF55">
        <v>0.79097718000411987</v>
      </c>
      <c r="EG55">
        <v>0.69986516237258911</v>
      </c>
      <c r="EH55">
        <v>0.76217228174209595</v>
      </c>
      <c r="EI55">
        <v>0.77052277326583862</v>
      </c>
      <c r="EJ55">
        <v>0.79391121864318848</v>
      </c>
      <c r="EK55">
        <v>0.6479608416557312</v>
      </c>
      <c r="EL55">
        <v>1.1518900394439697</v>
      </c>
      <c r="EM55">
        <v>2.6237506866455078</v>
      </c>
      <c r="EN55">
        <v>1.4030888080596924</v>
      </c>
      <c r="EO55">
        <v>0.53157031536102295</v>
      </c>
      <c r="EP55">
        <v>0.44677969813346863</v>
      </c>
      <c r="EQ55">
        <v>0.58220720291137695</v>
      </c>
      <c r="ER55">
        <v>0.65217530727386475</v>
      </c>
      <c r="ES55">
        <v>0.53003156185150146</v>
      </c>
      <c r="ET55">
        <v>60.627197265625</v>
      </c>
      <c r="EU55">
        <v>59.493907928466797</v>
      </c>
      <c r="EV55">
        <v>57.716976165771484</v>
      </c>
      <c r="EW55">
        <v>57.443901062011719</v>
      </c>
      <c r="EX55">
        <v>56.787948608398438</v>
      </c>
      <c r="EY55">
        <v>58.235996246337891</v>
      </c>
      <c r="EZ55">
        <v>63.161090850830078</v>
      </c>
      <c r="FA55">
        <v>69.546905517578125</v>
      </c>
      <c r="FB55">
        <v>74.288253784179688</v>
      </c>
      <c r="FC55">
        <v>76.471527099609375</v>
      </c>
      <c r="FD55">
        <v>78.42596435546875</v>
      </c>
      <c r="FE55">
        <v>79.758033752441406</v>
      </c>
      <c r="FF55">
        <v>80.939208984375</v>
      </c>
      <c r="FG55">
        <v>82.074363708496094</v>
      </c>
      <c r="FH55">
        <v>83.325271606445313</v>
      </c>
      <c r="FI55">
        <v>83.70672607421875</v>
      </c>
      <c r="FJ55">
        <v>84.1826171875</v>
      </c>
      <c r="FK55">
        <v>83.922798156738281</v>
      </c>
      <c r="FL55">
        <v>81.715805053710938</v>
      </c>
      <c r="FM55">
        <v>77.601364135742187</v>
      </c>
      <c r="FN55">
        <v>74.93756103515625</v>
      </c>
      <c r="FO55">
        <v>70.835433959960937</v>
      </c>
      <c r="FP55">
        <v>68.152313232421875</v>
      </c>
      <c r="FQ55">
        <v>65.350509643554688</v>
      </c>
      <c r="FR55">
        <v>48</v>
      </c>
      <c r="FS55">
        <v>8.0970868468284607E-2</v>
      </c>
      <c r="FT55">
        <v>1</v>
      </c>
    </row>
    <row r="56" spans="1:176" x14ac:dyDescent="0.2">
      <c r="A56" t="s">
        <v>228</v>
      </c>
      <c r="B56" t="s">
        <v>225</v>
      </c>
      <c r="C56" t="s">
        <v>234</v>
      </c>
      <c r="D56">
        <v>48</v>
      </c>
      <c r="E56">
        <v>48</v>
      </c>
      <c r="F56">
        <v>3.8912537097930908</v>
      </c>
      <c r="G56">
        <v>3.8238317966461182</v>
      </c>
      <c r="H56">
        <v>3.6868269443511963</v>
      </c>
      <c r="I56">
        <v>3.4994192123413086</v>
      </c>
      <c r="J56">
        <v>3.4883556365966797</v>
      </c>
      <c r="K56">
        <v>3.5474765300750732</v>
      </c>
      <c r="L56">
        <v>3.8960013389587402</v>
      </c>
      <c r="M56">
        <v>4.1570839881896973</v>
      </c>
      <c r="N56">
        <v>4.9593749046325684</v>
      </c>
      <c r="O56">
        <v>5.1384077072143555</v>
      </c>
      <c r="P56">
        <v>5.5350780487060547</v>
      </c>
      <c r="Q56">
        <v>5.7428317070007324</v>
      </c>
      <c r="R56">
        <v>5.8184628486633301</v>
      </c>
      <c r="S56">
        <v>5.986177921295166</v>
      </c>
      <c r="T56">
        <v>6.1015510559082031</v>
      </c>
      <c r="U56">
        <v>6.0896692276000977</v>
      </c>
      <c r="V56">
        <v>6.2255158424377441</v>
      </c>
      <c r="W56">
        <v>6.4686675071716309</v>
      </c>
      <c r="X56">
        <v>6.6336150169372559</v>
      </c>
      <c r="Y56">
        <v>6.7850813865661621</v>
      </c>
      <c r="Z56">
        <v>6.5745339393615723</v>
      </c>
      <c r="AA56">
        <v>5.8855581283569336</v>
      </c>
      <c r="AB56">
        <v>4.7549514770507812</v>
      </c>
      <c r="AC56">
        <v>4.2548389434814453</v>
      </c>
      <c r="AD56">
        <v>-0.83360666036605835</v>
      </c>
      <c r="AE56">
        <v>-0.87094217538833618</v>
      </c>
      <c r="AF56">
        <v>-0.80318140983581543</v>
      </c>
      <c r="AG56">
        <v>-0.45595663785934448</v>
      </c>
      <c r="AH56">
        <v>-0.47975698113441467</v>
      </c>
      <c r="AI56">
        <v>-0.54491496086120605</v>
      </c>
      <c r="AJ56">
        <v>-0.31156235933303833</v>
      </c>
      <c r="AK56">
        <v>-0.27336403727531433</v>
      </c>
      <c r="AL56">
        <v>-0.48284754157066345</v>
      </c>
      <c r="AM56">
        <v>-0.5800623893737793</v>
      </c>
      <c r="AN56">
        <v>-0.41376975178718567</v>
      </c>
      <c r="AO56">
        <v>-0.50772470235824585</v>
      </c>
      <c r="AP56">
        <v>-0.62373834848403931</v>
      </c>
      <c r="AQ56">
        <v>-0.2661421000957489</v>
      </c>
      <c r="AR56">
        <v>1.3412882089614868</v>
      </c>
      <c r="AS56">
        <v>1.0899943113327026</v>
      </c>
      <c r="AT56">
        <v>1.0927128791809082</v>
      </c>
      <c r="AU56">
        <v>1.0243067741394043</v>
      </c>
      <c r="AV56">
        <v>-0.3531685471534729</v>
      </c>
      <c r="AW56">
        <v>-1.1577208042144775</v>
      </c>
      <c r="AX56">
        <v>-1.1326769590377808</v>
      </c>
      <c r="AY56">
        <v>-0.95107978582382202</v>
      </c>
      <c r="AZ56">
        <v>-0.89622467756271362</v>
      </c>
      <c r="BA56">
        <v>-0.93500083684921265</v>
      </c>
      <c r="BB56">
        <v>-0.50340396165847778</v>
      </c>
      <c r="BC56">
        <v>-0.54526269435882568</v>
      </c>
      <c r="BD56">
        <v>-0.48566439747810364</v>
      </c>
      <c r="BE56">
        <v>-0.15745916962623596</v>
      </c>
      <c r="BF56">
        <v>-0.1735573410987854</v>
      </c>
      <c r="BG56">
        <v>-0.24328882992267609</v>
      </c>
      <c r="BH56">
        <v>-6.8332217633724213E-3</v>
      </c>
      <c r="BI56">
        <v>3.9077818393707275E-2</v>
      </c>
      <c r="BJ56">
        <v>-0.14168968796730042</v>
      </c>
      <c r="BK56">
        <v>-0.20911163091659546</v>
      </c>
      <c r="BL56">
        <v>-2.4003136903047562E-2</v>
      </c>
      <c r="BM56">
        <v>-0.11661767214536667</v>
      </c>
      <c r="BN56">
        <v>-0.23581300675868988</v>
      </c>
      <c r="BO56">
        <v>0.1264675110578537</v>
      </c>
      <c r="BP56">
        <v>1.7446995973587036</v>
      </c>
      <c r="BQ56">
        <v>1.4981273412704468</v>
      </c>
      <c r="BR56">
        <v>1.4918941259384155</v>
      </c>
      <c r="BS56">
        <v>1.4289160966873169</v>
      </c>
      <c r="BT56">
        <v>4.9268476665019989E-2</v>
      </c>
      <c r="BU56">
        <v>-0.75312227010726929</v>
      </c>
      <c r="BV56">
        <v>-0.72040462493896484</v>
      </c>
      <c r="BW56">
        <v>-0.53893911838531494</v>
      </c>
      <c r="BX56">
        <v>-0.48465245962142944</v>
      </c>
      <c r="BY56">
        <v>-0.54708224534988403</v>
      </c>
      <c r="BZ56">
        <v>-0.27470657229423523</v>
      </c>
      <c r="CA56">
        <v>-0.31969806551933289</v>
      </c>
      <c r="CB56">
        <v>-0.26575309038162231</v>
      </c>
      <c r="CC56">
        <v>4.9279268831014633E-2</v>
      </c>
      <c r="CD56">
        <v>3.8515597581863403E-2</v>
      </c>
      <c r="CE56">
        <v>-3.4383498132228851E-2</v>
      </c>
      <c r="CF56">
        <v>0.20422124862670898</v>
      </c>
      <c r="CG56">
        <v>0.25547409057617188</v>
      </c>
      <c r="CH56">
        <v>9.4595193862915039E-2</v>
      </c>
      <c r="CI56">
        <v>4.7807749360799789E-2</v>
      </c>
      <c r="CJ56">
        <v>0.24594803154468536</v>
      </c>
      <c r="CK56">
        <v>0.15426188707351685</v>
      </c>
      <c r="CL56">
        <v>3.2862920314073563E-2</v>
      </c>
      <c r="CM56">
        <v>0.39838773012161255</v>
      </c>
      <c r="CN56">
        <v>2.0241010189056396</v>
      </c>
      <c r="CO56">
        <v>1.7807990312576294</v>
      </c>
      <c r="CP56">
        <v>1.768365740776062</v>
      </c>
      <c r="CQ56">
        <v>1.7091472148895264</v>
      </c>
      <c r="CR56">
        <v>0.32799512147903442</v>
      </c>
      <c r="CS56">
        <v>-0.47289857268333435</v>
      </c>
      <c r="CT56">
        <v>-0.43486610054969788</v>
      </c>
      <c r="CU56">
        <v>-0.25349175930023193</v>
      </c>
      <c r="CV56">
        <v>-0.1995987594127655</v>
      </c>
      <c r="CW56">
        <v>-0.27841103076934814</v>
      </c>
      <c r="CX56">
        <v>-4.6009190380573273E-2</v>
      </c>
      <c r="CY56">
        <v>-9.4133436679840088E-2</v>
      </c>
      <c r="CZ56">
        <v>-4.5841783285140991E-2</v>
      </c>
      <c r="DA56">
        <v>0.25601771473884583</v>
      </c>
      <c r="DB56">
        <v>0.25058853626251221</v>
      </c>
      <c r="DC56">
        <v>0.17452183365821838</v>
      </c>
      <c r="DD56">
        <v>0.41527572274208069</v>
      </c>
      <c r="DE56">
        <v>0.47187036275863647</v>
      </c>
      <c r="DF56">
        <v>0.33088007569313049</v>
      </c>
      <c r="DG56">
        <v>0.30472713708877563</v>
      </c>
      <c r="DH56">
        <v>0.5158991813659668</v>
      </c>
      <c r="DI56">
        <v>0.42514145374298096</v>
      </c>
      <c r="DJ56">
        <v>0.3015388548374176</v>
      </c>
      <c r="DK56">
        <v>0.67030793428421021</v>
      </c>
      <c r="DL56">
        <v>2.3035025596618652</v>
      </c>
      <c r="DM56">
        <v>2.0634706020355225</v>
      </c>
      <c r="DN56">
        <v>2.044837474822998</v>
      </c>
      <c r="DO56">
        <v>1.9893783330917358</v>
      </c>
      <c r="DP56">
        <v>0.60672175884246826</v>
      </c>
      <c r="DQ56">
        <v>-0.19267486035823822</v>
      </c>
      <c r="DR56">
        <v>-0.14932756125926971</v>
      </c>
      <c r="DS56">
        <v>3.195561096072197E-2</v>
      </c>
      <c r="DT56">
        <v>8.5454933345317841E-2</v>
      </c>
      <c r="DU56">
        <v>-9.7397919744253159E-3</v>
      </c>
      <c r="DV56">
        <v>0.28419351577758789</v>
      </c>
      <c r="DW56">
        <v>0.2315460592508316</v>
      </c>
      <c r="DX56">
        <v>0.2716752290725708</v>
      </c>
      <c r="DY56">
        <v>0.55451518297195435</v>
      </c>
      <c r="DZ56">
        <v>0.55678820610046387</v>
      </c>
      <c r="EA56">
        <v>0.47614797949790955</v>
      </c>
      <c r="EB56">
        <v>0.7200048565864563</v>
      </c>
      <c r="EC56">
        <v>0.78431218862533569</v>
      </c>
      <c r="ED56">
        <v>0.67203789949417114</v>
      </c>
      <c r="EE56">
        <v>0.67567789554595947</v>
      </c>
      <c r="EF56">
        <v>0.9056658148765564</v>
      </c>
      <c r="EG56">
        <v>0.81624847650527954</v>
      </c>
      <c r="EH56">
        <v>0.68946421146392822</v>
      </c>
      <c r="EI56">
        <v>1.0629175901412964</v>
      </c>
      <c r="EJ56">
        <v>2.706913948059082</v>
      </c>
      <c r="EK56">
        <v>2.4716036319732666</v>
      </c>
      <c r="EL56">
        <v>2.4440186023712158</v>
      </c>
      <c r="EM56">
        <v>2.3939876556396484</v>
      </c>
      <c r="EN56">
        <v>1.009158730506897</v>
      </c>
      <c r="EO56">
        <v>0.21192368865013123</v>
      </c>
      <c r="EP56">
        <v>0.26294475793838501</v>
      </c>
      <c r="EQ56">
        <v>0.44409626722335815</v>
      </c>
      <c r="ER56">
        <v>0.497027188539505</v>
      </c>
      <c r="ES56">
        <v>0.37817880511283875</v>
      </c>
      <c r="ET56">
        <v>63.130161285400391</v>
      </c>
      <c r="EU56">
        <v>61.68731689453125</v>
      </c>
      <c r="EV56">
        <v>59.927036285400391</v>
      </c>
      <c r="EW56">
        <v>58.089004516601563</v>
      </c>
      <c r="EX56">
        <v>57.665950775146484</v>
      </c>
      <c r="EY56">
        <v>58.090782165527344</v>
      </c>
      <c r="EZ56">
        <v>63.80902099609375</v>
      </c>
      <c r="FA56">
        <v>73.529922485351562</v>
      </c>
      <c r="FB56">
        <v>76.592391967773438</v>
      </c>
      <c r="FC56">
        <v>79.603981018066406</v>
      </c>
      <c r="FD56">
        <v>82.609138488769531</v>
      </c>
      <c r="FE56">
        <v>84.754295349121094</v>
      </c>
      <c r="FF56">
        <v>86.389389038085938</v>
      </c>
      <c r="FG56">
        <v>87.675125122070312</v>
      </c>
      <c r="FH56">
        <v>88.757492065429688</v>
      </c>
      <c r="FI56">
        <v>89.484390258789063</v>
      </c>
      <c r="FJ56">
        <v>89.569175720214844</v>
      </c>
      <c r="FK56">
        <v>88.848533630371094</v>
      </c>
      <c r="FL56">
        <v>86.517936706542969</v>
      </c>
      <c r="FM56">
        <v>81.962944030761719</v>
      </c>
      <c r="FN56">
        <v>77.13720703125</v>
      </c>
      <c r="FO56">
        <v>73.456748962402344</v>
      </c>
      <c r="FP56">
        <v>71.086288452148438</v>
      </c>
      <c r="FQ56">
        <v>68.188507080078125</v>
      </c>
      <c r="FR56">
        <v>48</v>
      </c>
      <c r="FS56">
        <v>8.2025252282619476E-2</v>
      </c>
      <c r="FT56">
        <v>1</v>
      </c>
    </row>
    <row r="57" spans="1:176" x14ac:dyDescent="0.2">
      <c r="A57" t="s">
        <v>228</v>
      </c>
      <c r="B57" t="s">
        <v>225</v>
      </c>
      <c r="C57" t="s">
        <v>235</v>
      </c>
      <c r="D57">
        <v>48</v>
      </c>
      <c r="E57">
        <v>48</v>
      </c>
      <c r="F57">
        <v>4.0311112403869629</v>
      </c>
      <c r="G57">
        <v>3.9324274063110352</v>
      </c>
      <c r="H57">
        <v>3.7626955509185791</v>
      </c>
      <c r="I57">
        <v>3.591768741607666</v>
      </c>
      <c r="J57">
        <v>3.597548246383667</v>
      </c>
      <c r="K57">
        <v>3.6269779205322266</v>
      </c>
      <c r="L57">
        <v>3.9720184803009033</v>
      </c>
      <c r="M57">
        <v>4.2731051445007324</v>
      </c>
      <c r="N57">
        <v>5.0245265960693359</v>
      </c>
      <c r="O57">
        <v>5.2022089958190918</v>
      </c>
      <c r="P57">
        <v>5.7216920852661133</v>
      </c>
      <c r="Q57">
        <v>6.0735640525817871</v>
      </c>
      <c r="R57">
        <v>6.2751202583312988</v>
      </c>
      <c r="S57">
        <v>6.4749579429626465</v>
      </c>
      <c r="T57">
        <v>6.5575075149536133</v>
      </c>
      <c r="U57">
        <v>6.4664573669433594</v>
      </c>
      <c r="V57">
        <v>6.6155471801757812</v>
      </c>
      <c r="W57">
        <v>6.8356585502624512</v>
      </c>
      <c r="X57">
        <v>6.9710359573364258</v>
      </c>
      <c r="Y57">
        <v>7.0948581695556641</v>
      </c>
      <c r="Z57">
        <v>6.8752336502075195</v>
      </c>
      <c r="AA57">
        <v>6.1772708892822266</v>
      </c>
      <c r="AB57">
        <v>4.9304089546203613</v>
      </c>
      <c r="AC57">
        <v>4.4104118347167969</v>
      </c>
      <c r="AD57">
        <v>-0.93369859457015991</v>
      </c>
      <c r="AE57">
        <v>-0.99024444818496704</v>
      </c>
      <c r="AF57">
        <v>-1.0619207620620728</v>
      </c>
      <c r="AG57">
        <v>-0.92479813098907471</v>
      </c>
      <c r="AH57">
        <v>-0.76475679874420166</v>
      </c>
      <c r="AI57">
        <v>-0.55582326650619507</v>
      </c>
      <c r="AJ57">
        <v>-0.32448193430900574</v>
      </c>
      <c r="AK57">
        <v>-0.10736765712499619</v>
      </c>
      <c r="AL57">
        <v>-0.10090460628271103</v>
      </c>
      <c r="AM57">
        <v>-0.29714640974998474</v>
      </c>
      <c r="AN57">
        <v>-0.37691614031791687</v>
      </c>
      <c r="AO57">
        <v>-0.38914474844932556</v>
      </c>
      <c r="AP57">
        <v>-0.11433732509613037</v>
      </c>
      <c r="AQ57">
        <v>1.3363605737686157</v>
      </c>
      <c r="AR57">
        <v>1.0914239883422852</v>
      </c>
      <c r="AS57">
        <v>0.85840773582458496</v>
      </c>
      <c r="AT57">
        <v>0.80610454082489014</v>
      </c>
      <c r="AU57">
        <v>0.75572782754898071</v>
      </c>
      <c r="AV57">
        <v>-0.44940683245658875</v>
      </c>
      <c r="AW57">
        <v>-1.3849092721939087</v>
      </c>
      <c r="AX57">
        <v>-1.3909739255905151</v>
      </c>
      <c r="AY57">
        <v>-1.2269376516342163</v>
      </c>
      <c r="AZ57">
        <v>-0.8948177695274353</v>
      </c>
      <c r="BA57">
        <v>-0.97321516275405884</v>
      </c>
      <c r="BB57">
        <v>-0.6092032790184021</v>
      </c>
      <c r="BC57">
        <v>-0.67121297121047974</v>
      </c>
      <c r="BD57">
        <v>-0.74556297063827515</v>
      </c>
      <c r="BE57">
        <v>-0.61843055486679077</v>
      </c>
      <c r="BF57">
        <v>-0.4413277804851532</v>
      </c>
      <c r="BG57">
        <v>-0.23354268074035645</v>
      </c>
      <c r="BH57">
        <v>-3.3242951612919569E-3</v>
      </c>
      <c r="BI57">
        <v>0.22308477759361267</v>
      </c>
      <c r="BJ57">
        <v>0.23052175343036652</v>
      </c>
      <c r="BK57">
        <v>4.9873802810907364E-2</v>
      </c>
      <c r="BL57">
        <v>5.0877209287136793E-4</v>
      </c>
      <c r="BM57">
        <v>1.0412072762846947E-2</v>
      </c>
      <c r="BN57">
        <v>0.29829350113868713</v>
      </c>
      <c r="BO57">
        <v>1.760724663734436</v>
      </c>
      <c r="BP57">
        <v>1.5154136419296265</v>
      </c>
      <c r="BQ57">
        <v>1.2811366319656372</v>
      </c>
      <c r="BR57">
        <v>1.2264837026596069</v>
      </c>
      <c r="BS57">
        <v>1.176885724067688</v>
      </c>
      <c r="BT57">
        <v>-3.4711100161075592E-2</v>
      </c>
      <c r="BU57">
        <v>-0.95994234085083008</v>
      </c>
      <c r="BV57">
        <v>-0.96902620792388916</v>
      </c>
      <c r="BW57">
        <v>-0.79922294616699219</v>
      </c>
      <c r="BX57">
        <v>-0.47747880220413208</v>
      </c>
      <c r="BY57">
        <v>-0.54532408714294434</v>
      </c>
      <c r="BZ57">
        <v>-0.38445878028869629</v>
      </c>
      <c r="CA57">
        <v>-0.4502527117729187</v>
      </c>
      <c r="CB57">
        <v>-0.52645444869995117</v>
      </c>
      <c r="CC57">
        <v>-0.40624132752418518</v>
      </c>
      <c r="CD57">
        <v>-0.21732181310653687</v>
      </c>
      <c r="CE57">
        <v>-1.0332117788493633E-2</v>
      </c>
      <c r="CF57">
        <v>0.21910850703716278</v>
      </c>
      <c r="CG57">
        <v>0.45195513963699341</v>
      </c>
      <c r="CH57">
        <v>0.46006664633750916</v>
      </c>
      <c r="CI57">
        <v>0.29021894931793213</v>
      </c>
      <c r="CJ57">
        <v>0.26191210746765137</v>
      </c>
      <c r="CK57">
        <v>0.28714391589164734</v>
      </c>
      <c r="CL57">
        <v>0.58408033847808838</v>
      </c>
      <c r="CM57">
        <v>2.0546379089355469</v>
      </c>
      <c r="CN57">
        <v>1.8090676069259644</v>
      </c>
      <c r="CO57">
        <v>1.5739173889160156</v>
      </c>
      <c r="CP57">
        <v>1.5176370143890381</v>
      </c>
      <c r="CQ57">
        <v>1.4685784578323364</v>
      </c>
      <c r="CR57">
        <v>0.25250589847564697</v>
      </c>
      <c r="CS57">
        <v>-0.6656116247177124</v>
      </c>
      <c r="CT57">
        <v>-0.67678654193878174</v>
      </c>
      <c r="CU57">
        <v>-0.50298905372619629</v>
      </c>
      <c r="CV57">
        <v>-0.18843108415603638</v>
      </c>
      <c r="CW57">
        <v>-0.24896803498268127</v>
      </c>
      <c r="CX57">
        <v>-0.15971429646015167</v>
      </c>
      <c r="CY57">
        <v>-0.22929246723651886</v>
      </c>
      <c r="CZ57">
        <v>-0.30734595656394958</v>
      </c>
      <c r="DA57">
        <v>-0.1940520852804184</v>
      </c>
      <c r="DB57">
        <v>6.6841547377407551E-3</v>
      </c>
      <c r="DC57">
        <v>0.21287845075130463</v>
      </c>
      <c r="DD57">
        <v>0.44154131412506104</v>
      </c>
      <c r="DE57">
        <v>0.68082547187805176</v>
      </c>
      <c r="DF57">
        <v>0.68961155414581299</v>
      </c>
      <c r="DG57">
        <v>0.5305640697479248</v>
      </c>
      <c r="DH57">
        <v>0.5233154296875</v>
      </c>
      <c r="DI57">
        <v>0.56387573480606079</v>
      </c>
      <c r="DJ57">
        <v>0.86986720561981201</v>
      </c>
      <c r="DK57">
        <v>2.3485512733459473</v>
      </c>
      <c r="DL57">
        <v>2.1027214527130127</v>
      </c>
      <c r="DM57">
        <v>1.866698145866394</v>
      </c>
      <c r="DN57">
        <v>1.8087903261184692</v>
      </c>
      <c r="DO57">
        <v>1.7602711915969849</v>
      </c>
      <c r="DP57">
        <v>0.53972291946411133</v>
      </c>
      <c r="DQ57">
        <v>-0.37128087878227234</v>
      </c>
      <c r="DR57">
        <v>-0.38454687595367432</v>
      </c>
      <c r="DS57">
        <v>-0.2067551463842392</v>
      </c>
      <c r="DT57">
        <v>0.10061661899089813</v>
      </c>
      <c r="DU57">
        <v>4.7388017177581787E-2</v>
      </c>
      <c r="DV57">
        <v>0.16478104889392853</v>
      </c>
      <c r="DW57">
        <v>8.9739046990871429E-2</v>
      </c>
      <c r="DX57">
        <v>9.0119140222668648E-3</v>
      </c>
      <c r="DY57">
        <v>0.11231548339128494</v>
      </c>
      <c r="DZ57">
        <v>0.33011320233345032</v>
      </c>
      <c r="EA57">
        <v>0.53515905141830444</v>
      </c>
      <c r="EB57">
        <v>0.7626989483833313</v>
      </c>
      <c r="EC57">
        <v>1.0112779140472412</v>
      </c>
      <c r="ED57">
        <v>1.0210379362106323</v>
      </c>
      <c r="EE57">
        <v>0.87758433818817139</v>
      </c>
      <c r="EF57">
        <v>0.90074032545089722</v>
      </c>
      <c r="EG57">
        <v>0.96343261003494263</v>
      </c>
      <c r="EH57">
        <v>1.2824980020523071</v>
      </c>
      <c r="EI57">
        <v>2.7729151248931885</v>
      </c>
      <c r="EJ57">
        <v>2.5267112255096436</v>
      </c>
      <c r="EK57">
        <v>2.2894270420074463</v>
      </c>
      <c r="EL57">
        <v>2.2291693687438965</v>
      </c>
      <c r="EM57">
        <v>2.1814291477203369</v>
      </c>
      <c r="EN57">
        <v>0.9544185996055603</v>
      </c>
      <c r="EO57">
        <v>5.368596687912941E-2</v>
      </c>
      <c r="EP57">
        <v>3.7400797009468079E-2</v>
      </c>
      <c r="EQ57">
        <v>0.22095955908298492</v>
      </c>
      <c r="ER57">
        <v>0.51795560121536255</v>
      </c>
      <c r="ES57">
        <v>0.47527909278869629</v>
      </c>
      <c r="ET57">
        <v>65.5289306640625</v>
      </c>
      <c r="EU57">
        <v>62.926113128662109</v>
      </c>
      <c r="EV57">
        <v>61.354774475097656</v>
      </c>
      <c r="EW57">
        <v>59.365810394287109</v>
      </c>
      <c r="EX57">
        <v>58.167720794677734</v>
      </c>
      <c r="EY57">
        <v>58.786334991455078</v>
      </c>
      <c r="EZ57">
        <v>63.764240264892578</v>
      </c>
      <c r="FA57">
        <v>70.668693542480469</v>
      </c>
      <c r="FB57">
        <v>78.759750366210938</v>
      </c>
      <c r="FC57">
        <v>85.532798767089844</v>
      </c>
      <c r="FD57">
        <v>89.359657287597656</v>
      </c>
      <c r="FE57">
        <v>91.508331298828125</v>
      </c>
      <c r="FF57">
        <v>93.084503173828125</v>
      </c>
      <c r="FG57">
        <v>94.0870361328125</v>
      </c>
      <c r="FH57">
        <v>94.73284912109375</v>
      </c>
      <c r="FI57">
        <v>94.523635864257813</v>
      </c>
      <c r="FJ57">
        <v>93.558464050292969</v>
      </c>
      <c r="FK57">
        <v>91.946212768554688</v>
      </c>
      <c r="FL57">
        <v>88.811363220214844</v>
      </c>
      <c r="FM57">
        <v>84.50396728515625</v>
      </c>
      <c r="FN57">
        <v>81.003913879394531</v>
      </c>
      <c r="FO57">
        <v>77.864288330078125</v>
      </c>
      <c r="FP57">
        <v>76.255149841308594</v>
      </c>
      <c r="FQ57">
        <v>74.082717895507813</v>
      </c>
      <c r="FR57">
        <v>48</v>
      </c>
      <c r="FS57">
        <v>7.9773485660552979E-2</v>
      </c>
      <c r="FT57">
        <v>1</v>
      </c>
    </row>
    <row r="58" spans="1:176" x14ac:dyDescent="0.2">
      <c r="A58" t="s">
        <v>228</v>
      </c>
      <c r="B58" t="s">
        <v>225</v>
      </c>
      <c r="C58" t="s">
        <v>236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</v>
      </c>
      <c r="FL58">
        <v>0</v>
      </c>
      <c r="FM58">
        <v>0</v>
      </c>
      <c r="FN58">
        <v>0</v>
      </c>
      <c r="FO58">
        <v>0</v>
      </c>
      <c r="FP58">
        <v>0</v>
      </c>
      <c r="FQ58">
        <v>0</v>
      </c>
      <c r="FR58">
        <v>0</v>
      </c>
      <c r="FS58">
        <v>0</v>
      </c>
      <c r="FT58">
        <v>0</v>
      </c>
    </row>
    <row r="59" spans="1:176" x14ac:dyDescent="0.2">
      <c r="A59" t="s">
        <v>228</v>
      </c>
      <c r="B59" t="s">
        <v>225</v>
      </c>
      <c r="C59" t="s">
        <v>237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>
        <v>0</v>
      </c>
      <c r="FG59">
        <v>0</v>
      </c>
      <c r="FH59">
        <v>0</v>
      </c>
      <c r="FI59">
        <v>0</v>
      </c>
      <c r="FJ59">
        <v>0</v>
      </c>
      <c r="FK59">
        <v>0</v>
      </c>
      <c r="FL59">
        <v>0</v>
      </c>
      <c r="FM59">
        <v>0</v>
      </c>
      <c r="FN59">
        <v>0</v>
      </c>
      <c r="FO59">
        <v>0</v>
      </c>
      <c r="FP59">
        <v>0</v>
      </c>
      <c r="FQ59">
        <v>0</v>
      </c>
      <c r="FR59">
        <v>0</v>
      </c>
      <c r="FS59">
        <v>0</v>
      </c>
      <c r="FT59">
        <v>0</v>
      </c>
    </row>
    <row r="60" spans="1:176" x14ac:dyDescent="0.2">
      <c r="A60" t="s">
        <v>228</v>
      </c>
      <c r="B60" t="s">
        <v>225</v>
      </c>
      <c r="C60" t="s">
        <v>238</v>
      </c>
      <c r="D60">
        <v>48</v>
      </c>
      <c r="E60">
        <v>48</v>
      </c>
      <c r="F60">
        <v>4.8555479049682617</v>
      </c>
      <c r="G60">
        <v>4.8271503448486328</v>
      </c>
      <c r="H60">
        <v>4.6773977279663086</v>
      </c>
      <c r="I60">
        <v>4.5487465858459473</v>
      </c>
      <c r="J60">
        <v>4.546445369720459</v>
      </c>
      <c r="K60">
        <v>4.6804571151733398</v>
      </c>
      <c r="L60">
        <v>4.9077410697937012</v>
      </c>
      <c r="M60">
        <v>5.222022533416748</v>
      </c>
      <c r="N60">
        <v>5.917475700378418</v>
      </c>
      <c r="O60">
        <v>6.286959171295166</v>
      </c>
      <c r="P60">
        <v>6.6785526275634766</v>
      </c>
      <c r="Q60">
        <v>6.972658634185791</v>
      </c>
      <c r="R60">
        <v>7.2632327079772949</v>
      </c>
      <c r="S60">
        <v>7.454716682434082</v>
      </c>
      <c r="T60">
        <v>7.3764901161193848</v>
      </c>
      <c r="U60">
        <v>7.4755473136901855</v>
      </c>
      <c r="V60">
        <v>7.6329970359802246</v>
      </c>
      <c r="W60">
        <v>7.7147917747497559</v>
      </c>
      <c r="X60">
        <v>7.8321967124938965</v>
      </c>
      <c r="Y60">
        <v>7.7454648017883301</v>
      </c>
      <c r="Z60">
        <v>7.5317468643188477</v>
      </c>
      <c r="AA60">
        <v>6.8668684959411621</v>
      </c>
      <c r="AB60">
        <v>5.5724759101867676</v>
      </c>
      <c r="AC60">
        <v>5.1069393157958984</v>
      </c>
      <c r="AD60">
        <v>-0.42444279789924622</v>
      </c>
      <c r="AE60">
        <v>-0.51044100522994995</v>
      </c>
      <c r="AF60">
        <v>-0.58176213502883911</v>
      </c>
      <c r="AG60">
        <v>-0.65120023488998413</v>
      </c>
      <c r="AH60">
        <v>-0.69235372543334961</v>
      </c>
      <c r="AI60">
        <v>-0.66230219602584839</v>
      </c>
      <c r="AJ60">
        <v>-0.48509946465492249</v>
      </c>
      <c r="AK60">
        <v>-0.45747974514961243</v>
      </c>
      <c r="AL60">
        <v>-0.55708557367324829</v>
      </c>
      <c r="AM60">
        <v>-0.54395633935928345</v>
      </c>
      <c r="AN60">
        <v>-0.67037367820739746</v>
      </c>
      <c r="AO60">
        <v>-0.79861593246459961</v>
      </c>
      <c r="AP60">
        <v>-0.45099645853042603</v>
      </c>
      <c r="AQ60">
        <v>1.7514123916625977</v>
      </c>
      <c r="AR60">
        <v>1.2849709987640381</v>
      </c>
      <c r="AS60">
        <v>-0.58274126052856445</v>
      </c>
      <c r="AT60">
        <v>-1.0910276174545288</v>
      </c>
      <c r="AU60">
        <v>-1.1348932981491089</v>
      </c>
      <c r="AV60">
        <v>-0.8801722526550293</v>
      </c>
      <c r="AW60">
        <v>-0.74064868688583374</v>
      </c>
      <c r="AX60">
        <v>-0.72778242826461792</v>
      </c>
      <c r="AY60">
        <v>-0.59183007478713989</v>
      </c>
      <c r="AZ60">
        <v>-0.60133260488510132</v>
      </c>
      <c r="BA60">
        <v>-0.62975561618804932</v>
      </c>
      <c r="BB60">
        <v>-6.5892770886421204E-2</v>
      </c>
      <c r="BC60">
        <v>-0.12682853639125824</v>
      </c>
      <c r="BD60">
        <v>-0.22145788371562958</v>
      </c>
      <c r="BE60">
        <v>-0.3077298104763031</v>
      </c>
      <c r="BF60">
        <v>-0.35074293613433838</v>
      </c>
      <c r="BG60">
        <v>-0.3260205090045929</v>
      </c>
      <c r="BH60">
        <v>-0.15005779266357422</v>
      </c>
      <c r="BI60">
        <v>-0.10223742574453354</v>
      </c>
      <c r="BJ60">
        <v>-0.18063361942768097</v>
      </c>
      <c r="BK60">
        <v>-0.15713334083557129</v>
      </c>
      <c r="BL60">
        <v>-0.27156278491020203</v>
      </c>
      <c r="BM60">
        <v>-0.38593372702598572</v>
      </c>
      <c r="BN60">
        <v>-1.9441109150648117E-2</v>
      </c>
      <c r="BO60">
        <v>2.1963527202606201</v>
      </c>
      <c r="BP60">
        <v>1.7507398128509521</v>
      </c>
      <c r="BQ60">
        <v>-0.11073963344097137</v>
      </c>
      <c r="BR60">
        <v>-0.62451678514480591</v>
      </c>
      <c r="BS60">
        <v>-0.67216360569000244</v>
      </c>
      <c r="BT60">
        <v>-0.42917346954345703</v>
      </c>
      <c r="BU60">
        <v>-0.29807224869728088</v>
      </c>
      <c r="BV60">
        <v>-0.29830083250999451</v>
      </c>
      <c r="BW60">
        <v>-0.15341585874557495</v>
      </c>
      <c r="BX60">
        <v>-0.15516102313995361</v>
      </c>
      <c r="BY60">
        <v>-0.19233603775501251</v>
      </c>
      <c r="BZ60">
        <v>0.18243788182735443</v>
      </c>
      <c r="CA60">
        <v>0.1388603150844574</v>
      </c>
      <c r="CB60">
        <v>2.8087714686989784E-2</v>
      </c>
      <c r="CC60">
        <v>-6.9843269884586334E-2</v>
      </c>
      <c r="CD60">
        <v>-0.11414436995983124</v>
      </c>
      <c r="CE60">
        <v>-9.3112841248512268E-2</v>
      </c>
      <c r="CF60">
        <v>8.1991039216518402E-2</v>
      </c>
      <c r="CG60">
        <v>0.14380231499671936</v>
      </c>
      <c r="CH60">
        <v>8.0095835030078888E-2</v>
      </c>
      <c r="CI60">
        <v>0.11077911406755447</v>
      </c>
      <c r="CJ60">
        <v>4.6524591743946075E-3</v>
      </c>
      <c r="CK60">
        <v>-0.10011126846075058</v>
      </c>
      <c r="CL60">
        <v>0.27945280075073242</v>
      </c>
      <c r="CM60">
        <v>2.5045168399810791</v>
      </c>
      <c r="CN60">
        <v>2.0733299255371094</v>
      </c>
      <c r="CO60">
        <v>0.21616725623607635</v>
      </c>
      <c r="CP60">
        <v>-0.30141282081604004</v>
      </c>
      <c r="CQ60">
        <v>-0.35167849063873291</v>
      </c>
      <c r="CR60">
        <v>-0.11681310832500458</v>
      </c>
      <c r="CS60">
        <v>8.4548275917768478E-3</v>
      </c>
      <c r="CT60">
        <v>-8.4315991261973977E-4</v>
      </c>
      <c r="CU60">
        <v>0.15022851526737213</v>
      </c>
      <c r="CV60">
        <v>0.1538560539484024</v>
      </c>
      <c r="CW60">
        <v>0.11061942577362061</v>
      </c>
      <c r="CX60">
        <v>0.43076854944229126</v>
      </c>
      <c r="CY60">
        <v>0.40454915165901184</v>
      </c>
      <c r="CZ60">
        <v>0.27763330936431885</v>
      </c>
      <c r="DA60">
        <v>0.16804328560829163</v>
      </c>
      <c r="DB60">
        <v>0.1224542036652565</v>
      </c>
      <c r="DC60">
        <v>0.13979481160640717</v>
      </c>
      <c r="DD60">
        <v>0.31403988599777222</v>
      </c>
      <c r="DE60">
        <v>0.38984206318855286</v>
      </c>
      <c r="DF60">
        <v>0.34082528948783875</v>
      </c>
      <c r="DG60">
        <v>0.37869155406951904</v>
      </c>
      <c r="DH60">
        <v>0.28086769580841064</v>
      </c>
      <c r="DI60">
        <v>0.18571117520332336</v>
      </c>
      <c r="DJ60">
        <v>0.57834672927856445</v>
      </c>
      <c r="DK60">
        <v>2.8126809597015381</v>
      </c>
      <c r="DL60">
        <v>2.3959200382232666</v>
      </c>
      <c r="DM60">
        <v>0.54307413101196289</v>
      </c>
      <c r="DN60">
        <v>2.1691158413887024E-2</v>
      </c>
      <c r="DO60">
        <v>-3.1193353235721588E-2</v>
      </c>
      <c r="DP60">
        <v>0.19554725289344788</v>
      </c>
      <c r="DQ60">
        <v>0.31498190760612488</v>
      </c>
      <c r="DR60">
        <v>0.29661449790000916</v>
      </c>
      <c r="DS60">
        <v>0.45387288928031921</v>
      </c>
      <c r="DT60">
        <v>0.46287313103675842</v>
      </c>
      <c r="DU60">
        <v>0.41357490420341492</v>
      </c>
      <c r="DV60">
        <v>0.78931856155395508</v>
      </c>
      <c r="DW60">
        <v>0.78816163539886475</v>
      </c>
      <c r="DX60">
        <v>0.63793754577636719</v>
      </c>
      <c r="DY60">
        <v>0.51151371002197266</v>
      </c>
      <c r="DZ60">
        <v>0.46406498551368713</v>
      </c>
      <c r="EA60">
        <v>0.47607648372650146</v>
      </c>
      <c r="EB60">
        <v>0.6490815281867981</v>
      </c>
      <c r="EC60">
        <v>0.74508434534072876</v>
      </c>
      <c r="ED60">
        <v>0.71727722883224487</v>
      </c>
      <c r="EE60">
        <v>0.76551461219787598</v>
      </c>
      <c r="EF60">
        <v>0.67967861890792847</v>
      </c>
      <c r="EG60">
        <v>0.59839338064193726</v>
      </c>
      <c r="EH60">
        <v>1.0099020004272461</v>
      </c>
      <c r="EI60">
        <v>3.2576212882995605</v>
      </c>
      <c r="EJ60">
        <v>2.8616888523101807</v>
      </c>
      <c r="EK60">
        <v>1.0150758028030396</v>
      </c>
      <c r="EL60">
        <v>0.48820197582244873</v>
      </c>
      <c r="EM60">
        <v>0.43153628706932068</v>
      </c>
      <c r="EN60">
        <v>0.64654600620269775</v>
      </c>
      <c r="EO60">
        <v>0.75755834579467773</v>
      </c>
      <c r="EP60">
        <v>0.72609615325927734</v>
      </c>
      <c r="EQ60">
        <v>0.89228713512420654</v>
      </c>
      <c r="ER60">
        <v>0.90904474258422852</v>
      </c>
      <c r="ES60">
        <v>0.85099446773529053</v>
      </c>
      <c r="ET60">
        <v>74.679313659667969</v>
      </c>
      <c r="EU60">
        <v>73.986915588378906</v>
      </c>
      <c r="EV60">
        <v>72.181221008300781</v>
      </c>
      <c r="EW60">
        <v>70.160110473632812</v>
      </c>
      <c r="EX60">
        <v>68.930282592773438</v>
      </c>
      <c r="EY60">
        <v>69.172012329101562</v>
      </c>
      <c r="EZ60">
        <v>72.697235107421875</v>
      </c>
      <c r="FA60">
        <v>77.190872192382813</v>
      </c>
      <c r="FB60">
        <v>81.697624206542969</v>
      </c>
      <c r="FC60">
        <v>86.32147216796875</v>
      </c>
      <c r="FD60">
        <v>89.304100036621094</v>
      </c>
      <c r="FE60">
        <v>92.7532958984375</v>
      </c>
      <c r="FF60">
        <v>94.949058532714844</v>
      </c>
      <c r="FG60">
        <v>95.42376708984375</v>
      </c>
      <c r="FH60">
        <v>96.065689086914063</v>
      </c>
      <c r="FI60">
        <v>95.433425903320313</v>
      </c>
      <c r="FJ60">
        <v>93.8145751953125</v>
      </c>
      <c r="FK60">
        <v>91.734848022460938</v>
      </c>
      <c r="FL60">
        <v>88.552627563476563</v>
      </c>
      <c r="FM60">
        <v>83.707794189453125</v>
      </c>
      <c r="FN60">
        <v>79.753005981445313</v>
      </c>
      <c r="FO60">
        <v>78.002235412597656</v>
      </c>
      <c r="FP60">
        <v>77.476882934570313</v>
      </c>
      <c r="FQ60">
        <v>77.120780944824219</v>
      </c>
      <c r="FR60">
        <v>48</v>
      </c>
      <c r="FS60">
        <v>6.9215163588523865E-2</v>
      </c>
      <c r="FT60">
        <v>1</v>
      </c>
    </row>
    <row r="61" spans="1:176" x14ac:dyDescent="0.2">
      <c r="A61" t="s">
        <v>228</v>
      </c>
      <c r="B61" t="s">
        <v>225</v>
      </c>
      <c r="C61" t="s">
        <v>239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>
        <v>0</v>
      </c>
      <c r="FG61">
        <v>0</v>
      </c>
      <c r="FH61">
        <v>0</v>
      </c>
      <c r="FI61">
        <v>0</v>
      </c>
      <c r="FJ61">
        <v>0</v>
      </c>
      <c r="FK61">
        <v>0</v>
      </c>
      <c r="FL61">
        <v>0</v>
      </c>
      <c r="FM61">
        <v>0</v>
      </c>
      <c r="FN61">
        <v>0</v>
      </c>
      <c r="FO61">
        <v>0</v>
      </c>
      <c r="FP61">
        <v>0</v>
      </c>
      <c r="FQ61">
        <v>0</v>
      </c>
      <c r="FR61">
        <v>0</v>
      </c>
      <c r="FS61">
        <v>0</v>
      </c>
      <c r="FT61">
        <v>0</v>
      </c>
    </row>
    <row r="62" spans="1:176" x14ac:dyDescent="0.2">
      <c r="A62" t="s">
        <v>228</v>
      </c>
      <c r="B62" t="s">
        <v>225</v>
      </c>
      <c r="C62" t="s">
        <v>240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0</v>
      </c>
      <c r="FL62">
        <v>0</v>
      </c>
      <c r="FM62">
        <v>0</v>
      </c>
      <c r="FN62">
        <v>0</v>
      </c>
      <c r="FO62">
        <v>0</v>
      </c>
      <c r="FP62">
        <v>0</v>
      </c>
      <c r="FQ62">
        <v>0</v>
      </c>
      <c r="FR62">
        <v>0</v>
      </c>
      <c r="FS62">
        <v>0</v>
      </c>
      <c r="FT62">
        <v>0</v>
      </c>
    </row>
    <row r="63" spans="1:176" x14ac:dyDescent="0.2">
      <c r="A63" t="s">
        <v>228</v>
      </c>
      <c r="B63" t="s">
        <v>225</v>
      </c>
      <c r="C63" t="s">
        <v>241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0</v>
      </c>
      <c r="FE63">
        <v>0</v>
      </c>
      <c r="FF63">
        <v>0</v>
      </c>
      <c r="FG63">
        <v>0</v>
      </c>
      <c r="FH63">
        <v>0</v>
      </c>
      <c r="FI63">
        <v>0</v>
      </c>
      <c r="FJ63">
        <v>0</v>
      </c>
      <c r="FK63">
        <v>0</v>
      </c>
      <c r="FL63">
        <v>0</v>
      </c>
      <c r="FM63">
        <v>0</v>
      </c>
      <c r="FN63">
        <v>0</v>
      </c>
      <c r="FO63">
        <v>0</v>
      </c>
      <c r="FP63">
        <v>0</v>
      </c>
      <c r="FQ63">
        <v>0</v>
      </c>
      <c r="FR63">
        <v>0</v>
      </c>
      <c r="FS63">
        <v>0</v>
      </c>
      <c r="FT63">
        <v>0</v>
      </c>
    </row>
    <row r="64" spans="1:176" x14ac:dyDescent="0.2">
      <c r="A64" t="s">
        <v>228</v>
      </c>
      <c r="B64" t="s">
        <v>225</v>
      </c>
      <c r="C64" t="s">
        <v>242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v>0</v>
      </c>
      <c r="FG64">
        <v>0</v>
      </c>
      <c r="FH64">
        <v>0</v>
      </c>
      <c r="FI64">
        <v>0</v>
      </c>
      <c r="FJ64">
        <v>0</v>
      </c>
      <c r="FK64">
        <v>0</v>
      </c>
      <c r="FL64">
        <v>0</v>
      </c>
      <c r="FM64">
        <v>0</v>
      </c>
      <c r="FN64">
        <v>0</v>
      </c>
      <c r="FO64">
        <v>0</v>
      </c>
      <c r="FP64">
        <v>0</v>
      </c>
      <c r="FQ64">
        <v>0</v>
      </c>
      <c r="FR64">
        <v>0</v>
      </c>
      <c r="FS64">
        <v>0</v>
      </c>
      <c r="FT64">
        <v>0</v>
      </c>
    </row>
    <row r="65" spans="1:176" x14ac:dyDescent="0.2">
      <c r="A65" t="s">
        <v>228</v>
      </c>
      <c r="B65" t="s">
        <v>225</v>
      </c>
      <c r="C65" t="s">
        <v>243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0</v>
      </c>
      <c r="FF65">
        <v>0</v>
      </c>
      <c r="FG65">
        <v>0</v>
      </c>
      <c r="FH65">
        <v>0</v>
      </c>
      <c r="FI65">
        <v>0</v>
      </c>
      <c r="FJ65">
        <v>0</v>
      </c>
      <c r="FK65">
        <v>0</v>
      </c>
      <c r="FL65">
        <v>0</v>
      </c>
      <c r="FM65">
        <v>0</v>
      </c>
      <c r="FN65">
        <v>0</v>
      </c>
      <c r="FO65">
        <v>0</v>
      </c>
      <c r="FP65">
        <v>0</v>
      </c>
      <c r="FQ65">
        <v>0</v>
      </c>
      <c r="FR65">
        <v>0</v>
      </c>
      <c r="FS65">
        <v>0</v>
      </c>
      <c r="FT65">
        <v>0</v>
      </c>
    </row>
    <row r="66" spans="1:176" x14ac:dyDescent="0.2">
      <c r="A66" t="s">
        <v>228</v>
      </c>
      <c r="B66" t="s">
        <v>225</v>
      </c>
      <c r="C66" t="s">
        <v>2</v>
      </c>
      <c r="D66">
        <v>48</v>
      </c>
      <c r="E66">
        <v>48</v>
      </c>
      <c r="F66">
        <v>3.8912537097930908</v>
      </c>
      <c r="G66">
        <v>3.8238317966461182</v>
      </c>
      <c r="H66">
        <v>3.6868269443511963</v>
      </c>
      <c r="I66">
        <v>3.4994192123413086</v>
      </c>
      <c r="J66">
        <v>3.4883556365966797</v>
      </c>
      <c r="K66">
        <v>3.5474765300750732</v>
      </c>
      <c r="L66">
        <v>3.8960013389587402</v>
      </c>
      <c r="M66">
        <v>4.1570839881896973</v>
      </c>
      <c r="N66">
        <v>4.9593749046325684</v>
      </c>
      <c r="O66">
        <v>5.1384077072143555</v>
      </c>
      <c r="P66">
        <v>5.5350780487060547</v>
      </c>
      <c r="Q66">
        <v>5.7428317070007324</v>
      </c>
      <c r="R66">
        <v>5.8184628486633301</v>
      </c>
      <c r="S66">
        <v>5.986177921295166</v>
      </c>
      <c r="T66">
        <v>6.1015510559082031</v>
      </c>
      <c r="U66">
        <v>6.0896692276000977</v>
      </c>
      <c r="V66">
        <v>6.2255158424377441</v>
      </c>
      <c r="W66">
        <v>6.4686675071716309</v>
      </c>
      <c r="X66">
        <v>6.6336150169372559</v>
      </c>
      <c r="Y66">
        <v>6.7850813865661621</v>
      </c>
      <c r="Z66">
        <v>6.5745339393615723</v>
      </c>
      <c r="AA66">
        <v>5.8855581283569336</v>
      </c>
      <c r="AB66">
        <v>4.7549514770507812</v>
      </c>
      <c r="AC66">
        <v>4.2548389434814453</v>
      </c>
      <c r="AD66">
        <v>-0.83360666036605835</v>
      </c>
      <c r="AE66">
        <v>-0.87094217538833618</v>
      </c>
      <c r="AF66">
        <v>-0.80318140983581543</v>
      </c>
      <c r="AG66">
        <v>-0.45595663785934448</v>
      </c>
      <c r="AH66">
        <v>-0.47975698113441467</v>
      </c>
      <c r="AI66">
        <v>-0.54491496086120605</v>
      </c>
      <c r="AJ66">
        <v>-0.31156235933303833</v>
      </c>
      <c r="AK66">
        <v>-0.27336403727531433</v>
      </c>
      <c r="AL66">
        <v>-0.48284754157066345</v>
      </c>
      <c r="AM66">
        <v>-0.5800623893737793</v>
      </c>
      <c r="AN66">
        <v>-0.41376975178718567</v>
      </c>
      <c r="AO66">
        <v>-0.50772470235824585</v>
      </c>
      <c r="AP66">
        <v>-0.62373834848403931</v>
      </c>
      <c r="AQ66">
        <v>-0.2661421000957489</v>
      </c>
      <c r="AR66">
        <v>1.3412882089614868</v>
      </c>
      <c r="AS66">
        <v>1.0899943113327026</v>
      </c>
      <c r="AT66">
        <v>1.0927128791809082</v>
      </c>
      <c r="AU66">
        <v>1.0243067741394043</v>
      </c>
      <c r="AV66">
        <v>-0.3531685471534729</v>
      </c>
      <c r="AW66">
        <v>-1.1577208042144775</v>
      </c>
      <c r="AX66">
        <v>-1.1326769590377808</v>
      </c>
      <c r="AY66">
        <v>-0.95107978582382202</v>
      </c>
      <c r="AZ66">
        <v>-0.89622467756271362</v>
      </c>
      <c r="BA66">
        <v>-0.93500083684921265</v>
      </c>
      <c r="BB66">
        <v>-0.50340396165847778</v>
      </c>
      <c r="BC66">
        <v>-0.54526269435882568</v>
      </c>
      <c r="BD66">
        <v>-0.48566439747810364</v>
      </c>
      <c r="BE66">
        <v>-0.15745916962623596</v>
      </c>
      <c r="BF66">
        <v>-0.1735573410987854</v>
      </c>
      <c r="BG66">
        <v>-0.24328882992267609</v>
      </c>
      <c r="BH66">
        <v>-6.8332217633724213E-3</v>
      </c>
      <c r="BI66">
        <v>3.9077818393707275E-2</v>
      </c>
      <c r="BJ66">
        <v>-0.14168968796730042</v>
      </c>
      <c r="BK66">
        <v>-0.20911163091659546</v>
      </c>
      <c r="BL66">
        <v>-2.4003136903047562E-2</v>
      </c>
      <c r="BM66">
        <v>-0.11661767214536667</v>
      </c>
      <c r="BN66">
        <v>-0.23581300675868988</v>
      </c>
      <c r="BO66">
        <v>0.1264675110578537</v>
      </c>
      <c r="BP66">
        <v>1.7446995973587036</v>
      </c>
      <c r="BQ66">
        <v>1.4981273412704468</v>
      </c>
      <c r="BR66">
        <v>1.4918941259384155</v>
      </c>
      <c r="BS66">
        <v>1.4289160966873169</v>
      </c>
      <c r="BT66">
        <v>4.9268476665019989E-2</v>
      </c>
      <c r="BU66">
        <v>-0.75312227010726929</v>
      </c>
      <c r="BV66">
        <v>-0.72040462493896484</v>
      </c>
      <c r="BW66">
        <v>-0.53893911838531494</v>
      </c>
      <c r="BX66">
        <v>-0.48465245962142944</v>
      </c>
      <c r="BY66">
        <v>-0.54708224534988403</v>
      </c>
      <c r="BZ66">
        <v>-0.27470657229423523</v>
      </c>
      <c r="CA66">
        <v>-0.31969806551933289</v>
      </c>
      <c r="CB66">
        <v>-0.26575309038162231</v>
      </c>
      <c r="CC66">
        <v>4.9279268831014633E-2</v>
      </c>
      <c r="CD66">
        <v>3.8515597581863403E-2</v>
      </c>
      <c r="CE66">
        <v>-3.4383498132228851E-2</v>
      </c>
      <c r="CF66">
        <v>0.20422124862670898</v>
      </c>
      <c r="CG66">
        <v>0.25547409057617188</v>
      </c>
      <c r="CH66">
        <v>9.4595193862915039E-2</v>
      </c>
      <c r="CI66">
        <v>4.7807749360799789E-2</v>
      </c>
      <c r="CJ66">
        <v>0.24594803154468536</v>
      </c>
      <c r="CK66">
        <v>0.15426188707351685</v>
      </c>
      <c r="CL66">
        <v>3.2862920314073563E-2</v>
      </c>
      <c r="CM66">
        <v>0.39838773012161255</v>
      </c>
      <c r="CN66">
        <v>2.0241010189056396</v>
      </c>
      <c r="CO66">
        <v>1.7807990312576294</v>
      </c>
      <c r="CP66">
        <v>1.768365740776062</v>
      </c>
      <c r="CQ66">
        <v>1.7091472148895264</v>
      </c>
      <c r="CR66">
        <v>0.32799512147903442</v>
      </c>
      <c r="CS66">
        <v>-0.47289857268333435</v>
      </c>
      <c r="CT66">
        <v>-0.43486610054969788</v>
      </c>
      <c r="CU66">
        <v>-0.25349175930023193</v>
      </c>
      <c r="CV66">
        <v>-0.1995987594127655</v>
      </c>
      <c r="CW66">
        <v>-0.27841103076934814</v>
      </c>
      <c r="CX66">
        <v>-4.6009190380573273E-2</v>
      </c>
      <c r="CY66">
        <v>-9.4133436679840088E-2</v>
      </c>
      <c r="CZ66">
        <v>-4.5841783285140991E-2</v>
      </c>
      <c r="DA66">
        <v>0.25601771473884583</v>
      </c>
      <c r="DB66">
        <v>0.25058853626251221</v>
      </c>
      <c r="DC66">
        <v>0.17452183365821838</v>
      </c>
      <c r="DD66">
        <v>0.41527572274208069</v>
      </c>
      <c r="DE66">
        <v>0.47187036275863647</v>
      </c>
      <c r="DF66">
        <v>0.33088007569313049</v>
      </c>
      <c r="DG66">
        <v>0.30472713708877563</v>
      </c>
      <c r="DH66">
        <v>0.5158991813659668</v>
      </c>
      <c r="DI66">
        <v>0.42514145374298096</v>
      </c>
      <c r="DJ66">
        <v>0.3015388548374176</v>
      </c>
      <c r="DK66">
        <v>0.67030793428421021</v>
      </c>
      <c r="DL66">
        <v>2.3035025596618652</v>
      </c>
      <c r="DM66">
        <v>2.0634706020355225</v>
      </c>
      <c r="DN66">
        <v>2.044837474822998</v>
      </c>
      <c r="DO66">
        <v>1.9893783330917358</v>
      </c>
      <c r="DP66">
        <v>0.60672175884246826</v>
      </c>
      <c r="DQ66">
        <v>-0.19267486035823822</v>
      </c>
      <c r="DR66">
        <v>-0.14932756125926971</v>
      </c>
      <c r="DS66">
        <v>3.195561096072197E-2</v>
      </c>
      <c r="DT66">
        <v>8.5454933345317841E-2</v>
      </c>
      <c r="DU66">
        <v>-9.7397919744253159E-3</v>
      </c>
      <c r="DV66">
        <v>0.28419351577758789</v>
      </c>
      <c r="DW66">
        <v>0.2315460592508316</v>
      </c>
      <c r="DX66">
        <v>0.2716752290725708</v>
      </c>
      <c r="DY66">
        <v>0.55451518297195435</v>
      </c>
      <c r="DZ66">
        <v>0.55678820610046387</v>
      </c>
      <c r="EA66">
        <v>0.47614797949790955</v>
      </c>
      <c r="EB66">
        <v>0.7200048565864563</v>
      </c>
      <c r="EC66">
        <v>0.78431218862533569</v>
      </c>
      <c r="ED66">
        <v>0.67203789949417114</v>
      </c>
      <c r="EE66">
        <v>0.67567789554595947</v>
      </c>
      <c r="EF66">
        <v>0.9056658148765564</v>
      </c>
      <c r="EG66">
        <v>0.81624847650527954</v>
      </c>
      <c r="EH66">
        <v>0.68946421146392822</v>
      </c>
      <c r="EI66">
        <v>1.0629175901412964</v>
      </c>
      <c r="EJ66">
        <v>2.706913948059082</v>
      </c>
      <c r="EK66">
        <v>2.4716036319732666</v>
      </c>
      <c r="EL66">
        <v>2.4440186023712158</v>
      </c>
      <c r="EM66">
        <v>2.3939876556396484</v>
      </c>
      <c r="EN66">
        <v>1.009158730506897</v>
      </c>
      <c r="EO66">
        <v>0.21192368865013123</v>
      </c>
      <c r="EP66">
        <v>0.26294475793838501</v>
      </c>
      <c r="EQ66">
        <v>0.44409626722335815</v>
      </c>
      <c r="ER66">
        <v>0.497027188539505</v>
      </c>
      <c r="ES66">
        <v>0.37817880511283875</v>
      </c>
      <c r="ET66">
        <v>63.130161285400391</v>
      </c>
      <c r="EU66">
        <v>61.68731689453125</v>
      </c>
      <c r="EV66">
        <v>59.927036285400391</v>
      </c>
      <c r="EW66">
        <v>58.089004516601563</v>
      </c>
      <c r="EX66">
        <v>57.665950775146484</v>
      </c>
      <c r="EY66">
        <v>58.090782165527344</v>
      </c>
      <c r="EZ66">
        <v>63.80902099609375</v>
      </c>
      <c r="FA66">
        <v>73.529922485351562</v>
      </c>
      <c r="FB66">
        <v>76.592391967773438</v>
      </c>
      <c r="FC66">
        <v>79.603981018066406</v>
      </c>
      <c r="FD66">
        <v>82.609138488769531</v>
      </c>
      <c r="FE66">
        <v>84.754295349121094</v>
      </c>
      <c r="FF66">
        <v>86.389389038085938</v>
      </c>
      <c r="FG66">
        <v>87.675125122070312</v>
      </c>
      <c r="FH66">
        <v>88.757492065429688</v>
      </c>
      <c r="FI66">
        <v>89.484390258789063</v>
      </c>
      <c r="FJ66">
        <v>89.569175720214844</v>
      </c>
      <c r="FK66">
        <v>88.848533630371094</v>
      </c>
      <c r="FL66">
        <v>86.517936706542969</v>
      </c>
      <c r="FM66">
        <v>81.962944030761719</v>
      </c>
      <c r="FN66">
        <v>77.13720703125</v>
      </c>
      <c r="FO66">
        <v>73.456748962402344</v>
      </c>
      <c r="FP66">
        <v>71.086288452148438</v>
      </c>
      <c r="FQ66">
        <v>68.188507080078125</v>
      </c>
      <c r="FR66">
        <v>16</v>
      </c>
      <c r="FS66">
        <v>2.7341751381754875E-2</v>
      </c>
      <c r="FT66">
        <v>1</v>
      </c>
    </row>
    <row r="67" spans="1:176" x14ac:dyDescent="0.2">
      <c r="A67" t="s">
        <v>228</v>
      </c>
      <c r="B67" t="s">
        <v>226</v>
      </c>
      <c r="C67" t="s">
        <v>244</v>
      </c>
      <c r="D67">
        <v>80</v>
      </c>
      <c r="E67">
        <v>80</v>
      </c>
      <c r="F67">
        <v>7.6136903762817383</v>
      </c>
      <c r="G67">
        <v>7.5718169212341309</v>
      </c>
      <c r="H67">
        <v>7.4427070617675781</v>
      </c>
      <c r="I67">
        <v>7.2648749351501465</v>
      </c>
      <c r="J67">
        <v>7.2924456596374512</v>
      </c>
      <c r="K67">
        <v>7.5981016159057617</v>
      </c>
      <c r="L67">
        <v>8.3773603439331055</v>
      </c>
      <c r="M67">
        <v>8.6592302322387695</v>
      </c>
      <c r="N67">
        <v>8.9741477966308594</v>
      </c>
      <c r="O67">
        <v>9.0555419921875</v>
      </c>
      <c r="P67">
        <v>8.9696292877197266</v>
      </c>
      <c r="Q67">
        <v>8.882537841796875</v>
      </c>
      <c r="R67">
        <v>8.6606559753417969</v>
      </c>
      <c r="S67">
        <v>8.4671669006347656</v>
      </c>
      <c r="T67">
        <v>8.1967926025390625</v>
      </c>
      <c r="U67">
        <v>8.088627815246582</v>
      </c>
      <c r="V67">
        <v>7.8583340644836426</v>
      </c>
      <c r="W67">
        <v>7.9801173210144043</v>
      </c>
      <c r="X67">
        <v>8.2255153656005859</v>
      </c>
      <c r="Y67">
        <v>8.17156982421875</v>
      </c>
      <c r="Z67">
        <v>8.1011199951171875</v>
      </c>
      <c r="AA67">
        <v>8.03289794921875</v>
      </c>
      <c r="AB67">
        <v>7.8675179481506348</v>
      </c>
      <c r="AC67">
        <v>7.4180927276611328</v>
      </c>
      <c r="AD67">
        <v>-0.24582870304584503</v>
      </c>
      <c r="AE67">
        <v>-8.2658097147941589E-2</v>
      </c>
      <c r="AF67">
        <v>1.8892446532845497E-2</v>
      </c>
      <c r="AG67">
        <v>-0.153948575258255</v>
      </c>
      <c r="AH67">
        <v>-0.48008078336715698</v>
      </c>
      <c r="AI67">
        <v>-0.94943839311599731</v>
      </c>
      <c r="AJ67">
        <v>-1.0363049507141113</v>
      </c>
      <c r="AK67">
        <v>-1.2525649070739746</v>
      </c>
      <c r="AL67">
        <v>-1.2508511543273926</v>
      </c>
      <c r="AM67">
        <v>-2.7275087833404541</v>
      </c>
      <c r="AN67">
        <v>-2.0623624324798584</v>
      </c>
      <c r="AO67">
        <v>2.9987831115722656</v>
      </c>
      <c r="AP67">
        <v>2.7095232009887695</v>
      </c>
      <c r="AQ67">
        <v>2.6034719944000244</v>
      </c>
      <c r="AR67">
        <v>2.3419122695922852</v>
      </c>
      <c r="AS67">
        <v>2.20442795753479</v>
      </c>
      <c r="AT67">
        <v>1.9493660926818848</v>
      </c>
      <c r="AU67">
        <v>1.9017907381057739</v>
      </c>
      <c r="AV67">
        <v>2.1073698997497559</v>
      </c>
      <c r="AW67">
        <v>0.63093751668930054</v>
      </c>
      <c r="AX67">
        <v>-0.61696434020996094</v>
      </c>
      <c r="AY67">
        <v>-0.85864955186843872</v>
      </c>
      <c r="AZ67">
        <v>-1.0117603540420532</v>
      </c>
      <c r="BA67">
        <v>-0.8833509087562561</v>
      </c>
      <c r="BB67">
        <v>0.27309289574623108</v>
      </c>
      <c r="BC67">
        <v>0.426227867603302</v>
      </c>
      <c r="BD67">
        <v>0.52227210998535156</v>
      </c>
      <c r="BE67">
        <v>0.33474746346473694</v>
      </c>
      <c r="BF67">
        <v>4.2960084974765778E-3</v>
      </c>
      <c r="BG67">
        <v>-0.45646208524703979</v>
      </c>
      <c r="BH67">
        <v>-0.53734678030014038</v>
      </c>
      <c r="BI67">
        <v>-0.74162387847900391</v>
      </c>
      <c r="BJ67">
        <v>-0.70192992687225342</v>
      </c>
      <c r="BK67">
        <v>-2.1499354839324951</v>
      </c>
      <c r="BL67">
        <v>-1.4534202814102173</v>
      </c>
      <c r="BM67">
        <v>3.6315460205078125</v>
      </c>
      <c r="BN67">
        <v>3.3975765705108643</v>
      </c>
      <c r="BO67">
        <v>3.286776065826416</v>
      </c>
      <c r="BP67">
        <v>3.0898802280426025</v>
      </c>
      <c r="BQ67">
        <v>2.9662752151489258</v>
      </c>
      <c r="BR67">
        <v>2.6894676685333252</v>
      </c>
      <c r="BS67">
        <v>2.595623254776001</v>
      </c>
      <c r="BT67">
        <v>2.7400388717651367</v>
      </c>
      <c r="BU67">
        <v>1.2214978933334351</v>
      </c>
      <c r="BV67">
        <v>-3.6874420940876007E-2</v>
      </c>
      <c r="BW67">
        <v>-0.28012916445732117</v>
      </c>
      <c r="BX67">
        <v>-0.43152153491973877</v>
      </c>
      <c r="BY67">
        <v>-0.30100229382514954</v>
      </c>
      <c r="BZ67">
        <v>0.6324964165687561</v>
      </c>
      <c r="CA67">
        <v>0.77868074178695679</v>
      </c>
      <c r="CB67">
        <v>0.87091130018234253</v>
      </c>
      <c r="CC67">
        <v>0.67321687936782837</v>
      </c>
      <c r="CD67">
        <v>0.33977389335632324</v>
      </c>
      <c r="CE67">
        <v>-0.11502816528081894</v>
      </c>
      <c r="CF67">
        <v>-0.1917697936296463</v>
      </c>
      <c r="CG67">
        <v>-0.38774761557579041</v>
      </c>
      <c r="CH67">
        <v>-0.32174870371818542</v>
      </c>
      <c r="CI67">
        <v>-1.7499097585678101</v>
      </c>
      <c r="CJ67">
        <v>-1.0316687822341919</v>
      </c>
      <c r="CK67">
        <v>4.0697956085205078</v>
      </c>
      <c r="CL67">
        <v>3.8741199970245361</v>
      </c>
      <c r="CM67">
        <v>3.7600305080413818</v>
      </c>
      <c r="CN67">
        <v>3.6079206466674805</v>
      </c>
      <c r="CO67">
        <v>3.4939281940460205</v>
      </c>
      <c r="CP67">
        <v>3.2020599842071533</v>
      </c>
      <c r="CQ67">
        <v>3.076169490814209</v>
      </c>
      <c r="CR67">
        <v>3.1782233715057373</v>
      </c>
      <c r="CS67">
        <v>1.6305181980133057</v>
      </c>
      <c r="CT67">
        <v>0.36489409208297729</v>
      </c>
      <c r="CU67">
        <v>0.12055227160453796</v>
      </c>
      <c r="CV67">
        <v>-2.9649883508682251E-2</v>
      </c>
      <c r="CW67">
        <v>0.10233058035373688</v>
      </c>
      <c r="CX67">
        <v>0.99189990758895874</v>
      </c>
      <c r="CY67">
        <v>1.1311335563659668</v>
      </c>
      <c r="CZ67">
        <v>1.2195504903793335</v>
      </c>
      <c r="DA67">
        <v>1.0116863250732422</v>
      </c>
      <c r="DB67">
        <v>0.67525178194046021</v>
      </c>
      <c r="DC67">
        <v>0.22640575468540192</v>
      </c>
      <c r="DD67">
        <v>0.15380716323852539</v>
      </c>
      <c r="DE67">
        <v>-3.3871378749608994E-2</v>
      </c>
      <c r="DF67">
        <v>5.8432489633560181E-2</v>
      </c>
      <c r="DG67">
        <v>-1.3498841524124146</v>
      </c>
      <c r="DH67">
        <v>-0.60991734266281128</v>
      </c>
      <c r="DI67">
        <v>4.5080451965332031</v>
      </c>
      <c r="DJ67">
        <v>4.3506636619567871</v>
      </c>
      <c r="DK67">
        <v>4.2332849502563477</v>
      </c>
      <c r="DL67">
        <v>4.1259608268737793</v>
      </c>
      <c r="DM67">
        <v>4.0215811729431152</v>
      </c>
      <c r="DN67">
        <v>3.7146522998809814</v>
      </c>
      <c r="DO67">
        <v>3.556715726852417</v>
      </c>
      <c r="DP67">
        <v>3.6164078712463379</v>
      </c>
      <c r="DQ67">
        <v>2.0395386219024658</v>
      </c>
      <c r="DR67">
        <v>0.76666259765625</v>
      </c>
      <c r="DS67">
        <v>0.52123373746871948</v>
      </c>
      <c r="DT67">
        <v>0.37222176790237427</v>
      </c>
      <c r="DU67">
        <v>0.50566345453262329</v>
      </c>
      <c r="DV67">
        <v>1.5108215808868408</v>
      </c>
      <c r="DW67">
        <v>1.6400195360183716</v>
      </c>
      <c r="DX67">
        <v>1.7229301929473877</v>
      </c>
      <c r="DY67">
        <v>1.5003823041915894</v>
      </c>
      <c r="DZ67">
        <v>1.1596285104751587</v>
      </c>
      <c r="EA67">
        <v>0.71938210725784302</v>
      </c>
      <c r="EB67">
        <v>0.65276539325714111</v>
      </c>
      <c r="EC67">
        <v>0.47706970572471619</v>
      </c>
      <c r="ED67">
        <v>0.60735374689102173</v>
      </c>
      <c r="EE67">
        <v>-0.77231061458587646</v>
      </c>
      <c r="EF67">
        <v>-9.7520422423258424E-4</v>
      </c>
      <c r="EG67">
        <v>5.14080810546875</v>
      </c>
      <c r="EH67">
        <v>5.0387167930603027</v>
      </c>
      <c r="EI67">
        <v>4.9165892601013184</v>
      </c>
      <c r="EJ67">
        <v>4.8739290237426758</v>
      </c>
      <c r="EK67">
        <v>4.7834281921386719</v>
      </c>
      <c r="EL67">
        <v>4.4547538757324219</v>
      </c>
      <c r="EM67">
        <v>4.2505483627319336</v>
      </c>
      <c r="EN67">
        <v>4.2490768432617188</v>
      </c>
      <c r="EO67">
        <v>2.630098819732666</v>
      </c>
      <c r="EP67">
        <v>1.3467525243759155</v>
      </c>
      <c r="EQ67">
        <v>1.0997540950775146</v>
      </c>
      <c r="ER67">
        <v>0.9524606466293335</v>
      </c>
      <c r="ES67">
        <v>1.0880120992660522</v>
      </c>
      <c r="ET67">
        <v>44.663619995117188</v>
      </c>
      <c r="EU67">
        <v>44.803718566894531</v>
      </c>
      <c r="EV67">
        <v>45.104251861572266</v>
      </c>
      <c r="EW67">
        <v>45.128520965576172</v>
      </c>
      <c r="EX67">
        <v>45.098949432373047</v>
      </c>
      <c r="EY67">
        <v>45.313396453857422</v>
      </c>
      <c r="EZ67">
        <v>45.021575927734375</v>
      </c>
      <c r="FA67">
        <v>45.405292510986328</v>
      </c>
      <c r="FB67">
        <v>47.590721130371094</v>
      </c>
      <c r="FC67">
        <v>50.054542541503906</v>
      </c>
      <c r="FD67">
        <v>51.106853485107422</v>
      </c>
      <c r="FE67">
        <v>51.702064514160156</v>
      </c>
      <c r="FF67">
        <v>51.903587341308594</v>
      </c>
      <c r="FG67">
        <v>52.204479217529297</v>
      </c>
      <c r="FH67">
        <v>51.078762054443359</v>
      </c>
      <c r="FI67">
        <v>50.088794708251953</v>
      </c>
      <c r="FJ67">
        <v>48.71490478515625</v>
      </c>
      <c r="FK67">
        <v>48.259757995605469</v>
      </c>
      <c r="FL67">
        <v>47.700359344482422</v>
      </c>
      <c r="FM67">
        <v>47.245235443115234</v>
      </c>
      <c r="FN67">
        <v>47.588451385498047</v>
      </c>
      <c r="FO67">
        <v>47.174739837646484</v>
      </c>
      <c r="FP67">
        <v>46.905860900878906</v>
      </c>
      <c r="FQ67">
        <v>46.889068603515625</v>
      </c>
      <c r="FR67">
        <v>80</v>
      </c>
      <c r="FS67">
        <v>0.12162182480096817</v>
      </c>
      <c r="FT67">
        <v>1</v>
      </c>
    </row>
    <row r="68" spans="1:176" x14ac:dyDescent="0.2">
      <c r="A68" t="s">
        <v>228</v>
      </c>
      <c r="B68" t="s">
        <v>226</v>
      </c>
      <c r="C68" t="s">
        <v>233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0</v>
      </c>
      <c r="FA68">
        <v>0</v>
      </c>
      <c r="FB68">
        <v>0</v>
      </c>
      <c r="FC68">
        <v>0</v>
      </c>
      <c r="FD68">
        <v>0</v>
      </c>
      <c r="FE68">
        <v>0</v>
      </c>
      <c r="FF68">
        <v>0</v>
      </c>
      <c r="FG68">
        <v>0</v>
      </c>
      <c r="FH68">
        <v>0</v>
      </c>
      <c r="FI68">
        <v>0</v>
      </c>
      <c r="FJ68">
        <v>0</v>
      </c>
      <c r="FK68">
        <v>0</v>
      </c>
      <c r="FL68">
        <v>0</v>
      </c>
      <c r="FM68">
        <v>0</v>
      </c>
      <c r="FN68">
        <v>0</v>
      </c>
      <c r="FO68">
        <v>0</v>
      </c>
      <c r="FP68">
        <v>0</v>
      </c>
      <c r="FQ68">
        <v>0</v>
      </c>
      <c r="FR68">
        <v>0</v>
      </c>
      <c r="FS68">
        <v>0</v>
      </c>
      <c r="FT68">
        <v>0</v>
      </c>
    </row>
    <row r="69" spans="1:176" x14ac:dyDescent="0.2">
      <c r="A69" t="s">
        <v>228</v>
      </c>
      <c r="B69" t="s">
        <v>226</v>
      </c>
      <c r="C69" t="s">
        <v>234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0</v>
      </c>
      <c r="FA69">
        <v>0</v>
      </c>
      <c r="FB69">
        <v>0</v>
      </c>
      <c r="FC69">
        <v>0</v>
      </c>
      <c r="FD69">
        <v>0</v>
      </c>
      <c r="FE69">
        <v>0</v>
      </c>
      <c r="FF69">
        <v>0</v>
      </c>
      <c r="FG69">
        <v>0</v>
      </c>
      <c r="FH69">
        <v>0</v>
      </c>
      <c r="FI69">
        <v>0</v>
      </c>
      <c r="FJ69">
        <v>0</v>
      </c>
      <c r="FK69">
        <v>0</v>
      </c>
      <c r="FL69">
        <v>0</v>
      </c>
      <c r="FM69">
        <v>0</v>
      </c>
      <c r="FN69">
        <v>0</v>
      </c>
      <c r="FO69">
        <v>0</v>
      </c>
      <c r="FP69">
        <v>0</v>
      </c>
      <c r="FQ69">
        <v>0</v>
      </c>
      <c r="FR69">
        <v>0</v>
      </c>
      <c r="FS69">
        <v>0</v>
      </c>
      <c r="FT69">
        <v>0</v>
      </c>
    </row>
    <row r="70" spans="1:176" x14ac:dyDescent="0.2">
      <c r="A70" t="s">
        <v>228</v>
      </c>
      <c r="B70" t="s">
        <v>226</v>
      </c>
      <c r="C70" t="s">
        <v>235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0</v>
      </c>
      <c r="FE70">
        <v>0</v>
      </c>
      <c r="FF70">
        <v>0</v>
      </c>
      <c r="FG70">
        <v>0</v>
      </c>
      <c r="FH70">
        <v>0</v>
      </c>
      <c r="FI70">
        <v>0</v>
      </c>
      <c r="FJ70">
        <v>0</v>
      </c>
      <c r="FK70">
        <v>0</v>
      </c>
      <c r="FL70">
        <v>0</v>
      </c>
      <c r="FM70">
        <v>0</v>
      </c>
      <c r="FN70">
        <v>0</v>
      </c>
      <c r="FO70">
        <v>0</v>
      </c>
      <c r="FP70">
        <v>0</v>
      </c>
      <c r="FQ70">
        <v>0</v>
      </c>
      <c r="FR70">
        <v>0</v>
      </c>
      <c r="FS70">
        <v>0</v>
      </c>
      <c r="FT70">
        <v>0</v>
      </c>
    </row>
    <row r="71" spans="1:176" x14ac:dyDescent="0.2">
      <c r="A71" t="s">
        <v>228</v>
      </c>
      <c r="B71" t="s">
        <v>226</v>
      </c>
      <c r="C71" t="s">
        <v>236</v>
      </c>
      <c r="D71">
        <v>80</v>
      </c>
      <c r="E71">
        <v>80</v>
      </c>
      <c r="F71">
        <v>10.874691963195801</v>
      </c>
      <c r="G71">
        <v>10.569172859191895</v>
      </c>
      <c r="H71">
        <v>10.384742736816406</v>
      </c>
      <c r="I71">
        <v>10.365767478942871</v>
      </c>
      <c r="J71">
        <v>10.238822937011719</v>
      </c>
      <c r="K71">
        <v>10.423867225646973</v>
      </c>
      <c r="L71">
        <v>11.187221527099609</v>
      </c>
      <c r="M71">
        <v>11.874181747436523</v>
      </c>
      <c r="N71">
        <v>12.530184745788574</v>
      </c>
      <c r="O71">
        <v>12.892157554626465</v>
      </c>
      <c r="P71">
        <v>13.043229103088379</v>
      </c>
      <c r="Q71">
        <v>13.195198059082031</v>
      </c>
      <c r="R71">
        <v>13.233503341674805</v>
      </c>
      <c r="S71">
        <v>13.118344306945801</v>
      </c>
      <c r="T71">
        <v>12.932046890258789</v>
      </c>
      <c r="U71">
        <v>12.672416687011719</v>
      </c>
      <c r="V71">
        <v>12.31870174407959</v>
      </c>
      <c r="W71">
        <v>12.352471351623535</v>
      </c>
      <c r="X71">
        <v>12.371918678283691</v>
      </c>
      <c r="Y71">
        <v>12.336362838745117</v>
      </c>
      <c r="Z71">
        <v>12.378684043884277</v>
      </c>
      <c r="AA71">
        <v>12.404500961303711</v>
      </c>
      <c r="AB71">
        <v>11.958843231201172</v>
      </c>
      <c r="AC71">
        <v>10.961297988891602</v>
      </c>
      <c r="AD71">
        <v>-0.97503364086151123</v>
      </c>
      <c r="AE71">
        <v>-0.7411733865737915</v>
      </c>
      <c r="AF71">
        <v>-1.0161168575286865</v>
      </c>
      <c r="AG71">
        <v>-0.66380971670150757</v>
      </c>
      <c r="AH71">
        <v>-0.59715551137924194</v>
      </c>
      <c r="AI71">
        <v>-1.1510895490646362</v>
      </c>
      <c r="AJ71">
        <v>-1.0842888355255127</v>
      </c>
      <c r="AK71">
        <v>-0.76568031311035156</v>
      </c>
      <c r="AL71">
        <v>-1.1114137172698975</v>
      </c>
      <c r="AM71">
        <v>-1.283887505531311</v>
      </c>
      <c r="AN71">
        <v>-1.8524614572525024</v>
      </c>
      <c r="AO71">
        <v>-2.6086580753326416</v>
      </c>
      <c r="AP71">
        <v>-2.3696150779724121</v>
      </c>
      <c r="AQ71">
        <v>-1.0315436124801636</v>
      </c>
      <c r="AR71">
        <v>5.2417759895324707</v>
      </c>
      <c r="AS71">
        <v>5.2165579795837402</v>
      </c>
      <c r="AT71">
        <v>1.008047342300415</v>
      </c>
      <c r="AU71">
        <v>-0.90975356101989746</v>
      </c>
      <c r="AV71">
        <v>-1.1253725290298462</v>
      </c>
      <c r="AW71">
        <v>-1.6095613241195679</v>
      </c>
      <c r="AX71">
        <v>-1.3151751756668091</v>
      </c>
      <c r="AY71">
        <v>-1.2378575801849365</v>
      </c>
      <c r="AZ71">
        <v>-1.4201260805130005</v>
      </c>
      <c r="BA71">
        <v>-1.4663525819778442</v>
      </c>
      <c r="BB71">
        <v>-0.40118348598480225</v>
      </c>
      <c r="BC71">
        <v>-0.17771333456039429</v>
      </c>
      <c r="BD71">
        <v>-0.4591231644153595</v>
      </c>
      <c r="BE71">
        <v>-0.14366622269153595</v>
      </c>
      <c r="BF71">
        <v>-7.6634451746940613E-2</v>
      </c>
      <c r="BG71">
        <v>-0.64084941148757935</v>
      </c>
      <c r="BH71">
        <v>-0.56516224145889282</v>
      </c>
      <c r="BI71">
        <v>-0.22692111134529114</v>
      </c>
      <c r="BJ71">
        <v>-0.55011004209518433</v>
      </c>
      <c r="BK71">
        <v>-0.67777568101882935</v>
      </c>
      <c r="BL71">
        <v>-1.2397779226303101</v>
      </c>
      <c r="BM71">
        <v>-2.009631872177124</v>
      </c>
      <c r="BN71">
        <v>-1.7821911573410034</v>
      </c>
      <c r="BO71">
        <v>-0.43395781517028809</v>
      </c>
      <c r="BP71">
        <v>5.8479080200195313</v>
      </c>
      <c r="BQ71">
        <v>5.8271064758300781</v>
      </c>
      <c r="BR71">
        <v>1.6153640747070313</v>
      </c>
      <c r="BS71">
        <v>-0.29448753595352173</v>
      </c>
      <c r="BT71">
        <v>-0.5107804536819458</v>
      </c>
      <c r="BU71">
        <v>-0.99998444318771362</v>
      </c>
      <c r="BV71">
        <v>-0.70669394731521606</v>
      </c>
      <c r="BW71">
        <v>-0.63367676734924316</v>
      </c>
      <c r="BX71">
        <v>-0.80795019865036011</v>
      </c>
      <c r="BY71">
        <v>-0.85500985383987427</v>
      </c>
      <c r="BZ71">
        <v>-3.7366056349128485E-3</v>
      </c>
      <c r="CA71">
        <v>0.21253736317157745</v>
      </c>
      <c r="CB71">
        <v>-7.3350980877876282E-2</v>
      </c>
      <c r="CC71">
        <v>0.21658356487751007</v>
      </c>
      <c r="CD71">
        <v>0.28387683629989624</v>
      </c>
      <c r="CE71">
        <v>-0.28745859861373901</v>
      </c>
      <c r="CF71">
        <v>-0.20561672747135162</v>
      </c>
      <c r="CG71">
        <v>0.14622189104557037</v>
      </c>
      <c r="CH71">
        <v>-0.16135284304618835</v>
      </c>
      <c r="CI71">
        <v>-0.25798442959785461</v>
      </c>
      <c r="CJ71">
        <v>-0.81543517112731934</v>
      </c>
      <c r="CK71">
        <v>-1.5947480201721191</v>
      </c>
      <c r="CL71">
        <v>-1.3753430843353271</v>
      </c>
      <c r="CM71">
        <v>-2.007172629237175E-2</v>
      </c>
      <c r="CN71">
        <v>6.2677130699157715</v>
      </c>
      <c r="CO71">
        <v>6.2499704360961914</v>
      </c>
      <c r="CP71">
        <v>2.0359897613525391</v>
      </c>
      <c r="CQ71">
        <v>0.13164381682872772</v>
      </c>
      <c r="CR71">
        <v>-8.5115857422351837E-2</v>
      </c>
      <c r="CS71">
        <v>-0.5777934193611145</v>
      </c>
      <c r="CT71">
        <v>-0.28526172041893005</v>
      </c>
      <c r="CU71">
        <v>-0.21522296965122223</v>
      </c>
      <c r="CV71">
        <v>-0.38395899534225464</v>
      </c>
      <c r="CW71">
        <v>-0.43159574270248413</v>
      </c>
      <c r="CX71">
        <v>0.39371025562286377</v>
      </c>
      <c r="CY71">
        <v>0.60278809070587158</v>
      </c>
      <c r="CZ71">
        <v>0.31242120265960693</v>
      </c>
      <c r="DA71">
        <v>0.57683336734771729</v>
      </c>
      <c r="DB71">
        <v>0.64438813924789429</v>
      </c>
      <c r="DC71">
        <v>6.5932191908359528E-2</v>
      </c>
      <c r="DD71">
        <v>0.15392875671386719</v>
      </c>
      <c r="DE71">
        <v>0.51936489343643188</v>
      </c>
      <c r="DF71">
        <v>0.22740434110164642</v>
      </c>
      <c r="DG71">
        <v>0.16180679202079773</v>
      </c>
      <c r="DH71">
        <v>-0.391092449426651</v>
      </c>
      <c r="DI71">
        <v>-1.1798642873764038</v>
      </c>
      <c r="DJ71">
        <v>-0.96849501132965088</v>
      </c>
      <c r="DK71">
        <v>0.39381435513496399</v>
      </c>
      <c r="DL71">
        <v>6.6875181198120117</v>
      </c>
      <c r="DM71">
        <v>6.6728343963623047</v>
      </c>
      <c r="DN71">
        <v>2.4566154479980469</v>
      </c>
      <c r="DO71">
        <v>0.55777519941329956</v>
      </c>
      <c r="DP71">
        <v>0.34054875373840332</v>
      </c>
      <c r="DQ71">
        <v>-0.15560236573219299</v>
      </c>
      <c r="DR71">
        <v>0.13617050647735596</v>
      </c>
      <c r="DS71">
        <v>0.2032308429479599</v>
      </c>
      <c r="DT71">
        <v>4.0032193064689636E-2</v>
      </c>
      <c r="DU71">
        <v>-8.1816473975777626E-3</v>
      </c>
      <c r="DV71">
        <v>0.96756041049957275</v>
      </c>
      <c r="DW71">
        <v>1.166248083114624</v>
      </c>
      <c r="DX71">
        <v>0.86941492557525635</v>
      </c>
      <c r="DY71">
        <v>1.0969768762588501</v>
      </c>
      <c r="DZ71">
        <v>1.1649091243743896</v>
      </c>
      <c r="EA71">
        <v>0.5761723518371582</v>
      </c>
      <c r="EB71">
        <v>0.67305535078048706</v>
      </c>
      <c r="EC71">
        <v>1.0581240653991699</v>
      </c>
      <c r="ED71">
        <v>0.78870797157287598</v>
      </c>
      <c r="EE71">
        <v>0.76791864633560181</v>
      </c>
      <c r="EF71">
        <v>0.22159107029438019</v>
      </c>
      <c r="EG71">
        <v>-0.58083796501159668</v>
      </c>
      <c r="EH71">
        <v>-0.38107100129127502</v>
      </c>
      <c r="EI71">
        <v>0.99140012264251709</v>
      </c>
      <c r="EJ71">
        <v>7.2936501502990723</v>
      </c>
      <c r="EK71">
        <v>7.2833828926086426</v>
      </c>
      <c r="EL71">
        <v>3.0639321804046631</v>
      </c>
      <c r="EM71">
        <v>1.1730412244796753</v>
      </c>
      <c r="EN71">
        <v>0.95514082908630371</v>
      </c>
      <c r="EO71">
        <v>0.45397445559501648</v>
      </c>
      <c r="EP71">
        <v>0.74465173482894897</v>
      </c>
      <c r="EQ71">
        <v>0.80741167068481445</v>
      </c>
      <c r="ER71">
        <v>0.65220814943313599</v>
      </c>
      <c r="ES71">
        <v>0.6031610369682312</v>
      </c>
      <c r="ET71">
        <v>63.862049102783203</v>
      </c>
      <c r="EU71">
        <v>61.452602386474609</v>
      </c>
      <c r="EV71">
        <v>59.928035736083984</v>
      </c>
      <c r="EW71">
        <v>59.384517669677734</v>
      </c>
      <c r="EX71">
        <v>58.344776153564453</v>
      </c>
      <c r="EY71">
        <v>58.630748748779297</v>
      </c>
      <c r="EZ71">
        <v>60.834712982177734</v>
      </c>
      <c r="FA71">
        <v>64.531295776367188</v>
      </c>
      <c r="FB71">
        <v>69.795455932617188</v>
      </c>
      <c r="FC71">
        <v>74.333541870117188</v>
      </c>
      <c r="FD71">
        <v>78.365089416503906</v>
      </c>
      <c r="FE71">
        <v>82.185081481933594</v>
      </c>
      <c r="FF71">
        <v>83.3900146484375</v>
      </c>
      <c r="FG71">
        <v>84.423492431640625</v>
      </c>
      <c r="FH71">
        <v>84.4542236328125</v>
      </c>
      <c r="FI71">
        <v>83.772216796875</v>
      </c>
      <c r="FJ71">
        <v>81.999893188476562</v>
      </c>
      <c r="FK71">
        <v>80.479904174804688</v>
      </c>
      <c r="FL71">
        <v>76.718605041503906</v>
      </c>
      <c r="FM71">
        <v>73.569168090820313</v>
      </c>
      <c r="FN71">
        <v>70.415199279785156</v>
      </c>
      <c r="FO71">
        <v>68.290397644042969</v>
      </c>
      <c r="FP71">
        <v>66.554550170898437</v>
      </c>
      <c r="FQ71">
        <v>64.298110961914063</v>
      </c>
      <c r="FR71">
        <v>80</v>
      </c>
      <c r="FS71">
        <v>0.14711073040962219</v>
      </c>
      <c r="FT71">
        <v>1</v>
      </c>
    </row>
    <row r="72" spans="1:176" x14ac:dyDescent="0.2">
      <c r="A72" t="s">
        <v>228</v>
      </c>
      <c r="B72" t="s">
        <v>226</v>
      </c>
      <c r="C72" t="s">
        <v>237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0</v>
      </c>
      <c r="EZ72">
        <v>0</v>
      </c>
      <c r="FA72">
        <v>0</v>
      </c>
      <c r="FB72">
        <v>0</v>
      </c>
      <c r="FC72">
        <v>0</v>
      </c>
      <c r="FD72">
        <v>0</v>
      </c>
      <c r="FE72">
        <v>0</v>
      </c>
      <c r="FF72">
        <v>0</v>
      </c>
      <c r="FG72">
        <v>0</v>
      </c>
      <c r="FH72">
        <v>0</v>
      </c>
      <c r="FI72">
        <v>0</v>
      </c>
      <c r="FJ72">
        <v>0</v>
      </c>
      <c r="FK72">
        <v>0</v>
      </c>
      <c r="FL72">
        <v>0</v>
      </c>
      <c r="FM72">
        <v>0</v>
      </c>
      <c r="FN72">
        <v>0</v>
      </c>
      <c r="FO72">
        <v>0</v>
      </c>
      <c r="FP72">
        <v>0</v>
      </c>
      <c r="FQ72">
        <v>0</v>
      </c>
      <c r="FR72">
        <v>33</v>
      </c>
      <c r="FS72">
        <v>0.2919999361038208</v>
      </c>
      <c r="FT72">
        <v>0</v>
      </c>
    </row>
    <row r="73" spans="1:176" x14ac:dyDescent="0.2">
      <c r="A73" t="s">
        <v>228</v>
      </c>
      <c r="B73" t="s">
        <v>226</v>
      </c>
      <c r="C73" t="s">
        <v>238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0</v>
      </c>
      <c r="FA73">
        <v>0</v>
      </c>
      <c r="FB73">
        <v>0</v>
      </c>
      <c r="FC73">
        <v>0</v>
      </c>
      <c r="FD73">
        <v>0</v>
      </c>
      <c r="FE73">
        <v>0</v>
      </c>
      <c r="FF73">
        <v>0</v>
      </c>
      <c r="FG73">
        <v>0</v>
      </c>
      <c r="FH73">
        <v>0</v>
      </c>
      <c r="FI73">
        <v>0</v>
      </c>
      <c r="FJ73">
        <v>0</v>
      </c>
      <c r="FK73">
        <v>0</v>
      </c>
      <c r="FL73">
        <v>0</v>
      </c>
      <c r="FM73">
        <v>0</v>
      </c>
      <c r="FN73">
        <v>0</v>
      </c>
      <c r="FO73">
        <v>0</v>
      </c>
      <c r="FP73">
        <v>0</v>
      </c>
      <c r="FQ73">
        <v>0</v>
      </c>
      <c r="FR73">
        <v>0</v>
      </c>
      <c r="FS73">
        <v>0</v>
      </c>
      <c r="FT73">
        <v>0</v>
      </c>
    </row>
    <row r="74" spans="1:176" x14ac:dyDescent="0.2">
      <c r="A74" t="s">
        <v>228</v>
      </c>
      <c r="B74" t="s">
        <v>226</v>
      </c>
      <c r="C74" t="s">
        <v>239</v>
      </c>
      <c r="D74">
        <v>80</v>
      </c>
      <c r="E74">
        <v>80</v>
      </c>
      <c r="F74">
        <v>13.131474494934082</v>
      </c>
      <c r="G74">
        <v>12.699405670166016</v>
      </c>
      <c r="H74">
        <v>12.632662773132324</v>
      </c>
      <c r="I74">
        <v>12.418960571289063</v>
      </c>
      <c r="J74">
        <v>12.19118595123291</v>
      </c>
      <c r="K74">
        <v>12.667287826538086</v>
      </c>
      <c r="L74">
        <v>13.631630897521973</v>
      </c>
      <c r="M74">
        <v>14.19071102142334</v>
      </c>
      <c r="N74">
        <v>14.768128395080566</v>
      </c>
      <c r="O74">
        <v>15.151646614074707</v>
      </c>
      <c r="P74">
        <v>15.418668746948242</v>
      </c>
      <c r="Q74">
        <v>15.611004829406738</v>
      </c>
      <c r="R74">
        <v>15.567665100097656</v>
      </c>
      <c r="S74">
        <v>15.105753898620605</v>
      </c>
      <c r="T74">
        <v>14.902182579040527</v>
      </c>
      <c r="U74">
        <v>14.602847099304199</v>
      </c>
      <c r="V74">
        <v>14.316641807556152</v>
      </c>
      <c r="W74">
        <v>14.6256103515625</v>
      </c>
      <c r="X74">
        <v>14.46056079864502</v>
      </c>
      <c r="Y74">
        <v>14.304145812988281</v>
      </c>
      <c r="Z74">
        <v>14.683575630187988</v>
      </c>
      <c r="AA74">
        <v>14.67503547668457</v>
      </c>
      <c r="AB74">
        <v>14.506194114685059</v>
      </c>
      <c r="AC74">
        <v>13.341527938842773</v>
      </c>
      <c r="AD74">
        <v>-1.6414550542831421</v>
      </c>
      <c r="AE74">
        <v>-1.1934753656387329</v>
      </c>
      <c r="AF74">
        <v>-1.6131579875946045</v>
      </c>
      <c r="AG74">
        <v>-1.3776531219482422</v>
      </c>
      <c r="AH74">
        <v>-0.5724906325340271</v>
      </c>
      <c r="AI74">
        <v>-0.29479748010635376</v>
      </c>
      <c r="AJ74">
        <v>-0.18095345795154572</v>
      </c>
      <c r="AK74">
        <v>-0.69412606954574585</v>
      </c>
      <c r="AL74">
        <v>-0.72913080453872681</v>
      </c>
      <c r="AM74">
        <v>-1.4002214670181274</v>
      </c>
      <c r="AN74">
        <v>-1.1614567041397095</v>
      </c>
      <c r="AO74">
        <v>-1.2189841270446777</v>
      </c>
      <c r="AP74">
        <v>-2.0464637279510498</v>
      </c>
      <c r="AQ74">
        <v>-0.69445967674255371</v>
      </c>
      <c r="AR74">
        <v>6.2190937995910645</v>
      </c>
      <c r="AS74">
        <v>6.4520673751831055</v>
      </c>
      <c r="AT74">
        <v>0.91390502452850342</v>
      </c>
      <c r="AU74">
        <v>-0.83677899837493896</v>
      </c>
      <c r="AV74">
        <v>-0.26340955495834351</v>
      </c>
      <c r="AW74">
        <v>-0.79939508438110352</v>
      </c>
      <c r="AX74">
        <v>-0.86592841148376465</v>
      </c>
      <c r="AY74">
        <v>-1.3154473304748535</v>
      </c>
      <c r="AZ74">
        <v>-0.99884194135665894</v>
      </c>
      <c r="BA74">
        <v>-1.0659699440002441</v>
      </c>
      <c r="BB74">
        <v>-0.9164583683013916</v>
      </c>
      <c r="BC74">
        <v>-0.4806753396987915</v>
      </c>
      <c r="BD74">
        <v>-0.92103874683380127</v>
      </c>
      <c r="BE74">
        <v>-0.70847815275192261</v>
      </c>
      <c r="BF74">
        <v>9.6520446240901947E-2</v>
      </c>
      <c r="BG74">
        <v>0.35430264472961426</v>
      </c>
      <c r="BH74">
        <v>0.46510839462280273</v>
      </c>
      <c r="BI74">
        <v>-4.9753528088331223E-2</v>
      </c>
      <c r="BJ74">
        <v>-7.0124000310897827E-2</v>
      </c>
      <c r="BK74">
        <v>-0.68446797132492065</v>
      </c>
      <c r="BL74">
        <v>-0.4102470874786377</v>
      </c>
      <c r="BM74">
        <v>-0.44628781080245972</v>
      </c>
      <c r="BN74">
        <v>-1.2796708345413208</v>
      </c>
      <c r="BO74">
        <v>0.10133029520511627</v>
      </c>
      <c r="BP74">
        <v>7.0546126365661621</v>
      </c>
      <c r="BQ74">
        <v>7.2859101295471191</v>
      </c>
      <c r="BR74">
        <v>1.7626887559890747</v>
      </c>
      <c r="BS74">
        <v>2.3622098378837109E-3</v>
      </c>
      <c r="BT74">
        <v>0.55835634469985962</v>
      </c>
      <c r="BU74">
        <v>-8.1443488597869873E-3</v>
      </c>
      <c r="BV74">
        <v>-9.0792804956436157E-2</v>
      </c>
      <c r="BW74">
        <v>-0.55186754465103149</v>
      </c>
      <c r="BX74">
        <v>-0.24715812504291534</v>
      </c>
      <c r="BY74">
        <v>-0.333722323179245</v>
      </c>
      <c r="BZ74">
        <v>-0.41432785987854004</v>
      </c>
      <c r="CA74">
        <v>1.3007809408009052E-2</v>
      </c>
      <c r="CB74">
        <v>-0.44167909026145935</v>
      </c>
      <c r="CC74">
        <v>-0.24500954151153564</v>
      </c>
      <c r="CD74">
        <v>0.55987548828125</v>
      </c>
      <c r="CE74">
        <v>0.8038673996925354</v>
      </c>
      <c r="CF74">
        <v>0.91256886720657349</v>
      </c>
      <c r="CG74">
        <v>0.39653694629669189</v>
      </c>
      <c r="CH74">
        <v>0.38630211353302002</v>
      </c>
      <c r="CI74">
        <v>-0.18873931467533112</v>
      </c>
      <c r="CJ74">
        <v>0.11003845930099487</v>
      </c>
      <c r="CK74">
        <v>8.8879324495792389E-2</v>
      </c>
      <c r="CL74">
        <v>-0.7485925555229187</v>
      </c>
      <c r="CM74">
        <v>0.6524919867515564</v>
      </c>
      <c r="CN74">
        <v>7.6332902908325195</v>
      </c>
      <c r="CO74">
        <v>7.8634271621704102</v>
      </c>
      <c r="CP74">
        <v>2.3505537509918213</v>
      </c>
      <c r="CQ74">
        <v>0.58354884386062622</v>
      </c>
      <c r="CR74">
        <v>1.1275088787078857</v>
      </c>
      <c r="CS74">
        <v>0.53987348079681396</v>
      </c>
      <c r="CT74">
        <v>0.44606375694274902</v>
      </c>
      <c r="CU74">
        <v>-2.3014511913061142E-2</v>
      </c>
      <c r="CV74">
        <v>0.27345579862594604</v>
      </c>
      <c r="CW74">
        <v>0.17343011498451233</v>
      </c>
      <c r="CX74">
        <v>8.7802626192569733E-2</v>
      </c>
      <c r="CY74">
        <v>0.50669097900390625</v>
      </c>
      <c r="CZ74">
        <v>3.7680570036172867E-2</v>
      </c>
      <c r="DA74">
        <v>0.21845905482769012</v>
      </c>
      <c r="DB74">
        <v>1.0232305526733398</v>
      </c>
      <c r="DC74">
        <v>1.2534321546554565</v>
      </c>
      <c r="DD74">
        <v>1.3600293397903442</v>
      </c>
      <c r="DE74">
        <v>0.8428274393081665</v>
      </c>
      <c r="DF74">
        <v>0.84272825717926025</v>
      </c>
      <c r="DG74">
        <v>0.30698937177658081</v>
      </c>
      <c r="DH74">
        <v>0.63032400608062744</v>
      </c>
      <c r="DI74">
        <v>0.6240464448928833</v>
      </c>
      <c r="DJ74">
        <v>-0.21751423180103302</v>
      </c>
      <c r="DK74">
        <v>1.2036536931991577</v>
      </c>
      <c r="DL74">
        <v>8.2119684219360352</v>
      </c>
      <c r="DM74">
        <v>8.440943717956543</v>
      </c>
      <c r="DN74">
        <v>2.9384188652038574</v>
      </c>
      <c r="DO74">
        <v>1.1647354364395142</v>
      </c>
      <c r="DP74">
        <v>1.6966614723205566</v>
      </c>
      <c r="DQ74">
        <v>1.0878913402557373</v>
      </c>
      <c r="DR74">
        <v>0.98292028903961182</v>
      </c>
      <c r="DS74">
        <v>0.50583851337432861</v>
      </c>
      <c r="DT74">
        <v>0.79406970739364624</v>
      </c>
      <c r="DU74">
        <v>0.68058252334594727</v>
      </c>
      <c r="DV74">
        <v>0.81279927492141724</v>
      </c>
      <c r="DW74">
        <v>1.2194910049438477</v>
      </c>
      <c r="DX74">
        <v>0.72979980707168579</v>
      </c>
      <c r="DY74">
        <v>0.88763409852981567</v>
      </c>
      <c r="DZ74">
        <v>1.6922416687011719</v>
      </c>
      <c r="EA74">
        <v>1.9025323390960693</v>
      </c>
      <c r="EB74">
        <v>2.0060911178588867</v>
      </c>
      <c r="EC74">
        <v>1.4872000217437744</v>
      </c>
      <c r="ED74">
        <v>1.5017350912094116</v>
      </c>
      <c r="EE74">
        <v>1.0227428674697876</v>
      </c>
      <c r="EF74">
        <v>1.3815336227416992</v>
      </c>
      <c r="EG74">
        <v>1.3967428207397461</v>
      </c>
      <c r="EH74">
        <v>0.54927849769592285</v>
      </c>
      <c r="EI74">
        <v>1.9994436502456665</v>
      </c>
      <c r="EJ74">
        <v>9.0474863052368164</v>
      </c>
      <c r="EK74">
        <v>9.2747869491577148</v>
      </c>
      <c r="EL74">
        <v>3.7872023582458496</v>
      </c>
      <c r="EM74">
        <v>2.0038766860961914</v>
      </c>
      <c r="EN74">
        <v>2.5184273719787598</v>
      </c>
      <c r="EO74">
        <v>1.8791420459747314</v>
      </c>
      <c r="EP74">
        <v>1.7580559253692627</v>
      </c>
      <c r="EQ74">
        <v>1.2694183588027954</v>
      </c>
      <c r="ER74">
        <v>1.5457534790039063</v>
      </c>
      <c r="ES74">
        <v>1.412830114364624</v>
      </c>
      <c r="ET74">
        <v>78.781112670898438</v>
      </c>
      <c r="EU74">
        <v>77.946418762207031</v>
      </c>
      <c r="EV74">
        <v>77.1558837890625</v>
      </c>
      <c r="EW74">
        <v>76.726417541503906</v>
      </c>
      <c r="EX74">
        <v>74.477462768554688</v>
      </c>
      <c r="EY74">
        <v>72.61334228515625</v>
      </c>
      <c r="EZ74">
        <v>76.216888427734375</v>
      </c>
      <c r="FA74">
        <v>80.551834106445312</v>
      </c>
      <c r="FB74">
        <v>85.152969360351563</v>
      </c>
      <c r="FC74">
        <v>90.558586120605469</v>
      </c>
      <c r="FD74">
        <v>93.145896911621094</v>
      </c>
      <c r="FE74">
        <v>94.72515869140625</v>
      </c>
      <c r="FF74">
        <v>95.554107666015625</v>
      </c>
      <c r="FG74">
        <v>94.860755920410156</v>
      </c>
      <c r="FH74">
        <v>93.600532531738281</v>
      </c>
      <c r="FI74">
        <v>92.924629211425781</v>
      </c>
      <c r="FJ74">
        <v>92.758468627929687</v>
      </c>
      <c r="FK74">
        <v>91.306114196777344</v>
      </c>
      <c r="FL74">
        <v>87.437324523925781</v>
      </c>
      <c r="FM74">
        <v>84.329399108886719</v>
      </c>
      <c r="FN74">
        <v>81.205810546875</v>
      </c>
      <c r="FO74">
        <v>78.736831665039063</v>
      </c>
      <c r="FP74">
        <v>76.772239685058594</v>
      </c>
      <c r="FQ74">
        <v>75.239570617675781</v>
      </c>
      <c r="FR74">
        <v>80</v>
      </c>
      <c r="FS74">
        <v>0.13533905148506165</v>
      </c>
      <c r="FT74">
        <v>1</v>
      </c>
    </row>
    <row r="75" spans="1:176" x14ac:dyDescent="0.2">
      <c r="A75" t="s">
        <v>228</v>
      </c>
      <c r="B75" t="s">
        <v>226</v>
      </c>
      <c r="C75" t="s">
        <v>240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EZ75">
        <v>0</v>
      </c>
      <c r="FA75">
        <v>0</v>
      </c>
      <c r="FB75">
        <v>0</v>
      </c>
      <c r="FC75">
        <v>0</v>
      </c>
      <c r="FD75">
        <v>0</v>
      </c>
      <c r="FE75">
        <v>0</v>
      </c>
      <c r="FF75">
        <v>0</v>
      </c>
      <c r="FG75">
        <v>0</v>
      </c>
      <c r="FH75">
        <v>0</v>
      </c>
      <c r="FI75">
        <v>0</v>
      </c>
      <c r="FJ75">
        <v>0</v>
      </c>
      <c r="FK75">
        <v>0</v>
      </c>
      <c r="FL75">
        <v>0</v>
      </c>
      <c r="FM75">
        <v>0</v>
      </c>
      <c r="FN75">
        <v>0</v>
      </c>
      <c r="FO75">
        <v>0</v>
      </c>
      <c r="FP75">
        <v>0</v>
      </c>
      <c r="FQ75">
        <v>0</v>
      </c>
      <c r="FR75">
        <v>81</v>
      </c>
      <c r="FS75">
        <v>0.15356621146202087</v>
      </c>
      <c r="FT75">
        <v>0</v>
      </c>
    </row>
    <row r="76" spans="1:176" x14ac:dyDescent="0.2">
      <c r="A76" t="s">
        <v>228</v>
      </c>
      <c r="B76" t="s">
        <v>226</v>
      </c>
      <c r="C76" t="s">
        <v>241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0</v>
      </c>
      <c r="EX76">
        <v>0</v>
      </c>
      <c r="EY76">
        <v>0</v>
      </c>
      <c r="EZ76">
        <v>0</v>
      </c>
      <c r="FA76">
        <v>0</v>
      </c>
      <c r="FB76">
        <v>0</v>
      </c>
      <c r="FC76">
        <v>0</v>
      </c>
      <c r="FD76">
        <v>0</v>
      </c>
      <c r="FE76">
        <v>0</v>
      </c>
      <c r="FF76">
        <v>0</v>
      </c>
      <c r="FG76">
        <v>0</v>
      </c>
      <c r="FH76">
        <v>0</v>
      </c>
      <c r="FI76">
        <v>0</v>
      </c>
      <c r="FJ76">
        <v>0</v>
      </c>
      <c r="FK76">
        <v>0</v>
      </c>
      <c r="FL76">
        <v>0</v>
      </c>
      <c r="FM76">
        <v>0</v>
      </c>
      <c r="FN76">
        <v>0</v>
      </c>
      <c r="FO76">
        <v>0</v>
      </c>
      <c r="FP76">
        <v>0</v>
      </c>
      <c r="FQ76">
        <v>0</v>
      </c>
      <c r="FR76">
        <v>81</v>
      </c>
      <c r="FS76">
        <v>0.15494526922702789</v>
      </c>
      <c r="FT76">
        <v>0</v>
      </c>
    </row>
    <row r="77" spans="1:176" x14ac:dyDescent="0.2">
      <c r="A77" t="s">
        <v>228</v>
      </c>
      <c r="B77" t="s">
        <v>226</v>
      </c>
      <c r="C77" t="s">
        <v>242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0</v>
      </c>
      <c r="FA77">
        <v>0</v>
      </c>
      <c r="FB77">
        <v>0</v>
      </c>
      <c r="FC77">
        <v>0</v>
      </c>
      <c r="FD77">
        <v>0</v>
      </c>
      <c r="FE77">
        <v>0</v>
      </c>
      <c r="FF77">
        <v>0</v>
      </c>
      <c r="FG77">
        <v>0</v>
      </c>
      <c r="FH77">
        <v>0</v>
      </c>
      <c r="FI77">
        <v>0</v>
      </c>
      <c r="FJ77">
        <v>0</v>
      </c>
      <c r="FK77">
        <v>0</v>
      </c>
      <c r="FL77">
        <v>0</v>
      </c>
      <c r="FM77">
        <v>0</v>
      </c>
      <c r="FN77">
        <v>0</v>
      </c>
      <c r="FO77">
        <v>0</v>
      </c>
      <c r="FP77">
        <v>0</v>
      </c>
      <c r="FQ77">
        <v>0</v>
      </c>
      <c r="FR77">
        <v>81</v>
      </c>
      <c r="FS77">
        <v>0.15612441301345825</v>
      </c>
      <c r="FT77">
        <v>0</v>
      </c>
    </row>
    <row r="78" spans="1:176" x14ac:dyDescent="0.2">
      <c r="A78" t="s">
        <v>228</v>
      </c>
      <c r="B78" t="s">
        <v>226</v>
      </c>
      <c r="C78" t="s">
        <v>243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0</v>
      </c>
      <c r="EZ78">
        <v>0</v>
      </c>
      <c r="FA78">
        <v>0</v>
      </c>
      <c r="FB78">
        <v>0</v>
      </c>
      <c r="FC78">
        <v>0</v>
      </c>
      <c r="FD78">
        <v>0</v>
      </c>
      <c r="FE78">
        <v>0</v>
      </c>
      <c r="FF78">
        <v>0</v>
      </c>
      <c r="FG78">
        <v>0</v>
      </c>
      <c r="FH78">
        <v>0</v>
      </c>
      <c r="FI78">
        <v>0</v>
      </c>
      <c r="FJ78">
        <v>0</v>
      </c>
      <c r="FK78">
        <v>0</v>
      </c>
      <c r="FL78">
        <v>0</v>
      </c>
      <c r="FM78">
        <v>0</v>
      </c>
      <c r="FN78">
        <v>0</v>
      </c>
      <c r="FO78">
        <v>0</v>
      </c>
      <c r="FP78">
        <v>0</v>
      </c>
      <c r="FQ78">
        <v>0</v>
      </c>
      <c r="FR78">
        <v>81</v>
      </c>
      <c r="FS78">
        <v>0.15955209732055664</v>
      </c>
      <c r="FT78">
        <v>0</v>
      </c>
    </row>
    <row r="79" spans="1:176" x14ac:dyDescent="0.2">
      <c r="A79" t="s">
        <v>228</v>
      </c>
      <c r="B79" t="s">
        <v>226</v>
      </c>
      <c r="C79" t="s">
        <v>2</v>
      </c>
      <c r="D79">
        <v>80</v>
      </c>
      <c r="E79">
        <v>80</v>
      </c>
      <c r="F79">
        <v>12.003083229064941</v>
      </c>
      <c r="G79">
        <v>11.634289741516113</v>
      </c>
      <c r="H79">
        <v>11.508703231811523</v>
      </c>
      <c r="I79">
        <v>11.392363548278809</v>
      </c>
      <c r="J79">
        <v>11.215003967285156</v>
      </c>
      <c r="K79">
        <v>11.545577049255371</v>
      </c>
      <c r="L79">
        <v>12.409425735473633</v>
      </c>
      <c r="M79">
        <v>13.03244686126709</v>
      </c>
      <c r="N79">
        <v>13.64915657043457</v>
      </c>
      <c r="O79">
        <v>14.021902084350586</v>
      </c>
      <c r="P79">
        <v>14.230948448181152</v>
      </c>
      <c r="Q79">
        <v>14.403101921081543</v>
      </c>
      <c r="R79">
        <v>14.40058422088623</v>
      </c>
      <c r="S79">
        <v>14.112049102783203</v>
      </c>
      <c r="T79">
        <v>13.9171142578125</v>
      </c>
      <c r="U79">
        <v>13.637631416320801</v>
      </c>
      <c r="V79">
        <v>13.317671775817871</v>
      </c>
      <c r="W79">
        <v>13.489041328430176</v>
      </c>
      <c r="X79">
        <v>13.416239738464355</v>
      </c>
      <c r="Y79">
        <v>13.320254325866699</v>
      </c>
      <c r="Z79">
        <v>13.531129837036133</v>
      </c>
      <c r="AA79">
        <v>13.539768218994141</v>
      </c>
      <c r="AB79">
        <v>13.232518196105957</v>
      </c>
      <c r="AC79">
        <v>12.151412963867188</v>
      </c>
      <c r="AD79">
        <v>-1.3156620264053345</v>
      </c>
      <c r="AE79">
        <v>-0.9746936559677124</v>
      </c>
      <c r="AF79">
        <v>-1.3208048343658447</v>
      </c>
      <c r="AG79">
        <v>-1.0286029577255249</v>
      </c>
      <c r="AH79">
        <v>-0.59263622760772705</v>
      </c>
      <c r="AI79">
        <v>-0.72995620965957642</v>
      </c>
      <c r="AJ79">
        <v>-0.63845527172088623</v>
      </c>
      <c r="AK79">
        <v>-0.73388457298278809</v>
      </c>
      <c r="AL79">
        <v>-0.92357707023620605</v>
      </c>
      <c r="AM79">
        <v>-1.3458960056304932</v>
      </c>
      <c r="AN79">
        <v>-1.5128973722457886</v>
      </c>
      <c r="AO79">
        <v>-1.9230883121490479</v>
      </c>
      <c r="AP79">
        <v>-2.2180488109588623</v>
      </c>
      <c r="AQ79">
        <v>-0.87487220764160156</v>
      </c>
      <c r="AR79">
        <v>5.7150869369506836</v>
      </c>
      <c r="AS79">
        <v>5.8197917938232422</v>
      </c>
      <c r="AT79">
        <v>0.94414693117141724</v>
      </c>
      <c r="AU79">
        <v>-0.88776296377182007</v>
      </c>
      <c r="AV79">
        <v>-0.7069704532623291</v>
      </c>
      <c r="AW79">
        <v>-1.2144066095352173</v>
      </c>
      <c r="AX79">
        <v>-1.0990151166915894</v>
      </c>
      <c r="AY79">
        <v>-1.2844864130020142</v>
      </c>
      <c r="AZ79">
        <v>-1.2155066728591919</v>
      </c>
      <c r="BA79">
        <v>-1.2707557678222656</v>
      </c>
      <c r="BB79">
        <v>-0.66185617446899414</v>
      </c>
      <c r="BC79">
        <v>-0.33220979571342468</v>
      </c>
      <c r="BD79">
        <v>-0.69260460138320923</v>
      </c>
      <c r="BE79">
        <v>-0.42929312586784363</v>
      </c>
      <c r="BF79">
        <v>6.7459065467119217E-3</v>
      </c>
      <c r="BG79">
        <v>-0.14614291489124298</v>
      </c>
      <c r="BH79">
        <v>-5.2414197474718094E-2</v>
      </c>
      <c r="BI79">
        <v>-0.13996647298336029</v>
      </c>
      <c r="BJ79">
        <v>-0.31146931648254395</v>
      </c>
      <c r="BK79">
        <v>-0.68269377946853638</v>
      </c>
      <c r="BL79">
        <v>-0.82744240760803223</v>
      </c>
      <c r="BM79">
        <v>-1.2317517995834351</v>
      </c>
      <c r="BN79">
        <v>-1.5350267887115479</v>
      </c>
      <c r="BO79">
        <v>-0.17117109894752502</v>
      </c>
      <c r="BP79">
        <v>6.4449796676635742</v>
      </c>
      <c r="BQ79">
        <v>6.5505666732788086</v>
      </c>
      <c r="BR79">
        <v>1.6821399927139282</v>
      </c>
      <c r="BS79">
        <v>-0.15199458599090576</v>
      </c>
      <c r="BT79">
        <v>1.8640533089637756E-2</v>
      </c>
      <c r="BU79">
        <v>-0.50812703371047974</v>
      </c>
      <c r="BV79">
        <v>-0.40220651030540466</v>
      </c>
      <c r="BW79">
        <v>-0.595977783203125</v>
      </c>
      <c r="BX79">
        <v>-0.53001856803894043</v>
      </c>
      <c r="BY79">
        <v>-0.59624612331390381</v>
      </c>
      <c r="BZ79">
        <v>-0.20903223752975464</v>
      </c>
      <c r="CA79">
        <v>0.11277259141206741</v>
      </c>
      <c r="CB79">
        <v>-0.25751504302024841</v>
      </c>
      <c r="CC79">
        <v>-1.4212989248335361E-2</v>
      </c>
      <c r="CD79">
        <v>0.42187616229057312</v>
      </c>
      <c r="CE79">
        <v>0.25820440053939819</v>
      </c>
      <c r="CF79">
        <v>0.35347607731819153</v>
      </c>
      <c r="CG79">
        <v>0.27137941122055054</v>
      </c>
      <c r="CH79">
        <v>0.11247464269399643</v>
      </c>
      <c r="CI79">
        <v>-0.22336186468601227</v>
      </c>
      <c r="CJ79">
        <v>-0.35269835591316223</v>
      </c>
      <c r="CK79">
        <v>-0.75293433666229248</v>
      </c>
      <c r="CL79">
        <v>-1.0619678497314453</v>
      </c>
      <c r="CM79">
        <v>0.31621012091636658</v>
      </c>
      <c r="CN79">
        <v>6.9505014419555664</v>
      </c>
      <c r="CO79">
        <v>7.0566987991333008</v>
      </c>
      <c r="CP79">
        <v>2.1932716369628906</v>
      </c>
      <c r="CQ79">
        <v>0.35759633779525757</v>
      </c>
      <c r="CR79">
        <v>0.52119648456573486</v>
      </c>
      <c r="CS79">
        <v>-1.8959973007440567E-2</v>
      </c>
      <c r="CT79">
        <v>8.0401025712490082E-2</v>
      </c>
      <c r="CU79">
        <v>-0.11911873519420624</v>
      </c>
      <c r="CV79">
        <v>-5.52515909075737E-2</v>
      </c>
      <c r="CW79">
        <v>-0.1290828138589859</v>
      </c>
      <c r="CX79">
        <v>0.24379169940948486</v>
      </c>
      <c r="CY79">
        <v>0.5577549934387207</v>
      </c>
      <c r="CZ79">
        <v>0.1775745302438736</v>
      </c>
      <c r="DA79">
        <v>0.40086716413497925</v>
      </c>
      <c r="DB79">
        <v>0.83700639009475708</v>
      </c>
      <c r="DC79">
        <v>0.66255170106887817</v>
      </c>
      <c r="DD79">
        <v>0.75936633348464966</v>
      </c>
      <c r="DE79">
        <v>0.68272531032562256</v>
      </c>
      <c r="DF79">
        <v>0.536418616771698</v>
      </c>
      <c r="DG79">
        <v>0.23597003519535065</v>
      </c>
      <c r="DH79">
        <v>0.12204568833112717</v>
      </c>
      <c r="DI79">
        <v>-0.27411681413650513</v>
      </c>
      <c r="DJ79">
        <v>-0.58890891075134277</v>
      </c>
      <c r="DK79">
        <v>0.80359137058258057</v>
      </c>
      <c r="DL79">
        <v>7.4560232162475586</v>
      </c>
      <c r="DM79">
        <v>7.562830924987793</v>
      </c>
      <c r="DN79">
        <v>2.7044034004211426</v>
      </c>
      <c r="DO79">
        <v>0.8671872615814209</v>
      </c>
      <c r="DP79">
        <v>1.0237524509429932</v>
      </c>
      <c r="DQ79">
        <v>0.4702070951461792</v>
      </c>
      <c r="DR79">
        <v>0.56300854682922363</v>
      </c>
      <c r="DS79">
        <v>0.35774028301239014</v>
      </c>
      <c r="DT79">
        <v>0.41951540112495422</v>
      </c>
      <c r="DU79">
        <v>0.33808049559593201</v>
      </c>
      <c r="DV79">
        <v>0.8975975513458252</v>
      </c>
      <c r="DW79">
        <v>1.200238823890686</v>
      </c>
      <c r="DX79">
        <v>0.8057747483253479</v>
      </c>
      <c r="DY79">
        <v>1.0001770257949829</v>
      </c>
      <c r="DZ79">
        <v>1.4363886117935181</v>
      </c>
      <c r="EA79">
        <v>1.2463650703430176</v>
      </c>
      <c r="EB79">
        <v>1.3454074859619141</v>
      </c>
      <c r="EC79">
        <v>1.2766433954238892</v>
      </c>
      <c r="ED79">
        <v>1.1485263109207153</v>
      </c>
      <c r="EE79">
        <v>0.89917230606079102</v>
      </c>
      <c r="EF79">
        <v>0.80750072002410889</v>
      </c>
      <c r="EG79">
        <v>0.4172196090221405</v>
      </c>
      <c r="EH79">
        <v>9.4113126397132874E-2</v>
      </c>
      <c r="EI79">
        <v>1.5072923898696899</v>
      </c>
      <c r="EJ79">
        <v>8.1859159469604492</v>
      </c>
      <c r="EK79">
        <v>8.2936058044433594</v>
      </c>
      <c r="EL79">
        <v>3.4423964023590088</v>
      </c>
      <c r="EM79">
        <v>1.6029555797576904</v>
      </c>
      <c r="EN79">
        <v>1.7493634223937988</v>
      </c>
      <c r="EO79">
        <v>1.1764867305755615</v>
      </c>
      <c r="EP79">
        <v>1.2598172426223755</v>
      </c>
      <c r="EQ79">
        <v>1.0462490320205688</v>
      </c>
      <c r="ER79">
        <v>1.1050034761428833</v>
      </c>
      <c r="ES79">
        <v>1.0125900506973267</v>
      </c>
      <c r="ET79">
        <v>72.136238098144531</v>
      </c>
      <c r="EU79">
        <v>70.533309936523438</v>
      </c>
      <c r="EV79">
        <v>69.499626159667969</v>
      </c>
      <c r="EW79">
        <v>69.011299133300781</v>
      </c>
      <c r="EX79">
        <v>67.037544250488281</v>
      </c>
      <c r="EY79">
        <v>65.978843688964844</v>
      </c>
      <c r="EZ79">
        <v>68.948829650878906</v>
      </c>
      <c r="FA79">
        <v>73.1900634765625</v>
      </c>
      <c r="FB79">
        <v>77.953628540039062</v>
      </c>
      <c r="FC79">
        <v>83.069725036621094</v>
      </c>
      <c r="FD79">
        <v>86.122886657714844</v>
      </c>
      <c r="FE79">
        <v>88.6065673828125</v>
      </c>
      <c r="FF79">
        <v>89.807861328125</v>
      </c>
      <c r="FG79">
        <v>89.890815734863281</v>
      </c>
      <c r="FH79">
        <v>89.225807189941406</v>
      </c>
      <c r="FI79">
        <v>88.458633422851563</v>
      </c>
      <c r="FJ79">
        <v>87.786186218261719</v>
      </c>
      <c r="FK79">
        <v>86.268386840820313</v>
      </c>
      <c r="FL79">
        <v>82.260009765625</v>
      </c>
      <c r="FM79">
        <v>79.120719909667969</v>
      </c>
      <c r="FN79">
        <v>76.1260986328125</v>
      </c>
      <c r="FO79">
        <v>73.910995483398438</v>
      </c>
      <c r="FP79">
        <v>72.026710510253906</v>
      </c>
      <c r="FQ79">
        <v>70.164253234863281</v>
      </c>
      <c r="FR79">
        <v>53.333333333333336</v>
      </c>
      <c r="FS79">
        <v>9.414992481470108E-2</v>
      </c>
      <c r="FT79">
        <v>1</v>
      </c>
    </row>
    <row r="80" spans="1:176" x14ac:dyDescent="0.2">
      <c r="A80" t="s">
        <v>229</v>
      </c>
      <c r="B80" t="s">
        <v>225</v>
      </c>
      <c r="C80" t="s">
        <v>244</v>
      </c>
      <c r="D80">
        <v>173</v>
      </c>
      <c r="E80">
        <v>173</v>
      </c>
      <c r="F80">
        <v>7.0065145492553711</v>
      </c>
      <c r="G80">
        <v>6.8974094390869141</v>
      </c>
      <c r="H80">
        <v>6.8446745872497559</v>
      </c>
      <c r="I80">
        <v>7.0168290138244629</v>
      </c>
      <c r="J80">
        <v>7.303492546081543</v>
      </c>
      <c r="K80">
        <v>7.4979314804077148</v>
      </c>
      <c r="L80">
        <v>7.8551368713378906</v>
      </c>
      <c r="M80">
        <v>8.3817358016967773</v>
      </c>
      <c r="N80">
        <v>9.5886993408203125</v>
      </c>
      <c r="O80">
        <v>9.7405605316162109</v>
      </c>
      <c r="P80">
        <v>9.9556961059570312</v>
      </c>
      <c r="Q80">
        <v>9.9361209869384766</v>
      </c>
      <c r="R80">
        <v>9.8605184555053711</v>
      </c>
      <c r="S80">
        <v>9.8253955841064453</v>
      </c>
      <c r="T80">
        <v>9.8210964202880859</v>
      </c>
      <c r="U80">
        <v>9.902801513671875</v>
      </c>
      <c r="V80">
        <v>10.101606369018555</v>
      </c>
      <c r="W80">
        <v>10.342036247253418</v>
      </c>
      <c r="X80">
        <v>10.373448371887207</v>
      </c>
      <c r="Y80">
        <v>10.413213729858398</v>
      </c>
      <c r="Z80">
        <v>10.381369590759277</v>
      </c>
      <c r="AA80">
        <v>9.6794157028198242</v>
      </c>
      <c r="AB80">
        <v>8.3561525344848633</v>
      </c>
      <c r="AC80">
        <v>7.3808479309082031</v>
      </c>
      <c r="AD80">
        <v>-0.72254687547683716</v>
      </c>
      <c r="AE80">
        <v>-0.76820880174636841</v>
      </c>
      <c r="AF80">
        <v>-0.80001509189605713</v>
      </c>
      <c r="AG80">
        <v>-0.7629544734954834</v>
      </c>
      <c r="AH80">
        <v>-0.78714174032211304</v>
      </c>
      <c r="AI80">
        <v>-0.80287432670593262</v>
      </c>
      <c r="AJ80">
        <v>-0.80117732286453247</v>
      </c>
      <c r="AK80">
        <v>-0.35459017753601074</v>
      </c>
      <c r="AL80">
        <v>-0.21582013368606567</v>
      </c>
      <c r="AM80">
        <v>5.2670788019895554E-2</v>
      </c>
      <c r="AN80">
        <v>1.1471841335296631</v>
      </c>
      <c r="AO80">
        <v>2.2354507446289062</v>
      </c>
      <c r="AP80">
        <v>1.5377236604690552</v>
      </c>
      <c r="AQ80">
        <v>1.4806532859802246</v>
      </c>
      <c r="AR80">
        <v>1.4699522256851196</v>
      </c>
      <c r="AS80">
        <v>1.6569998264312744</v>
      </c>
      <c r="AT80">
        <v>2.1718010902404785</v>
      </c>
      <c r="AU80">
        <v>3.3229689598083496</v>
      </c>
      <c r="AV80">
        <v>3.2149786949157715</v>
      </c>
      <c r="AW80">
        <v>3.3704888820648193</v>
      </c>
      <c r="AX80">
        <v>3.4972391128540039</v>
      </c>
      <c r="AY80">
        <v>2.8749701976776123</v>
      </c>
      <c r="AZ80">
        <v>2.6986124515533447</v>
      </c>
      <c r="BA80">
        <v>2.4069898128509521</v>
      </c>
      <c r="BB80">
        <v>-0.3537554144859314</v>
      </c>
      <c r="BC80">
        <v>-0.4058493971824646</v>
      </c>
      <c r="BD80">
        <v>-0.43938365578651428</v>
      </c>
      <c r="BE80">
        <v>-0.40816855430603027</v>
      </c>
      <c r="BF80">
        <v>-0.43272644281387329</v>
      </c>
      <c r="BG80">
        <v>-0.43796664476394653</v>
      </c>
      <c r="BH80">
        <v>-0.42681869864463806</v>
      </c>
      <c r="BI80">
        <v>3.0316505581140518E-2</v>
      </c>
      <c r="BJ80">
        <v>0.195942223072052</v>
      </c>
      <c r="BK80">
        <v>0.47161519527435303</v>
      </c>
      <c r="BL80">
        <v>1.5954149961471558</v>
      </c>
      <c r="BM80">
        <v>2.7178044319152832</v>
      </c>
      <c r="BN80">
        <v>2.101327657699585</v>
      </c>
      <c r="BO80">
        <v>2.0796771049499512</v>
      </c>
      <c r="BP80">
        <v>2.0912957191467285</v>
      </c>
      <c r="BQ80">
        <v>2.2671639919281006</v>
      </c>
      <c r="BR80">
        <v>2.7440609931945801</v>
      </c>
      <c r="BS80">
        <v>3.8546946048736572</v>
      </c>
      <c r="BT80">
        <v>3.7313354015350342</v>
      </c>
      <c r="BU80">
        <v>3.8620903491973877</v>
      </c>
      <c r="BV80">
        <v>3.9870028495788574</v>
      </c>
      <c r="BW80">
        <v>3.3876955509185791</v>
      </c>
      <c r="BX80">
        <v>3.2359097003936768</v>
      </c>
      <c r="BY80">
        <v>2.9492216110229492</v>
      </c>
      <c r="BZ80">
        <v>-9.8331570625305176E-2</v>
      </c>
      <c r="CA80">
        <v>-0.15488037467002869</v>
      </c>
      <c r="CB80">
        <v>-0.18961142003536224</v>
      </c>
      <c r="CC80">
        <v>-0.16244490444660187</v>
      </c>
      <c r="CD80">
        <v>-0.1872594952583313</v>
      </c>
      <c r="CE80">
        <v>-0.18523269891738892</v>
      </c>
      <c r="CF80">
        <v>-0.16753903031349182</v>
      </c>
      <c r="CG80">
        <v>0.29690170288085938</v>
      </c>
      <c r="CH80">
        <v>0.48112756013870239</v>
      </c>
      <c r="CI80">
        <v>0.76177483797073364</v>
      </c>
      <c r="CJ80">
        <v>1.9058583974838257</v>
      </c>
      <c r="CK80">
        <v>3.0518813133239746</v>
      </c>
      <c r="CL80">
        <v>2.4916782379150391</v>
      </c>
      <c r="CM80">
        <v>2.4945592880249023</v>
      </c>
      <c r="CN80">
        <v>2.5216364860534668</v>
      </c>
      <c r="CO80">
        <v>2.6897616386413574</v>
      </c>
      <c r="CP80">
        <v>3.1404063701629639</v>
      </c>
      <c r="CQ80">
        <v>4.222966194152832</v>
      </c>
      <c r="CR80">
        <v>4.0889625549316406</v>
      </c>
      <c r="CS80">
        <v>4.2025718688964844</v>
      </c>
      <c r="CT80">
        <v>4.3262114524841309</v>
      </c>
      <c r="CU80">
        <v>3.7428076267242432</v>
      </c>
      <c r="CV80">
        <v>3.6080400943756104</v>
      </c>
      <c r="CW80">
        <v>3.3247697353363037</v>
      </c>
      <c r="CX80">
        <v>0.15709225833415985</v>
      </c>
      <c r="CY80">
        <v>9.608864039182663E-2</v>
      </c>
      <c r="CZ80">
        <v>6.016082689166069E-2</v>
      </c>
      <c r="DA80">
        <v>8.3278737962245941E-2</v>
      </c>
      <c r="DB80">
        <v>5.8207452297210693E-2</v>
      </c>
      <c r="DC80">
        <v>6.7501261830329895E-2</v>
      </c>
      <c r="DD80">
        <v>9.1740630567073822E-2</v>
      </c>
      <c r="DE80">
        <v>0.56348687410354614</v>
      </c>
      <c r="DF80">
        <v>0.76631289720535278</v>
      </c>
      <c r="DG80">
        <v>1.0519344806671143</v>
      </c>
      <c r="DH80">
        <v>2.2163016796112061</v>
      </c>
      <c r="DI80">
        <v>3.385958194732666</v>
      </c>
      <c r="DJ80">
        <v>2.8820288181304932</v>
      </c>
      <c r="DK80">
        <v>2.9094414710998535</v>
      </c>
      <c r="DL80">
        <v>2.9519772529602051</v>
      </c>
      <c r="DM80">
        <v>3.1123592853546143</v>
      </c>
      <c r="DN80">
        <v>3.5367517471313477</v>
      </c>
      <c r="DO80">
        <v>4.5912375450134277</v>
      </c>
      <c r="DP80">
        <v>4.446589469909668</v>
      </c>
      <c r="DQ80">
        <v>4.5430536270141602</v>
      </c>
      <c r="DR80">
        <v>4.6654200553894043</v>
      </c>
      <c r="DS80">
        <v>4.0979194641113281</v>
      </c>
      <c r="DT80">
        <v>3.9801704883575439</v>
      </c>
      <c r="DU80">
        <v>3.7003178596496582</v>
      </c>
      <c r="DV80">
        <v>0.52588373422622681</v>
      </c>
      <c r="DW80">
        <v>0.45844805240631104</v>
      </c>
      <c r="DX80">
        <v>0.42079228162765503</v>
      </c>
      <c r="DY80">
        <v>0.43806466460227966</v>
      </c>
      <c r="DZ80">
        <v>0.41262274980545044</v>
      </c>
      <c r="EA80">
        <v>0.43240895867347717</v>
      </c>
      <c r="EB80">
        <v>0.46609929203987122</v>
      </c>
      <c r="EC80">
        <v>0.94839358329772949</v>
      </c>
      <c r="ED80">
        <v>1.1780751943588257</v>
      </c>
      <c r="EE80">
        <v>1.4708788394927979</v>
      </c>
      <c r="EF80">
        <v>2.6645326614379883</v>
      </c>
      <c r="EG80">
        <v>3.868311882019043</v>
      </c>
      <c r="EH80">
        <v>3.4456329345703125</v>
      </c>
      <c r="EI80">
        <v>3.5084652900695801</v>
      </c>
      <c r="EJ80">
        <v>3.5733208656311035</v>
      </c>
      <c r="EK80">
        <v>3.7225234508514404</v>
      </c>
      <c r="EL80">
        <v>4.1090116500854492</v>
      </c>
      <c r="EM80">
        <v>5.1229634284973145</v>
      </c>
      <c r="EN80">
        <v>4.9629464149475098</v>
      </c>
      <c r="EO80">
        <v>5.0346550941467285</v>
      </c>
      <c r="EP80">
        <v>5.1551837921142578</v>
      </c>
      <c r="EQ80">
        <v>4.6106452941894531</v>
      </c>
      <c r="ER80">
        <v>4.5174679756164551</v>
      </c>
      <c r="ES80">
        <v>4.2425498962402344</v>
      </c>
      <c r="ET80">
        <v>46.582710266113281</v>
      </c>
      <c r="EU80">
        <v>47.216793060302734</v>
      </c>
      <c r="EV80">
        <v>46.863986968994141</v>
      </c>
      <c r="EW80">
        <v>46.883533477783203</v>
      </c>
      <c r="EX80">
        <v>46.714794158935547</v>
      </c>
      <c r="EY80">
        <v>46.641216278076172</v>
      </c>
      <c r="EZ80">
        <v>46.408008575439453</v>
      </c>
      <c r="FA80">
        <v>46.514423370361328</v>
      </c>
      <c r="FB80">
        <v>48.83819580078125</v>
      </c>
      <c r="FC80">
        <v>50.343086242675781</v>
      </c>
      <c r="FD80">
        <v>52.251304626464844</v>
      </c>
      <c r="FE80">
        <v>53.884601593017578</v>
      </c>
      <c r="FF80">
        <v>53.226024627685547</v>
      </c>
      <c r="FG80">
        <v>52.397754669189453</v>
      </c>
      <c r="FH80">
        <v>51.331119537353516</v>
      </c>
      <c r="FI80">
        <v>51.426963806152344</v>
      </c>
      <c r="FJ80">
        <v>51.615447998046875</v>
      </c>
      <c r="FK80">
        <v>51.354103088378906</v>
      </c>
      <c r="FL80">
        <v>50.969200134277344</v>
      </c>
      <c r="FM80">
        <v>51.056354522705078</v>
      </c>
      <c r="FN80">
        <v>50.741554260253906</v>
      </c>
      <c r="FO80">
        <v>50.571632385253906</v>
      </c>
      <c r="FP80">
        <v>50.728096008300781</v>
      </c>
      <c r="FQ80">
        <v>50.498035430908203</v>
      </c>
      <c r="FR80">
        <v>173</v>
      </c>
      <c r="FS80">
        <v>5.0057981163263321E-2</v>
      </c>
      <c r="FT80">
        <v>1</v>
      </c>
    </row>
    <row r="81" spans="1:176" x14ac:dyDescent="0.2">
      <c r="A81" t="s">
        <v>229</v>
      </c>
      <c r="B81" t="s">
        <v>225</v>
      </c>
      <c r="C81" t="s">
        <v>233</v>
      </c>
      <c r="D81">
        <v>212</v>
      </c>
      <c r="E81">
        <v>212</v>
      </c>
      <c r="F81">
        <v>18.207304000854492</v>
      </c>
      <c r="G81">
        <v>17.917936325073242</v>
      </c>
      <c r="H81">
        <v>17.777488708496094</v>
      </c>
      <c r="I81">
        <v>17.84820556640625</v>
      </c>
      <c r="J81">
        <v>17.949771881103516</v>
      </c>
      <c r="K81">
        <v>18.277431488037109</v>
      </c>
      <c r="L81">
        <v>19.100360870361328</v>
      </c>
      <c r="M81">
        <v>20.102863311767578</v>
      </c>
      <c r="N81">
        <v>21.617897033691406</v>
      </c>
      <c r="O81">
        <v>21.934806823730469</v>
      </c>
      <c r="P81">
        <v>23.770900726318359</v>
      </c>
      <c r="Q81">
        <v>24.551107406616211</v>
      </c>
      <c r="R81">
        <v>24.971588134765625</v>
      </c>
      <c r="S81">
        <v>25.493595123291016</v>
      </c>
      <c r="T81">
        <v>25.956962585449219</v>
      </c>
      <c r="U81">
        <v>26.127017974853516</v>
      </c>
      <c r="V81">
        <v>26.614673614501953</v>
      </c>
      <c r="W81">
        <v>26.881298065185547</v>
      </c>
      <c r="X81">
        <v>27.355983734130859</v>
      </c>
      <c r="Y81">
        <v>27.865961074829102</v>
      </c>
      <c r="Z81">
        <v>27.028493881225586</v>
      </c>
      <c r="AA81">
        <v>24.017574310302734</v>
      </c>
      <c r="AB81">
        <v>20.839675903320313</v>
      </c>
      <c r="AC81">
        <v>18.915626525878906</v>
      </c>
      <c r="AD81">
        <v>-1.2951229810714722</v>
      </c>
      <c r="AE81">
        <v>-1.4568918943405151</v>
      </c>
      <c r="AF81">
        <v>-1.0683414936065674</v>
      </c>
      <c r="AG81">
        <v>-1.2671517133712769</v>
      </c>
      <c r="AH81">
        <v>-1.2556595802307129</v>
      </c>
      <c r="AI81">
        <v>-1.4853965044021606</v>
      </c>
      <c r="AJ81">
        <v>-0.97240036725997925</v>
      </c>
      <c r="AK81">
        <v>-0.77578771114349365</v>
      </c>
      <c r="AL81">
        <v>-0.81423717737197876</v>
      </c>
      <c r="AM81">
        <v>-0.92799168825149536</v>
      </c>
      <c r="AN81">
        <v>-0.5554547905921936</v>
      </c>
      <c r="AO81">
        <v>-0.21917414665222168</v>
      </c>
      <c r="AP81">
        <v>-0.70105910301208496</v>
      </c>
      <c r="AQ81">
        <v>-0.25931820273399353</v>
      </c>
      <c r="AR81">
        <v>-0.28655293583869934</v>
      </c>
      <c r="AS81">
        <v>-0.61321240663528442</v>
      </c>
      <c r="AT81">
        <v>1.9261816740036011</v>
      </c>
      <c r="AU81">
        <v>9.3070440292358398</v>
      </c>
      <c r="AV81">
        <v>1.9994354248046875</v>
      </c>
      <c r="AW81">
        <v>-0.2110125720500946</v>
      </c>
      <c r="AX81">
        <v>-1.6259067058563232</v>
      </c>
      <c r="AY81">
        <v>-2.2032992839813232</v>
      </c>
      <c r="AZ81">
        <v>-2.3586869239807129</v>
      </c>
      <c r="BA81">
        <v>-2.9451351165771484</v>
      </c>
      <c r="BB81">
        <v>-0.76155310869216919</v>
      </c>
      <c r="BC81">
        <v>-0.9122159481048584</v>
      </c>
      <c r="BD81">
        <v>-0.52744626998901367</v>
      </c>
      <c r="BE81">
        <v>-0.69729471206665039</v>
      </c>
      <c r="BF81">
        <v>-0.69071996212005615</v>
      </c>
      <c r="BG81">
        <v>-0.89767938852310181</v>
      </c>
      <c r="BH81">
        <v>-0.39434835314750671</v>
      </c>
      <c r="BI81">
        <v>-0.16629563271999359</v>
      </c>
      <c r="BJ81">
        <v>-0.1289399117231369</v>
      </c>
      <c r="BK81">
        <v>-0.23588339984416962</v>
      </c>
      <c r="BL81">
        <v>0.18418757617473602</v>
      </c>
      <c r="BM81">
        <v>0.55125856399536133</v>
      </c>
      <c r="BN81">
        <v>0.10876323282718658</v>
      </c>
      <c r="BO81">
        <v>0.56173604726791382</v>
      </c>
      <c r="BP81">
        <v>0.57269841432571411</v>
      </c>
      <c r="BQ81">
        <v>0.28958505392074585</v>
      </c>
      <c r="BR81">
        <v>2.8128316402435303</v>
      </c>
      <c r="BS81">
        <v>10.184592247009277</v>
      </c>
      <c r="BT81">
        <v>2.8541450500488281</v>
      </c>
      <c r="BU81">
        <v>0.64081406593322754</v>
      </c>
      <c r="BV81">
        <v>-0.75296485424041748</v>
      </c>
      <c r="BW81">
        <v>-1.3626123666763306</v>
      </c>
      <c r="BX81">
        <v>-1.5641400814056396</v>
      </c>
      <c r="BY81">
        <v>-2.1771881580352783</v>
      </c>
      <c r="BZ81">
        <v>-0.39200422167778015</v>
      </c>
      <c r="CA81">
        <v>-0.53497505187988281</v>
      </c>
      <c r="CB81">
        <v>-0.15282389521598816</v>
      </c>
      <c r="CC81">
        <v>-0.30261349678039551</v>
      </c>
      <c r="CD81">
        <v>-0.29944449663162231</v>
      </c>
      <c r="CE81">
        <v>-0.49062827229499817</v>
      </c>
      <c r="CF81">
        <v>6.0087013989686966E-3</v>
      </c>
      <c r="CG81">
        <v>0.25583672523498535</v>
      </c>
      <c r="CH81">
        <v>0.345694899559021</v>
      </c>
      <c r="CI81">
        <v>0.24346870183944702</v>
      </c>
      <c r="CJ81">
        <v>0.69646161794662476</v>
      </c>
      <c r="CK81">
        <v>1.0848579406738281</v>
      </c>
      <c r="CL81">
        <v>0.66964370012283325</v>
      </c>
      <c r="CM81">
        <v>1.130395770072937</v>
      </c>
      <c r="CN81">
        <v>1.1678133010864258</v>
      </c>
      <c r="CO81">
        <v>0.9148598313331604</v>
      </c>
      <c r="CP81">
        <v>3.4269225597381592</v>
      </c>
      <c r="CQ81">
        <v>10.792379379272461</v>
      </c>
      <c r="CR81">
        <v>3.4461145401000977</v>
      </c>
      <c r="CS81">
        <v>1.2307865619659424</v>
      </c>
      <c r="CT81">
        <v>-0.14836794137954712</v>
      </c>
      <c r="CU81">
        <v>-0.78035521507263184</v>
      </c>
      <c r="CV81">
        <v>-1.0138394832611084</v>
      </c>
      <c r="CW81">
        <v>-1.6453104019165039</v>
      </c>
      <c r="CX81">
        <v>-2.2455340251326561E-2</v>
      </c>
      <c r="CY81">
        <v>-0.15773417055606842</v>
      </c>
      <c r="CZ81">
        <v>0.22179847955703735</v>
      </c>
      <c r="DA81">
        <v>9.2067718505859375E-2</v>
      </c>
      <c r="DB81">
        <v>9.1830983757972717E-2</v>
      </c>
      <c r="DC81">
        <v>-8.3577156066894531E-2</v>
      </c>
      <c r="DD81">
        <v>0.40636575222015381</v>
      </c>
      <c r="DE81">
        <v>0.67796909809112549</v>
      </c>
      <c r="DF81">
        <v>0.82032972574234009</v>
      </c>
      <c r="DG81">
        <v>0.72282081842422485</v>
      </c>
      <c r="DH81">
        <v>1.2087357044219971</v>
      </c>
      <c r="DI81">
        <v>1.6184573173522949</v>
      </c>
      <c r="DJ81">
        <v>1.2305241823196411</v>
      </c>
      <c r="DK81">
        <v>1.6990554332733154</v>
      </c>
      <c r="DL81">
        <v>1.7629281282424927</v>
      </c>
      <c r="DM81">
        <v>1.5401346683502197</v>
      </c>
      <c r="DN81">
        <v>4.0410137176513672</v>
      </c>
      <c r="DO81">
        <v>11.400166511535645</v>
      </c>
      <c r="DP81">
        <v>4.0380840301513672</v>
      </c>
      <c r="DQ81">
        <v>1.8207590579986572</v>
      </c>
      <c r="DR81">
        <v>0.45622897148132324</v>
      </c>
      <c r="DS81">
        <v>-0.19809803366661072</v>
      </c>
      <c r="DT81">
        <v>-0.46353885531425476</v>
      </c>
      <c r="DU81">
        <v>-1.1134326457977295</v>
      </c>
      <c r="DV81">
        <v>0.51111453771591187</v>
      </c>
      <c r="DW81">
        <v>0.38694173097610474</v>
      </c>
      <c r="DX81">
        <v>0.76269370317459106</v>
      </c>
      <c r="DY81">
        <v>0.66192471981048584</v>
      </c>
      <c r="DZ81">
        <v>0.65677064657211304</v>
      </c>
      <c r="EA81">
        <v>0.50414001941680908</v>
      </c>
      <c r="EB81">
        <v>0.98441773653030396</v>
      </c>
      <c r="EC81">
        <v>1.2874611616134644</v>
      </c>
      <c r="ED81">
        <v>1.5056270360946655</v>
      </c>
      <c r="EE81">
        <v>1.4149291515350342</v>
      </c>
      <c r="EF81">
        <v>1.9483779668807983</v>
      </c>
      <c r="EG81">
        <v>2.3888900279998779</v>
      </c>
      <c r="EH81">
        <v>2.0403463840484619</v>
      </c>
      <c r="EI81">
        <v>2.5201096534729004</v>
      </c>
      <c r="EJ81">
        <v>2.6221795082092285</v>
      </c>
      <c r="EK81">
        <v>2.44293212890625</v>
      </c>
      <c r="EL81">
        <v>4.9276633262634277</v>
      </c>
      <c r="EM81">
        <v>12.277714729309082</v>
      </c>
      <c r="EN81">
        <v>4.8927936553955078</v>
      </c>
      <c r="EO81">
        <v>2.6725857257843018</v>
      </c>
      <c r="EP81">
        <v>1.329170823097229</v>
      </c>
      <c r="EQ81">
        <v>0.64258885383605957</v>
      </c>
      <c r="ER81">
        <v>0.33100786805152893</v>
      </c>
      <c r="ES81">
        <v>-0.34548568725585938</v>
      </c>
      <c r="ET81">
        <v>64.421211242675781</v>
      </c>
      <c r="EU81">
        <v>61.750602722167969</v>
      </c>
      <c r="EV81">
        <v>62.193340301513672</v>
      </c>
      <c r="EW81">
        <v>62.065052032470703</v>
      </c>
      <c r="EX81">
        <v>62.420253753662109</v>
      </c>
      <c r="EY81">
        <v>62.400135040283203</v>
      </c>
      <c r="EZ81">
        <v>67.057853698730469</v>
      </c>
      <c r="FA81">
        <v>73.201347351074219</v>
      </c>
      <c r="FB81">
        <v>78.624229431152344</v>
      </c>
      <c r="FC81">
        <v>82.62994384765625</v>
      </c>
      <c r="FD81">
        <v>85.921066284179688</v>
      </c>
      <c r="FE81">
        <v>87.72674560546875</v>
      </c>
      <c r="FF81">
        <v>89.508796691894531</v>
      </c>
      <c r="FG81">
        <v>90.877769470214844</v>
      </c>
      <c r="FH81">
        <v>91.980918884277344</v>
      </c>
      <c r="FI81">
        <v>90.875083923339844</v>
      </c>
      <c r="FJ81">
        <v>89.19268798828125</v>
      </c>
      <c r="FK81">
        <v>88.040855407714844</v>
      </c>
      <c r="FL81">
        <v>85.712303161621094</v>
      </c>
      <c r="FM81">
        <v>79.714576721191406</v>
      </c>
      <c r="FN81">
        <v>75.392486572265625</v>
      </c>
      <c r="FO81">
        <v>71.742424011230469</v>
      </c>
      <c r="FP81">
        <v>69.200706481933594</v>
      </c>
      <c r="FQ81">
        <v>67.922203063964844</v>
      </c>
      <c r="FR81">
        <v>212</v>
      </c>
      <c r="FS81">
        <v>4.0848083794116974E-2</v>
      </c>
      <c r="FT81">
        <v>1</v>
      </c>
    </row>
    <row r="82" spans="1:176" x14ac:dyDescent="0.2">
      <c r="A82" t="s">
        <v>229</v>
      </c>
      <c r="B82" t="s">
        <v>225</v>
      </c>
      <c r="C82" t="s">
        <v>234</v>
      </c>
      <c r="D82">
        <v>212</v>
      </c>
      <c r="E82">
        <v>212</v>
      </c>
      <c r="F82">
        <v>19.134397506713867</v>
      </c>
      <c r="G82">
        <v>18.789806365966797</v>
      </c>
      <c r="H82">
        <v>18.582216262817383</v>
      </c>
      <c r="I82">
        <v>18.702152252197266</v>
      </c>
      <c r="J82">
        <v>18.821374893188477</v>
      </c>
      <c r="K82">
        <v>19.171127319335938</v>
      </c>
      <c r="L82">
        <v>20.144428253173828</v>
      </c>
      <c r="M82">
        <v>21.245241165161133</v>
      </c>
      <c r="N82">
        <v>22.932748794555664</v>
      </c>
      <c r="O82">
        <v>23.272867202758789</v>
      </c>
      <c r="P82">
        <v>25.148187637329102</v>
      </c>
      <c r="Q82">
        <v>25.889511108398438</v>
      </c>
      <c r="R82">
        <v>26.32496452331543</v>
      </c>
      <c r="S82">
        <v>26.923025131225586</v>
      </c>
      <c r="T82">
        <v>27.372900009155273</v>
      </c>
      <c r="U82">
        <v>27.377201080322266</v>
      </c>
      <c r="V82">
        <v>27.830656051635742</v>
      </c>
      <c r="W82">
        <v>28.125907897949219</v>
      </c>
      <c r="X82">
        <v>28.566303253173828</v>
      </c>
      <c r="Y82">
        <v>29.055644989013672</v>
      </c>
      <c r="Z82">
        <v>28.309959411621094</v>
      </c>
      <c r="AA82">
        <v>25.066865921020508</v>
      </c>
      <c r="AB82">
        <v>21.79852294921875</v>
      </c>
      <c r="AC82">
        <v>19.830038070678711</v>
      </c>
      <c r="AD82">
        <v>-1.7624397277832031</v>
      </c>
      <c r="AE82">
        <v>-1.9472740888595581</v>
      </c>
      <c r="AF82">
        <v>-1.9681217670440674</v>
      </c>
      <c r="AG82">
        <v>-1.5179704427719116</v>
      </c>
      <c r="AH82">
        <v>-1.2487506866455078</v>
      </c>
      <c r="AI82">
        <v>-1.2593822479248047</v>
      </c>
      <c r="AJ82">
        <v>-1.0893630981445313</v>
      </c>
      <c r="AK82">
        <v>-1.2322453260421753</v>
      </c>
      <c r="AL82">
        <v>-0.59414410591125488</v>
      </c>
      <c r="AM82">
        <v>-0.68826907873153687</v>
      </c>
      <c r="AN82">
        <v>-0.31428655982017517</v>
      </c>
      <c r="AO82">
        <v>-0.44469025731086731</v>
      </c>
      <c r="AP82">
        <v>-0.98444753885269165</v>
      </c>
      <c r="AQ82">
        <v>1.0658888816833496</v>
      </c>
      <c r="AR82">
        <v>9.7481718063354492</v>
      </c>
      <c r="AS82">
        <v>9.1601848602294922</v>
      </c>
      <c r="AT82">
        <v>8.7204132080078125</v>
      </c>
      <c r="AU82">
        <v>8.2161722183227539</v>
      </c>
      <c r="AV82">
        <v>0.77954715490341187</v>
      </c>
      <c r="AW82">
        <v>-0.98014825582504272</v>
      </c>
      <c r="AX82">
        <v>-0.95263081789016724</v>
      </c>
      <c r="AY82">
        <v>-0.9719536304473877</v>
      </c>
      <c r="AZ82">
        <v>-1.4994519948959351</v>
      </c>
      <c r="BA82">
        <v>-1.631614089012146</v>
      </c>
      <c r="BB82">
        <v>-1.1595962047576904</v>
      </c>
      <c r="BC82">
        <v>-1.3598493337631226</v>
      </c>
      <c r="BD82">
        <v>-1.3659206628799438</v>
      </c>
      <c r="BE82">
        <v>-0.90771341323852539</v>
      </c>
      <c r="BF82">
        <v>-0.62436014413833618</v>
      </c>
      <c r="BG82">
        <v>-0.6272088885307312</v>
      </c>
      <c r="BH82">
        <v>-0.42419776320457458</v>
      </c>
      <c r="BI82">
        <v>-0.54937970638275146</v>
      </c>
      <c r="BJ82">
        <v>0.15771958231925964</v>
      </c>
      <c r="BK82">
        <v>5.070158839225769E-2</v>
      </c>
      <c r="BL82">
        <v>0.45845004916191101</v>
      </c>
      <c r="BM82">
        <v>0.36909183859825134</v>
      </c>
      <c r="BN82">
        <v>-0.12933827936649323</v>
      </c>
      <c r="BO82">
        <v>1.9355366230010986</v>
      </c>
      <c r="BP82">
        <v>10.631191253662109</v>
      </c>
      <c r="BQ82">
        <v>10.08201789855957</v>
      </c>
      <c r="BR82">
        <v>9.642146110534668</v>
      </c>
      <c r="BS82">
        <v>9.1164951324462891</v>
      </c>
      <c r="BT82">
        <v>1.6598645448684692</v>
      </c>
      <c r="BU82">
        <v>-0.10851157456636429</v>
      </c>
      <c r="BV82">
        <v>-7.3542594909667969E-2</v>
      </c>
      <c r="BW82">
        <v>-0.12186397612094879</v>
      </c>
      <c r="BX82">
        <v>-0.64522188901901245</v>
      </c>
      <c r="BY82">
        <v>-0.80900460481643677</v>
      </c>
      <c r="BZ82">
        <v>-0.74206870794296265</v>
      </c>
      <c r="CA82">
        <v>-0.95300072431564331</v>
      </c>
      <c r="CB82">
        <v>-0.9488379955291748</v>
      </c>
      <c r="CC82">
        <v>-0.48505121469497681</v>
      </c>
      <c r="CD82">
        <v>-0.19190919399261475</v>
      </c>
      <c r="CE82">
        <v>-0.18936753273010254</v>
      </c>
      <c r="CF82">
        <v>3.6493729799985886E-2</v>
      </c>
      <c r="CG82">
        <v>-7.6429128646850586E-2</v>
      </c>
      <c r="CH82">
        <v>0.67845809459686279</v>
      </c>
      <c r="CI82">
        <v>0.56251043081283569</v>
      </c>
      <c r="CJ82">
        <v>0.9936450719833374</v>
      </c>
      <c r="CK82">
        <v>0.93271481990814209</v>
      </c>
      <c r="CL82">
        <v>0.46290779113769531</v>
      </c>
      <c r="CM82">
        <v>2.5378520488739014</v>
      </c>
      <c r="CN82">
        <v>11.242767333984375</v>
      </c>
      <c r="CO82">
        <v>10.720477104187012</v>
      </c>
      <c r="CP82">
        <v>10.280535697937012</v>
      </c>
      <c r="CQ82">
        <v>9.7400550842285156</v>
      </c>
      <c r="CR82">
        <v>2.2695696353912354</v>
      </c>
      <c r="CS82">
        <v>0.49518132209777832</v>
      </c>
      <c r="CT82">
        <v>0.53531122207641602</v>
      </c>
      <c r="CU82">
        <v>0.46690553426742554</v>
      </c>
      <c r="CV82">
        <v>-5.3584691137075424E-2</v>
      </c>
      <c r="CW82">
        <v>-0.23926779627799988</v>
      </c>
      <c r="CX82">
        <v>-0.32454115152359009</v>
      </c>
      <c r="CY82">
        <v>-0.54615211486816406</v>
      </c>
      <c r="CZ82">
        <v>-0.53175532817840576</v>
      </c>
      <c r="DA82">
        <v>-6.2389031052589417E-2</v>
      </c>
      <c r="DB82">
        <v>0.24054177105426788</v>
      </c>
      <c r="DC82">
        <v>0.24847380816936493</v>
      </c>
      <c r="DD82">
        <v>0.49718523025512695</v>
      </c>
      <c r="DE82">
        <v>0.39652147889137268</v>
      </c>
      <c r="DF82">
        <v>1.1991965770721436</v>
      </c>
      <c r="DG82">
        <v>1.0743192434310913</v>
      </c>
      <c r="DH82">
        <v>1.5288400650024414</v>
      </c>
      <c r="DI82">
        <v>1.4963377714157104</v>
      </c>
      <c r="DJ82">
        <v>1.0551538467407227</v>
      </c>
      <c r="DK82">
        <v>3.1401674747467041</v>
      </c>
      <c r="DL82">
        <v>11.854343414306641</v>
      </c>
      <c r="DM82">
        <v>11.358936309814453</v>
      </c>
      <c r="DN82">
        <v>10.918925285339355</v>
      </c>
      <c r="DO82">
        <v>10.363615036010742</v>
      </c>
      <c r="DP82">
        <v>2.879274845123291</v>
      </c>
      <c r="DQ82">
        <v>1.0988742113113403</v>
      </c>
      <c r="DR82">
        <v>1.1441650390625</v>
      </c>
      <c r="DS82">
        <v>1.0556750297546387</v>
      </c>
      <c r="DT82">
        <v>0.53805249929428101</v>
      </c>
      <c r="DU82">
        <v>0.33046901226043701</v>
      </c>
      <c r="DV82">
        <v>0.27830231189727783</v>
      </c>
      <c r="DW82">
        <v>4.1272647678852081E-2</v>
      </c>
      <c r="DX82">
        <v>7.0445738732814789E-2</v>
      </c>
      <c r="DY82">
        <v>0.54786801338195801</v>
      </c>
      <c r="DZ82">
        <v>0.86493229866027832</v>
      </c>
      <c r="EA82">
        <v>0.88064718246459961</v>
      </c>
      <c r="EB82">
        <v>1.1623505353927612</v>
      </c>
      <c r="EC82">
        <v>1.0793870687484741</v>
      </c>
      <c r="ED82">
        <v>1.9510602951049805</v>
      </c>
      <c r="EE82">
        <v>1.813289999961853</v>
      </c>
      <c r="EF82">
        <v>2.3015766143798828</v>
      </c>
      <c r="EG82">
        <v>2.3101198673248291</v>
      </c>
      <c r="EH82">
        <v>1.9102631807327271</v>
      </c>
      <c r="EI82">
        <v>4.0098152160644531</v>
      </c>
      <c r="EJ82">
        <v>12.737362861633301</v>
      </c>
      <c r="EK82">
        <v>12.280769348144531</v>
      </c>
      <c r="EL82">
        <v>11.840658187866211</v>
      </c>
      <c r="EM82">
        <v>11.263937950134277</v>
      </c>
      <c r="EN82">
        <v>3.7595920562744141</v>
      </c>
      <c r="EO82">
        <v>1.9705108404159546</v>
      </c>
      <c r="EP82">
        <v>2.0232532024383545</v>
      </c>
      <c r="EQ82">
        <v>1.9057646989822388</v>
      </c>
      <c r="ER82">
        <v>1.3922826051712036</v>
      </c>
      <c r="ES82">
        <v>1.1530784368515015</v>
      </c>
      <c r="ET82">
        <v>69.5821533203125</v>
      </c>
      <c r="EU82">
        <v>68.380836486816406</v>
      </c>
      <c r="EV82">
        <v>65.527290344238281</v>
      </c>
      <c r="EW82">
        <v>66.137649536132813</v>
      </c>
      <c r="EX82">
        <v>66.097602844238281</v>
      </c>
      <c r="EY82">
        <v>68.22283935546875</v>
      </c>
      <c r="EZ82">
        <v>72.074615478515625</v>
      </c>
      <c r="FA82">
        <v>77.206565856933594</v>
      </c>
      <c r="FB82">
        <v>81.768913269042969</v>
      </c>
      <c r="FC82">
        <v>86.220268249511719</v>
      </c>
      <c r="FD82">
        <v>89.196159362792969</v>
      </c>
      <c r="FE82">
        <v>91.867408752441406</v>
      </c>
      <c r="FF82">
        <v>93.613265991210937</v>
      </c>
      <c r="FG82">
        <v>94.879837036132813</v>
      </c>
      <c r="FH82">
        <v>95.384765625</v>
      </c>
      <c r="FI82">
        <v>93.670372009277344</v>
      </c>
      <c r="FJ82">
        <v>92.607444763183594</v>
      </c>
      <c r="FK82">
        <v>90.234756469726563</v>
      </c>
      <c r="FL82">
        <v>87.452117919921875</v>
      </c>
      <c r="FM82">
        <v>81.737739562988281</v>
      </c>
      <c r="FN82">
        <v>76.94403076171875</v>
      </c>
      <c r="FO82">
        <v>75.035064697265625</v>
      </c>
      <c r="FP82">
        <v>70.900772094726563</v>
      </c>
      <c r="FQ82">
        <v>72.679100036621094</v>
      </c>
      <c r="FR82">
        <v>212</v>
      </c>
      <c r="FS82">
        <v>4.2649403214454651E-2</v>
      </c>
      <c r="FT82">
        <v>1</v>
      </c>
    </row>
    <row r="83" spans="1:176" x14ac:dyDescent="0.2">
      <c r="A83" t="s">
        <v>229</v>
      </c>
      <c r="B83" t="s">
        <v>225</v>
      </c>
      <c r="C83" t="s">
        <v>235</v>
      </c>
      <c r="D83">
        <v>212</v>
      </c>
      <c r="E83">
        <v>212</v>
      </c>
      <c r="F83">
        <v>18.88899040222168</v>
      </c>
      <c r="G83">
        <v>18.506601333618164</v>
      </c>
      <c r="H83">
        <v>18.289068222045898</v>
      </c>
      <c r="I83">
        <v>18.446781158447266</v>
      </c>
      <c r="J83">
        <v>18.524993896484375</v>
      </c>
      <c r="K83">
        <v>18.828441619873047</v>
      </c>
      <c r="L83">
        <v>19.733989715576172</v>
      </c>
      <c r="M83">
        <v>20.986148834228516</v>
      </c>
      <c r="N83">
        <v>22.805213928222656</v>
      </c>
      <c r="O83">
        <v>23.179409027099609</v>
      </c>
      <c r="P83">
        <v>25.231014251708984</v>
      </c>
      <c r="Q83">
        <v>26.062969207763672</v>
      </c>
      <c r="R83">
        <v>26.41032600402832</v>
      </c>
      <c r="S83">
        <v>27.00629997253418</v>
      </c>
      <c r="T83">
        <v>27.468423843383789</v>
      </c>
      <c r="U83">
        <v>27.446285247802734</v>
      </c>
      <c r="V83">
        <v>27.938501358032227</v>
      </c>
      <c r="W83">
        <v>28.283975601196289</v>
      </c>
      <c r="X83">
        <v>28.681983947753906</v>
      </c>
      <c r="Y83">
        <v>29.179147720336914</v>
      </c>
      <c r="Z83">
        <v>28.402164459228516</v>
      </c>
      <c r="AA83">
        <v>25.08515739440918</v>
      </c>
      <c r="AB83">
        <v>21.770376205444336</v>
      </c>
      <c r="AC83">
        <v>19.877050399780273</v>
      </c>
      <c r="AD83">
        <v>-1.7280663251876831</v>
      </c>
      <c r="AE83">
        <v>-1.7427688837051392</v>
      </c>
      <c r="AF83">
        <v>-1.5109097957611084</v>
      </c>
      <c r="AG83">
        <v>-1.8542481660842896</v>
      </c>
      <c r="AH83">
        <v>-2.1160211563110352</v>
      </c>
      <c r="AI83">
        <v>-2.1832983493804932</v>
      </c>
      <c r="AJ83">
        <v>-1.1644775867462158</v>
      </c>
      <c r="AK83">
        <v>-1.322147011756897</v>
      </c>
      <c r="AL83">
        <v>-1.1224198341369629</v>
      </c>
      <c r="AM83">
        <v>-1.2102222442626953</v>
      </c>
      <c r="AN83">
        <v>-0.63059967756271362</v>
      </c>
      <c r="AO83">
        <v>-0.40014573931694031</v>
      </c>
      <c r="AP83">
        <v>0.30356982350349426</v>
      </c>
      <c r="AQ83">
        <v>8.8149566650390625</v>
      </c>
      <c r="AR83">
        <v>9.3401298522949219</v>
      </c>
      <c r="AS83">
        <v>8.785853385925293</v>
      </c>
      <c r="AT83">
        <v>8.5324182510375977</v>
      </c>
      <c r="AU83">
        <v>7.6321024894714355</v>
      </c>
      <c r="AV83">
        <v>-1.1598434448242187</v>
      </c>
      <c r="AW83">
        <v>-2.3072216510772705</v>
      </c>
      <c r="AX83">
        <v>-2.2099566459655762</v>
      </c>
      <c r="AY83">
        <v>-2.6101629734039307</v>
      </c>
      <c r="AZ83">
        <v>-2.1267600059509277</v>
      </c>
      <c r="BA83">
        <v>-2.1435232162475586</v>
      </c>
      <c r="BB83">
        <v>-1.0983750820159912</v>
      </c>
      <c r="BC83">
        <v>-1.1099599599838257</v>
      </c>
      <c r="BD83">
        <v>-0.86089402437210083</v>
      </c>
      <c r="BE83">
        <v>-1.1996070146560669</v>
      </c>
      <c r="BF83">
        <v>-1.4557600021362305</v>
      </c>
      <c r="BG83">
        <v>-1.5167503356933594</v>
      </c>
      <c r="BH83">
        <v>-0.48786798119544983</v>
      </c>
      <c r="BI83">
        <v>-0.6153075098991394</v>
      </c>
      <c r="BJ83">
        <v>-0.35316726565361023</v>
      </c>
      <c r="BK83">
        <v>-0.44565510749816895</v>
      </c>
      <c r="BL83">
        <v>0.1746249794960022</v>
      </c>
      <c r="BM83">
        <v>0.45563200116157532</v>
      </c>
      <c r="BN83">
        <v>1.1803269386291504</v>
      </c>
      <c r="BO83">
        <v>9.7241306304931641</v>
      </c>
      <c r="BP83">
        <v>10.262372970581055</v>
      </c>
      <c r="BQ83">
        <v>9.7444162368774414</v>
      </c>
      <c r="BR83">
        <v>9.4851779937744141</v>
      </c>
      <c r="BS83">
        <v>8.5563249588012695</v>
      </c>
      <c r="BT83">
        <v>-0.27844095230102539</v>
      </c>
      <c r="BU83">
        <v>-1.4334125518798828</v>
      </c>
      <c r="BV83">
        <v>-1.3241311311721802</v>
      </c>
      <c r="BW83">
        <v>-1.7393076419830322</v>
      </c>
      <c r="BX83">
        <v>-1.2682622671127319</v>
      </c>
      <c r="BY83">
        <v>-1.3179147243499756</v>
      </c>
      <c r="BZ83">
        <v>-0.66225290298461914</v>
      </c>
      <c r="CA83">
        <v>-0.67167830467224121</v>
      </c>
      <c r="CB83">
        <v>-0.41069510579109192</v>
      </c>
      <c r="CC83">
        <v>-0.7462044358253479</v>
      </c>
      <c r="CD83">
        <v>-0.99846518039703369</v>
      </c>
      <c r="CE83">
        <v>-1.0551012754440308</v>
      </c>
      <c r="CF83">
        <v>-1.925024576485157E-2</v>
      </c>
      <c r="CG83">
        <v>-0.12575265765190125</v>
      </c>
      <c r="CH83">
        <v>0.17961472272872925</v>
      </c>
      <c r="CI83">
        <v>8.3881750702857971E-2</v>
      </c>
      <c r="CJ83">
        <v>0.73232114315032959</v>
      </c>
      <c r="CK83">
        <v>1.0483410358428955</v>
      </c>
      <c r="CL83">
        <v>1.7875661849975586</v>
      </c>
      <c r="CM83">
        <v>10.353821754455566</v>
      </c>
      <c r="CN83">
        <v>10.901116371154785</v>
      </c>
      <c r="CO83">
        <v>10.408313751220703</v>
      </c>
      <c r="CP83">
        <v>10.145055770874023</v>
      </c>
      <c r="CQ83">
        <v>9.1964378356933594</v>
      </c>
      <c r="CR83">
        <v>0.33201572299003601</v>
      </c>
      <c r="CS83">
        <v>-0.82821518182754517</v>
      </c>
      <c r="CT83">
        <v>-0.71061110496520996</v>
      </c>
      <c r="CU83">
        <v>-1.1361558437347412</v>
      </c>
      <c r="CV83">
        <v>-0.67366933822631836</v>
      </c>
      <c r="CW83">
        <v>-0.74610090255737305</v>
      </c>
      <c r="CX83">
        <v>-0.22613070905208588</v>
      </c>
      <c r="CY83">
        <v>-0.23339670896530151</v>
      </c>
      <c r="CZ83">
        <v>3.9503831416368484E-2</v>
      </c>
      <c r="DA83">
        <v>-0.29280191659927368</v>
      </c>
      <c r="DB83">
        <v>-0.54117035865783691</v>
      </c>
      <c r="DC83">
        <v>-0.59345215559005737</v>
      </c>
      <c r="DD83">
        <v>0.44936749339103699</v>
      </c>
      <c r="DE83">
        <v>0.3638022243976593</v>
      </c>
      <c r="DF83">
        <v>0.71239674091339111</v>
      </c>
      <c r="DG83">
        <v>0.61341863870620728</v>
      </c>
      <c r="DH83">
        <v>1.2900172472000122</v>
      </c>
      <c r="DI83">
        <v>1.6410501003265381</v>
      </c>
      <c r="DJ83">
        <v>2.3948054313659668</v>
      </c>
      <c r="DK83">
        <v>10.983512878417969</v>
      </c>
      <c r="DL83">
        <v>11.539859771728516</v>
      </c>
      <c r="DM83">
        <v>11.072211265563965</v>
      </c>
      <c r="DN83">
        <v>10.804933547973633</v>
      </c>
      <c r="DO83">
        <v>9.8365507125854492</v>
      </c>
      <c r="DP83">
        <v>0.94247239828109741</v>
      </c>
      <c r="DQ83">
        <v>-0.22301776707172394</v>
      </c>
      <c r="DR83">
        <v>-9.7091034054756165E-2</v>
      </c>
      <c r="DS83">
        <v>-0.5330040454864502</v>
      </c>
      <c r="DT83">
        <v>-7.9076386988162994E-2</v>
      </c>
      <c r="DU83">
        <v>-0.17428703606128693</v>
      </c>
      <c r="DV83">
        <v>0.40356048941612244</v>
      </c>
      <c r="DW83">
        <v>0.39941230416297913</v>
      </c>
      <c r="DX83">
        <v>0.68951958417892456</v>
      </c>
      <c r="DY83">
        <v>0.36183932423591614</v>
      </c>
      <c r="DZ83">
        <v>0.11909076571464539</v>
      </c>
      <c r="EA83">
        <v>7.3095835745334625E-2</v>
      </c>
      <c r="EB83">
        <v>1.1259770393371582</v>
      </c>
      <c r="EC83">
        <v>1.0706417560577393</v>
      </c>
      <c r="ED83">
        <v>1.4816492795944214</v>
      </c>
      <c r="EE83">
        <v>1.3779857158660889</v>
      </c>
      <c r="EF83">
        <v>2.0952420234680176</v>
      </c>
      <c r="EG83">
        <v>2.4968278408050537</v>
      </c>
      <c r="EH83">
        <v>3.2715625762939453</v>
      </c>
      <c r="EI83">
        <v>11.89268684387207</v>
      </c>
      <c r="EJ83">
        <v>12.462102890014648</v>
      </c>
      <c r="EK83">
        <v>12.030774116516113</v>
      </c>
      <c r="EL83">
        <v>11.757693290710449</v>
      </c>
      <c r="EM83">
        <v>10.760772705078125</v>
      </c>
      <c r="EN83">
        <v>1.823874831199646</v>
      </c>
      <c r="EO83">
        <v>0.65079116821289063</v>
      </c>
      <c r="EP83">
        <v>0.78873449563980103</v>
      </c>
      <c r="EQ83">
        <v>0.33785131573677063</v>
      </c>
      <c r="ER83">
        <v>0.77942138910293579</v>
      </c>
      <c r="ES83">
        <v>0.6513214111328125</v>
      </c>
      <c r="ET83">
        <v>70.130790710449219</v>
      </c>
      <c r="EU83">
        <v>67.936271667480469</v>
      </c>
      <c r="EV83">
        <v>66.257652282714844</v>
      </c>
      <c r="EW83">
        <v>66.521705627441406</v>
      </c>
      <c r="EX83">
        <v>66.358406066894531</v>
      </c>
      <c r="EY83">
        <v>67.838821411132813</v>
      </c>
      <c r="EZ83">
        <v>71.436943054199219</v>
      </c>
      <c r="FA83">
        <v>77.596443176269531</v>
      </c>
      <c r="FB83">
        <v>83.849525451660156</v>
      </c>
      <c r="FC83">
        <v>89.034805297851563</v>
      </c>
      <c r="FD83">
        <v>91.394790649414063</v>
      </c>
      <c r="FE83">
        <v>93.070213317871094</v>
      </c>
      <c r="FF83">
        <v>94.586044311523438</v>
      </c>
      <c r="FG83">
        <v>95.191360473632813</v>
      </c>
      <c r="FH83">
        <v>94.917205810546875</v>
      </c>
      <c r="FI83">
        <v>94.285507202148438</v>
      </c>
      <c r="FJ83">
        <v>92.699760437011719</v>
      </c>
      <c r="FK83">
        <v>90.113319396972656</v>
      </c>
      <c r="FL83">
        <v>87.489219665527344</v>
      </c>
      <c r="FM83">
        <v>82.606666564941406</v>
      </c>
      <c r="FN83">
        <v>79.344894409179688</v>
      </c>
      <c r="FO83">
        <v>77.307693481445313</v>
      </c>
      <c r="FP83">
        <v>75.29144287109375</v>
      </c>
      <c r="FQ83">
        <v>75.586685180664063</v>
      </c>
      <c r="FR83">
        <v>212</v>
      </c>
      <c r="FS83">
        <v>4.0795236825942993E-2</v>
      </c>
      <c r="FT83">
        <v>1</v>
      </c>
    </row>
    <row r="84" spans="1:176" x14ac:dyDescent="0.2">
      <c r="A84" t="s">
        <v>229</v>
      </c>
      <c r="B84" t="s">
        <v>225</v>
      </c>
      <c r="C84" t="s">
        <v>236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0</v>
      </c>
      <c r="EW84">
        <v>0</v>
      </c>
      <c r="EX84">
        <v>0</v>
      </c>
      <c r="EY84">
        <v>0</v>
      </c>
      <c r="EZ84">
        <v>0</v>
      </c>
      <c r="FA84">
        <v>0</v>
      </c>
      <c r="FB84">
        <v>0</v>
      </c>
      <c r="FC84">
        <v>0</v>
      </c>
      <c r="FD84">
        <v>0</v>
      </c>
      <c r="FE84">
        <v>0</v>
      </c>
      <c r="FF84">
        <v>0</v>
      </c>
      <c r="FG84">
        <v>0</v>
      </c>
      <c r="FH84">
        <v>0</v>
      </c>
      <c r="FI84">
        <v>0</v>
      </c>
      <c r="FJ84">
        <v>0</v>
      </c>
      <c r="FK84">
        <v>0</v>
      </c>
      <c r="FL84">
        <v>0</v>
      </c>
      <c r="FM84">
        <v>0</v>
      </c>
      <c r="FN84">
        <v>0</v>
      </c>
      <c r="FO84">
        <v>0</v>
      </c>
      <c r="FP84">
        <v>0</v>
      </c>
      <c r="FQ84">
        <v>0</v>
      </c>
      <c r="FR84">
        <v>0</v>
      </c>
      <c r="FS84">
        <v>0</v>
      </c>
      <c r="FT84">
        <v>0</v>
      </c>
    </row>
    <row r="85" spans="1:176" x14ac:dyDescent="0.2">
      <c r="A85" t="s">
        <v>229</v>
      </c>
      <c r="B85" t="s">
        <v>225</v>
      </c>
      <c r="C85" t="s">
        <v>237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EZ85">
        <v>0</v>
      </c>
      <c r="FA85">
        <v>0</v>
      </c>
      <c r="FB85">
        <v>0</v>
      </c>
      <c r="FC85">
        <v>0</v>
      </c>
      <c r="FD85">
        <v>0</v>
      </c>
      <c r="FE85">
        <v>0</v>
      </c>
      <c r="FF85">
        <v>0</v>
      </c>
      <c r="FG85">
        <v>0</v>
      </c>
      <c r="FH85">
        <v>0</v>
      </c>
      <c r="FI85">
        <v>0</v>
      </c>
      <c r="FJ85">
        <v>0</v>
      </c>
      <c r="FK85">
        <v>0</v>
      </c>
      <c r="FL85">
        <v>0</v>
      </c>
      <c r="FM85">
        <v>0</v>
      </c>
      <c r="FN85">
        <v>0</v>
      </c>
      <c r="FO85">
        <v>0</v>
      </c>
      <c r="FP85">
        <v>0</v>
      </c>
      <c r="FQ85">
        <v>0</v>
      </c>
      <c r="FR85">
        <v>0</v>
      </c>
      <c r="FS85">
        <v>0</v>
      </c>
      <c r="FT85">
        <v>0</v>
      </c>
    </row>
    <row r="86" spans="1:176" x14ac:dyDescent="0.2">
      <c r="A86" t="s">
        <v>229</v>
      </c>
      <c r="B86" t="s">
        <v>225</v>
      </c>
      <c r="C86" t="s">
        <v>238</v>
      </c>
      <c r="D86">
        <v>223</v>
      </c>
      <c r="E86">
        <v>223</v>
      </c>
      <c r="F86">
        <v>19.881629943847656</v>
      </c>
      <c r="G86">
        <v>19.985687255859375</v>
      </c>
      <c r="H86">
        <v>19.823619842529297</v>
      </c>
      <c r="I86">
        <v>19.90257453918457</v>
      </c>
      <c r="J86">
        <v>20.143711090087891</v>
      </c>
      <c r="K86">
        <v>20.899490356445313</v>
      </c>
      <c r="L86">
        <v>21.974128723144531</v>
      </c>
      <c r="M86">
        <v>23.214588165283203</v>
      </c>
      <c r="N86">
        <v>25.13707160949707</v>
      </c>
      <c r="O86">
        <v>25.815671920776367</v>
      </c>
      <c r="P86">
        <v>27.490760803222656</v>
      </c>
      <c r="Q86">
        <v>28.516237258911133</v>
      </c>
      <c r="R86">
        <v>29.051511764526367</v>
      </c>
      <c r="S86">
        <v>29.57194709777832</v>
      </c>
      <c r="T86">
        <v>29.720632553100586</v>
      </c>
      <c r="U86">
        <v>30.196920394897461</v>
      </c>
      <c r="V86">
        <v>30.941089630126953</v>
      </c>
      <c r="W86">
        <v>30.961843490600586</v>
      </c>
      <c r="X86">
        <v>31.226787567138672</v>
      </c>
      <c r="Y86">
        <v>30.635993957519531</v>
      </c>
      <c r="Z86">
        <v>29.989269256591797</v>
      </c>
      <c r="AA86">
        <v>27.237335205078125</v>
      </c>
      <c r="AB86">
        <v>23.761865615844727</v>
      </c>
      <c r="AC86">
        <v>21.941389083862305</v>
      </c>
      <c r="AD86">
        <v>-1.6937187910079956</v>
      </c>
      <c r="AE86">
        <v>-1.3561450242996216</v>
      </c>
      <c r="AF86">
        <v>-1.6496883630752563</v>
      </c>
      <c r="AG86">
        <v>-1.1765129566192627</v>
      </c>
      <c r="AH86">
        <v>-0.80994373559951782</v>
      </c>
      <c r="AI86">
        <v>-0.45784351229667664</v>
      </c>
      <c r="AJ86">
        <v>-5.539274588227272E-2</v>
      </c>
      <c r="AK86">
        <v>-0.66596692800521851</v>
      </c>
      <c r="AL86">
        <v>-1.2295767068862915</v>
      </c>
      <c r="AM86">
        <v>-1.4017249345779419</v>
      </c>
      <c r="AN86">
        <v>-1.0280190706253052</v>
      </c>
      <c r="AO86">
        <v>-1.0206249952316284</v>
      </c>
      <c r="AP86">
        <v>0.98377871513366699</v>
      </c>
      <c r="AQ86">
        <v>10.906360626220703</v>
      </c>
      <c r="AR86">
        <v>10.604887962341309</v>
      </c>
      <c r="AS86">
        <v>3.31217360496521</v>
      </c>
      <c r="AT86">
        <v>-0.47933238744735718</v>
      </c>
      <c r="AU86">
        <v>-1.2500393390655518</v>
      </c>
      <c r="AV86">
        <v>-1.2246438264846802</v>
      </c>
      <c r="AW86">
        <v>-1.5629560947418213</v>
      </c>
      <c r="AX86">
        <v>-1.6716065406799316</v>
      </c>
      <c r="AY86">
        <v>-1.4509190320968628</v>
      </c>
      <c r="AZ86">
        <v>-1.4028277397155762</v>
      </c>
      <c r="BA86">
        <v>-1.7500574588775635</v>
      </c>
      <c r="BB86">
        <v>-1.0952345132827759</v>
      </c>
      <c r="BC86">
        <v>-0.7668689489364624</v>
      </c>
      <c r="BD86">
        <v>-1.0801554918289185</v>
      </c>
      <c r="BE86">
        <v>-0.61879962682723999</v>
      </c>
      <c r="BF86">
        <v>-0.26155081391334534</v>
      </c>
      <c r="BG86">
        <v>8.4476940333843231E-2</v>
      </c>
      <c r="BH86">
        <v>0.49050968885421753</v>
      </c>
      <c r="BI86">
        <v>-5.2618514746427536E-2</v>
      </c>
      <c r="BJ86">
        <v>-0.51330476999282837</v>
      </c>
      <c r="BK86">
        <v>-0.62733662128448486</v>
      </c>
      <c r="BL86">
        <v>-0.22809462249279022</v>
      </c>
      <c r="BM86">
        <v>-0.19688014686107635</v>
      </c>
      <c r="BN86">
        <v>1.8162244558334351</v>
      </c>
      <c r="BO86">
        <v>11.752651214599609</v>
      </c>
      <c r="BP86">
        <v>11.491844177246094</v>
      </c>
      <c r="BQ86">
        <v>4.2014713287353516</v>
      </c>
      <c r="BR86">
        <v>0.42217329144477844</v>
      </c>
      <c r="BS86">
        <v>-0.37568384408950806</v>
      </c>
      <c r="BT86">
        <v>-0.37200826406478882</v>
      </c>
      <c r="BU86">
        <v>-0.7583351731300354</v>
      </c>
      <c r="BV86">
        <v>-0.85907608270645142</v>
      </c>
      <c r="BW86">
        <v>-0.65022563934326172</v>
      </c>
      <c r="BX86">
        <v>-0.57068848609924316</v>
      </c>
      <c r="BY86">
        <v>-0.94141322374343872</v>
      </c>
      <c r="BZ86">
        <v>-0.68072617053985596</v>
      </c>
      <c r="CA86">
        <v>-0.35873812437057495</v>
      </c>
      <c r="CB86">
        <v>-0.68569868803024292</v>
      </c>
      <c r="CC86">
        <v>-0.23252902925014496</v>
      </c>
      <c r="CD86">
        <v>0.11826444417238235</v>
      </c>
      <c r="CE86">
        <v>0.46008643507957458</v>
      </c>
      <c r="CF86">
        <v>0.86860007047653198</v>
      </c>
      <c r="CG86">
        <v>0.37218472361564636</v>
      </c>
      <c r="CH86">
        <v>-1.7216980457305908E-2</v>
      </c>
      <c r="CI86">
        <v>-9.0997688472270966E-2</v>
      </c>
      <c r="CJ86">
        <v>0.32593062520027161</v>
      </c>
      <c r="CK86">
        <v>0.37364301085472107</v>
      </c>
      <c r="CL86">
        <v>2.3927738666534424</v>
      </c>
      <c r="CM86">
        <v>12.338788986206055</v>
      </c>
      <c r="CN86">
        <v>12.106146812438965</v>
      </c>
      <c r="CO86">
        <v>4.8173961639404297</v>
      </c>
      <c r="CP86">
        <v>1.046553373336792</v>
      </c>
      <c r="CQ86">
        <v>0.2298920750617981</v>
      </c>
      <c r="CR86">
        <v>0.21852457523345947</v>
      </c>
      <c r="CS86">
        <v>-0.20105718076229095</v>
      </c>
      <c r="CT86">
        <v>-0.29631999135017395</v>
      </c>
      <c r="CU86">
        <v>-9.5667846500873566E-2</v>
      </c>
      <c r="CV86">
        <v>5.6486898101866245E-3</v>
      </c>
      <c r="CW86">
        <v>-0.38134869933128357</v>
      </c>
      <c r="CX86">
        <v>-0.26621779799461365</v>
      </c>
      <c r="CY86">
        <v>4.9392692744731903E-2</v>
      </c>
      <c r="CZ86">
        <v>-0.29124194383621216</v>
      </c>
      <c r="DA86">
        <v>0.15374156832695007</v>
      </c>
      <c r="DB86">
        <v>0.49807971715927124</v>
      </c>
      <c r="DC86">
        <v>0.83569592237472534</v>
      </c>
      <c r="DD86">
        <v>1.2466903924942017</v>
      </c>
      <c r="DE86">
        <v>0.79698795080184937</v>
      </c>
      <c r="DF86">
        <v>0.47887080907821655</v>
      </c>
      <c r="DG86">
        <v>0.44534125924110413</v>
      </c>
      <c r="DH86">
        <v>0.87995588779449463</v>
      </c>
      <c r="DI86">
        <v>0.94416618347167969</v>
      </c>
      <c r="DJ86">
        <v>2.9693231582641602</v>
      </c>
      <c r="DK86">
        <v>12.9249267578125</v>
      </c>
      <c r="DL86">
        <v>12.720449447631836</v>
      </c>
      <c r="DM86">
        <v>5.4333209991455078</v>
      </c>
      <c r="DN86">
        <v>1.6709334850311279</v>
      </c>
      <c r="DO86">
        <v>0.83546799421310425</v>
      </c>
      <c r="DP86">
        <v>0.80905741453170776</v>
      </c>
      <c r="DQ86">
        <v>0.35622081160545349</v>
      </c>
      <c r="DR86">
        <v>0.2664361298084259</v>
      </c>
      <c r="DS86">
        <v>0.45888996124267578</v>
      </c>
      <c r="DT86">
        <v>0.58198583126068115</v>
      </c>
      <c r="DU86">
        <v>0.17871583998203278</v>
      </c>
      <c r="DV86">
        <v>0.33226644992828369</v>
      </c>
      <c r="DW86">
        <v>0.63866877555847168</v>
      </c>
      <c r="DX86">
        <v>0.27829098701477051</v>
      </c>
      <c r="DY86">
        <v>0.71145492792129517</v>
      </c>
      <c r="DZ86">
        <v>1.0464726686477661</v>
      </c>
      <c r="EA86">
        <v>1.3780163526535034</v>
      </c>
      <c r="EB86">
        <v>1.7925928831100464</v>
      </c>
      <c r="EC86">
        <v>1.4103363752365112</v>
      </c>
      <c r="ED86">
        <v>1.1951427459716797</v>
      </c>
      <c r="EE86">
        <v>1.2197295427322388</v>
      </c>
      <c r="EF86">
        <v>1.6798803806304932</v>
      </c>
      <c r="EG86">
        <v>1.7679109573364258</v>
      </c>
      <c r="EH86">
        <v>3.8017690181732178</v>
      </c>
      <c r="EI86">
        <v>13.771217346191406</v>
      </c>
      <c r="EJ86">
        <v>13.607405662536621</v>
      </c>
      <c r="EK86">
        <v>6.3226189613342285</v>
      </c>
      <c r="EL86">
        <v>2.5724391937255859</v>
      </c>
      <c r="EM86">
        <v>1.7098234891891479</v>
      </c>
      <c r="EN86">
        <v>1.6616929769515991</v>
      </c>
      <c r="EO86">
        <v>1.160841703414917</v>
      </c>
      <c r="EP86">
        <v>1.0789666175842285</v>
      </c>
      <c r="EQ86">
        <v>1.2595833539962769</v>
      </c>
      <c r="ER86">
        <v>1.4141252040863037</v>
      </c>
      <c r="ES86">
        <v>0.98736006021499634</v>
      </c>
      <c r="ET86">
        <v>71.661125183105469</v>
      </c>
      <c r="EU86">
        <v>70.166000366210938</v>
      </c>
      <c r="EV86">
        <v>68.643119812011719</v>
      </c>
      <c r="EW86">
        <v>67.6434326171875</v>
      </c>
      <c r="EX86">
        <v>67.5244140625</v>
      </c>
      <c r="EY86">
        <v>68.815162658691406</v>
      </c>
      <c r="EZ86">
        <v>72.776329040527344</v>
      </c>
      <c r="FA86">
        <v>76.085105895996094</v>
      </c>
      <c r="FB86">
        <v>78.390289306640625</v>
      </c>
      <c r="FC86">
        <v>81.09564208984375</v>
      </c>
      <c r="FD86">
        <v>84.0567626953125</v>
      </c>
      <c r="FE86">
        <v>86.544441223144531</v>
      </c>
      <c r="FF86">
        <v>87.534355163574219</v>
      </c>
      <c r="FG86">
        <v>85.880813598632813</v>
      </c>
      <c r="FH86">
        <v>86.146842956542969</v>
      </c>
      <c r="FI86">
        <v>87.087471008300781</v>
      </c>
      <c r="FJ86">
        <v>87.387771606445312</v>
      </c>
      <c r="FK86">
        <v>86.253852844238281</v>
      </c>
      <c r="FL86">
        <v>84.614700317382813</v>
      </c>
      <c r="FM86">
        <v>81.484886169433594</v>
      </c>
      <c r="FN86">
        <v>79.631813049316406</v>
      </c>
      <c r="FO86">
        <v>79.591194152832031</v>
      </c>
      <c r="FP86">
        <v>76.842514038085937</v>
      </c>
      <c r="FQ86">
        <v>75.501335144042969</v>
      </c>
      <c r="FR86">
        <v>223</v>
      </c>
      <c r="FS86">
        <v>3.4686554223299026E-2</v>
      </c>
      <c r="FT86">
        <v>1</v>
      </c>
    </row>
    <row r="87" spans="1:176" x14ac:dyDescent="0.2">
      <c r="A87" t="s">
        <v>229</v>
      </c>
      <c r="B87" t="s">
        <v>225</v>
      </c>
      <c r="C87" t="s">
        <v>239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EZ87">
        <v>0</v>
      </c>
      <c r="FA87">
        <v>0</v>
      </c>
      <c r="FB87">
        <v>0</v>
      </c>
      <c r="FC87">
        <v>0</v>
      </c>
      <c r="FD87">
        <v>0</v>
      </c>
      <c r="FE87">
        <v>0</v>
      </c>
      <c r="FF87">
        <v>0</v>
      </c>
      <c r="FG87">
        <v>0</v>
      </c>
      <c r="FH87">
        <v>0</v>
      </c>
      <c r="FI87">
        <v>0</v>
      </c>
      <c r="FJ87">
        <v>0</v>
      </c>
      <c r="FK87">
        <v>0</v>
      </c>
      <c r="FL87">
        <v>0</v>
      </c>
      <c r="FM87">
        <v>0</v>
      </c>
      <c r="FN87">
        <v>0</v>
      </c>
      <c r="FO87">
        <v>0</v>
      </c>
      <c r="FP87">
        <v>0</v>
      </c>
      <c r="FQ87">
        <v>0</v>
      </c>
      <c r="FR87">
        <v>0</v>
      </c>
      <c r="FS87">
        <v>0</v>
      </c>
      <c r="FT87">
        <v>0</v>
      </c>
    </row>
    <row r="88" spans="1:176" x14ac:dyDescent="0.2">
      <c r="A88" t="s">
        <v>229</v>
      </c>
      <c r="B88" t="s">
        <v>225</v>
      </c>
      <c r="C88" t="s">
        <v>240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0</v>
      </c>
      <c r="DZ88">
        <v>0</v>
      </c>
      <c r="EA88">
        <v>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EZ88">
        <v>0</v>
      </c>
      <c r="FA88">
        <v>0</v>
      </c>
      <c r="FB88">
        <v>0</v>
      </c>
      <c r="FC88">
        <v>0</v>
      </c>
      <c r="FD88">
        <v>0</v>
      </c>
      <c r="FE88">
        <v>0</v>
      </c>
      <c r="FF88">
        <v>0</v>
      </c>
      <c r="FG88">
        <v>0</v>
      </c>
      <c r="FH88">
        <v>0</v>
      </c>
      <c r="FI88">
        <v>0</v>
      </c>
      <c r="FJ88">
        <v>0</v>
      </c>
      <c r="FK88">
        <v>0</v>
      </c>
      <c r="FL88">
        <v>0</v>
      </c>
      <c r="FM88">
        <v>0</v>
      </c>
      <c r="FN88">
        <v>0</v>
      </c>
      <c r="FO88">
        <v>0</v>
      </c>
      <c r="FP88">
        <v>0</v>
      </c>
      <c r="FQ88">
        <v>0</v>
      </c>
      <c r="FR88">
        <v>0</v>
      </c>
      <c r="FS88">
        <v>0</v>
      </c>
      <c r="FT88">
        <v>0</v>
      </c>
    </row>
    <row r="89" spans="1:176" x14ac:dyDescent="0.2">
      <c r="A89" t="s">
        <v>229</v>
      </c>
      <c r="B89" t="s">
        <v>225</v>
      </c>
      <c r="C89" t="s">
        <v>241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0</v>
      </c>
      <c r="EY89">
        <v>0</v>
      </c>
      <c r="EZ89">
        <v>0</v>
      </c>
      <c r="FA89">
        <v>0</v>
      </c>
      <c r="FB89">
        <v>0</v>
      </c>
      <c r="FC89">
        <v>0</v>
      </c>
      <c r="FD89">
        <v>0</v>
      </c>
      <c r="FE89">
        <v>0</v>
      </c>
      <c r="FF89">
        <v>0</v>
      </c>
      <c r="FG89">
        <v>0</v>
      </c>
      <c r="FH89">
        <v>0</v>
      </c>
      <c r="FI89">
        <v>0</v>
      </c>
      <c r="FJ89">
        <v>0</v>
      </c>
      <c r="FK89">
        <v>0</v>
      </c>
      <c r="FL89">
        <v>0</v>
      </c>
      <c r="FM89">
        <v>0</v>
      </c>
      <c r="FN89">
        <v>0</v>
      </c>
      <c r="FO89">
        <v>0</v>
      </c>
      <c r="FP89">
        <v>0</v>
      </c>
      <c r="FQ89">
        <v>0</v>
      </c>
      <c r="FR89">
        <v>0</v>
      </c>
      <c r="FS89">
        <v>0</v>
      </c>
      <c r="FT89">
        <v>0</v>
      </c>
    </row>
    <row r="90" spans="1:176" x14ac:dyDescent="0.2">
      <c r="A90" t="s">
        <v>229</v>
      </c>
      <c r="B90" t="s">
        <v>225</v>
      </c>
      <c r="C90" t="s">
        <v>242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EZ90">
        <v>0</v>
      </c>
      <c r="FA90">
        <v>0</v>
      </c>
      <c r="FB90">
        <v>0</v>
      </c>
      <c r="FC90">
        <v>0</v>
      </c>
      <c r="FD90">
        <v>0</v>
      </c>
      <c r="FE90">
        <v>0</v>
      </c>
      <c r="FF90">
        <v>0</v>
      </c>
      <c r="FG90">
        <v>0</v>
      </c>
      <c r="FH90">
        <v>0</v>
      </c>
      <c r="FI90">
        <v>0</v>
      </c>
      <c r="FJ90">
        <v>0</v>
      </c>
      <c r="FK90">
        <v>0</v>
      </c>
      <c r="FL90">
        <v>0</v>
      </c>
      <c r="FM90">
        <v>0</v>
      </c>
      <c r="FN90">
        <v>0</v>
      </c>
      <c r="FO90">
        <v>0</v>
      </c>
      <c r="FP90">
        <v>0</v>
      </c>
      <c r="FQ90">
        <v>0</v>
      </c>
      <c r="FR90">
        <v>0</v>
      </c>
      <c r="FS90">
        <v>0</v>
      </c>
      <c r="FT90">
        <v>0</v>
      </c>
    </row>
    <row r="91" spans="1:176" x14ac:dyDescent="0.2">
      <c r="A91" t="s">
        <v>229</v>
      </c>
      <c r="B91" t="s">
        <v>225</v>
      </c>
      <c r="C91" t="s">
        <v>243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0</v>
      </c>
      <c r="EZ91">
        <v>0</v>
      </c>
      <c r="FA91">
        <v>0</v>
      </c>
      <c r="FB91">
        <v>0</v>
      </c>
      <c r="FC91">
        <v>0</v>
      </c>
      <c r="FD91">
        <v>0</v>
      </c>
      <c r="FE91">
        <v>0</v>
      </c>
      <c r="FF91">
        <v>0</v>
      </c>
      <c r="FG91">
        <v>0</v>
      </c>
      <c r="FH91">
        <v>0</v>
      </c>
      <c r="FI91">
        <v>0</v>
      </c>
      <c r="FJ91">
        <v>0</v>
      </c>
      <c r="FK91">
        <v>0</v>
      </c>
      <c r="FL91">
        <v>0</v>
      </c>
      <c r="FM91">
        <v>0</v>
      </c>
      <c r="FN91">
        <v>0</v>
      </c>
      <c r="FO91">
        <v>0</v>
      </c>
      <c r="FP91">
        <v>0</v>
      </c>
      <c r="FQ91">
        <v>0</v>
      </c>
      <c r="FR91">
        <v>0</v>
      </c>
      <c r="FS91">
        <v>0</v>
      </c>
      <c r="FT91">
        <v>0</v>
      </c>
    </row>
    <row r="92" spans="1:176" x14ac:dyDescent="0.2">
      <c r="A92" t="s">
        <v>229</v>
      </c>
      <c r="B92" t="s">
        <v>225</v>
      </c>
      <c r="C92" t="s">
        <v>2</v>
      </c>
      <c r="D92">
        <v>212</v>
      </c>
      <c r="E92">
        <v>212</v>
      </c>
      <c r="F92">
        <v>19.134397506713867</v>
      </c>
      <c r="G92">
        <v>18.789806365966797</v>
      </c>
      <c r="H92">
        <v>18.582216262817383</v>
      </c>
      <c r="I92">
        <v>18.702152252197266</v>
      </c>
      <c r="J92">
        <v>18.821374893188477</v>
      </c>
      <c r="K92">
        <v>19.171127319335938</v>
      </c>
      <c r="L92">
        <v>20.144428253173828</v>
      </c>
      <c r="M92">
        <v>21.245241165161133</v>
      </c>
      <c r="N92">
        <v>22.932748794555664</v>
      </c>
      <c r="O92">
        <v>23.272867202758789</v>
      </c>
      <c r="P92">
        <v>25.148187637329102</v>
      </c>
      <c r="Q92">
        <v>25.889511108398438</v>
      </c>
      <c r="R92">
        <v>26.32496452331543</v>
      </c>
      <c r="S92">
        <v>26.923025131225586</v>
      </c>
      <c r="T92">
        <v>27.372900009155273</v>
      </c>
      <c r="U92">
        <v>27.377201080322266</v>
      </c>
      <c r="V92">
        <v>27.830656051635742</v>
      </c>
      <c r="W92">
        <v>28.125907897949219</v>
      </c>
      <c r="X92">
        <v>28.566303253173828</v>
      </c>
      <c r="Y92">
        <v>29.055644989013672</v>
      </c>
      <c r="Z92">
        <v>28.309959411621094</v>
      </c>
      <c r="AA92">
        <v>25.066865921020508</v>
      </c>
      <c r="AB92">
        <v>21.79852294921875</v>
      </c>
      <c r="AC92">
        <v>19.830038070678711</v>
      </c>
      <c r="AD92">
        <v>-1.7624397277832031</v>
      </c>
      <c r="AE92">
        <v>-1.9472740888595581</v>
      </c>
      <c r="AF92">
        <v>-1.9681217670440674</v>
      </c>
      <c r="AG92">
        <v>-1.5179704427719116</v>
      </c>
      <c r="AH92">
        <v>-1.2487506866455078</v>
      </c>
      <c r="AI92">
        <v>-1.2593822479248047</v>
      </c>
      <c r="AJ92">
        <v>-1.0893630981445313</v>
      </c>
      <c r="AK92">
        <v>-1.2322453260421753</v>
      </c>
      <c r="AL92">
        <v>-0.59414410591125488</v>
      </c>
      <c r="AM92">
        <v>-0.68826907873153687</v>
      </c>
      <c r="AN92">
        <v>-0.31428655982017517</v>
      </c>
      <c r="AO92">
        <v>-0.44469025731086731</v>
      </c>
      <c r="AP92">
        <v>-0.98444753885269165</v>
      </c>
      <c r="AQ92">
        <v>1.0658888816833496</v>
      </c>
      <c r="AR92">
        <v>9.7481718063354492</v>
      </c>
      <c r="AS92">
        <v>9.1601848602294922</v>
      </c>
      <c r="AT92">
        <v>8.7204132080078125</v>
      </c>
      <c r="AU92">
        <v>8.2161722183227539</v>
      </c>
      <c r="AV92">
        <v>0.77954715490341187</v>
      </c>
      <c r="AW92">
        <v>-0.98014825582504272</v>
      </c>
      <c r="AX92">
        <v>-0.95263081789016724</v>
      </c>
      <c r="AY92">
        <v>-0.9719536304473877</v>
      </c>
      <c r="AZ92">
        <v>-1.4994519948959351</v>
      </c>
      <c r="BA92">
        <v>-1.631614089012146</v>
      </c>
      <c r="BB92">
        <v>-1.1595962047576904</v>
      </c>
      <c r="BC92">
        <v>-1.3598493337631226</v>
      </c>
      <c r="BD92">
        <v>-1.3659206628799438</v>
      </c>
      <c r="BE92">
        <v>-0.90771341323852539</v>
      </c>
      <c r="BF92">
        <v>-0.62436014413833618</v>
      </c>
      <c r="BG92">
        <v>-0.6272088885307312</v>
      </c>
      <c r="BH92">
        <v>-0.42419776320457458</v>
      </c>
      <c r="BI92">
        <v>-0.54937970638275146</v>
      </c>
      <c r="BJ92">
        <v>0.15771958231925964</v>
      </c>
      <c r="BK92">
        <v>5.070158839225769E-2</v>
      </c>
      <c r="BL92">
        <v>0.45845004916191101</v>
      </c>
      <c r="BM92">
        <v>0.36909183859825134</v>
      </c>
      <c r="BN92">
        <v>-0.12933827936649323</v>
      </c>
      <c r="BO92">
        <v>1.9355366230010986</v>
      </c>
      <c r="BP92">
        <v>10.631191253662109</v>
      </c>
      <c r="BQ92">
        <v>10.08201789855957</v>
      </c>
      <c r="BR92">
        <v>9.642146110534668</v>
      </c>
      <c r="BS92">
        <v>9.1164951324462891</v>
      </c>
      <c r="BT92">
        <v>1.6598645448684692</v>
      </c>
      <c r="BU92">
        <v>-0.10851157456636429</v>
      </c>
      <c r="BV92">
        <v>-7.3542594909667969E-2</v>
      </c>
      <c r="BW92">
        <v>-0.12186397612094879</v>
      </c>
      <c r="BX92">
        <v>-0.64522188901901245</v>
      </c>
      <c r="BY92">
        <v>-0.80900460481643677</v>
      </c>
      <c r="BZ92">
        <v>-0.74206870794296265</v>
      </c>
      <c r="CA92">
        <v>-0.95300072431564331</v>
      </c>
      <c r="CB92">
        <v>-0.9488379955291748</v>
      </c>
      <c r="CC92">
        <v>-0.48505121469497681</v>
      </c>
      <c r="CD92">
        <v>-0.19190919399261475</v>
      </c>
      <c r="CE92">
        <v>-0.18936753273010254</v>
      </c>
      <c r="CF92">
        <v>3.6493729799985886E-2</v>
      </c>
      <c r="CG92">
        <v>-7.6429128646850586E-2</v>
      </c>
      <c r="CH92">
        <v>0.67845809459686279</v>
      </c>
      <c r="CI92">
        <v>0.56251043081283569</v>
      </c>
      <c r="CJ92">
        <v>0.9936450719833374</v>
      </c>
      <c r="CK92">
        <v>0.93271481990814209</v>
      </c>
      <c r="CL92">
        <v>0.46290779113769531</v>
      </c>
      <c r="CM92">
        <v>2.5378520488739014</v>
      </c>
      <c r="CN92">
        <v>11.242767333984375</v>
      </c>
      <c r="CO92">
        <v>10.720477104187012</v>
      </c>
      <c r="CP92">
        <v>10.280535697937012</v>
      </c>
      <c r="CQ92">
        <v>9.7400550842285156</v>
      </c>
      <c r="CR92">
        <v>2.2695696353912354</v>
      </c>
      <c r="CS92">
        <v>0.49518132209777832</v>
      </c>
      <c r="CT92">
        <v>0.53531122207641602</v>
      </c>
      <c r="CU92">
        <v>0.46690553426742554</v>
      </c>
      <c r="CV92">
        <v>-5.3584691137075424E-2</v>
      </c>
      <c r="CW92">
        <v>-0.23926779627799988</v>
      </c>
      <c r="CX92">
        <v>-0.32454115152359009</v>
      </c>
      <c r="CY92">
        <v>-0.54615211486816406</v>
      </c>
      <c r="CZ92">
        <v>-0.53175532817840576</v>
      </c>
      <c r="DA92">
        <v>-6.2389031052589417E-2</v>
      </c>
      <c r="DB92">
        <v>0.24054177105426788</v>
      </c>
      <c r="DC92">
        <v>0.24847380816936493</v>
      </c>
      <c r="DD92">
        <v>0.49718523025512695</v>
      </c>
      <c r="DE92">
        <v>0.39652147889137268</v>
      </c>
      <c r="DF92">
        <v>1.1991965770721436</v>
      </c>
      <c r="DG92">
        <v>1.0743192434310913</v>
      </c>
      <c r="DH92">
        <v>1.5288400650024414</v>
      </c>
      <c r="DI92">
        <v>1.4963377714157104</v>
      </c>
      <c r="DJ92">
        <v>1.0551538467407227</v>
      </c>
      <c r="DK92">
        <v>3.1401674747467041</v>
      </c>
      <c r="DL92">
        <v>11.854343414306641</v>
      </c>
      <c r="DM92">
        <v>11.358936309814453</v>
      </c>
      <c r="DN92">
        <v>10.918925285339355</v>
      </c>
      <c r="DO92">
        <v>10.363615036010742</v>
      </c>
      <c r="DP92">
        <v>2.879274845123291</v>
      </c>
      <c r="DQ92">
        <v>1.0988742113113403</v>
      </c>
      <c r="DR92">
        <v>1.1441650390625</v>
      </c>
      <c r="DS92">
        <v>1.0556750297546387</v>
      </c>
      <c r="DT92">
        <v>0.53805249929428101</v>
      </c>
      <c r="DU92">
        <v>0.33046901226043701</v>
      </c>
      <c r="DV92">
        <v>0.27830231189727783</v>
      </c>
      <c r="DW92">
        <v>4.1272647678852081E-2</v>
      </c>
      <c r="DX92">
        <v>7.0445738732814789E-2</v>
      </c>
      <c r="DY92">
        <v>0.54786801338195801</v>
      </c>
      <c r="DZ92">
        <v>0.86493229866027832</v>
      </c>
      <c r="EA92">
        <v>0.88064718246459961</v>
      </c>
      <c r="EB92">
        <v>1.1623505353927612</v>
      </c>
      <c r="EC92">
        <v>1.0793870687484741</v>
      </c>
      <c r="ED92">
        <v>1.9510602951049805</v>
      </c>
      <c r="EE92">
        <v>1.813289999961853</v>
      </c>
      <c r="EF92">
        <v>2.3015766143798828</v>
      </c>
      <c r="EG92">
        <v>2.3101198673248291</v>
      </c>
      <c r="EH92">
        <v>1.9102631807327271</v>
      </c>
      <c r="EI92">
        <v>4.0098152160644531</v>
      </c>
      <c r="EJ92">
        <v>12.737362861633301</v>
      </c>
      <c r="EK92">
        <v>12.280769348144531</v>
      </c>
      <c r="EL92">
        <v>11.840658187866211</v>
      </c>
      <c r="EM92">
        <v>11.263937950134277</v>
      </c>
      <c r="EN92">
        <v>3.7595920562744141</v>
      </c>
      <c r="EO92">
        <v>1.9705108404159546</v>
      </c>
      <c r="EP92">
        <v>2.0232532024383545</v>
      </c>
      <c r="EQ92">
        <v>1.9057646989822388</v>
      </c>
      <c r="ER92">
        <v>1.3922826051712036</v>
      </c>
      <c r="ES92">
        <v>1.1530784368515015</v>
      </c>
      <c r="ET92">
        <v>69.5821533203125</v>
      </c>
      <c r="EU92">
        <v>68.380836486816406</v>
      </c>
      <c r="EV92">
        <v>65.527290344238281</v>
      </c>
      <c r="EW92">
        <v>66.137649536132813</v>
      </c>
      <c r="EX92">
        <v>66.097602844238281</v>
      </c>
      <c r="EY92">
        <v>68.22283935546875</v>
      </c>
      <c r="EZ92">
        <v>72.074615478515625</v>
      </c>
      <c r="FA92">
        <v>77.206565856933594</v>
      </c>
      <c r="FB92">
        <v>81.768913269042969</v>
      </c>
      <c r="FC92">
        <v>86.220268249511719</v>
      </c>
      <c r="FD92">
        <v>89.196159362792969</v>
      </c>
      <c r="FE92">
        <v>91.867408752441406</v>
      </c>
      <c r="FF92">
        <v>93.613265991210937</v>
      </c>
      <c r="FG92">
        <v>94.879837036132813</v>
      </c>
      <c r="FH92">
        <v>95.384765625</v>
      </c>
      <c r="FI92">
        <v>93.670372009277344</v>
      </c>
      <c r="FJ92">
        <v>92.607444763183594</v>
      </c>
      <c r="FK92">
        <v>90.234756469726563</v>
      </c>
      <c r="FL92">
        <v>87.452117919921875</v>
      </c>
      <c r="FM92">
        <v>81.737739562988281</v>
      </c>
      <c r="FN92">
        <v>76.94403076171875</v>
      </c>
      <c r="FO92">
        <v>75.035064697265625</v>
      </c>
      <c r="FP92">
        <v>70.900772094726563</v>
      </c>
      <c r="FQ92">
        <v>72.679100036621094</v>
      </c>
      <c r="FR92">
        <v>70.666666666666671</v>
      </c>
      <c r="FS92">
        <v>1.421646773815155E-2</v>
      </c>
      <c r="FT92">
        <v>1</v>
      </c>
    </row>
    <row r="93" spans="1:176" x14ac:dyDescent="0.2">
      <c r="A93" t="s">
        <v>229</v>
      </c>
      <c r="B93" t="s">
        <v>226</v>
      </c>
      <c r="C93" t="s">
        <v>244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0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0</v>
      </c>
      <c r="EO93">
        <v>0</v>
      </c>
      <c r="EP93">
        <v>0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EZ93">
        <v>0</v>
      </c>
      <c r="FA93">
        <v>0</v>
      </c>
      <c r="FB93">
        <v>0</v>
      </c>
      <c r="FC93">
        <v>0</v>
      </c>
      <c r="FD93">
        <v>0</v>
      </c>
      <c r="FE93">
        <v>0</v>
      </c>
      <c r="FF93">
        <v>0</v>
      </c>
      <c r="FG93">
        <v>0</v>
      </c>
      <c r="FH93">
        <v>0</v>
      </c>
      <c r="FI93">
        <v>0</v>
      </c>
      <c r="FJ93">
        <v>0</v>
      </c>
      <c r="FK93">
        <v>0</v>
      </c>
      <c r="FL93">
        <v>0</v>
      </c>
      <c r="FM93">
        <v>0</v>
      </c>
      <c r="FN93">
        <v>0</v>
      </c>
      <c r="FO93">
        <v>0</v>
      </c>
      <c r="FP93">
        <v>0</v>
      </c>
      <c r="FQ93">
        <v>0</v>
      </c>
      <c r="FR93">
        <v>95</v>
      </c>
      <c r="FS93">
        <v>0.35583579540252686</v>
      </c>
      <c r="FT93">
        <v>0</v>
      </c>
    </row>
    <row r="94" spans="1:176" x14ac:dyDescent="0.2">
      <c r="A94" t="s">
        <v>229</v>
      </c>
      <c r="B94" t="s">
        <v>226</v>
      </c>
      <c r="C94" t="s">
        <v>233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0</v>
      </c>
      <c r="EO94">
        <v>0</v>
      </c>
      <c r="EP94">
        <v>0</v>
      </c>
      <c r="EQ94">
        <v>0</v>
      </c>
      <c r="ER94">
        <v>0</v>
      </c>
      <c r="ES94">
        <v>0</v>
      </c>
      <c r="ET94">
        <v>0</v>
      </c>
      <c r="EU94">
        <v>0</v>
      </c>
      <c r="EV94">
        <v>0</v>
      </c>
      <c r="EW94">
        <v>0</v>
      </c>
      <c r="EX94">
        <v>0</v>
      </c>
      <c r="EY94">
        <v>0</v>
      </c>
      <c r="EZ94">
        <v>0</v>
      </c>
      <c r="FA94">
        <v>0</v>
      </c>
      <c r="FB94">
        <v>0</v>
      </c>
      <c r="FC94">
        <v>0</v>
      </c>
      <c r="FD94">
        <v>0</v>
      </c>
      <c r="FE94">
        <v>0</v>
      </c>
      <c r="FF94">
        <v>0</v>
      </c>
      <c r="FG94">
        <v>0</v>
      </c>
      <c r="FH94">
        <v>0</v>
      </c>
      <c r="FI94">
        <v>0</v>
      </c>
      <c r="FJ94">
        <v>0</v>
      </c>
      <c r="FK94">
        <v>0</v>
      </c>
      <c r="FL94">
        <v>0</v>
      </c>
      <c r="FM94">
        <v>0</v>
      </c>
      <c r="FN94">
        <v>0</v>
      </c>
      <c r="FO94">
        <v>0</v>
      </c>
      <c r="FP94">
        <v>0</v>
      </c>
      <c r="FQ94">
        <v>0</v>
      </c>
      <c r="FR94">
        <v>0</v>
      </c>
      <c r="FS94">
        <v>0</v>
      </c>
      <c r="FT94">
        <v>0</v>
      </c>
    </row>
    <row r="95" spans="1:176" x14ac:dyDescent="0.2">
      <c r="A95" t="s">
        <v>229</v>
      </c>
      <c r="B95" t="s">
        <v>226</v>
      </c>
      <c r="C95" t="s">
        <v>234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N95">
        <v>0</v>
      </c>
      <c r="EO95">
        <v>0</v>
      </c>
      <c r="EP95">
        <v>0</v>
      </c>
      <c r="EQ95">
        <v>0</v>
      </c>
      <c r="ER95">
        <v>0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0</v>
      </c>
      <c r="FA95">
        <v>0</v>
      </c>
      <c r="FB95">
        <v>0</v>
      </c>
      <c r="FC95">
        <v>0</v>
      </c>
      <c r="FD95">
        <v>0</v>
      </c>
      <c r="FE95">
        <v>0</v>
      </c>
      <c r="FF95">
        <v>0</v>
      </c>
      <c r="FG95">
        <v>0</v>
      </c>
      <c r="FH95">
        <v>0</v>
      </c>
      <c r="FI95">
        <v>0</v>
      </c>
      <c r="FJ95">
        <v>0</v>
      </c>
      <c r="FK95">
        <v>0</v>
      </c>
      <c r="FL95">
        <v>0</v>
      </c>
      <c r="FM95">
        <v>0</v>
      </c>
      <c r="FN95">
        <v>0</v>
      </c>
      <c r="FO95">
        <v>0</v>
      </c>
      <c r="FP95">
        <v>0</v>
      </c>
      <c r="FQ95">
        <v>0</v>
      </c>
      <c r="FR95">
        <v>0</v>
      </c>
      <c r="FS95">
        <v>0</v>
      </c>
      <c r="FT95">
        <v>0</v>
      </c>
    </row>
    <row r="96" spans="1:176" x14ac:dyDescent="0.2">
      <c r="A96" t="s">
        <v>229</v>
      </c>
      <c r="B96" t="s">
        <v>226</v>
      </c>
      <c r="C96" t="s">
        <v>235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0</v>
      </c>
      <c r="EA96">
        <v>0</v>
      </c>
      <c r="EB96">
        <v>0</v>
      </c>
      <c r="EC96">
        <v>0</v>
      </c>
      <c r="ED96">
        <v>0</v>
      </c>
      <c r="EE96">
        <v>0</v>
      </c>
      <c r="EF96">
        <v>0</v>
      </c>
      <c r="EG96">
        <v>0</v>
      </c>
      <c r="EH96">
        <v>0</v>
      </c>
      <c r="EI96">
        <v>0</v>
      </c>
      <c r="EJ96">
        <v>0</v>
      </c>
      <c r="EK96">
        <v>0</v>
      </c>
      <c r="EL96">
        <v>0</v>
      </c>
      <c r="EM96">
        <v>0</v>
      </c>
      <c r="EN96">
        <v>0</v>
      </c>
      <c r="EO96">
        <v>0</v>
      </c>
      <c r="EP96">
        <v>0</v>
      </c>
      <c r="EQ96">
        <v>0</v>
      </c>
      <c r="ER96">
        <v>0</v>
      </c>
      <c r="ES96">
        <v>0</v>
      </c>
      <c r="ET96">
        <v>0</v>
      </c>
      <c r="EU96">
        <v>0</v>
      </c>
      <c r="EV96">
        <v>0</v>
      </c>
      <c r="EW96">
        <v>0</v>
      </c>
      <c r="EX96">
        <v>0</v>
      </c>
      <c r="EY96">
        <v>0</v>
      </c>
      <c r="EZ96">
        <v>0</v>
      </c>
      <c r="FA96">
        <v>0</v>
      </c>
      <c r="FB96">
        <v>0</v>
      </c>
      <c r="FC96">
        <v>0</v>
      </c>
      <c r="FD96">
        <v>0</v>
      </c>
      <c r="FE96">
        <v>0</v>
      </c>
      <c r="FF96">
        <v>0</v>
      </c>
      <c r="FG96">
        <v>0</v>
      </c>
      <c r="FH96">
        <v>0</v>
      </c>
      <c r="FI96">
        <v>0</v>
      </c>
      <c r="FJ96">
        <v>0</v>
      </c>
      <c r="FK96">
        <v>0</v>
      </c>
      <c r="FL96">
        <v>0</v>
      </c>
      <c r="FM96">
        <v>0</v>
      </c>
      <c r="FN96">
        <v>0</v>
      </c>
      <c r="FO96">
        <v>0</v>
      </c>
      <c r="FP96">
        <v>0</v>
      </c>
      <c r="FQ96">
        <v>0</v>
      </c>
      <c r="FR96">
        <v>0</v>
      </c>
      <c r="FS96">
        <v>0</v>
      </c>
      <c r="FT96">
        <v>0</v>
      </c>
    </row>
    <row r="97" spans="1:176" x14ac:dyDescent="0.2">
      <c r="A97" t="s">
        <v>229</v>
      </c>
      <c r="B97" t="s">
        <v>226</v>
      </c>
      <c r="C97" t="s">
        <v>236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0</v>
      </c>
      <c r="EA97">
        <v>0</v>
      </c>
      <c r="EB97">
        <v>0</v>
      </c>
      <c r="EC97">
        <v>0</v>
      </c>
      <c r="ED97">
        <v>0</v>
      </c>
      <c r="EE97">
        <v>0</v>
      </c>
      <c r="EF97">
        <v>0</v>
      </c>
      <c r="EG97">
        <v>0</v>
      </c>
      <c r="EH97">
        <v>0</v>
      </c>
      <c r="EI97">
        <v>0</v>
      </c>
      <c r="EJ97">
        <v>0</v>
      </c>
      <c r="EK97">
        <v>0</v>
      </c>
      <c r="EL97">
        <v>0</v>
      </c>
      <c r="EM97">
        <v>0</v>
      </c>
      <c r="EN97">
        <v>0</v>
      </c>
      <c r="EO97">
        <v>0</v>
      </c>
      <c r="EP97">
        <v>0</v>
      </c>
      <c r="EQ97">
        <v>0</v>
      </c>
      <c r="ER97">
        <v>0</v>
      </c>
      <c r="ES97">
        <v>0</v>
      </c>
      <c r="ET97">
        <v>0</v>
      </c>
      <c r="EU97">
        <v>0</v>
      </c>
      <c r="EV97">
        <v>0</v>
      </c>
      <c r="EW97">
        <v>0</v>
      </c>
      <c r="EX97">
        <v>0</v>
      </c>
      <c r="EY97">
        <v>0</v>
      </c>
      <c r="EZ97">
        <v>0</v>
      </c>
      <c r="FA97">
        <v>0</v>
      </c>
      <c r="FB97">
        <v>0</v>
      </c>
      <c r="FC97">
        <v>0</v>
      </c>
      <c r="FD97">
        <v>0</v>
      </c>
      <c r="FE97">
        <v>0</v>
      </c>
      <c r="FF97">
        <v>0</v>
      </c>
      <c r="FG97">
        <v>0</v>
      </c>
      <c r="FH97">
        <v>0</v>
      </c>
      <c r="FI97">
        <v>0</v>
      </c>
      <c r="FJ97">
        <v>0</v>
      </c>
      <c r="FK97">
        <v>0</v>
      </c>
      <c r="FL97">
        <v>0</v>
      </c>
      <c r="FM97">
        <v>0</v>
      </c>
      <c r="FN97">
        <v>0</v>
      </c>
      <c r="FO97">
        <v>0</v>
      </c>
      <c r="FP97">
        <v>0</v>
      </c>
      <c r="FQ97">
        <v>0</v>
      </c>
      <c r="FR97">
        <v>137</v>
      </c>
      <c r="FS97">
        <v>0.2696349024772644</v>
      </c>
      <c r="FT97">
        <v>0</v>
      </c>
    </row>
    <row r="98" spans="1:176" x14ac:dyDescent="0.2">
      <c r="A98" t="s">
        <v>229</v>
      </c>
      <c r="B98" t="s">
        <v>226</v>
      </c>
      <c r="C98" t="s">
        <v>237</v>
      </c>
      <c r="D98">
        <v>141</v>
      </c>
      <c r="E98">
        <v>181</v>
      </c>
      <c r="F98">
        <v>16.403797149658203</v>
      </c>
      <c r="G98">
        <v>16.047222137451172</v>
      </c>
      <c r="H98">
        <v>15.913154602050781</v>
      </c>
      <c r="I98">
        <v>15.676319122314453</v>
      </c>
      <c r="J98">
        <v>16.156591415405273</v>
      </c>
      <c r="K98">
        <v>17.014610290527344</v>
      </c>
      <c r="L98">
        <v>18.837907791137695</v>
      </c>
      <c r="M98">
        <v>19.620754241943359</v>
      </c>
      <c r="N98">
        <v>20.106063842773438</v>
      </c>
      <c r="O98">
        <v>20.214054107666016</v>
      </c>
      <c r="P98">
        <v>20.776260375976563</v>
      </c>
      <c r="Q98">
        <v>20.548725128173828</v>
      </c>
      <c r="R98">
        <v>20.837783813476563</v>
      </c>
      <c r="S98">
        <v>20.895383834838867</v>
      </c>
      <c r="T98">
        <v>20.512882232666016</v>
      </c>
      <c r="U98">
        <v>20.232339859008789</v>
      </c>
      <c r="V98">
        <v>19.843589782714844</v>
      </c>
      <c r="W98">
        <v>19.088985443115234</v>
      </c>
      <c r="X98">
        <v>18.970571517944336</v>
      </c>
      <c r="Y98">
        <v>18.794118881225586</v>
      </c>
      <c r="Z98">
        <v>18.729801177978516</v>
      </c>
      <c r="AA98">
        <v>18.059850692749023</v>
      </c>
      <c r="AB98">
        <v>17.579807281494141</v>
      </c>
      <c r="AC98">
        <v>16.845779418945313</v>
      </c>
      <c r="AD98">
        <v>-1.2106029987335205</v>
      </c>
      <c r="AE98">
        <v>-1.1639827489852905</v>
      </c>
      <c r="AF98">
        <v>-1.1067553758621216</v>
      </c>
      <c r="AG98">
        <v>-0.87781882286071777</v>
      </c>
      <c r="AH98">
        <v>-0.62779104709625244</v>
      </c>
      <c r="AI98">
        <v>-0.32657289505004883</v>
      </c>
      <c r="AJ98">
        <v>-0.56612223386764526</v>
      </c>
      <c r="AK98">
        <v>-0.83473622798919678</v>
      </c>
      <c r="AL98">
        <v>-1.2252299785614014</v>
      </c>
      <c r="AM98">
        <v>-1.2861469984054565</v>
      </c>
      <c r="AN98">
        <v>-1.675423264503479</v>
      </c>
      <c r="AO98">
        <v>-1.87876296043396</v>
      </c>
      <c r="AP98">
        <v>-1.9791793823242188</v>
      </c>
      <c r="AQ98">
        <v>-0.12041984498500824</v>
      </c>
      <c r="AR98">
        <v>7.6231613159179687</v>
      </c>
      <c r="AS98">
        <v>6.9260196685791016</v>
      </c>
      <c r="AT98">
        <v>1.4199666976928711</v>
      </c>
      <c r="AU98">
        <v>-1.6738166809082031</v>
      </c>
      <c r="AV98">
        <v>-2.82364821434021</v>
      </c>
      <c r="AW98">
        <v>-2.8759431838989258</v>
      </c>
      <c r="AX98">
        <v>-2.7623341083526611</v>
      </c>
      <c r="AY98">
        <v>-2.7024028301239014</v>
      </c>
      <c r="AZ98">
        <v>-2.5981450080871582</v>
      </c>
      <c r="BA98">
        <v>-2.581453800201416</v>
      </c>
      <c r="BB98">
        <v>-0.59346848726272583</v>
      </c>
      <c r="BC98">
        <v>-0.56929153203964233</v>
      </c>
      <c r="BD98">
        <v>-0.5347486138343811</v>
      </c>
      <c r="BE98">
        <v>-0.31223481893539429</v>
      </c>
      <c r="BF98">
        <v>-6.6307179629802704E-2</v>
      </c>
      <c r="BG98">
        <v>0.23571173846721649</v>
      </c>
      <c r="BH98">
        <v>1.9501326605677605E-2</v>
      </c>
      <c r="BI98">
        <v>-0.20702537894248962</v>
      </c>
      <c r="BJ98">
        <v>-0.55024182796478271</v>
      </c>
      <c r="BK98">
        <v>-0.52253967523574829</v>
      </c>
      <c r="BL98">
        <v>-0.87587845325469971</v>
      </c>
      <c r="BM98">
        <v>-1.0646438598632813</v>
      </c>
      <c r="BN98">
        <v>-1.1490142345428467</v>
      </c>
      <c r="BO98">
        <v>0.70686584711074829</v>
      </c>
      <c r="BP98">
        <v>8.4532318115234375</v>
      </c>
      <c r="BQ98">
        <v>7.7968950271606445</v>
      </c>
      <c r="BR98">
        <v>2.3069350719451904</v>
      </c>
      <c r="BS98">
        <v>-0.77633357048034668</v>
      </c>
      <c r="BT98">
        <v>-1.944222092628479</v>
      </c>
      <c r="BU98">
        <v>-2.0157232284545898</v>
      </c>
      <c r="BV98">
        <v>-1.9393788576126099</v>
      </c>
      <c r="BW98">
        <v>-1.895372748374939</v>
      </c>
      <c r="BX98">
        <v>-1.8098015785217285</v>
      </c>
      <c r="BY98">
        <v>-1.7943794727325439</v>
      </c>
      <c r="BZ98">
        <v>-0.16604302823543549</v>
      </c>
      <c r="CA98">
        <v>-0.1574101448059082</v>
      </c>
      <c r="CB98">
        <v>-0.13857845962047577</v>
      </c>
      <c r="CC98">
        <v>7.94869065284729E-2</v>
      </c>
      <c r="CD98">
        <v>0.32257485389709473</v>
      </c>
      <c r="CE98">
        <v>0.62514835596084595</v>
      </c>
      <c r="CF98">
        <v>0.42510241270065308</v>
      </c>
      <c r="CG98">
        <v>0.22772523760795593</v>
      </c>
      <c r="CH98">
        <v>-8.2747146487236023E-2</v>
      </c>
      <c r="CI98">
        <v>6.332427728921175E-3</v>
      </c>
      <c r="CJ98">
        <v>-0.32211613655090332</v>
      </c>
      <c r="CK98">
        <v>-0.50078755617141724</v>
      </c>
      <c r="CL98">
        <v>-0.57404434680938721</v>
      </c>
      <c r="CM98">
        <v>1.279841423034668</v>
      </c>
      <c r="CN98">
        <v>9.0281352996826172</v>
      </c>
      <c r="CO98">
        <v>8.4000606536865234</v>
      </c>
      <c r="CP98">
        <v>2.9212465286254883</v>
      </c>
      <c r="CQ98">
        <v>-0.15473943948745728</v>
      </c>
      <c r="CR98">
        <v>-1.3351342678070068</v>
      </c>
      <c r="CS98">
        <v>-1.4199376106262207</v>
      </c>
      <c r="CT98">
        <v>-1.3694026470184326</v>
      </c>
      <c r="CU98">
        <v>-1.3364260196685791</v>
      </c>
      <c r="CV98">
        <v>-1.263797402381897</v>
      </c>
      <c r="CW98">
        <v>-1.2492541074752808</v>
      </c>
      <c r="CX98">
        <v>0.26138246059417725</v>
      </c>
      <c r="CY98">
        <v>0.25447121262550354</v>
      </c>
      <c r="CZ98">
        <v>0.25759166479110718</v>
      </c>
      <c r="DA98">
        <v>0.47120863199234009</v>
      </c>
      <c r="DB98">
        <v>0.71145689487457275</v>
      </c>
      <c r="DC98">
        <v>1.014585018157959</v>
      </c>
      <c r="DD98">
        <v>0.8307034969329834</v>
      </c>
      <c r="DE98">
        <v>0.66247588396072388</v>
      </c>
      <c r="DF98">
        <v>0.38474756479263306</v>
      </c>
      <c r="DG98">
        <v>0.53520452976226807</v>
      </c>
      <c r="DH98">
        <v>0.23164618015289307</v>
      </c>
      <c r="DI98">
        <v>6.3068799674510956E-2</v>
      </c>
      <c r="DJ98">
        <v>9.2551577836275101E-4</v>
      </c>
      <c r="DK98">
        <v>1.8528169393539429</v>
      </c>
      <c r="DL98">
        <v>9.6030387878417969</v>
      </c>
      <c r="DM98">
        <v>9.0032262802124023</v>
      </c>
      <c r="DN98">
        <v>3.5355579853057861</v>
      </c>
      <c r="DO98">
        <v>0.46685466170310974</v>
      </c>
      <c r="DP98">
        <v>-0.72604644298553467</v>
      </c>
      <c r="DQ98">
        <v>-0.82415193319320679</v>
      </c>
      <c r="DR98">
        <v>-0.79942643642425537</v>
      </c>
      <c r="DS98">
        <v>-0.77747935056686401</v>
      </c>
      <c r="DT98">
        <v>-0.71779316663742065</v>
      </c>
      <c r="DU98">
        <v>-0.70412880182266235</v>
      </c>
      <c r="DV98">
        <v>0.87851697206497192</v>
      </c>
      <c r="DW98">
        <v>0.8491625189781189</v>
      </c>
      <c r="DX98">
        <v>0.82959842681884766</v>
      </c>
      <c r="DY98">
        <v>1.0367926359176636</v>
      </c>
      <c r="DZ98">
        <v>1.2729407548904419</v>
      </c>
      <c r="EA98">
        <v>1.5768696069717407</v>
      </c>
      <c r="EB98">
        <v>1.4163269996643066</v>
      </c>
      <c r="EC98">
        <v>1.2901867628097534</v>
      </c>
      <c r="ED98">
        <v>1.0597356557846069</v>
      </c>
      <c r="EE98">
        <v>1.2988117933273315</v>
      </c>
      <c r="EF98">
        <v>1.0311909914016724</v>
      </c>
      <c r="EG98">
        <v>0.87718778848648071</v>
      </c>
      <c r="EH98">
        <v>0.83109068870544434</v>
      </c>
      <c r="EI98">
        <v>2.6801025867462158</v>
      </c>
      <c r="EJ98">
        <v>10.433109283447266</v>
      </c>
      <c r="EK98">
        <v>9.8741016387939453</v>
      </c>
      <c r="EL98">
        <v>4.4225263595581055</v>
      </c>
      <c r="EM98">
        <v>1.3643378019332886</v>
      </c>
      <c r="EN98">
        <v>0.15337958931922913</v>
      </c>
      <c r="EO98">
        <v>3.6068025976419449E-2</v>
      </c>
      <c r="EP98">
        <v>2.3528730496764183E-2</v>
      </c>
      <c r="EQ98">
        <v>2.9550878331065178E-2</v>
      </c>
      <c r="ER98">
        <v>7.0550166070461273E-2</v>
      </c>
      <c r="ES98">
        <v>8.2945629954338074E-2</v>
      </c>
      <c r="ET98">
        <v>72.438804626464844</v>
      </c>
      <c r="EU98">
        <v>70.703720092773437</v>
      </c>
      <c r="EV98">
        <v>69.495277404785156</v>
      </c>
      <c r="EW98">
        <v>68.446182250976562</v>
      </c>
      <c r="EX98">
        <v>66.728424072265625</v>
      </c>
      <c r="EY98">
        <v>66.160591125488281</v>
      </c>
      <c r="EZ98">
        <v>67.658775329589844</v>
      </c>
      <c r="FA98">
        <v>69.634185791015625</v>
      </c>
      <c r="FB98">
        <v>72.370025634765625</v>
      </c>
      <c r="FC98">
        <v>74.685050964355469</v>
      </c>
      <c r="FD98">
        <v>78.284423828125</v>
      </c>
      <c r="FE98">
        <v>81.442985534667969</v>
      </c>
      <c r="FF98">
        <v>82.255630493164063</v>
      </c>
      <c r="FG98">
        <v>82.812904357910156</v>
      </c>
      <c r="FH98">
        <v>82.994644165039063</v>
      </c>
      <c r="FI98">
        <v>83.088241577148438</v>
      </c>
      <c r="FJ98">
        <v>82.698165893554687</v>
      </c>
      <c r="FK98">
        <v>81.454582214355469</v>
      </c>
      <c r="FL98">
        <v>79.346519470214844</v>
      </c>
      <c r="FM98">
        <v>76.76715087890625</v>
      </c>
      <c r="FN98">
        <v>74.276847839355469</v>
      </c>
      <c r="FO98">
        <v>73.651374816894531</v>
      </c>
      <c r="FP98">
        <v>72.093772888183594</v>
      </c>
      <c r="FQ98">
        <v>69.879302978515625</v>
      </c>
      <c r="FR98">
        <v>141</v>
      </c>
      <c r="FS98">
        <v>3.891855850815773E-2</v>
      </c>
      <c r="FT98">
        <v>1</v>
      </c>
    </row>
    <row r="99" spans="1:176" x14ac:dyDescent="0.2">
      <c r="A99" t="s">
        <v>229</v>
      </c>
      <c r="B99" t="s">
        <v>226</v>
      </c>
      <c r="C99" t="s">
        <v>238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0</v>
      </c>
      <c r="DZ99">
        <v>0</v>
      </c>
      <c r="EA99">
        <v>0</v>
      </c>
      <c r="EB99">
        <v>0</v>
      </c>
      <c r="EC99">
        <v>0</v>
      </c>
      <c r="ED99">
        <v>0</v>
      </c>
      <c r="EE99">
        <v>0</v>
      </c>
      <c r="EF99">
        <v>0</v>
      </c>
      <c r="EG99">
        <v>0</v>
      </c>
      <c r="EH99">
        <v>0</v>
      </c>
      <c r="EI99">
        <v>0</v>
      </c>
      <c r="EJ99">
        <v>0</v>
      </c>
      <c r="EK99">
        <v>0</v>
      </c>
      <c r="EL99">
        <v>0</v>
      </c>
      <c r="EM99">
        <v>0</v>
      </c>
      <c r="EN99">
        <v>0</v>
      </c>
      <c r="EO99">
        <v>0</v>
      </c>
      <c r="EP99">
        <v>0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EY99">
        <v>0</v>
      </c>
      <c r="EZ99">
        <v>0</v>
      </c>
      <c r="FA99">
        <v>0</v>
      </c>
      <c r="FB99">
        <v>0</v>
      </c>
      <c r="FC99">
        <v>0</v>
      </c>
      <c r="FD99">
        <v>0</v>
      </c>
      <c r="FE99">
        <v>0</v>
      </c>
      <c r="FF99">
        <v>0</v>
      </c>
      <c r="FG99">
        <v>0</v>
      </c>
      <c r="FH99">
        <v>0</v>
      </c>
      <c r="FI99">
        <v>0</v>
      </c>
      <c r="FJ99">
        <v>0</v>
      </c>
      <c r="FK99">
        <v>0</v>
      </c>
      <c r="FL99">
        <v>0</v>
      </c>
      <c r="FM99">
        <v>0</v>
      </c>
      <c r="FN99">
        <v>0</v>
      </c>
      <c r="FO99">
        <v>0</v>
      </c>
      <c r="FP99">
        <v>0</v>
      </c>
      <c r="FQ99">
        <v>0</v>
      </c>
      <c r="FR99">
        <v>0</v>
      </c>
      <c r="FS99">
        <v>0</v>
      </c>
      <c r="FT99">
        <v>0</v>
      </c>
    </row>
    <row r="100" spans="1:176" x14ac:dyDescent="0.2">
      <c r="A100" t="s">
        <v>229</v>
      </c>
      <c r="B100" t="s">
        <v>226</v>
      </c>
      <c r="C100" t="s">
        <v>239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N100">
        <v>0</v>
      </c>
      <c r="EO100">
        <v>0</v>
      </c>
      <c r="EP100">
        <v>0</v>
      </c>
      <c r="EQ100">
        <v>0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0</v>
      </c>
      <c r="EX100">
        <v>0</v>
      </c>
      <c r="EY100">
        <v>0</v>
      </c>
      <c r="EZ100">
        <v>0</v>
      </c>
      <c r="FA100">
        <v>0</v>
      </c>
      <c r="FB100">
        <v>0</v>
      </c>
      <c r="FC100">
        <v>0</v>
      </c>
      <c r="FD100">
        <v>0</v>
      </c>
      <c r="FE100">
        <v>0</v>
      </c>
      <c r="FF100">
        <v>0</v>
      </c>
      <c r="FG100">
        <v>0</v>
      </c>
      <c r="FH100">
        <v>0</v>
      </c>
      <c r="FI100">
        <v>0</v>
      </c>
      <c r="FJ100">
        <v>0</v>
      </c>
      <c r="FK100">
        <v>0</v>
      </c>
      <c r="FL100">
        <v>0</v>
      </c>
      <c r="FM100">
        <v>0</v>
      </c>
      <c r="FN100">
        <v>0</v>
      </c>
      <c r="FO100">
        <v>0</v>
      </c>
      <c r="FP100">
        <v>0</v>
      </c>
      <c r="FQ100">
        <v>0</v>
      </c>
      <c r="FR100">
        <v>186</v>
      </c>
      <c r="FS100">
        <v>0.22538137435913086</v>
      </c>
      <c r="FT100">
        <v>0</v>
      </c>
    </row>
    <row r="101" spans="1:176" x14ac:dyDescent="0.2">
      <c r="A101" t="s">
        <v>229</v>
      </c>
      <c r="B101" t="s">
        <v>226</v>
      </c>
      <c r="C101" t="s">
        <v>240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N101">
        <v>0</v>
      </c>
      <c r="EO101">
        <v>0</v>
      </c>
      <c r="EP101">
        <v>0</v>
      </c>
      <c r="EQ101">
        <v>0</v>
      </c>
      <c r="ER101">
        <v>0</v>
      </c>
      <c r="ES101">
        <v>0</v>
      </c>
      <c r="ET101">
        <v>0</v>
      </c>
      <c r="EU101">
        <v>0</v>
      </c>
      <c r="EV101">
        <v>0</v>
      </c>
      <c r="EW101">
        <v>0</v>
      </c>
      <c r="EX101">
        <v>0</v>
      </c>
      <c r="EY101">
        <v>0</v>
      </c>
      <c r="EZ101">
        <v>0</v>
      </c>
      <c r="FA101">
        <v>0</v>
      </c>
      <c r="FB101">
        <v>0</v>
      </c>
      <c r="FC101">
        <v>0</v>
      </c>
      <c r="FD101">
        <v>0</v>
      </c>
      <c r="FE101">
        <v>0</v>
      </c>
      <c r="FF101">
        <v>0</v>
      </c>
      <c r="FG101">
        <v>0</v>
      </c>
      <c r="FH101">
        <v>0</v>
      </c>
      <c r="FI101">
        <v>0</v>
      </c>
      <c r="FJ101">
        <v>0</v>
      </c>
      <c r="FK101">
        <v>0</v>
      </c>
      <c r="FL101">
        <v>0</v>
      </c>
      <c r="FM101">
        <v>0</v>
      </c>
      <c r="FN101">
        <v>0</v>
      </c>
      <c r="FO101">
        <v>0</v>
      </c>
      <c r="FP101">
        <v>0</v>
      </c>
      <c r="FQ101">
        <v>0</v>
      </c>
      <c r="FR101">
        <v>191</v>
      </c>
      <c r="FS101">
        <v>0.22680595517158508</v>
      </c>
      <c r="FT101">
        <v>0</v>
      </c>
    </row>
    <row r="102" spans="1:176" x14ac:dyDescent="0.2">
      <c r="A102" t="s">
        <v>229</v>
      </c>
      <c r="B102" t="s">
        <v>226</v>
      </c>
      <c r="C102" t="s">
        <v>241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N102">
        <v>0</v>
      </c>
      <c r="EO102">
        <v>0</v>
      </c>
      <c r="EP102">
        <v>0</v>
      </c>
      <c r="EQ102">
        <v>0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0</v>
      </c>
      <c r="EX102">
        <v>0</v>
      </c>
      <c r="EY102">
        <v>0</v>
      </c>
      <c r="EZ102">
        <v>0</v>
      </c>
      <c r="FA102">
        <v>0</v>
      </c>
      <c r="FB102">
        <v>0</v>
      </c>
      <c r="FC102">
        <v>0</v>
      </c>
      <c r="FD102">
        <v>0</v>
      </c>
      <c r="FE102">
        <v>0</v>
      </c>
      <c r="FF102">
        <v>0</v>
      </c>
      <c r="FG102">
        <v>0</v>
      </c>
      <c r="FH102">
        <v>0</v>
      </c>
      <c r="FI102">
        <v>0</v>
      </c>
      <c r="FJ102">
        <v>0</v>
      </c>
      <c r="FK102">
        <v>0</v>
      </c>
      <c r="FL102">
        <v>0</v>
      </c>
      <c r="FM102">
        <v>0</v>
      </c>
      <c r="FN102">
        <v>0</v>
      </c>
      <c r="FO102">
        <v>0</v>
      </c>
      <c r="FP102">
        <v>0</v>
      </c>
      <c r="FQ102">
        <v>0</v>
      </c>
      <c r="FR102">
        <v>191</v>
      </c>
      <c r="FS102">
        <v>0.22862185537815094</v>
      </c>
      <c r="FT102">
        <v>0</v>
      </c>
    </row>
    <row r="103" spans="1:176" x14ac:dyDescent="0.2">
      <c r="A103" t="s">
        <v>229</v>
      </c>
      <c r="B103" t="s">
        <v>226</v>
      </c>
      <c r="C103" t="s">
        <v>242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N103">
        <v>0</v>
      </c>
      <c r="EO103">
        <v>0</v>
      </c>
      <c r="EP103">
        <v>0</v>
      </c>
      <c r="EQ103">
        <v>0</v>
      </c>
      <c r="ER103">
        <v>0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EY103">
        <v>0</v>
      </c>
      <c r="EZ103">
        <v>0</v>
      </c>
      <c r="FA103">
        <v>0</v>
      </c>
      <c r="FB103">
        <v>0</v>
      </c>
      <c r="FC103">
        <v>0</v>
      </c>
      <c r="FD103">
        <v>0</v>
      </c>
      <c r="FE103">
        <v>0</v>
      </c>
      <c r="FF103">
        <v>0</v>
      </c>
      <c r="FG103">
        <v>0</v>
      </c>
      <c r="FH103">
        <v>0</v>
      </c>
      <c r="FI103">
        <v>0</v>
      </c>
      <c r="FJ103">
        <v>0</v>
      </c>
      <c r="FK103">
        <v>0</v>
      </c>
      <c r="FL103">
        <v>0</v>
      </c>
      <c r="FM103">
        <v>0</v>
      </c>
      <c r="FN103">
        <v>0</v>
      </c>
      <c r="FO103">
        <v>0</v>
      </c>
      <c r="FP103">
        <v>0</v>
      </c>
      <c r="FQ103">
        <v>0</v>
      </c>
      <c r="FR103">
        <v>190</v>
      </c>
      <c r="FS103">
        <v>0.22938054800033569</v>
      </c>
      <c r="FT103">
        <v>0</v>
      </c>
    </row>
    <row r="104" spans="1:176" x14ac:dyDescent="0.2">
      <c r="A104" t="s">
        <v>229</v>
      </c>
      <c r="B104" t="s">
        <v>226</v>
      </c>
      <c r="C104" t="s">
        <v>243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N104">
        <v>0</v>
      </c>
      <c r="EO104">
        <v>0</v>
      </c>
      <c r="EP104">
        <v>0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EY104">
        <v>0</v>
      </c>
      <c r="EZ104">
        <v>0</v>
      </c>
      <c r="FA104">
        <v>0</v>
      </c>
      <c r="FB104">
        <v>0</v>
      </c>
      <c r="FC104">
        <v>0</v>
      </c>
      <c r="FD104">
        <v>0</v>
      </c>
      <c r="FE104">
        <v>0</v>
      </c>
      <c r="FF104">
        <v>0</v>
      </c>
      <c r="FG104">
        <v>0</v>
      </c>
      <c r="FH104">
        <v>0</v>
      </c>
      <c r="FI104">
        <v>0</v>
      </c>
      <c r="FJ104">
        <v>0</v>
      </c>
      <c r="FK104">
        <v>0</v>
      </c>
      <c r="FL104">
        <v>0</v>
      </c>
      <c r="FM104">
        <v>0</v>
      </c>
      <c r="FN104">
        <v>0</v>
      </c>
      <c r="FO104">
        <v>0</v>
      </c>
      <c r="FP104">
        <v>0</v>
      </c>
      <c r="FQ104">
        <v>0</v>
      </c>
      <c r="FR104">
        <v>190</v>
      </c>
      <c r="FS104">
        <v>0.22523848712444305</v>
      </c>
      <c r="FT104">
        <v>0</v>
      </c>
    </row>
    <row r="105" spans="1:176" x14ac:dyDescent="0.2">
      <c r="A105" t="s">
        <v>229</v>
      </c>
      <c r="B105" t="s">
        <v>226</v>
      </c>
      <c r="C105" t="s">
        <v>2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N105">
        <v>0</v>
      </c>
      <c r="EO105">
        <v>0</v>
      </c>
      <c r="EP105">
        <v>0</v>
      </c>
      <c r="EQ105">
        <v>0</v>
      </c>
      <c r="ER105">
        <v>0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EZ105">
        <v>0</v>
      </c>
      <c r="FA105">
        <v>0</v>
      </c>
      <c r="FB105">
        <v>0</v>
      </c>
      <c r="FC105">
        <v>0</v>
      </c>
      <c r="FD105">
        <v>0</v>
      </c>
      <c r="FE105">
        <v>0</v>
      </c>
      <c r="FF105">
        <v>0</v>
      </c>
      <c r="FG105">
        <v>0</v>
      </c>
      <c r="FH105">
        <v>0</v>
      </c>
      <c r="FI105">
        <v>0</v>
      </c>
      <c r="FJ105">
        <v>0</v>
      </c>
      <c r="FK105">
        <v>0</v>
      </c>
      <c r="FL105">
        <v>0</v>
      </c>
      <c r="FM105">
        <v>0</v>
      </c>
      <c r="FN105">
        <v>0</v>
      </c>
      <c r="FO105">
        <v>0</v>
      </c>
      <c r="FP105">
        <v>0</v>
      </c>
      <c r="FQ105">
        <v>0</v>
      </c>
      <c r="FR105">
        <v>107.66666666666667</v>
      </c>
      <c r="FS105">
        <v>0.16500543057918549</v>
      </c>
      <c r="FT105">
        <v>0</v>
      </c>
    </row>
    <row r="328" spans="86:86" x14ac:dyDescent="0.2">
      <c r="CH328" s="58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18</vt:i4>
      </vt:variant>
    </vt:vector>
  </HeadingPairs>
  <TitlesOfParts>
    <vt:vector size="21" baseType="lpstr">
      <vt:lpstr>Table</vt:lpstr>
      <vt:lpstr>Lookups</vt:lpstr>
      <vt:lpstr>Data</vt:lpstr>
      <vt:lpstr>agg_list</vt:lpstr>
      <vt:lpstr>Called</vt:lpstr>
      <vt:lpstr>Criteria</vt:lpstr>
      <vt:lpstr>data</vt:lpstr>
      <vt:lpstr>date</vt:lpstr>
      <vt:lpstr>date_list</vt:lpstr>
      <vt:lpstr>dual_enrol</vt:lpstr>
      <vt:lpstr>dual_enrol_list</vt:lpstr>
      <vt:lpstr>Fillin</vt:lpstr>
      <vt:lpstr>lca</vt:lpstr>
      <vt:lpstr>lca_list</vt:lpstr>
      <vt:lpstr>notice</vt:lpstr>
      <vt:lpstr>notice_list</vt:lpstr>
      <vt:lpstr>pass</vt:lpstr>
      <vt:lpstr>Table!Print_Area</vt:lpstr>
      <vt:lpstr>Result_type</vt:lpstr>
      <vt:lpstr>Result_type_list</vt:lpstr>
      <vt:lpstr>Data!table_for_PGE_CBP_expost_public</vt:lpstr>
    </vt:vector>
  </TitlesOfParts>
  <Company>Christensen Associates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edmchugh</dc:creator>
  <cp:lastModifiedBy>Dan Hansen</cp:lastModifiedBy>
  <cp:lastPrinted>2009-04-03T17:07:33Z</cp:lastPrinted>
  <dcterms:created xsi:type="dcterms:W3CDTF">2009-03-24T17:58:42Z</dcterms:created>
  <dcterms:modified xsi:type="dcterms:W3CDTF">2015-03-26T17:51:49Z</dcterms:modified>
</cp:coreProperties>
</file>