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whack\Limbo\SCE\DBP 2015\ExAnte Protocol Tables\"/>
    </mc:Choice>
  </mc:AlternateContent>
  <bookViews>
    <workbookView xWindow="0" yWindow="75" windowWidth="19035" windowHeight="11760"/>
  </bookViews>
  <sheets>
    <sheet name="Table" sheetId="4" r:id="rId1"/>
    <sheet name="Lookups" sheetId="2" state="hidden" r:id="rId2"/>
    <sheet name="Data" sheetId="1" state="hidden" r:id="rId3"/>
  </sheets>
  <externalReferences>
    <externalReference r:id="rId4"/>
  </externalReferences>
  <definedNames>
    <definedName name="_xlnm._FilterDatabase" localSheetId="2" hidden="1">Data!$A$1:$FX$417</definedName>
    <definedName name="Bid">[1]Lookups!$D$8</definedName>
    <definedName name="_xlnm.Criteria">Lookups!$B$3:$G$4</definedName>
    <definedName name="custgrp">Table!#REF!</definedName>
    <definedName name="custgrp_list">Lookups!$I$4:$I$7</definedName>
    <definedName name="data">Data!$A$1:$FX$417</definedName>
    <definedName name="date">Table!$B$5</definedName>
    <definedName name="Enrollment">Table!$G$3</definedName>
    <definedName name="evt_dates">Lookups!$K$4:$K$16</definedName>
    <definedName name="fcst">Table!$B$8</definedName>
    <definedName name="fcst_year">Lookups!$L$4:$L$4</definedName>
    <definedName name="ind_grp">Table!#REF!</definedName>
    <definedName name="ind_list">Lookups!$O$4:$O$11</definedName>
    <definedName name="lca">Table!$B$7</definedName>
    <definedName name="lca_list">Lookups!#REF!</definedName>
    <definedName name="level">Table!$B$10</definedName>
    <definedName name="level_list">Lookups!$J$4:$J$5</definedName>
    <definedName name="notice">Table!$B$11</definedName>
    <definedName name="notice_list">Lookups!$N$4:$N$5</definedName>
    <definedName name="_xlnm.Print_Area" localSheetId="0">Table!$A$2:$N$34</definedName>
    <definedName name="prog_port">Lookups!$J$3:$J$5</definedName>
    <definedName name="Result_type">Table!$B$4</definedName>
    <definedName name="Result_type_list">Lookups!$I$4:$I$5</definedName>
    <definedName name="Size">Table!#REF!</definedName>
    <definedName name="size_lca_flag">Lookups!$C$39</definedName>
    <definedName name="Size_list">Lookups!$O$4:$O$7</definedName>
    <definedName name="summer">Lookups!$C$37</definedName>
    <definedName name="weath">Table!$B$9</definedName>
    <definedName name="weath_year">Lookups!$M$4:$M$7</definedName>
  </definedNames>
  <calcPr calcId="162913"/>
</workbook>
</file>

<file path=xl/calcChain.xml><?xml version="1.0" encoding="utf-8"?>
<calcChain xmlns="http://schemas.openxmlformats.org/spreadsheetml/2006/main">
  <c r="G4" i="2" l="1"/>
  <c r="B2" i="4" l="1" a="1"/>
  <c r="B2" i="4" s="1"/>
  <c r="B3" i="4" l="1"/>
  <c r="F4" i="2"/>
  <c r="G24" i="2" l="1"/>
  <c r="G25" i="2" s="1"/>
  <c r="G26" i="2" s="1"/>
  <c r="G27" i="2" s="1"/>
  <c r="G28" i="2" s="1"/>
  <c r="G29" i="2" s="1"/>
  <c r="G30" i="2" s="1"/>
  <c r="G31" i="2" s="1"/>
  <c r="G32" i="2" s="1"/>
  <c r="G33" i="2" s="1"/>
  <c r="G34" i="2" s="1"/>
  <c r="G35" i="2" s="1"/>
  <c r="G36" i="2" s="1"/>
  <c r="G37" i="2" s="1"/>
  <c r="G38" i="2" s="1"/>
  <c r="G39" i="2" s="1"/>
  <c r="G40" i="2" s="1"/>
  <c r="G41" i="2" s="1"/>
  <c r="G42" i="2" s="1"/>
  <c r="G43" i="2" s="1"/>
  <c r="G44" i="2" s="1"/>
  <c r="G45" i="2" s="1"/>
  <c r="G46" i="2" s="1"/>
  <c r="J32" i="4" l="1"/>
  <c r="H32" i="4"/>
  <c r="G32" i="4"/>
  <c r="F32" i="4"/>
  <c r="J6" i="4"/>
  <c r="H5" i="4"/>
  <c r="G5" i="4"/>
  <c r="F5" i="4"/>
  <c r="C37" i="2" l="1"/>
  <c r="D4" i="2"/>
  <c r="C4" i="2"/>
  <c r="A1" i="4" s="1"/>
  <c r="B4" i="2"/>
  <c r="E4" i="2"/>
  <c r="G3" i="4" l="1"/>
  <c r="I25" i="2"/>
  <c r="I33" i="2"/>
  <c r="I41" i="2"/>
  <c r="I26" i="2"/>
  <c r="I34" i="2"/>
  <c r="I42" i="2"/>
  <c r="I27" i="2"/>
  <c r="I35" i="2"/>
  <c r="I43" i="2"/>
  <c r="I28" i="2"/>
  <c r="I36" i="2"/>
  <c r="I44" i="2"/>
  <c r="I29" i="2"/>
  <c r="I37" i="2"/>
  <c r="I45" i="2"/>
  <c r="I30" i="2"/>
  <c r="I38" i="2"/>
  <c r="I46" i="2"/>
  <c r="I31" i="2"/>
  <c r="I39" i="2"/>
  <c r="I23" i="2"/>
  <c r="I24" i="2"/>
  <c r="I32" i="2"/>
  <c r="I40" i="2"/>
  <c r="K35" i="4" l="1"/>
  <c r="N35" i="4"/>
  <c r="J35" i="4"/>
  <c r="M35" i="4"/>
  <c r="L35" i="4"/>
  <c r="M31" i="4"/>
  <c r="H31" i="4"/>
  <c r="L31" i="4" s="1"/>
  <c r="K30" i="4"/>
  <c r="F30" i="4"/>
  <c r="J29" i="4"/>
  <c r="N28" i="4"/>
  <c r="S43" i="2" s="1"/>
  <c r="I28" i="4"/>
  <c r="H43" i="2" s="1"/>
  <c r="M43" i="2" s="1"/>
  <c r="N27" i="4"/>
  <c r="S42" i="2" s="1"/>
  <c r="I27" i="4"/>
  <c r="H42" i="2" s="1"/>
  <c r="M42" i="2" s="1"/>
  <c r="M26" i="4"/>
  <c r="R41" i="2" s="1"/>
  <c r="H26" i="4"/>
  <c r="L26" i="4" s="1"/>
  <c r="Q41" i="2" s="1"/>
  <c r="K25" i="4"/>
  <c r="P40" i="2" s="1"/>
  <c r="F25" i="4"/>
  <c r="J24" i="4"/>
  <c r="O39" i="2" s="1"/>
  <c r="F24" i="4"/>
  <c r="J39" i="2" s="1"/>
  <c r="J23" i="4"/>
  <c r="O38" i="2" s="1"/>
  <c r="N22" i="4"/>
  <c r="S37" i="2" s="1"/>
  <c r="I22" i="4"/>
  <c r="H37" i="2" s="1"/>
  <c r="M37" i="2" s="1"/>
  <c r="M21" i="4"/>
  <c r="R36" i="2" s="1"/>
  <c r="H21" i="4"/>
  <c r="L21" i="4" s="1"/>
  <c r="K20" i="4"/>
  <c r="K19" i="4"/>
  <c r="F19" i="4"/>
  <c r="J18" i="4"/>
  <c r="N17" i="4"/>
  <c r="I17" i="4"/>
  <c r="H32" i="2" s="1"/>
  <c r="M16" i="4"/>
  <c r="H16" i="4"/>
  <c r="L16" i="4" s="1"/>
  <c r="M15" i="4"/>
  <c r="H15" i="4"/>
  <c r="L15" i="4" s="1"/>
  <c r="K14" i="4"/>
  <c r="F14" i="4"/>
  <c r="J13" i="4"/>
  <c r="N12" i="4"/>
  <c r="I12" i="4"/>
  <c r="H27" i="2" s="1"/>
  <c r="N11" i="4"/>
  <c r="I11" i="4"/>
  <c r="M10" i="4"/>
  <c r="H10" i="4"/>
  <c r="L10" i="4" s="1"/>
  <c r="K9" i="4"/>
  <c r="F9" i="4"/>
  <c r="J8" i="4"/>
  <c r="F8" i="4"/>
  <c r="J20" i="4"/>
  <c r="N18" i="4"/>
  <c r="M17" i="4"/>
  <c r="H17" i="4"/>
  <c r="L17" i="4" s="1"/>
  <c r="F15" i="4"/>
  <c r="N13" i="4"/>
  <c r="I13" i="4"/>
  <c r="H28" i="2" s="1"/>
  <c r="H12" i="4"/>
  <c r="L12" i="4" s="1"/>
  <c r="H11" i="4"/>
  <c r="L11" i="4" s="1"/>
  <c r="F10" i="4"/>
  <c r="N8" i="4"/>
  <c r="K31" i="4"/>
  <c r="F31" i="4"/>
  <c r="J30" i="4"/>
  <c r="N29" i="4"/>
  <c r="I29" i="4"/>
  <c r="H44" i="2" s="1"/>
  <c r="M28" i="4"/>
  <c r="H28" i="4"/>
  <c r="L28" i="4" s="1"/>
  <c r="M27" i="4"/>
  <c r="R42" i="2" s="1"/>
  <c r="H27" i="4"/>
  <c r="L27" i="4" s="1"/>
  <c r="Q42" i="2" s="1"/>
  <c r="K26" i="4"/>
  <c r="P41" i="2" s="1"/>
  <c r="F26" i="4"/>
  <c r="J25" i="4"/>
  <c r="O40" i="2" s="1"/>
  <c r="N24" i="4"/>
  <c r="S39" i="2" s="1"/>
  <c r="I24" i="4"/>
  <c r="H39" i="2" s="1"/>
  <c r="M39" i="2" s="1"/>
  <c r="N23" i="4"/>
  <c r="S38" i="2" s="1"/>
  <c r="I23" i="4"/>
  <c r="H38" i="2" s="1"/>
  <c r="M38" i="2" s="1"/>
  <c r="M22" i="4"/>
  <c r="R37" i="2" s="1"/>
  <c r="H22" i="4"/>
  <c r="L22" i="4" s="1"/>
  <c r="Q37" i="2" s="1"/>
  <c r="K21" i="4"/>
  <c r="P36" i="2" s="1"/>
  <c r="F21" i="4"/>
  <c r="F20" i="4"/>
  <c r="J19" i="4"/>
  <c r="I18" i="4"/>
  <c r="H33" i="2" s="1"/>
  <c r="K16" i="4"/>
  <c r="K15" i="4"/>
  <c r="J14" i="4"/>
  <c r="M12" i="4"/>
  <c r="M11" i="4"/>
  <c r="K10" i="4"/>
  <c r="J9" i="4"/>
  <c r="I8" i="4"/>
  <c r="H23" i="2" s="1"/>
  <c r="K8" i="4"/>
  <c r="J31" i="4"/>
  <c r="N30" i="4"/>
  <c r="I30" i="4"/>
  <c r="H45" i="2" s="1"/>
  <c r="M29" i="4"/>
  <c r="H29" i="4"/>
  <c r="L29" i="4" s="1"/>
  <c r="K28" i="4"/>
  <c r="P43" i="2" s="1"/>
  <c r="K27" i="4"/>
  <c r="F27" i="4"/>
  <c r="J42" i="2" s="1"/>
  <c r="J26" i="4"/>
  <c r="N25" i="4"/>
  <c r="S40" i="2" s="1"/>
  <c r="I25" i="4"/>
  <c r="H40" i="2" s="1"/>
  <c r="M40" i="2" s="1"/>
  <c r="M24" i="4"/>
  <c r="R39" i="2" s="1"/>
  <c r="H24" i="4"/>
  <c r="L24" i="4" s="1"/>
  <c r="M23" i="4"/>
  <c r="R38" i="2" s="1"/>
  <c r="H23" i="4"/>
  <c r="L23" i="4" s="1"/>
  <c r="Q38" i="2" s="1"/>
  <c r="K22" i="4"/>
  <c r="P37" i="2" s="1"/>
  <c r="F22" i="4"/>
  <c r="J37" i="2" s="1"/>
  <c r="J21" i="4"/>
  <c r="O36" i="2" s="1"/>
  <c r="N20" i="4"/>
  <c r="I20" i="4"/>
  <c r="H35" i="2" s="1"/>
  <c r="N19" i="4"/>
  <c r="I19" i="4"/>
  <c r="H34" i="2" s="1"/>
  <c r="M18" i="4"/>
  <c r="H18" i="4"/>
  <c r="L18" i="4" s="1"/>
  <c r="K17" i="4"/>
  <c r="F17" i="4"/>
  <c r="J16" i="4"/>
  <c r="F16" i="4"/>
  <c r="J15" i="4"/>
  <c r="N14" i="4"/>
  <c r="I14" i="4"/>
  <c r="H29" i="2" s="1"/>
  <c r="M13" i="4"/>
  <c r="H13" i="4"/>
  <c r="L13" i="4" s="1"/>
  <c r="K12" i="4"/>
  <c r="K11" i="4"/>
  <c r="F11" i="4"/>
  <c r="J10" i="4"/>
  <c r="N9" i="4"/>
  <c r="I9" i="4"/>
  <c r="H24" i="2" s="1"/>
  <c r="M8" i="4"/>
  <c r="H8" i="4"/>
  <c r="L8" i="4" s="1"/>
  <c r="N31" i="4"/>
  <c r="I31" i="4"/>
  <c r="H46" i="2" s="1"/>
  <c r="M30" i="4"/>
  <c r="H30" i="4"/>
  <c r="L30" i="4" s="1"/>
  <c r="K29" i="4"/>
  <c r="F29" i="4"/>
  <c r="J28" i="4"/>
  <c r="O43" i="2" s="1"/>
  <c r="F28" i="4"/>
  <c r="J43" i="2" s="1"/>
  <c r="J27" i="4"/>
  <c r="O42" i="2" s="1"/>
  <c r="N26" i="4"/>
  <c r="I26" i="4"/>
  <c r="H41" i="2" s="1"/>
  <c r="M41" i="2" s="1"/>
  <c r="M25" i="4"/>
  <c r="R40" i="2" s="1"/>
  <c r="H25" i="4"/>
  <c r="L25" i="4" s="1"/>
  <c r="Q40" i="2" s="1"/>
  <c r="K24" i="4"/>
  <c r="P39" i="2" s="1"/>
  <c r="K23" i="4"/>
  <c r="P38" i="2" s="1"/>
  <c r="F23" i="4"/>
  <c r="J22" i="4"/>
  <c r="O37" i="2" s="1"/>
  <c r="N21" i="4"/>
  <c r="S36" i="2" s="1"/>
  <c r="I21" i="4"/>
  <c r="H36" i="2" s="1"/>
  <c r="M36" i="2" s="1"/>
  <c r="M20" i="4"/>
  <c r="H20" i="4"/>
  <c r="L20" i="4" s="1"/>
  <c r="M19" i="4"/>
  <c r="H19" i="4"/>
  <c r="L19" i="4" s="1"/>
  <c r="K18" i="4"/>
  <c r="F18" i="4"/>
  <c r="J17" i="4"/>
  <c r="N16" i="4"/>
  <c r="I16" i="4"/>
  <c r="H31" i="2" s="1"/>
  <c r="N15" i="4"/>
  <c r="I15" i="4"/>
  <c r="H30" i="2" s="1"/>
  <c r="M14" i="4"/>
  <c r="H14" i="4"/>
  <c r="L14" i="4" s="1"/>
  <c r="K13" i="4"/>
  <c r="F13" i="4"/>
  <c r="J12" i="4"/>
  <c r="F12" i="4"/>
  <c r="G12" i="4" s="1"/>
  <c r="J11" i="4"/>
  <c r="N10" i="4"/>
  <c r="I10" i="4"/>
  <c r="H25" i="2" s="1"/>
  <c r="M9" i="4"/>
  <c r="H9" i="4"/>
  <c r="L9" i="4" s="1"/>
  <c r="J41" i="2"/>
  <c r="R43" i="2"/>
  <c r="H26" i="2"/>
  <c r="O23" i="2"/>
  <c r="I47" i="2"/>
  <c r="N23" i="2"/>
  <c r="P23" i="2"/>
  <c r="Q23" i="2"/>
  <c r="R23" i="2"/>
  <c r="M23" i="2"/>
  <c r="S23" i="2"/>
  <c r="J23" i="2"/>
  <c r="K23" i="2"/>
  <c r="L23" i="2"/>
  <c r="M29" i="2"/>
  <c r="J29" i="2"/>
  <c r="K29" i="2"/>
  <c r="P29" i="2"/>
  <c r="L29" i="2"/>
  <c r="O29" i="2"/>
  <c r="Q29" i="2"/>
  <c r="N29" i="2"/>
  <c r="R29" i="2"/>
  <c r="S29" i="2"/>
  <c r="Q34" i="2"/>
  <c r="R34" i="2"/>
  <c r="O34" i="2"/>
  <c r="S34" i="2"/>
  <c r="J34" i="2"/>
  <c r="K34" i="2"/>
  <c r="M34" i="2"/>
  <c r="L34" i="2"/>
  <c r="P34" i="2"/>
  <c r="N34" i="2"/>
  <c r="Q30" i="2"/>
  <c r="R30" i="2"/>
  <c r="M30" i="2"/>
  <c r="S30" i="2"/>
  <c r="J30" i="2"/>
  <c r="N30" i="2"/>
  <c r="K30" i="2"/>
  <c r="O30" i="2"/>
  <c r="L30" i="2"/>
  <c r="P30" i="2"/>
  <c r="O35" i="2"/>
  <c r="P35" i="2"/>
  <c r="Q35" i="2"/>
  <c r="R35" i="2"/>
  <c r="S35" i="2"/>
  <c r="N35" i="2"/>
  <c r="J35" i="2"/>
  <c r="M35" i="2"/>
  <c r="K35" i="2"/>
  <c r="L35" i="2"/>
  <c r="Q32" i="2"/>
  <c r="K32" i="2"/>
  <c r="R32" i="2"/>
  <c r="N32" i="2"/>
  <c r="L32" i="2"/>
  <c r="S32" i="2"/>
  <c r="M32" i="2"/>
  <c r="J32" i="2"/>
  <c r="O32" i="2"/>
  <c r="P32" i="2"/>
  <c r="Q45" i="2"/>
  <c r="K45" i="2"/>
  <c r="R45" i="2"/>
  <c r="L45" i="2"/>
  <c r="S45" i="2"/>
  <c r="N45" i="2"/>
  <c r="M45" i="2"/>
  <c r="J45" i="2"/>
  <c r="O45" i="2"/>
  <c r="P45" i="2"/>
  <c r="O27" i="2"/>
  <c r="P27" i="2"/>
  <c r="Q27" i="2"/>
  <c r="R27" i="2"/>
  <c r="S27" i="2"/>
  <c r="M27" i="2"/>
  <c r="N27" i="2"/>
  <c r="K27" i="2"/>
  <c r="L27" i="2"/>
  <c r="J27" i="2"/>
  <c r="S24" i="2"/>
  <c r="M24" i="2"/>
  <c r="Q24" i="2"/>
  <c r="K24" i="2"/>
  <c r="R24" i="2"/>
  <c r="N24" i="2"/>
  <c r="L24" i="2"/>
  <c r="J24" i="2"/>
  <c r="O24" i="2"/>
  <c r="P24" i="2"/>
  <c r="P42" i="2"/>
  <c r="M44" i="2"/>
  <c r="P44" i="2"/>
  <c r="Q44" i="2"/>
  <c r="N44" i="2"/>
  <c r="R44" i="2"/>
  <c r="S44" i="2"/>
  <c r="J44" i="2"/>
  <c r="O44" i="2"/>
  <c r="K44" i="2"/>
  <c r="L44" i="2"/>
  <c r="Q26" i="2"/>
  <c r="R26" i="2"/>
  <c r="O26" i="2"/>
  <c r="S26" i="2"/>
  <c r="M26" i="2"/>
  <c r="K26" i="2"/>
  <c r="L26" i="2"/>
  <c r="J26" i="2"/>
  <c r="P26" i="2"/>
  <c r="N26" i="2"/>
  <c r="L46" i="2"/>
  <c r="O46" i="2"/>
  <c r="N46" i="2"/>
  <c r="K46" i="2"/>
  <c r="P46" i="2"/>
  <c r="M46" i="2"/>
  <c r="Q46" i="2"/>
  <c r="R46" i="2"/>
  <c r="S46" i="2"/>
  <c r="J46" i="2"/>
  <c r="Q28" i="2"/>
  <c r="K28" i="2"/>
  <c r="J28" i="2"/>
  <c r="R28" i="2"/>
  <c r="L28" i="2"/>
  <c r="S28" i="2"/>
  <c r="O28" i="2"/>
  <c r="P28" i="2"/>
  <c r="M28" i="2"/>
  <c r="N28" i="2"/>
  <c r="L33" i="2"/>
  <c r="O33" i="2"/>
  <c r="N33" i="2"/>
  <c r="K33" i="2"/>
  <c r="P33" i="2"/>
  <c r="J33" i="2"/>
  <c r="Q33" i="2"/>
  <c r="M33" i="2"/>
  <c r="R33" i="2"/>
  <c r="S33" i="2"/>
  <c r="N31" i="2"/>
  <c r="M31" i="2"/>
  <c r="P31" i="2"/>
  <c r="J31" i="2"/>
  <c r="Q31" i="2"/>
  <c r="R31" i="2"/>
  <c r="S31" i="2"/>
  <c r="O31" i="2"/>
  <c r="K31" i="2"/>
  <c r="L31" i="2"/>
  <c r="O41" i="2"/>
  <c r="S41" i="2"/>
  <c r="Q43" i="2"/>
  <c r="L43" i="2"/>
  <c r="L25" i="2"/>
  <c r="O25" i="2"/>
  <c r="N25" i="2"/>
  <c r="K25" i="2"/>
  <c r="P25" i="2"/>
  <c r="M25" i="2"/>
  <c r="Q25" i="2"/>
  <c r="R25" i="2"/>
  <c r="J25" i="2"/>
  <c r="S25" i="2"/>
  <c r="G31" i="4" l="1"/>
  <c r="L39" i="2"/>
  <c r="G29" i="4"/>
  <c r="G23" i="4"/>
  <c r="G28" i="4"/>
  <c r="K43" i="2" s="1"/>
  <c r="G26" i="4"/>
  <c r="G13" i="4"/>
  <c r="G24" i="4"/>
  <c r="K39" i="2" s="1"/>
  <c r="G27" i="4"/>
  <c r="K42" i="2" s="1"/>
  <c r="G15" i="4"/>
  <c r="G30" i="4"/>
  <c r="G18" i="4"/>
  <c r="G22" i="4"/>
  <c r="K37" i="2" s="1"/>
  <c r="G20" i="4"/>
  <c r="G8" i="4"/>
  <c r="G19" i="4"/>
  <c r="G11" i="4"/>
  <c r="G16" i="4"/>
  <c r="G21" i="4"/>
  <c r="K36" i="2" s="1"/>
  <c r="J38" i="2"/>
  <c r="G17" i="4"/>
  <c r="G10" i="4"/>
  <c r="G9" i="4"/>
  <c r="G14" i="4"/>
  <c r="G25" i="4"/>
  <c r="K40" i="2" s="1"/>
  <c r="J36" i="2"/>
  <c r="J40" i="2"/>
  <c r="L36" i="2"/>
  <c r="L42" i="2"/>
  <c r="L40" i="2"/>
  <c r="L38" i="2"/>
  <c r="Q36" i="2"/>
  <c r="N36" i="2" s="1"/>
  <c r="L37" i="2"/>
  <c r="N37" i="2"/>
  <c r="N38" i="2"/>
  <c r="K38" i="2"/>
  <c r="L41" i="2"/>
  <c r="N43" i="2"/>
  <c r="K41" i="2"/>
  <c r="I34" i="4"/>
  <c r="H34" i="4"/>
  <c r="Q39" i="2"/>
  <c r="N39" i="2" s="1"/>
  <c r="F34" i="4"/>
  <c r="N40" i="2"/>
  <c r="N41" i="2"/>
  <c r="N42" i="2"/>
  <c r="M47" i="2"/>
  <c r="I35" i="4" s="1"/>
  <c r="J47" i="2" l="1"/>
  <c r="F35" i="4" s="1"/>
  <c r="L47" i="2"/>
  <c r="H35" i="4" s="1"/>
  <c r="G34" i="4"/>
  <c r="K47" i="2"/>
  <c r="G35" i="4" s="1"/>
  <c r="N47" i="2"/>
  <c r="H36" i="4" l="1"/>
  <c r="Q47" i="2"/>
  <c r="P47" i="2"/>
  <c r="R47" i="2"/>
  <c r="S47" i="2"/>
  <c r="O47" i="2"/>
</calcChain>
</file>

<file path=xl/sharedStrings.xml><?xml version="1.0" encoding="utf-8"?>
<sst xmlns="http://schemas.openxmlformats.org/spreadsheetml/2006/main" count="3192" uniqueCount="248">
  <si>
    <t>Utility</t>
  </si>
  <si>
    <t>Program</t>
  </si>
  <si>
    <t>ProgPort</t>
  </si>
  <si>
    <t>DayType</t>
  </si>
  <si>
    <t>ForecastYear</t>
  </si>
  <si>
    <t>WeatherYear</t>
  </si>
  <si>
    <t>Enrolled</t>
  </si>
  <si>
    <t>Nominated</t>
  </si>
  <si>
    <t>Called</t>
  </si>
  <si>
    <t>Typical Event Day</t>
  </si>
  <si>
    <t>Aggregate Impact</t>
  </si>
  <si>
    <t xml:space="preserve"> Number of Accounts Enrolled:</t>
  </si>
  <si>
    <t>Hour Ending</t>
  </si>
  <si>
    <t>10th%ile</t>
  </si>
  <si>
    <t>30th%ile</t>
  </si>
  <si>
    <t>50th%ile</t>
  </si>
  <si>
    <t>70th%ile</t>
  </si>
  <si>
    <t>90th%ile</t>
  </si>
  <si>
    <t>DR Program:</t>
  </si>
  <si>
    <t>10th</t>
  </si>
  <si>
    <t>30th</t>
  </si>
  <si>
    <t>50th</t>
  </si>
  <si>
    <t>70th</t>
  </si>
  <si>
    <t>90th</t>
  </si>
  <si>
    <t>Daily</t>
  </si>
  <si>
    <t>n/a</t>
  </si>
  <si>
    <t>Utility:</t>
  </si>
  <si>
    <t>Type of Results:</t>
  </si>
  <si>
    <t>Average per Enrolled Customer</t>
  </si>
  <si>
    <t>Impact Level:</t>
  </si>
  <si>
    <t>Forecast Year:</t>
  </si>
  <si>
    <t>Weather Year:</t>
  </si>
  <si>
    <t>Day Type:</t>
  </si>
  <si>
    <t>JAN monthly peak</t>
  </si>
  <si>
    <t>FEB monthly peak</t>
  </si>
  <si>
    <t>MAR monthly peak</t>
  </si>
  <si>
    <t>APR monthly peak</t>
  </si>
  <si>
    <t>MAY monthly peak</t>
  </si>
  <si>
    <t>JUN monthly peak</t>
  </si>
  <si>
    <t>JUL monthly peak</t>
  </si>
  <si>
    <t>AUG monthly peak</t>
  </si>
  <si>
    <t>SEP monthly peak</t>
  </si>
  <si>
    <t>OCT monthly peak</t>
  </si>
  <si>
    <t>NOV monthly peak</t>
  </si>
  <si>
    <t>DEC monthly peak</t>
  </si>
  <si>
    <t>PCTILE10_hr1</t>
  </si>
  <si>
    <t>PCTILE10_hr2</t>
  </si>
  <si>
    <t>PCTILE10_hr3</t>
  </si>
  <si>
    <t>PCTILE10_hr4</t>
  </si>
  <si>
    <t>PCTILE10_hr5</t>
  </si>
  <si>
    <t>PCTILE10_hr6</t>
  </si>
  <si>
    <t>PCTILE10_hr7</t>
  </si>
  <si>
    <t>PCTILE10_hr8</t>
  </si>
  <si>
    <t>PCTILE10_hr9</t>
  </si>
  <si>
    <t>PCTILE10_hr10</t>
  </si>
  <si>
    <t>PCTILE10_hr11</t>
  </si>
  <si>
    <t>PCTILE10_hr12</t>
  </si>
  <si>
    <t>PCTILE10_hr13</t>
  </si>
  <si>
    <t>PCTILE10_hr14</t>
  </si>
  <si>
    <t>PCTILE10_hr15</t>
  </si>
  <si>
    <t>PCTILE10_hr16</t>
  </si>
  <si>
    <t>PCTILE10_hr17</t>
  </si>
  <si>
    <t>PCTILE10_hr18</t>
  </si>
  <si>
    <t>PCTILE10_hr19</t>
  </si>
  <si>
    <t>PCTILE10_hr20</t>
  </si>
  <si>
    <t>PCTILE10_hr21</t>
  </si>
  <si>
    <t>PCTILE10_hr22</t>
  </si>
  <si>
    <t>PCTILE10_hr23</t>
  </si>
  <si>
    <t>PCTILE10_hr24</t>
  </si>
  <si>
    <t>PCTILE30_hr1</t>
  </si>
  <si>
    <t>PCTILE30_hr2</t>
  </si>
  <si>
    <t>PCTILE30_hr3</t>
  </si>
  <si>
    <t>PCTILE30_hr4</t>
  </si>
  <si>
    <t>PCTILE30_hr5</t>
  </si>
  <si>
    <t>PCTILE30_hr6</t>
  </si>
  <si>
    <t>PCTILE30_hr7</t>
  </si>
  <si>
    <t>PCTILE30_hr8</t>
  </si>
  <si>
    <t>PCTILE30_hr9</t>
  </si>
  <si>
    <t>PCTILE30_hr10</t>
  </si>
  <si>
    <t>PCTILE30_hr11</t>
  </si>
  <si>
    <t>PCTILE30_hr12</t>
  </si>
  <si>
    <t>PCTILE30_hr13</t>
  </si>
  <si>
    <t>PCTILE30_hr14</t>
  </si>
  <si>
    <t>PCTILE30_hr15</t>
  </si>
  <si>
    <t>PCTILE30_hr16</t>
  </si>
  <si>
    <t>PCTILE30_hr17</t>
  </si>
  <si>
    <t>PCTILE30_hr18</t>
  </si>
  <si>
    <t>PCTILE30_hr19</t>
  </si>
  <si>
    <t>PCTILE30_hr20</t>
  </si>
  <si>
    <t>PCTILE30_hr21</t>
  </si>
  <si>
    <t>PCTILE30_hr22</t>
  </si>
  <si>
    <t>PCTILE30_hr23</t>
  </si>
  <si>
    <t>PCTILE30_hr24</t>
  </si>
  <si>
    <t>PCTILE50_hr1</t>
  </si>
  <si>
    <t>PCTILE50_hr2</t>
  </si>
  <si>
    <t>PCTILE50_hr3</t>
  </si>
  <si>
    <t>PCTILE50_hr4</t>
  </si>
  <si>
    <t>PCTILE50_hr5</t>
  </si>
  <si>
    <t>PCTILE50_hr6</t>
  </si>
  <si>
    <t>PCTILE50_hr7</t>
  </si>
  <si>
    <t>PCTILE50_hr8</t>
  </si>
  <si>
    <t>PCTILE50_hr9</t>
  </si>
  <si>
    <t>PCTILE50_hr10</t>
  </si>
  <si>
    <t>PCTILE50_hr11</t>
  </si>
  <si>
    <t>PCTILE50_hr12</t>
  </si>
  <si>
    <t>PCTILE50_hr13</t>
  </si>
  <si>
    <t>PCTILE50_hr14</t>
  </si>
  <si>
    <t>PCTILE50_hr15</t>
  </si>
  <si>
    <t>PCTILE50_hr16</t>
  </si>
  <si>
    <t>PCTILE50_hr17</t>
  </si>
  <si>
    <t>PCTILE50_hr18</t>
  </si>
  <si>
    <t>PCTILE50_hr19</t>
  </si>
  <si>
    <t>PCTILE50_hr20</t>
  </si>
  <si>
    <t>PCTILE50_hr21</t>
  </si>
  <si>
    <t>PCTILE50_hr22</t>
  </si>
  <si>
    <t>PCTILE50_hr23</t>
  </si>
  <si>
    <t>PCTILE50_hr24</t>
  </si>
  <si>
    <t>PCTILE70_hr1</t>
  </si>
  <si>
    <t>PCTILE70_hr2</t>
  </si>
  <si>
    <t>PCTILE70_hr3</t>
  </si>
  <si>
    <t>PCTILE70_hr4</t>
  </si>
  <si>
    <t>PCTILE70_hr5</t>
  </si>
  <si>
    <t>PCTILE70_hr6</t>
  </si>
  <si>
    <t>PCTILE70_hr7</t>
  </si>
  <si>
    <t>PCTILE70_hr8</t>
  </si>
  <si>
    <t>PCTILE70_hr9</t>
  </si>
  <si>
    <t>PCTILE70_hr10</t>
  </si>
  <si>
    <t>PCTILE70_hr11</t>
  </si>
  <si>
    <t>PCTILE70_hr12</t>
  </si>
  <si>
    <t>PCTILE70_hr13</t>
  </si>
  <si>
    <t>PCTILE70_hr14</t>
  </si>
  <si>
    <t>PCTILE70_hr15</t>
  </si>
  <si>
    <t>PCTILE70_hr16</t>
  </si>
  <si>
    <t>PCTILE70_hr17</t>
  </si>
  <si>
    <t>PCTILE70_hr18</t>
  </si>
  <si>
    <t>PCTILE70_hr19</t>
  </si>
  <si>
    <t>PCTILE70_hr20</t>
  </si>
  <si>
    <t>PCTILE70_hr21</t>
  </si>
  <si>
    <t>PCTILE70_hr22</t>
  </si>
  <si>
    <t>PCTILE70_hr23</t>
  </si>
  <si>
    <t>PCTILE70_hr24</t>
  </si>
  <si>
    <t>PCTILE90_hr1</t>
  </si>
  <si>
    <t>PCTILE90_hr2</t>
  </si>
  <si>
    <t>PCTILE90_hr3</t>
  </si>
  <si>
    <t>PCTILE90_hr4</t>
  </si>
  <si>
    <t>PCTILE90_hr5</t>
  </si>
  <si>
    <t>PCTILE90_hr6</t>
  </si>
  <si>
    <t>PCTILE90_hr7</t>
  </si>
  <si>
    <t>PCTILE90_hr8</t>
  </si>
  <si>
    <t>PCTILE90_hr9</t>
  </si>
  <si>
    <t>PCTILE90_hr10</t>
  </si>
  <si>
    <t>PCTILE90_hr11</t>
  </si>
  <si>
    <t>PCTILE90_hr12</t>
  </si>
  <si>
    <t>PCTILE90_hr13</t>
  </si>
  <si>
    <t>PCTILE90_hr14</t>
  </si>
  <si>
    <t>PCTILE90_hr15</t>
  </si>
  <si>
    <t>PCTILE90_hr16</t>
  </si>
  <si>
    <t>PCTILE90_hr17</t>
  </si>
  <si>
    <t>PCTILE90_hr18</t>
  </si>
  <si>
    <t>PCTILE90_hr19</t>
  </si>
  <si>
    <t>PCTILE90_hr20</t>
  </si>
  <si>
    <t>PCTILE90_hr21</t>
  </si>
  <si>
    <t>PCTILE90_hr22</t>
  </si>
  <si>
    <t>PCTILE90_hr23</t>
  </si>
  <si>
    <t>PCTILE90_hr24</t>
  </si>
  <si>
    <t>temp_hr1</t>
  </si>
  <si>
    <t>temp_hr2</t>
  </si>
  <si>
    <t>temp_hr3</t>
  </si>
  <si>
    <t>temp_hr4</t>
  </si>
  <si>
    <t>temp_hr5</t>
  </si>
  <si>
    <t>temp_hr6</t>
  </si>
  <si>
    <t>temp_hr7</t>
  </si>
  <si>
    <t>temp_hr8</t>
  </si>
  <si>
    <t>temp_hr9</t>
  </si>
  <si>
    <t>temp_hr10</t>
  </si>
  <si>
    <t>temp_hr11</t>
  </si>
  <si>
    <t>temp_hr12</t>
  </si>
  <si>
    <t>temp_hr13</t>
  </si>
  <si>
    <t>temp_hr14</t>
  </si>
  <si>
    <t>temp_hr15</t>
  </si>
  <si>
    <t>temp_hr16</t>
  </si>
  <si>
    <t>temp_hr17</t>
  </si>
  <si>
    <t>temp_hr18</t>
  </si>
  <si>
    <t>temp_hr19</t>
  </si>
  <si>
    <t>temp_hr20</t>
  </si>
  <si>
    <t>temp_hr21</t>
  </si>
  <si>
    <t>temp_hr22</t>
  </si>
  <si>
    <t>temp_hr23</t>
  </si>
  <si>
    <t>temp_hr24</t>
  </si>
  <si>
    <r>
      <t>Weighted Average Temperature (</t>
    </r>
    <r>
      <rPr>
        <b/>
        <vertAlign val="superscript"/>
        <sz val="11"/>
        <color indexed="9"/>
        <rFont val="Arial Narrow"/>
        <family val="2"/>
      </rPr>
      <t>o</t>
    </r>
    <r>
      <rPr>
        <b/>
        <sz val="11"/>
        <color indexed="9"/>
        <rFont val="Arial Narrow"/>
        <family val="2"/>
      </rPr>
      <t>F)</t>
    </r>
  </si>
  <si>
    <t>Ref_hr1</t>
  </si>
  <si>
    <t>Ref_hr2</t>
  </si>
  <si>
    <t>Ref_hr3</t>
  </si>
  <si>
    <t>Ref_hr4</t>
  </si>
  <si>
    <t>Ref_hr5</t>
  </si>
  <si>
    <t>Ref_hr6</t>
  </si>
  <si>
    <t>Ref_hr7</t>
  </si>
  <si>
    <t>Ref_hr8</t>
  </si>
  <si>
    <t>Ref_hr9</t>
  </si>
  <si>
    <t>Ref_hr10</t>
  </si>
  <si>
    <t>Ref_hr11</t>
  </si>
  <si>
    <t>Ref_hr12</t>
  </si>
  <si>
    <t>Ref_hr13</t>
  </si>
  <si>
    <t>Ref_hr14</t>
  </si>
  <si>
    <t>Ref_hr15</t>
  </si>
  <si>
    <t>Ref_hr16</t>
  </si>
  <si>
    <t>Ref_hr17</t>
  </si>
  <si>
    <t>Ref_hr18</t>
  </si>
  <si>
    <t>Ref_hr19</t>
  </si>
  <si>
    <t>Ref_hr20</t>
  </si>
  <si>
    <t>Ref_hr21</t>
  </si>
  <si>
    <t>Ref_hr22</t>
  </si>
  <si>
    <t>Ref_hr23</t>
  </si>
  <si>
    <t>Ref_hr24</t>
  </si>
  <si>
    <t>Program-level impacts</t>
  </si>
  <si>
    <t>Portfolio-level impacts</t>
  </si>
  <si>
    <t>summer</t>
  </si>
  <si>
    <t>Result type</t>
  </si>
  <si>
    <r>
      <t>Cooling
Degree
Hours
(Base 75</t>
    </r>
    <r>
      <rPr>
        <b/>
        <vertAlign val="superscript"/>
        <sz val="11"/>
        <color indexed="9"/>
        <rFont val="Arial Narrow"/>
        <family val="2"/>
      </rPr>
      <t xml:space="preserve">o </t>
    </r>
    <r>
      <rPr>
        <b/>
        <sz val="11"/>
        <color indexed="9"/>
        <rFont val="Arial Narrow"/>
        <family val="2"/>
      </rPr>
      <t>F)</t>
    </r>
  </si>
  <si>
    <t>cdh calcs</t>
  </si>
  <si>
    <t>Notice</t>
  </si>
  <si>
    <t>Notice Group:</t>
  </si>
  <si>
    <t>CAISO 1-in-10</t>
  </si>
  <si>
    <t>CAISO 1-in-2</t>
  </si>
  <si>
    <t>Utility 1-in-10</t>
  </si>
  <si>
    <t>Utility 1-in-2</t>
  </si>
  <si>
    <t>By Period:</t>
  </si>
  <si>
    <t>Event Hours</t>
  </si>
  <si>
    <t>Event flag</t>
  </si>
  <si>
    <t>avg ref</t>
  </si>
  <si>
    <t>avg obs</t>
  </si>
  <si>
    <t>avg LI</t>
  </si>
  <si>
    <t>CDH</t>
  </si>
  <si>
    <t>std dev</t>
  </si>
  <si>
    <t>avg 10</t>
  </si>
  <si>
    <t>avg30</t>
  </si>
  <si>
    <t>avg50</t>
  </si>
  <si>
    <t>avg70</t>
  </si>
  <si>
    <t>avg90</t>
  </si>
  <si>
    <t>San Diego Gas &amp; Electric</t>
  </si>
  <si>
    <t>Day Ahead</t>
  </si>
  <si>
    <t>Day Of</t>
  </si>
  <si>
    <t>Demand Bidding Program (DBP)</t>
  </si>
  <si>
    <t>winter</t>
  </si>
  <si>
    <t>Hour</t>
  </si>
  <si>
    <t>Average Event Hour % Load Impact:</t>
  </si>
  <si>
    <t>ResultType</t>
  </si>
  <si>
    <t>pass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</si>
</sst>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#,##0.0"/>
    <numFmt numFmtId="165" formatCode="[$-409]mmmm\ d\,\ yyyy;@"/>
    <numFmt numFmtId="166" formatCode="0.0%"/>
    <numFmt numFmtId="167" formatCode="0.0"/>
    <numFmt numFmtId="168" formatCode="#,##0.000"/>
  </numFmts>
  <fonts count="18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1"/>
      <color indexed="8"/>
      <name val="Calibri"/>
      <family val="2"/>
    </font>
    <font>
      <b/>
      <sz val="11"/>
      <name val="Arial"/>
      <family val="2"/>
    </font>
    <font>
      <b/>
      <sz val="11"/>
      <color indexed="9"/>
      <name val="Arial Narrow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name val="Arial Narrow"/>
      <family val="2"/>
    </font>
    <font>
      <b/>
      <sz val="10"/>
      <color indexed="9"/>
      <name val="Arial Narrow"/>
      <family val="2"/>
    </font>
    <font>
      <sz val="11"/>
      <name val="Arial Narrow"/>
      <family val="2"/>
    </font>
    <font>
      <sz val="10"/>
      <name val="Arial Narrow"/>
      <family val="2"/>
    </font>
    <font>
      <sz val="11"/>
      <color indexed="9"/>
      <name val="Arial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color indexed="9"/>
      <name val="Franklin Gothic Demi Cond"/>
      <family val="2"/>
    </font>
    <font>
      <b/>
      <vertAlign val="superscript"/>
      <sz val="11"/>
      <color indexed="9"/>
      <name val="Arial Narrow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56"/>
      </right>
      <top style="medium">
        <color indexed="9"/>
      </top>
      <bottom/>
      <diagonal/>
    </border>
    <border>
      <left style="medium">
        <color indexed="56"/>
      </left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56"/>
      </right>
      <top/>
      <bottom style="medium">
        <color indexed="9"/>
      </bottom>
      <diagonal/>
    </border>
    <border>
      <left style="medium">
        <color indexed="56"/>
      </left>
      <right/>
      <top/>
      <bottom style="medium">
        <color indexed="56"/>
      </bottom>
      <diagonal/>
    </border>
    <border>
      <left style="medium">
        <color indexed="56"/>
      </left>
      <right style="thin">
        <color indexed="56"/>
      </right>
      <top/>
      <bottom style="medium">
        <color indexed="56"/>
      </bottom>
      <diagonal/>
    </border>
    <border>
      <left style="thin">
        <color indexed="56"/>
      </left>
      <right style="thin">
        <color indexed="56"/>
      </right>
      <top/>
      <bottom style="medium">
        <color indexed="56"/>
      </bottom>
      <diagonal/>
    </border>
    <border>
      <left style="medium">
        <color indexed="9"/>
      </left>
      <right/>
      <top style="medium">
        <color indexed="56"/>
      </top>
      <bottom/>
      <diagonal/>
    </border>
    <border>
      <left/>
      <right/>
      <top style="medium">
        <color indexed="56"/>
      </top>
      <bottom/>
      <diagonal/>
    </border>
    <border>
      <left/>
      <right style="medium">
        <color indexed="56"/>
      </right>
      <top style="medium">
        <color indexed="56"/>
      </top>
      <bottom/>
      <diagonal/>
    </border>
    <border>
      <left style="medium">
        <color indexed="9"/>
      </left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/>
      <right style="medium">
        <color indexed="56"/>
      </right>
      <top/>
      <bottom style="medium">
        <color indexed="9"/>
      </bottom>
      <diagonal/>
    </border>
    <border>
      <left style="medium">
        <color indexed="56"/>
      </left>
      <right/>
      <top/>
      <bottom style="thin">
        <color indexed="64"/>
      </bottom>
      <diagonal/>
    </border>
    <border>
      <left style="medium">
        <color indexed="56"/>
      </left>
      <right style="thin">
        <color indexed="56"/>
      </right>
      <top style="medium">
        <color indexed="56"/>
      </top>
      <bottom style="thin">
        <color indexed="56"/>
      </bottom>
      <diagonal/>
    </border>
    <border>
      <left style="medium">
        <color indexed="56"/>
      </left>
      <right/>
      <top style="thin">
        <color indexed="64"/>
      </top>
      <bottom style="thin">
        <color indexed="64"/>
      </bottom>
      <diagonal/>
    </border>
    <border>
      <left style="medium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 style="medium">
        <color indexed="56"/>
      </left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56"/>
      </left>
      <right style="medium">
        <color indexed="9"/>
      </right>
      <top style="medium">
        <color indexed="56"/>
      </top>
      <bottom style="medium">
        <color indexed="9"/>
      </bottom>
      <diagonal/>
    </border>
    <border>
      <left style="medium">
        <color indexed="56"/>
      </left>
      <right style="medium">
        <color indexed="9"/>
      </right>
      <top style="medium">
        <color indexed="9"/>
      </top>
      <bottom/>
      <diagonal/>
    </border>
    <border>
      <left style="thin">
        <color indexed="56"/>
      </left>
      <right style="medium">
        <color indexed="56"/>
      </right>
      <top/>
      <bottom style="medium">
        <color indexed="56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0" fillId="0" borderId="0" xfId="0" quotePrefix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right"/>
    </xf>
    <xf numFmtId="0" fontId="0" fillId="0" borderId="0" xfId="0" applyAlignment="1">
      <alignment horizontal="left"/>
    </xf>
    <xf numFmtId="0" fontId="0" fillId="0" borderId="0" xfId="0" applyFill="1"/>
    <xf numFmtId="0" fontId="8" fillId="0" borderId="1" xfId="0" applyNumberFormat="1" applyFont="1" applyBorder="1" applyAlignment="1">
      <alignment horizontal="center" vertical="center" wrapText="1"/>
    </xf>
    <xf numFmtId="0" fontId="9" fillId="2" borderId="2" xfId="0" applyFont="1" applyFill="1" applyBorder="1" applyAlignment="1">
      <alignment horizontal="right" wrapText="1" indent="1"/>
    </xf>
    <xf numFmtId="0" fontId="9" fillId="2" borderId="3" xfId="0" applyFont="1" applyFill="1" applyBorder="1" applyAlignment="1">
      <alignment horizontal="right" wrapText="1" indent="1"/>
    </xf>
    <xf numFmtId="49" fontId="8" fillId="0" borderId="0" xfId="0" applyNumberFormat="1" applyFont="1" applyBorder="1" applyAlignment="1">
      <alignment horizontal="left" wrapText="1"/>
    </xf>
    <xf numFmtId="0" fontId="7" fillId="0" borderId="0" xfId="0" applyFont="1"/>
    <xf numFmtId="0" fontId="11" fillId="0" borderId="0" xfId="0" applyFont="1" applyBorder="1" applyAlignment="1">
      <alignment horizontal="left"/>
    </xf>
    <xf numFmtId="165" fontId="8" fillId="0" borderId="1" xfId="0" applyNumberFormat="1" applyFont="1" applyFill="1" applyBorder="1" applyAlignment="1">
      <alignment horizontal="center" vertical="center"/>
    </xf>
    <xf numFmtId="0" fontId="8" fillId="0" borderId="0" xfId="0" applyFont="1" applyBorder="1" applyAlignment="1">
      <alignment horizontal="left"/>
    </xf>
    <xf numFmtId="49" fontId="8" fillId="0" borderId="0" xfId="0" applyNumberFormat="1" applyFont="1" applyBorder="1" applyAlignment="1">
      <alignment horizontal="left"/>
    </xf>
    <xf numFmtId="0" fontId="7" fillId="0" borderId="0" xfId="0" applyFont="1" applyFill="1" applyBorder="1"/>
    <xf numFmtId="0" fontId="12" fillId="2" borderId="4" xfId="0" applyFont="1" applyFill="1" applyBorder="1" applyAlignment="1">
      <alignment horizontal="center"/>
    </xf>
    <xf numFmtId="0" fontId="13" fillId="2" borderId="5" xfId="0" applyFont="1" applyFill="1" applyBorder="1" applyAlignment="1">
      <alignment horizontal="centerContinuous"/>
    </xf>
    <xf numFmtId="0" fontId="13" fillId="2" borderId="6" xfId="0" applyFont="1" applyFill="1" applyBorder="1" applyAlignment="1">
      <alignment horizontal="centerContinuous"/>
    </xf>
    <xf numFmtId="0" fontId="5" fillId="2" borderId="2" xfId="0" applyFont="1" applyFill="1" applyBorder="1" applyAlignment="1">
      <alignment horizontal="center" wrapText="1"/>
    </xf>
    <xf numFmtId="0" fontId="5" fillId="2" borderId="3" xfId="0" applyFont="1" applyFill="1" applyBorder="1" applyAlignment="1">
      <alignment horizontal="center" wrapText="1"/>
    </xf>
    <xf numFmtId="0" fontId="4" fillId="0" borderId="7" xfId="0" applyFont="1" applyBorder="1" applyAlignment="1">
      <alignment horizontal="center"/>
    </xf>
    <xf numFmtId="3" fontId="10" fillId="0" borderId="8" xfId="0" applyNumberFormat="1" applyFont="1" applyBorder="1" applyAlignment="1">
      <alignment horizontal="center"/>
    </xf>
    <xf numFmtId="3" fontId="10" fillId="0" borderId="9" xfId="0" applyNumberFormat="1" applyFont="1" applyBorder="1" applyAlignment="1">
      <alignment horizontal="center"/>
    </xf>
    <xf numFmtId="164" fontId="10" fillId="0" borderId="9" xfId="0" applyNumberFormat="1" applyFont="1" applyBorder="1" applyAlignment="1">
      <alignment horizontal="center"/>
    </xf>
    <xf numFmtId="3" fontId="0" fillId="0" borderId="0" xfId="0" applyNumberFormat="1"/>
    <xf numFmtId="0" fontId="15" fillId="2" borderId="0" xfId="0" applyFont="1" applyFill="1" applyAlignment="1">
      <alignment horizontal="left"/>
    </xf>
    <xf numFmtId="15" fontId="0" fillId="0" borderId="0" xfId="0" applyNumberFormat="1" applyAlignment="1">
      <alignment horizontal="left"/>
    </xf>
    <xf numFmtId="0" fontId="8" fillId="0" borderId="1" xfId="0" applyNumberFormat="1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left"/>
    </xf>
    <xf numFmtId="0" fontId="15" fillId="0" borderId="0" xfId="0" quotePrefix="1" applyFont="1" applyFill="1" applyBorder="1" applyAlignment="1">
      <alignment horizontal="left"/>
    </xf>
    <xf numFmtId="0" fontId="0" fillId="0" borderId="0" xfId="0" applyFill="1" applyBorder="1"/>
    <xf numFmtId="15" fontId="0" fillId="0" borderId="0" xfId="0" applyNumberFormat="1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6" fillId="2" borderId="11" xfId="0" applyFont="1" applyFill="1" applyBorder="1" applyAlignment="1">
      <alignment horizontal="centerContinuous"/>
    </xf>
    <xf numFmtId="0" fontId="6" fillId="2" borderId="12" xfId="0" applyFont="1" applyFill="1" applyBorder="1" applyAlignment="1">
      <alignment horizontal="centerContinuous"/>
    </xf>
    <xf numFmtId="0" fontId="6" fillId="2" borderId="14" xfId="0" applyFont="1" applyFill="1" applyBorder="1" applyAlignment="1">
      <alignment horizontal="centerContinuous"/>
    </xf>
    <xf numFmtId="0" fontId="6" fillId="2" borderId="15" xfId="0" applyFont="1" applyFill="1" applyBorder="1" applyAlignment="1">
      <alignment horizontal="centerContinuous"/>
    </xf>
    <xf numFmtId="0" fontId="0" fillId="0" borderId="0" xfId="0" applyBorder="1"/>
    <xf numFmtId="49" fontId="8" fillId="0" borderId="1" xfId="0" quotePrefix="1" applyNumberFormat="1" applyFont="1" applyFill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164" fontId="10" fillId="0" borderId="17" xfId="0" applyNumberFormat="1" applyFont="1" applyBorder="1" applyAlignment="1">
      <alignment horizontal="center" vertical="center"/>
    </xf>
    <xf numFmtId="164" fontId="10" fillId="0" borderId="19" xfId="0" applyNumberFormat="1" applyFont="1" applyBorder="1" applyAlignment="1">
      <alignment horizontal="center" vertical="center"/>
    </xf>
    <xf numFmtId="0" fontId="7" fillId="0" borderId="0" xfId="0" quotePrefix="1" applyFont="1" applyFill="1" applyAlignment="1">
      <alignment horizontal="left" vertical="center"/>
    </xf>
    <xf numFmtId="0" fontId="7" fillId="0" borderId="0" xfId="0" applyFont="1" applyFill="1" applyAlignment="1">
      <alignment vertical="center"/>
    </xf>
    <xf numFmtId="3" fontId="0" fillId="0" borderId="21" xfId="0" applyNumberFormat="1" applyBorder="1" applyAlignment="1">
      <alignment horizontal="center" vertical="center"/>
    </xf>
    <xf numFmtId="164" fontId="0" fillId="0" borderId="0" xfId="0" applyNumberFormat="1"/>
    <xf numFmtId="166" fontId="0" fillId="0" borderId="0" xfId="1" applyNumberFormat="1" applyFont="1"/>
    <xf numFmtId="0" fontId="17" fillId="0" borderId="0" xfId="0" applyFont="1" applyAlignment="1">
      <alignment horizontal="right"/>
    </xf>
    <xf numFmtId="0" fontId="1" fillId="0" borderId="0" xfId="0" applyFont="1"/>
    <xf numFmtId="0" fontId="1" fillId="0" borderId="0" xfId="0" quotePrefix="1" applyFont="1" applyAlignment="1">
      <alignment horizontal="left"/>
    </xf>
    <xf numFmtId="0" fontId="14" fillId="0" borderId="0" xfId="0" applyFont="1"/>
    <xf numFmtId="0" fontId="1" fillId="0" borderId="0" xfId="0" applyFont="1" applyAlignment="1">
      <alignment horizontal="right"/>
    </xf>
    <xf numFmtId="167" fontId="0" fillId="0" borderId="0" xfId="0" applyNumberFormat="1"/>
    <xf numFmtId="0" fontId="7" fillId="0" borderId="0" xfId="0" applyFont="1" applyFill="1" applyAlignment="1">
      <alignment horizontal="left" vertical="center"/>
    </xf>
    <xf numFmtId="0" fontId="5" fillId="2" borderId="4" xfId="0" applyFont="1" applyFill="1" applyBorder="1" applyAlignment="1">
      <alignment horizontal="center"/>
    </xf>
    <xf numFmtId="164" fontId="10" fillId="0" borderId="24" xfId="0" applyNumberFormat="1" applyFont="1" applyBorder="1" applyAlignment="1">
      <alignment horizontal="center"/>
    </xf>
    <xf numFmtId="0" fontId="9" fillId="2" borderId="10" xfId="0" applyFont="1" applyFill="1" applyBorder="1" applyAlignment="1">
      <alignment horizontal="centerContinuous"/>
    </xf>
    <xf numFmtId="0" fontId="5" fillId="2" borderId="13" xfId="0" applyFont="1" applyFill="1" applyBorder="1" applyAlignment="1">
      <alignment horizontal="centerContinuous"/>
    </xf>
    <xf numFmtId="0" fontId="5" fillId="2" borderId="5" xfId="0" applyFont="1" applyFill="1" applyBorder="1" applyAlignment="1">
      <alignment horizontal="centerContinuous"/>
    </xf>
    <xf numFmtId="168" fontId="0" fillId="0" borderId="0" xfId="0" applyNumberFormat="1"/>
    <xf numFmtId="164" fontId="4" fillId="0" borderId="0" xfId="0" applyNumberFormat="1" applyFont="1" applyAlignment="1">
      <alignment horizontal="right"/>
    </xf>
    <xf numFmtId="166" fontId="4" fillId="0" borderId="0" xfId="1" applyNumberFormat="1" applyFont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2" fontId="5" fillId="2" borderId="5" xfId="0" applyNumberFormat="1" applyFont="1" applyFill="1" applyBorder="1" applyAlignment="1">
      <alignment horizontal="center" wrapText="1"/>
    </xf>
    <xf numFmtId="2" fontId="5" fillId="2" borderId="2" xfId="0" applyNumberFormat="1" applyFont="1" applyFill="1" applyBorder="1" applyAlignment="1">
      <alignment horizontal="center" wrapText="1"/>
    </xf>
    <xf numFmtId="2" fontId="5" fillId="2" borderId="5" xfId="0" quotePrefix="1" applyNumberFormat="1" applyFont="1" applyFill="1" applyBorder="1" applyAlignment="1">
      <alignment horizontal="center" wrapText="1"/>
    </xf>
    <xf numFmtId="0" fontId="5" fillId="2" borderId="22" xfId="0" applyFont="1" applyFill="1" applyBorder="1" applyAlignment="1">
      <alignment horizontal="center" wrapText="1"/>
    </xf>
    <xf numFmtId="0" fontId="5" fillId="2" borderId="4" xfId="0" applyFont="1" applyFill="1" applyBorder="1" applyAlignment="1">
      <alignment horizontal="center" wrapText="1"/>
    </xf>
    <xf numFmtId="0" fontId="5" fillId="2" borderId="23" xfId="0" applyFont="1" applyFill="1" applyBorder="1" applyAlignment="1">
      <alignment horizontal="center" wrapText="1"/>
    </xf>
    <xf numFmtId="0" fontId="5" fillId="2" borderId="22" xfId="0" quotePrefix="1" applyFont="1" applyFill="1" applyBorder="1" applyAlignment="1">
      <alignment horizontal="center" wrapText="1"/>
    </xf>
  </cellXfs>
  <cellStyles count="2">
    <cellStyle name="Normal" xfId="0" builtinId="0"/>
    <cellStyle name="Percent" xfId="1" builtinId="5"/>
  </cellStyles>
  <dxfs count="7"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indexed="43"/>
        </patternFill>
      </fill>
    </dxf>
  </dxfs>
  <tableStyles count="0" defaultTableStyle="TableStyleMedium9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22981366459629"/>
          <c:y val="0.14206642066420663"/>
          <c:w val="0.77018633540372672"/>
          <c:h val="0.7140221402214022"/>
        </c:manualLayout>
      </c:layout>
      <c:scatterChart>
        <c:scatterStyle val="smoothMarker"/>
        <c:varyColors val="0"/>
        <c:ser>
          <c:idx val="2"/>
          <c:order val="0"/>
          <c:tx>
            <c:strRef>
              <c:f>Table!$F$5:$F$7</c:f>
              <c:strCache>
                <c:ptCount val="3"/>
                <c:pt idx="0">
                  <c:v>Estimated Reference Load (MWh/hour)</c:v>
                </c:pt>
              </c:strCache>
            </c:strRef>
          </c:tx>
          <c:spPr>
            <a:ln w="38100">
              <a:solidFill>
                <a:srgbClr val="008080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FFFFFF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xVal>
            <c:numRef>
              <c:f>Table!$E$8:$E$31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Table!$F$8:$F$31</c:f>
              <c:numCache>
                <c:formatCode>#,##0.0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5EC-445D-9C47-93B396B650E0}"/>
            </c:ext>
          </c:extLst>
        </c:ser>
        <c:ser>
          <c:idx val="0"/>
          <c:order val="1"/>
          <c:tx>
            <c:strRef>
              <c:f>Table!$G$5:$G$7</c:f>
              <c:strCache>
                <c:ptCount val="3"/>
                <c:pt idx="0">
                  <c:v>Estimated Event Day Load (MWh)</c:v>
                </c:pt>
              </c:strCache>
            </c:strRef>
          </c:tx>
          <c:spPr>
            <a:ln w="25400">
              <a:solidFill>
                <a:srgbClr val="0066CC"/>
              </a:solidFill>
              <a:prstDash val="solid"/>
            </a:ln>
          </c:spPr>
          <c:marker>
            <c:symbol val="none"/>
          </c:marker>
          <c:xVal>
            <c:numRef>
              <c:f>Table!$E$8:$E$31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Table!$G$8:$G$31</c:f>
              <c:numCache>
                <c:formatCode>#,##0.0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5EC-445D-9C47-93B396B650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8755648"/>
        <c:axId val="658761808"/>
      </c:scatterChart>
      <c:valAx>
        <c:axId val="658755648"/>
        <c:scaling>
          <c:orientation val="minMax"/>
          <c:max val="24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05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050" b="1">
                    <a:latin typeface="Arial" panose="020B0604020202020204" pitchFamily="34" charset="0"/>
                    <a:cs typeface="Arial" panose="020B0604020202020204" pitchFamily="34" charset="0"/>
                  </a:rPr>
                  <a:t>Hour Ending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25400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Franklin Gothic Demi Cond"/>
                <a:cs typeface="Arial" panose="020B0604020202020204" pitchFamily="34" charset="0"/>
              </a:defRPr>
            </a:pPr>
            <a:endParaRPr lang="en-US"/>
          </a:p>
        </c:txPr>
        <c:crossAx val="658761808"/>
        <c:crosses val="autoZero"/>
        <c:crossBetween val="midCat"/>
        <c:majorUnit val="1"/>
      </c:valAx>
      <c:valAx>
        <c:axId val="658761808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5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100" b="1">
                    <a:latin typeface="Arial" panose="020B0604020202020204" pitchFamily="34" charset="0"/>
                    <a:cs typeface="Arial" panose="020B0604020202020204" pitchFamily="34" charset="0"/>
                  </a:rPr>
                  <a:t>Load</a:t>
                </a:r>
              </a:p>
            </c:rich>
          </c:tx>
          <c:layout/>
          <c:overlay val="0"/>
        </c:title>
        <c:numFmt formatCode="#,##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Franklin Gothic Demi Cond"/>
                <a:cs typeface="Arial" panose="020B0604020202020204" pitchFamily="34" charset="0"/>
              </a:defRPr>
            </a:pPr>
            <a:endParaRPr lang="en-US"/>
          </a:p>
        </c:txPr>
        <c:crossAx val="658755648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5777196328719781"/>
          <c:y val="2.3985964520392398E-2"/>
          <c:w val="0.64753574281475679"/>
          <c:h val="8.3028610785353951E-2"/>
        </c:manualLayout>
      </c:layout>
      <c:overlay val="0"/>
      <c:spPr>
        <a:solidFill>
          <a:srgbClr val="FFFFFF"/>
        </a:solidFill>
        <a:ln w="3175">
          <a:solidFill>
            <a:srgbClr val="969696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Franklin Gothic Demi Cond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C0C0C0"/>
    </a:solidFill>
    <a:ln w="3175">
      <a:solidFill>
        <a:srgbClr val="969696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3</xdr:col>
      <xdr:colOff>661147</xdr:colOff>
      <xdr:row>35</xdr:row>
      <xdr:rowOff>0</xdr:rowOff>
    </xdr:to>
    <xdr:graphicFrame macro="">
      <xdr:nvGraphicFramePr>
        <xdr:cNvPr id="1100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CE/DBP%202014/Models/Ex%20Post%20Protocol%20Tables/DBP%20SDGE%20Ex%20Post%20Protocol%20Table%20Generator%202014%20PRIV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"/>
      <sheetName val="Lookups"/>
      <sheetName val="Data"/>
    </sheetNames>
    <sheetDataSet>
      <sheetData sheetId="0"/>
      <sheetData sheetId="1">
        <row r="8">
          <cell r="D8">
            <v>8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0"/>
  <sheetViews>
    <sheetView tabSelected="1" zoomScale="85" zoomScaleNormal="85" workbookViewId="0">
      <selection activeCell="A3" sqref="A3"/>
    </sheetView>
  </sheetViews>
  <sheetFormatPr defaultRowHeight="12.75" x14ac:dyDescent="0.2"/>
  <cols>
    <col min="1" max="1" width="27" bestFit="1" customWidth="1"/>
    <col min="2" max="2" width="31.5703125" customWidth="1"/>
    <col min="3" max="3" width="24" customWidth="1"/>
    <col min="4" max="4" width="10.28515625" customWidth="1"/>
    <col min="5" max="5" width="17.85546875" customWidth="1"/>
    <col min="6" max="6" width="16.140625" customWidth="1"/>
    <col min="7" max="7" width="13.28515625" customWidth="1"/>
    <col min="8" max="8" width="13" customWidth="1"/>
    <col min="9" max="9" width="15.5703125" customWidth="1"/>
    <col min="10" max="14" width="11.42578125" customWidth="1"/>
    <col min="16" max="16" width="9.140625" customWidth="1"/>
  </cols>
  <sheetData>
    <row r="1" spans="1:14" ht="17.25" customHeight="1" thickBot="1" x14ac:dyDescent="0.3">
      <c r="A1" s="10" t="str">
        <f>IF(DGET(data,"pass",_xlnm.Criteria)=1,"","Table omitted due to confidentiality.")</f>
        <v>Table omitted due to confidentiality.</v>
      </c>
      <c r="B1" s="2"/>
      <c r="C1" s="2"/>
      <c r="I1" s="3"/>
      <c r="J1" s="3"/>
      <c r="K1" s="3"/>
      <c r="L1" s="3"/>
    </row>
    <row r="2" spans="1:14" ht="17.25" customHeight="1" thickBot="1" x14ac:dyDescent="0.3">
      <c r="A2" s="45" t="s">
        <v>26</v>
      </c>
      <c r="B2" s="6" t="str">
        <f t="array" ref="B2:B3">TRANSPOSE(Data!A2:B2)</f>
        <v>San Diego Gas &amp; Electric</v>
      </c>
      <c r="C2" s="4"/>
      <c r="D2" s="4"/>
      <c r="I2" s="53"/>
      <c r="J2" s="3"/>
      <c r="K2" s="3"/>
      <c r="L2" s="3"/>
    </row>
    <row r="3" spans="1:14" ht="17.25" customHeight="1" thickTop="1" thickBot="1" x14ac:dyDescent="0.3">
      <c r="A3" s="46" t="s">
        <v>18</v>
      </c>
      <c r="B3" s="39" t="str">
        <v>Demand Bidding Program (DBP)</v>
      </c>
      <c r="C3" s="4"/>
      <c r="D3" s="4"/>
      <c r="F3" s="3" t="s">
        <v>11</v>
      </c>
      <c r="G3" s="47">
        <f>DGET(data,"Enrolled",_xlnm.Criteria)</f>
        <v>0</v>
      </c>
      <c r="I3" s="53"/>
      <c r="J3" s="3"/>
      <c r="K3" s="3"/>
      <c r="L3" s="3"/>
    </row>
    <row r="4" spans="1:14" ht="17.25" customHeight="1" thickBot="1" x14ac:dyDescent="0.25">
      <c r="A4" s="45" t="s">
        <v>27</v>
      </c>
      <c r="B4" s="6" t="s">
        <v>10</v>
      </c>
      <c r="C4" s="4"/>
      <c r="D4" s="4"/>
    </row>
    <row r="5" spans="1:14" ht="17.25" customHeight="1" thickBot="1" x14ac:dyDescent="0.25">
      <c r="A5" s="45" t="s">
        <v>32</v>
      </c>
      <c r="B5" s="12" t="s">
        <v>9</v>
      </c>
      <c r="C5" s="4"/>
      <c r="D5" s="4"/>
      <c r="E5" s="69" t="s">
        <v>12</v>
      </c>
      <c r="F5" s="69" t="str">
        <f>"Estimated Reference Load ("&amp;IF(Result_type="Aggregate impact","MWh","kWh")&amp;"/hour)"</f>
        <v>Estimated Reference Load (MWh/hour)</v>
      </c>
      <c r="G5" s="69" t="str">
        <f>"Estimated Event Day Load ("&amp;IF(Result_type="Aggregate Impact","MWh)","kWh)")</f>
        <v>Estimated Event Day Load (MWh)</v>
      </c>
      <c r="H5" s="69" t="str">
        <f>"Estimated Load Impact ("&amp;IF(Result_type="Aggregate Impact","MWh/hour)","kWh/hour)")</f>
        <v>Estimated Load Impact (MWh/hour)</v>
      </c>
      <c r="I5" s="72" t="s">
        <v>189</v>
      </c>
      <c r="J5" s="59"/>
      <c r="K5" s="34"/>
      <c r="L5" s="34"/>
      <c r="M5" s="34"/>
      <c r="N5" s="35"/>
    </row>
    <row r="6" spans="1:14" ht="17.25" customHeight="1" thickBot="1" x14ac:dyDescent="0.35">
      <c r="C6" s="4"/>
      <c r="D6" s="4"/>
      <c r="E6" s="70"/>
      <c r="F6" s="70"/>
      <c r="G6" s="70"/>
      <c r="H6" s="70"/>
      <c r="I6" s="70"/>
      <c r="J6" s="60" t="str">
        <f>"Uncertainty Adjusted Impact ("&amp;IF(Result_type="Aggregate Impact","MWh/hr)- Percentiles","kWh/hr)- Percentiles")</f>
        <v>Uncertainty Adjusted Impact (MWh/hr)- Percentiles</v>
      </c>
      <c r="K6" s="36"/>
      <c r="L6" s="36"/>
      <c r="M6" s="36"/>
      <c r="N6" s="37"/>
    </row>
    <row r="7" spans="1:14" ht="39" customHeight="1" thickBot="1" x14ac:dyDescent="0.25">
      <c r="A7" s="9"/>
      <c r="B7" s="9"/>
      <c r="C7" s="4"/>
      <c r="D7" s="4"/>
      <c r="E7" s="71"/>
      <c r="F7" s="71"/>
      <c r="G7" s="71"/>
      <c r="H7" s="71"/>
      <c r="I7" s="71"/>
      <c r="J7" s="7" t="s">
        <v>13</v>
      </c>
      <c r="K7" s="7" t="s">
        <v>14</v>
      </c>
      <c r="L7" s="7" t="s">
        <v>15</v>
      </c>
      <c r="M7" s="7" t="s">
        <v>16</v>
      </c>
      <c r="N7" s="8" t="s">
        <v>17</v>
      </c>
    </row>
    <row r="8" spans="1:14" ht="17.25" customHeight="1" thickBot="1" x14ac:dyDescent="0.25">
      <c r="A8" s="45" t="s">
        <v>30</v>
      </c>
      <c r="B8" s="28">
        <v>2016</v>
      </c>
      <c r="C8" s="11"/>
      <c r="D8" s="9"/>
      <c r="E8" s="40">
        <v>1</v>
      </c>
      <c r="F8" s="43" t="str">
        <f>IF(Enrollment=0,"n/a",DGET(data,"Ref_hr1",_xlnm.Criteria))</f>
        <v>n/a</v>
      </c>
      <c r="G8" s="43" t="str">
        <f t="shared" ref="G8:G31" si="0">IF(Enrollment=0,"n/a",F8-H8)</f>
        <v>n/a</v>
      </c>
      <c r="H8" s="43" t="str">
        <f>IF(Enrollment=0,"n/a",DGET(data,"Pctile50_hr1",_xlnm.Criteria))</f>
        <v>n/a</v>
      </c>
      <c r="I8" s="43" t="str">
        <f>IF(Enrollment=0,"n/a",DGET(data,"Temp_hr1",_xlnm.Criteria))</f>
        <v>n/a</v>
      </c>
      <c r="J8" s="43" t="str">
        <f>IF(Enrollment=0,"n/a",DGET(data,"Pctile10_hr1",_xlnm.Criteria))</f>
        <v>n/a</v>
      </c>
      <c r="K8" s="43" t="str">
        <f>IF(Enrollment=0,"n/a",DGET(data,"Pctile30_hr1",_xlnm.Criteria))</f>
        <v>n/a</v>
      </c>
      <c r="L8" s="43" t="str">
        <f>H8</f>
        <v>n/a</v>
      </c>
      <c r="M8" s="43" t="str">
        <f>IF(Enrollment=0,"n/a",DGET(data,"Pctile70_hr1",_xlnm.Criteria))</f>
        <v>n/a</v>
      </c>
      <c r="N8" s="43" t="str">
        <f>IF(Enrollment=0,"n/a",DGET(data,"Pctile90_hr1",_xlnm.Criteria))</f>
        <v>n/a</v>
      </c>
    </row>
    <row r="9" spans="1:14" ht="17.25" customHeight="1" thickBot="1" x14ac:dyDescent="0.25">
      <c r="A9" s="45" t="s">
        <v>31</v>
      </c>
      <c r="B9" s="12" t="s">
        <v>225</v>
      </c>
      <c r="C9" s="13"/>
      <c r="D9" s="11"/>
      <c r="E9" s="41">
        <v>2</v>
      </c>
      <c r="F9" s="44" t="str">
        <f>IF(Enrollment=0,"n/a",DGET(data,"Ref_hr2",_xlnm.Criteria))</f>
        <v>n/a</v>
      </c>
      <c r="G9" s="44" t="str">
        <f t="shared" si="0"/>
        <v>n/a</v>
      </c>
      <c r="H9" s="44" t="str">
        <f>IF(Enrollment=0,"n/a",DGET(data,"Pctile50_hr2",_xlnm.Criteria))</f>
        <v>n/a</v>
      </c>
      <c r="I9" s="44" t="str">
        <f>IF(Enrollment=0,"n/a",DGET(data,"Temp_hr2",_xlnm.Criteria))</f>
        <v>n/a</v>
      </c>
      <c r="J9" s="44" t="str">
        <f>IF(Enrollment=0,"n/a",DGET(data,"Pctile10_hr2",_xlnm.Criteria))</f>
        <v>n/a</v>
      </c>
      <c r="K9" s="44" t="str">
        <f>IF(Enrollment=0,"n/a",DGET(data,"Pctile30_hr2",_xlnm.Criteria))</f>
        <v>n/a</v>
      </c>
      <c r="L9" s="44" t="str">
        <f t="shared" ref="L9:L31" si="1">H9</f>
        <v>n/a</v>
      </c>
      <c r="M9" s="44" t="str">
        <f>IF(Enrollment=0,"n/a",DGET(data,"Pctile70_hr2",_xlnm.Criteria))</f>
        <v>n/a</v>
      </c>
      <c r="N9" s="44" t="str">
        <f>IF(Enrollment=0,"n/a",DGET(data,"Pctile90_hr2",_xlnm.Criteria))</f>
        <v>n/a</v>
      </c>
    </row>
    <row r="10" spans="1:14" ht="17.25" customHeight="1" thickBot="1" x14ac:dyDescent="0.25">
      <c r="A10" s="45" t="s">
        <v>29</v>
      </c>
      <c r="B10" s="12" t="s">
        <v>214</v>
      </c>
      <c r="C10" s="14"/>
      <c r="D10" s="13"/>
      <c r="E10" s="41">
        <v>3</v>
      </c>
      <c r="F10" s="44" t="str">
        <f>IF(Enrollment=0,"n/a",DGET(data,"Ref_hr3",_xlnm.Criteria))</f>
        <v>n/a</v>
      </c>
      <c r="G10" s="44" t="str">
        <f t="shared" si="0"/>
        <v>n/a</v>
      </c>
      <c r="H10" s="44" t="str">
        <f>IF(Enrollment=0,"n/a",DGET(data,"Pctile50_hr3",_xlnm.Criteria))</f>
        <v>n/a</v>
      </c>
      <c r="I10" s="44" t="str">
        <f>IF(Enrollment=0,"n/a",DGET(data,"Temp_hr3",_xlnm.Criteria))</f>
        <v>n/a</v>
      </c>
      <c r="J10" s="44" t="str">
        <f>IF(Enrollment=0,"n/a",DGET(data,"Pctile10_hr3",_xlnm.Criteria))</f>
        <v>n/a</v>
      </c>
      <c r="K10" s="44" t="str">
        <f>IF(Enrollment=0,"n/a",DGET(data,"Pctile30_hr3",_xlnm.Criteria))</f>
        <v>n/a</v>
      </c>
      <c r="L10" s="44" t="str">
        <f t="shared" si="1"/>
        <v>n/a</v>
      </c>
      <c r="M10" s="44" t="str">
        <f>IF(Enrollment=0,"n/a",DGET(data,"Pctile70_hr3",_xlnm.Criteria))</f>
        <v>n/a</v>
      </c>
      <c r="N10" s="44" t="str">
        <f>IF(Enrollment=0,"n/a",DGET(data,"Pctile90_hr3",_xlnm.Criteria))</f>
        <v>n/a</v>
      </c>
    </row>
    <row r="11" spans="1:14" ht="17.25" customHeight="1" thickBot="1" x14ac:dyDescent="0.25">
      <c r="A11" s="56" t="s">
        <v>221</v>
      </c>
      <c r="B11" s="12" t="s">
        <v>241</v>
      </c>
      <c r="C11" s="14"/>
      <c r="D11" s="14"/>
      <c r="E11" s="41">
        <v>4</v>
      </c>
      <c r="F11" s="44" t="str">
        <f>IF(Enrollment=0,"n/a",DGET(data,"Ref_hr4",_xlnm.Criteria))</f>
        <v>n/a</v>
      </c>
      <c r="G11" s="44" t="str">
        <f t="shared" si="0"/>
        <v>n/a</v>
      </c>
      <c r="H11" s="44" t="str">
        <f>IF(Enrollment=0,"n/a",DGET(data,"Pctile50_hr4",_xlnm.Criteria))</f>
        <v>n/a</v>
      </c>
      <c r="I11" s="44" t="str">
        <f>IF(Enrollment=0,"n/a",DGET(data,"Temp_hr4",_xlnm.Criteria))</f>
        <v>n/a</v>
      </c>
      <c r="J11" s="44" t="str">
        <f>IF(Enrollment=0,"n/a",DGET(data,"Pctile10_hr4",_xlnm.Criteria))</f>
        <v>n/a</v>
      </c>
      <c r="K11" s="44" t="str">
        <f>IF(Enrollment=0,"n/a",DGET(data,"Pctile30_hr4",_xlnm.Criteria))</f>
        <v>n/a</v>
      </c>
      <c r="L11" s="44" t="str">
        <f t="shared" si="1"/>
        <v>n/a</v>
      </c>
      <c r="M11" s="44" t="str">
        <f>IF(Enrollment=0,"n/a",DGET(data,"Pctile70_hr4",_xlnm.Criteria))</f>
        <v>n/a</v>
      </c>
      <c r="N11" s="44" t="str">
        <f>IF(Enrollment=0,"n/a",DGET(data,"Pctile90_hr4",_xlnm.Criteria))</f>
        <v>n/a</v>
      </c>
    </row>
    <row r="12" spans="1:14" ht="17.25" customHeight="1" x14ac:dyDescent="0.2">
      <c r="D12" s="14"/>
      <c r="E12" s="41">
        <v>5</v>
      </c>
      <c r="F12" s="44" t="str">
        <f>IF(Enrollment=0,"n/a",DGET(data,"Ref_hr5",_xlnm.Criteria))</f>
        <v>n/a</v>
      </c>
      <c r="G12" s="44" t="str">
        <f t="shared" si="0"/>
        <v>n/a</v>
      </c>
      <c r="H12" s="44" t="str">
        <f>IF(Enrollment=0,"n/a",DGET(data,"Pctile50_hr5",_xlnm.Criteria))</f>
        <v>n/a</v>
      </c>
      <c r="I12" s="44" t="str">
        <f>IF(Enrollment=0,"n/a",DGET(data,"Temp_hr5",_xlnm.Criteria))</f>
        <v>n/a</v>
      </c>
      <c r="J12" s="44" t="str">
        <f>IF(Enrollment=0,"n/a",DGET(data,"Pctile10_hr5",_xlnm.Criteria))</f>
        <v>n/a</v>
      </c>
      <c r="K12" s="44" t="str">
        <f>IF(Enrollment=0,"n/a",DGET(data,"Pctile30_hr5",_xlnm.Criteria))</f>
        <v>n/a</v>
      </c>
      <c r="L12" s="44" t="str">
        <f t="shared" si="1"/>
        <v>n/a</v>
      </c>
      <c r="M12" s="44" t="str">
        <f>IF(Enrollment=0,"n/a",DGET(data,"Pctile70_hr5",_xlnm.Criteria))</f>
        <v>n/a</v>
      </c>
      <c r="N12" s="44" t="str">
        <f>IF(Enrollment=0,"n/a",DGET(data,"Pctile90_hr5",_xlnm.Criteria))</f>
        <v>n/a</v>
      </c>
    </row>
    <row r="13" spans="1:14" ht="17.25" customHeight="1" x14ac:dyDescent="0.2">
      <c r="D13" s="4"/>
      <c r="E13" s="41">
        <v>6</v>
      </c>
      <c r="F13" s="44" t="str">
        <f>IF(Enrollment=0,"n/a",DGET(data,"Ref_hr6",_xlnm.Criteria))</f>
        <v>n/a</v>
      </c>
      <c r="G13" s="44" t="str">
        <f t="shared" si="0"/>
        <v>n/a</v>
      </c>
      <c r="H13" s="44" t="str">
        <f>IF(Enrollment=0,"n/a",DGET(data,"Pctile50_hr6",_xlnm.Criteria))</f>
        <v>n/a</v>
      </c>
      <c r="I13" s="44" t="str">
        <f>IF(Enrollment=0,"n/a",DGET(data,"Temp_hr6",_xlnm.Criteria))</f>
        <v>n/a</v>
      </c>
      <c r="J13" s="44" t="str">
        <f>IF(Enrollment=0,"n/a",DGET(data,"Pctile10_hr6",_xlnm.Criteria))</f>
        <v>n/a</v>
      </c>
      <c r="K13" s="44" t="str">
        <f>IF(Enrollment=0,"n/a",DGET(data,"Pctile30_hr6",_xlnm.Criteria))</f>
        <v>n/a</v>
      </c>
      <c r="L13" s="44" t="str">
        <f t="shared" si="1"/>
        <v>n/a</v>
      </c>
      <c r="M13" s="44" t="str">
        <f>IF(Enrollment=0,"n/a",DGET(data,"Pctile70_hr6",_xlnm.Criteria))</f>
        <v>n/a</v>
      </c>
      <c r="N13" s="44" t="str">
        <f>IF(Enrollment=0,"n/a",DGET(data,"Pctile90_hr6",_xlnm.Criteria))</f>
        <v>n/a</v>
      </c>
    </row>
    <row r="14" spans="1:14" ht="16.5" x14ac:dyDescent="0.2">
      <c r="D14" s="4"/>
      <c r="E14" s="41">
        <v>7</v>
      </c>
      <c r="F14" s="44" t="str">
        <f>IF(Enrollment=0,"n/a",DGET(data,"Ref_hr7",_xlnm.Criteria))</f>
        <v>n/a</v>
      </c>
      <c r="G14" s="44" t="str">
        <f t="shared" si="0"/>
        <v>n/a</v>
      </c>
      <c r="H14" s="44" t="str">
        <f>IF(Enrollment=0,"n/a",DGET(data,"Pctile50_hr7",_xlnm.Criteria))</f>
        <v>n/a</v>
      </c>
      <c r="I14" s="44" t="str">
        <f>IF(Enrollment=0,"n/a",DGET(data,"Temp_hr7",_xlnm.Criteria))</f>
        <v>n/a</v>
      </c>
      <c r="J14" s="44" t="str">
        <f>IF(Enrollment=0,"n/a",DGET(data,"Pctile10_hr7",_xlnm.Criteria))</f>
        <v>n/a</v>
      </c>
      <c r="K14" s="44" t="str">
        <f>IF(Enrollment=0,"n/a",DGET(data,"Pctile30_hr7",_xlnm.Criteria))</f>
        <v>n/a</v>
      </c>
      <c r="L14" s="44" t="str">
        <f t="shared" si="1"/>
        <v>n/a</v>
      </c>
      <c r="M14" s="44" t="str">
        <f>IF(Enrollment=0,"n/a",DGET(data,"Pctile70_hr7",_xlnm.Criteria))</f>
        <v>n/a</v>
      </c>
      <c r="N14" s="44" t="str">
        <f>IF(Enrollment=0,"n/a",DGET(data,"Pctile90_hr7",_xlnm.Criteria))</f>
        <v>n/a</v>
      </c>
    </row>
    <row r="15" spans="1:14" ht="16.5" x14ac:dyDescent="0.2">
      <c r="A15" s="15"/>
      <c r="C15" s="4"/>
      <c r="D15" s="4"/>
      <c r="E15" s="41">
        <v>8</v>
      </c>
      <c r="F15" s="44" t="str">
        <f>IF(Enrollment=0,"n/a",DGET(data,"Ref_hr8",_xlnm.Criteria))</f>
        <v>n/a</v>
      </c>
      <c r="G15" s="44" t="str">
        <f t="shared" si="0"/>
        <v>n/a</v>
      </c>
      <c r="H15" s="44" t="str">
        <f>IF(Enrollment=0,"n/a",DGET(data,"Pctile50_hr8",_xlnm.Criteria))</f>
        <v>n/a</v>
      </c>
      <c r="I15" s="44" t="str">
        <f>IF(Enrollment=0,"n/a",DGET(data,"Temp_hr8",_xlnm.Criteria))</f>
        <v>n/a</v>
      </c>
      <c r="J15" s="44" t="str">
        <f>IF(Enrollment=0,"n/a",DGET(data,"Pctile10_hr8",_xlnm.Criteria))</f>
        <v>n/a</v>
      </c>
      <c r="K15" s="44" t="str">
        <f>IF(Enrollment=0,"n/a",DGET(data,"Pctile30_hr8",_xlnm.Criteria))</f>
        <v>n/a</v>
      </c>
      <c r="L15" s="44" t="str">
        <f t="shared" si="1"/>
        <v>n/a</v>
      </c>
      <c r="M15" s="44" t="str">
        <f>IF(Enrollment=0,"n/a",DGET(data,"Pctile70_hr8",_xlnm.Criteria))</f>
        <v>n/a</v>
      </c>
      <c r="N15" s="44" t="str">
        <f>IF(Enrollment=0,"n/a",DGET(data,"Pctile90_hr8",_xlnm.Criteria))</f>
        <v>n/a</v>
      </c>
    </row>
    <row r="16" spans="1:14" ht="16.5" x14ac:dyDescent="0.2">
      <c r="C16" s="4"/>
      <c r="D16" s="4"/>
      <c r="E16" s="41">
        <v>9</v>
      </c>
      <c r="F16" s="44" t="str">
        <f>IF(Enrollment=0,"n/a",DGET(data,"Ref_hr9",_xlnm.Criteria))</f>
        <v>n/a</v>
      </c>
      <c r="G16" s="44" t="str">
        <f t="shared" si="0"/>
        <v>n/a</v>
      </c>
      <c r="H16" s="44" t="str">
        <f>IF(Enrollment=0,"n/a",DGET(data,"Pctile50_hr9",_xlnm.Criteria))</f>
        <v>n/a</v>
      </c>
      <c r="I16" s="44" t="str">
        <f>IF(Enrollment=0,"n/a",DGET(data,"Temp_hr9",_xlnm.Criteria))</f>
        <v>n/a</v>
      </c>
      <c r="J16" s="44" t="str">
        <f>IF(Enrollment=0,"n/a",DGET(data,"Pctile10_hr9",_xlnm.Criteria))</f>
        <v>n/a</v>
      </c>
      <c r="K16" s="44" t="str">
        <f>IF(Enrollment=0,"n/a",DGET(data,"Pctile30_hr9",_xlnm.Criteria))</f>
        <v>n/a</v>
      </c>
      <c r="L16" s="44" t="str">
        <f t="shared" si="1"/>
        <v>n/a</v>
      </c>
      <c r="M16" s="44" t="str">
        <f>IF(Enrollment=0,"n/a",DGET(data,"Pctile70_hr9",_xlnm.Criteria))</f>
        <v>n/a</v>
      </c>
      <c r="N16" s="44" t="str">
        <f>IF(Enrollment=0,"n/a",DGET(data,"Pctile90_hr9",_xlnm.Criteria))</f>
        <v>n/a</v>
      </c>
    </row>
    <row r="17" spans="3:23" ht="16.5" x14ac:dyDescent="0.2">
      <c r="C17" s="4"/>
      <c r="D17" s="4"/>
      <c r="E17" s="41">
        <v>10</v>
      </c>
      <c r="F17" s="44" t="str">
        <f>IF(Enrollment=0,"n/a",DGET(data,"Ref_hr10",_xlnm.Criteria))</f>
        <v>n/a</v>
      </c>
      <c r="G17" s="44" t="str">
        <f t="shared" si="0"/>
        <v>n/a</v>
      </c>
      <c r="H17" s="44" t="str">
        <f>IF(Enrollment=0,"n/a",DGET(data,"Pctile50_hr10",_xlnm.Criteria))</f>
        <v>n/a</v>
      </c>
      <c r="I17" s="44" t="str">
        <f>IF(Enrollment=0,"n/a",DGET(data,"Temp_hr10",_xlnm.Criteria))</f>
        <v>n/a</v>
      </c>
      <c r="J17" s="44" t="str">
        <f>IF(Enrollment=0,"n/a",DGET(data,"Pctile10_hr10",_xlnm.Criteria))</f>
        <v>n/a</v>
      </c>
      <c r="K17" s="44" t="str">
        <f>IF(Enrollment=0,"n/a",DGET(data,"Pctile30_hr10",_xlnm.Criteria))</f>
        <v>n/a</v>
      </c>
      <c r="L17" s="44" t="str">
        <f t="shared" si="1"/>
        <v>n/a</v>
      </c>
      <c r="M17" s="44" t="str">
        <f>IF(Enrollment=0,"n/a",DGET(data,"Pctile70_hr10",_xlnm.Criteria))</f>
        <v>n/a</v>
      </c>
      <c r="N17" s="44" t="str">
        <f>IF(Enrollment=0,"n/a",DGET(data,"Pctile90_hr10",_xlnm.Criteria))</f>
        <v>n/a</v>
      </c>
    </row>
    <row r="18" spans="3:23" ht="16.5" x14ac:dyDescent="0.2">
      <c r="C18" s="4"/>
      <c r="D18" s="4"/>
      <c r="E18" s="41">
        <v>11</v>
      </c>
      <c r="F18" s="44" t="str">
        <f>IF(Enrollment=0,"n/a",DGET(data,"Ref_hr11",_xlnm.Criteria))</f>
        <v>n/a</v>
      </c>
      <c r="G18" s="44" t="str">
        <f t="shared" si="0"/>
        <v>n/a</v>
      </c>
      <c r="H18" s="44" t="str">
        <f>IF(Enrollment=0,"n/a",DGET(data,"Pctile50_hr11",_xlnm.Criteria))</f>
        <v>n/a</v>
      </c>
      <c r="I18" s="44" t="str">
        <f>IF(Enrollment=0,"n/a",DGET(data,"Temp_hr11",_xlnm.Criteria))</f>
        <v>n/a</v>
      </c>
      <c r="J18" s="44" t="str">
        <f>IF(Enrollment=0,"n/a",DGET(data,"Pctile10_hr11",_xlnm.Criteria))</f>
        <v>n/a</v>
      </c>
      <c r="K18" s="44" t="str">
        <f>IF(Enrollment=0,"n/a",DGET(data,"Pctile30_hr11",_xlnm.Criteria))</f>
        <v>n/a</v>
      </c>
      <c r="L18" s="44" t="str">
        <f t="shared" si="1"/>
        <v>n/a</v>
      </c>
      <c r="M18" s="44" t="str">
        <f>IF(Enrollment=0,"n/a",DGET(data,"Pctile70_hr11",_xlnm.Criteria))</f>
        <v>n/a</v>
      </c>
      <c r="N18" s="44" t="str">
        <f>IF(Enrollment=0,"n/a",DGET(data,"Pctile90_hr11",_xlnm.Criteria))</f>
        <v>n/a</v>
      </c>
      <c r="S18" s="48"/>
      <c r="T18" s="48"/>
      <c r="U18" s="48"/>
      <c r="V18" s="48"/>
      <c r="W18" s="48"/>
    </row>
    <row r="19" spans="3:23" ht="16.5" x14ac:dyDescent="0.2">
      <c r="C19" s="4"/>
      <c r="D19" s="4"/>
      <c r="E19" s="41">
        <v>12</v>
      </c>
      <c r="F19" s="44" t="str">
        <f>IF(Enrollment=0,"n/a",DGET(data,"Ref_hr12",_xlnm.Criteria))</f>
        <v>n/a</v>
      </c>
      <c r="G19" s="44" t="str">
        <f t="shared" si="0"/>
        <v>n/a</v>
      </c>
      <c r="H19" s="44" t="str">
        <f>IF(Enrollment=0,"n/a",DGET(data,"Pctile50_hr12",_xlnm.Criteria))</f>
        <v>n/a</v>
      </c>
      <c r="I19" s="44" t="str">
        <f>IF(Enrollment=0,"n/a",DGET(data,"Temp_hr12",_xlnm.Criteria))</f>
        <v>n/a</v>
      </c>
      <c r="J19" s="44" t="str">
        <f>IF(Enrollment=0,"n/a",DGET(data,"Pctile10_hr12",_xlnm.Criteria))</f>
        <v>n/a</v>
      </c>
      <c r="K19" s="44" t="str">
        <f>IF(Enrollment=0,"n/a",DGET(data,"Pctile30_hr12",_xlnm.Criteria))</f>
        <v>n/a</v>
      </c>
      <c r="L19" s="44" t="str">
        <f t="shared" si="1"/>
        <v>n/a</v>
      </c>
      <c r="M19" s="44" t="str">
        <f>IF(Enrollment=0,"n/a",DGET(data,"Pctile70_hr12",_xlnm.Criteria))</f>
        <v>n/a</v>
      </c>
      <c r="N19" s="44" t="str">
        <f>IF(Enrollment=0,"n/a",DGET(data,"Pctile90_hr12",_xlnm.Criteria))</f>
        <v>n/a</v>
      </c>
      <c r="S19" s="48"/>
      <c r="T19" s="48"/>
      <c r="U19" s="48"/>
      <c r="V19" s="48"/>
      <c r="W19" s="48"/>
    </row>
    <row r="20" spans="3:23" ht="16.5" x14ac:dyDescent="0.2">
      <c r="C20" s="4"/>
      <c r="D20" s="4"/>
      <c r="E20" s="41">
        <v>13</v>
      </c>
      <c r="F20" s="44" t="str">
        <f>IF(Enrollment=0,"n/a",DGET(data,"Ref_hr13",_xlnm.Criteria))</f>
        <v>n/a</v>
      </c>
      <c r="G20" s="44" t="str">
        <f t="shared" si="0"/>
        <v>n/a</v>
      </c>
      <c r="H20" s="44" t="str">
        <f>IF(Enrollment=0,"n/a",DGET(data,"Pctile50_hr13",_xlnm.Criteria))</f>
        <v>n/a</v>
      </c>
      <c r="I20" s="44" t="str">
        <f>IF(Enrollment=0,"n/a",DGET(data,"Temp_hr13",_xlnm.Criteria))</f>
        <v>n/a</v>
      </c>
      <c r="J20" s="44" t="str">
        <f>IF(Enrollment=0,"n/a",DGET(data,"Pctile10_hr13",_xlnm.Criteria))</f>
        <v>n/a</v>
      </c>
      <c r="K20" s="44" t="str">
        <f>IF(Enrollment=0,"n/a",DGET(data,"Pctile30_hr13",_xlnm.Criteria))</f>
        <v>n/a</v>
      </c>
      <c r="L20" s="44" t="str">
        <f t="shared" si="1"/>
        <v>n/a</v>
      </c>
      <c r="M20" s="44" t="str">
        <f>IF(Enrollment=0,"n/a",DGET(data,"Pctile70_hr13",_xlnm.Criteria))</f>
        <v>n/a</v>
      </c>
      <c r="N20" s="44" t="str">
        <f>IF(Enrollment=0,"n/a",DGET(data,"Pctile90_hr13",_xlnm.Criteria))</f>
        <v>n/a</v>
      </c>
      <c r="S20" s="48"/>
      <c r="T20" s="48"/>
      <c r="U20" s="48"/>
      <c r="V20" s="48"/>
      <c r="W20" s="48"/>
    </row>
    <row r="21" spans="3:23" ht="16.5" x14ac:dyDescent="0.2">
      <c r="C21" s="4"/>
      <c r="D21" s="4"/>
      <c r="E21" s="41">
        <v>14</v>
      </c>
      <c r="F21" s="44" t="str">
        <f>IF(Enrollment=0,"n/a",DGET(data,"Ref_hr14",_xlnm.Criteria))</f>
        <v>n/a</v>
      </c>
      <c r="G21" s="44" t="str">
        <f t="shared" si="0"/>
        <v>n/a</v>
      </c>
      <c r="H21" s="44" t="str">
        <f>IF(Enrollment=0,"n/a",DGET(data,"Pctile50_hr14",_xlnm.Criteria))</f>
        <v>n/a</v>
      </c>
      <c r="I21" s="44" t="str">
        <f>IF(Enrollment=0,"n/a",DGET(data,"Temp_hr14",_xlnm.Criteria))</f>
        <v>n/a</v>
      </c>
      <c r="J21" s="44" t="str">
        <f>IF(Enrollment=0,"n/a",DGET(data,"Pctile10_hr14",_xlnm.Criteria))</f>
        <v>n/a</v>
      </c>
      <c r="K21" s="44" t="str">
        <f>IF(Enrollment=0,"n/a",DGET(data,"Pctile30_hr14",_xlnm.Criteria))</f>
        <v>n/a</v>
      </c>
      <c r="L21" s="44" t="str">
        <f t="shared" si="1"/>
        <v>n/a</v>
      </c>
      <c r="M21" s="44" t="str">
        <f>IF(Enrollment=0,"n/a",DGET(data,"Pctile70_hr14",_xlnm.Criteria))</f>
        <v>n/a</v>
      </c>
      <c r="N21" s="44" t="str">
        <f>IF(Enrollment=0,"n/a",DGET(data,"Pctile90_hr14",_xlnm.Criteria))</f>
        <v>n/a</v>
      </c>
      <c r="S21" s="48"/>
      <c r="T21" s="48"/>
      <c r="U21" s="48"/>
      <c r="V21" s="48"/>
      <c r="W21" s="48"/>
    </row>
    <row r="22" spans="3:23" ht="16.5" x14ac:dyDescent="0.2">
      <c r="C22" s="4"/>
      <c r="D22" s="4"/>
      <c r="E22" s="41">
        <v>15</v>
      </c>
      <c r="F22" s="44" t="str">
        <f>IF(Enrollment=0,"n/a",DGET(data,"Ref_hr15",_xlnm.Criteria))</f>
        <v>n/a</v>
      </c>
      <c r="G22" s="44" t="str">
        <f t="shared" si="0"/>
        <v>n/a</v>
      </c>
      <c r="H22" s="44" t="str">
        <f>IF(Enrollment=0,"n/a",DGET(data,"Pctile50_hr15",_xlnm.Criteria))</f>
        <v>n/a</v>
      </c>
      <c r="I22" s="44" t="str">
        <f>IF(Enrollment=0,"n/a",DGET(data,"Temp_hr15",_xlnm.Criteria))</f>
        <v>n/a</v>
      </c>
      <c r="J22" s="44" t="str">
        <f>IF(Enrollment=0,"n/a",DGET(data,"Pctile10_hr15",_xlnm.Criteria))</f>
        <v>n/a</v>
      </c>
      <c r="K22" s="44" t="str">
        <f>IF(Enrollment=0,"n/a",DGET(data,"Pctile30_hr15",_xlnm.Criteria))</f>
        <v>n/a</v>
      </c>
      <c r="L22" s="44" t="str">
        <f t="shared" si="1"/>
        <v>n/a</v>
      </c>
      <c r="M22" s="44" t="str">
        <f>IF(Enrollment=0,"n/a",DGET(data,"Pctile70_hr15",_xlnm.Criteria))</f>
        <v>n/a</v>
      </c>
      <c r="N22" s="44" t="str">
        <f>IF(Enrollment=0,"n/a",DGET(data,"Pctile90_hr15",_xlnm.Criteria))</f>
        <v>n/a</v>
      </c>
      <c r="S22" s="48"/>
      <c r="T22" s="48"/>
      <c r="U22" s="48"/>
      <c r="V22" s="48"/>
      <c r="W22" s="48"/>
    </row>
    <row r="23" spans="3:23" ht="16.5" x14ac:dyDescent="0.2">
      <c r="C23" s="4"/>
      <c r="D23" s="4"/>
      <c r="E23" s="41">
        <v>16</v>
      </c>
      <c r="F23" s="44" t="str">
        <f>IF(Enrollment=0,"n/a",DGET(data,"Ref_hr16",_xlnm.Criteria))</f>
        <v>n/a</v>
      </c>
      <c r="G23" s="44" t="str">
        <f t="shared" si="0"/>
        <v>n/a</v>
      </c>
      <c r="H23" s="44" t="str">
        <f>IF(Enrollment=0,"n/a",DGET(data,"Pctile50_hr16",_xlnm.Criteria))</f>
        <v>n/a</v>
      </c>
      <c r="I23" s="44" t="str">
        <f>IF(Enrollment=0,"n/a",DGET(data,"Temp_hr16",_xlnm.Criteria))</f>
        <v>n/a</v>
      </c>
      <c r="J23" s="44" t="str">
        <f>IF(Enrollment=0,"n/a",DGET(data,"Pctile10_hr16",_xlnm.Criteria))</f>
        <v>n/a</v>
      </c>
      <c r="K23" s="44" t="str">
        <f>IF(Enrollment=0,"n/a",DGET(data,"Pctile30_hr16",_xlnm.Criteria))</f>
        <v>n/a</v>
      </c>
      <c r="L23" s="44" t="str">
        <f t="shared" si="1"/>
        <v>n/a</v>
      </c>
      <c r="M23" s="44" t="str">
        <f>IF(Enrollment=0,"n/a",DGET(data,"Pctile70_hr16",_xlnm.Criteria))</f>
        <v>n/a</v>
      </c>
      <c r="N23" s="44" t="str">
        <f>IF(Enrollment=0,"n/a",DGET(data,"Pctile90_hr16",_xlnm.Criteria))</f>
        <v>n/a</v>
      </c>
      <c r="S23" s="48"/>
      <c r="T23" s="48"/>
      <c r="U23" s="48"/>
      <c r="V23" s="48"/>
      <c r="W23" s="48"/>
    </row>
    <row r="24" spans="3:23" ht="16.5" x14ac:dyDescent="0.2">
      <c r="C24" s="4"/>
      <c r="D24" s="4"/>
      <c r="E24" s="41">
        <v>17</v>
      </c>
      <c r="F24" s="44" t="str">
        <f>IF(Enrollment=0,"n/a",DGET(data,"Ref_hr17",_xlnm.Criteria))</f>
        <v>n/a</v>
      </c>
      <c r="G24" s="44" t="str">
        <f t="shared" si="0"/>
        <v>n/a</v>
      </c>
      <c r="H24" s="44" t="str">
        <f>IF(Enrollment=0,"n/a",DGET(data,"Pctile50_hr17",_xlnm.Criteria))</f>
        <v>n/a</v>
      </c>
      <c r="I24" s="44" t="str">
        <f>IF(Enrollment=0,"n/a",DGET(data,"Temp_hr17",_xlnm.Criteria))</f>
        <v>n/a</v>
      </c>
      <c r="J24" s="44" t="str">
        <f>IF(Enrollment=0,"n/a",DGET(data,"Pctile10_hr17",_xlnm.Criteria))</f>
        <v>n/a</v>
      </c>
      <c r="K24" s="44" t="str">
        <f>IF(Enrollment=0,"n/a",DGET(data,"Pctile30_hr17",_xlnm.Criteria))</f>
        <v>n/a</v>
      </c>
      <c r="L24" s="44" t="str">
        <f t="shared" si="1"/>
        <v>n/a</v>
      </c>
      <c r="M24" s="44" t="str">
        <f>IF(Enrollment=0,"n/a",DGET(data,"Pctile70_hr17",_xlnm.Criteria))</f>
        <v>n/a</v>
      </c>
      <c r="N24" s="44" t="str">
        <f>IF(Enrollment=0,"n/a",DGET(data,"Pctile90_hr17",_xlnm.Criteria))</f>
        <v>n/a</v>
      </c>
      <c r="S24" s="48"/>
      <c r="T24" s="48"/>
      <c r="U24" s="48"/>
      <c r="V24" s="48"/>
      <c r="W24" s="48"/>
    </row>
    <row r="25" spans="3:23" ht="16.5" x14ac:dyDescent="0.2">
      <c r="C25" s="4"/>
      <c r="D25" s="4"/>
      <c r="E25" s="41">
        <v>18</v>
      </c>
      <c r="F25" s="44" t="str">
        <f>IF(Enrollment=0,"n/a",DGET(data,"Ref_hr18",_xlnm.Criteria))</f>
        <v>n/a</v>
      </c>
      <c r="G25" s="44" t="str">
        <f t="shared" si="0"/>
        <v>n/a</v>
      </c>
      <c r="H25" s="44" t="str">
        <f>IF(Enrollment=0,"n/a",DGET(data,"Pctile50_hr18",_xlnm.Criteria))</f>
        <v>n/a</v>
      </c>
      <c r="I25" s="44" t="str">
        <f>IF(Enrollment=0,"n/a",DGET(data,"Temp_hr18",_xlnm.Criteria))</f>
        <v>n/a</v>
      </c>
      <c r="J25" s="44" t="str">
        <f>IF(Enrollment=0,"n/a",DGET(data,"Pctile10_hr18",_xlnm.Criteria))</f>
        <v>n/a</v>
      </c>
      <c r="K25" s="44" t="str">
        <f>IF(Enrollment=0,"n/a",DGET(data,"Pctile30_hr18",_xlnm.Criteria))</f>
        <v>n/a</v>
      </c>
      <c r="L25" s="44" t="str">
        <f t="shared" si="1"/>
        <v>n/a</v>
      </c>
      <c r="M25" s="44" t="str">
        <f>IF(Enrollment=0,"n/a",DGET(data,"Pctile70_hr18",_xlnm.Criteria))</f>
        <v>n/a</v>
      </c>
      <c r="N25" s="44" t="str">
        <f>IF(Enrollment=0,"n/a",DGET(data,"Pctile90_hr18",_xlnm.Criteria))</f>
        <v>n/a</v>
      </c>
      <c r="S25" s="48"/>
      <c r="T25" s="48"/>
      <c r="U25" s="48"/>
      <c r="V25" s="48"/>
      <c r="W25" s="48"/>
    </row>
    <row r="26" spans="3:23" ht="16.5" x14ac:dyDescent="0.2">
      <c r="C26" s="4"/>
      <c r="D26" s="4"/>
      <c r="E26" s="41">
        <v>19</v>
      </c>
      <c r="F26" s="44" t="str">
        <f>IF(Enrollment=0,"n/a",DGET(data,"Ref_hr19",_xlnm.Criteria))</f>
        <v>n/a</v>
      </c>
      <c r="G26" s="44" t="str">
        <f t="shared" si="0"/>
        <v>n/a</v>
      </c>
      <c r="H26" s="44" t="str">
        <f>IF(Enrollment=0,"n/a",DGET(data,"Pctile50_hr19",_xlnm.Criteria))</f>
        <v>n/a</v>
      </c>
      <c r="I26" s="44" t="str">
        <f>IF(Enrollment=0,"n/a",DGET(data,"Temp_hr19",_xlnm.Criteria))</f>
        <v>n/a</v>
      </c>
      <c r="J26" s="44" t="str">
        <f>IF(Enrollment=0,"n/a",DGET(data,"Pctile10_hr19",_xlnm.Criteria))</f>
        <v>n/a</v>
      </c>
      <c r="K26" s="44" t="str">
        <f>IF(Enrollment=0,"n/a",DGET(data,"Pctile30_hr19",_xlnm.Criteria))</f>
        <v>n/a</v>
      </c>
      <c r="L26" s="44" t="str">
        <f t="shared" si="1"/>
        <v>n/a</v>
      </c>
      <c r="M26" s="44" t="str">
        <f>IF(Enrollment=0,"n/a",DGET(data,"Pctile70_hr19",_xlnm.Criteria))</f>
        <v>n/a</v>
      </c>
      <c r="N26" s="44" t="str">
        <f>IF(Enrollment=0,"n/a",DGET(data,"Pctile90_hr19",_xlnm.Criteria))</f>
        <v>n/a</v>
      </c>
      <c r="S26" s="48"/>
      <c r="T26" s="48"/>
      <c r="U26" s="48"/>
      <c r="V26" s="48"/>
      <c r="W26" s="48"/>
    </row>
    <row r="27" spans="3:23" ht="16.5" x14ac:dyDescent="0.2">
      <c r="C27" s="4"/>
      <c r="D27" s="4"/>
      <c r="E27" s="41">
        <v>20</v>
      </c>
      <c r="F27" s="44" t="str">
        <f>IF(Enrollment=0,"n/a",DGET(data,"Ref_hr20",_xlnm.Criteria))</f>
        <v>n/a</v>
      </c>
      <c r="G27" s="44" t="str">
        <f t="shared" si="0"/>
        <v>n/a</v>
      </c>
      <c r="H27" s="44" t="str">
        <f>IF(Enrollment=0,"n/a",DGET(data,"Pctile50_hr20",_xlnm.Criteria))</f>
        <v>n/a</v>
      </c>
      <c r="I27" s="44" t="str">
        <f>IF(Enrollment=0,"n/a",DGET(data,"Temp_hr20",_xlnm.Criteria))</f>
        <v>n/a</v>
      </c>
      <c r="J27" s="44" t="str">
        <f>IF(Enrollment=0,"n/a",DGET(data,"Pctile10_hr20",_xlnm.Criteria))</f>
        <v>n/a</v>
      </c>
      <c r="K27" s="44" t="str">
        <f>IF(Enrollment=0,"n/a",DGET(data,"Pctile30_hr20",_xlnm.Criteria))</f>
        <v>n/a</v>
      </c>
      <c r="L27" s="44" t="str">
        <f t="shared" si="1"/>
        <v>n/a</v>
      </c>
      <c r="M27" s="44" t="str">
        <f>IF(Enrollment=0,"n/a",DGET(data,"Pctile70_hr20",_xlnm.Criteria))</f>
        <v>n/a</v>
      </c>
      <c r="N27" s="44" t="str">
        <f>IF(Enrollment=0,"n/a",DGET(data,"Pctile90_hr20",_xlnm.Criteria))</f>
        <v>n/a</v>
      </c>
      <c r="S27" s="48"/>
      <c r="T27" s="48"/>
      <c r="U27" s="48"/>
      <c r="V27" s="48"/>
      <c r="W27" s="48"/>
    </row>
    <row r="28" spans="3:23" ht="16.5" x14ac:dyDescent="0.2">
      <c r="C28" s="4"/>
      <c r="D28" s="4"/>
      <c r="E28" s="41">
        <v>21</v>
      </c>
      <c r="F28" s="44" t="str">
        <f>IF(Enrollment=0,"n/a",DGET(data,"Ref_hr21",_xlnm.Criteria))</f>
        <v>n/a</v>
      </c>
      <c r="G28" s="44" t="str">
        <f t="shared" si="0"/>
        <v>n/a</v>
      </c>
      <c r="H28" s="44" t="str">
        <f>IF(Enrollment=0,"n/a",DGET(data,"Pctile50_hr21",_xlnm.Criteria))</f>
        <v>n/a</v>
      </c>
      <c r="I28" s="44" t="str">
        <f>IF(Enrollment=0,"n/a",DGET(data,"Temp_hr21",_xlnm.Criteria))</f>
        <v>n/a</v>
      </c>
      <c r="J28" s="44" t="str">
        <f>IF(Enrollment=0,"n/a",DGET(data,"Pctile10_hr21",_xlnm.Criteria))</f>
        <v>n/a</v>
      </c>
      <c r="K28" s="44" t="str">
        <f>IF(Enrollment=0,"n/a",DGET(data,"Pctile30_hr21",_xlnm.Criteria))</f>
        <v>n/a</v>
      </c>
      <c r="L28" s="44" t="str">
        <f t="shared" si="1"/>
        <v>n/a</v>
      </c>
      <c r="M28" s="44" t="str">
        <f>IF(Enrollment=0,"n/a",DGET(data,"Pctile70_hr21",_xlnm.Criteria))</f>
        <v>n/a</v>
      </c>
      <c r="N28" s="44" t="str">
        <f>IF(Enrollment=0,"n/a",DGET(data,"Pctile90_hr21",_xlnm.Criteria))</f>
        <v>n/a</v>
      </c>
      <c r="S28" s="48"/>
      <c r="T28" s="48"/>
      <c r="U28" s="48"/>
      <c r="V28" s="48"/>
      <c r="W28" s="48"/>
    </row>
    <row r="29" spans="3:23" ht="16.5" x14ac:dyDescent="0.2">
      <c r="C29" s="4"/>
      <c r="D29" s="4"/>
      <c r="E29" s="41">
        <v>22</v>
      </c>
      <c r="F29" s="44" t="str">
        <f>IF(Enrollment=0,"n/a",DGET(data,"Ref_hr22",_xlnm.Criteria))</f>
        <v>n/a</v>
      </c>
      <c r="G29" s="44" t="str">
        <f t="shared" si="0"/>
        <v>n/a</v>
      </c>
      <c r="H29" s="44" t="str">
        <f>IF(Enrollment=0,"n/a",DGET(data,"Pctile50_hr22",_xlnm.Criteria))</f>
        <v>n/a</v>
      </c>
      <c r="I29" s="44" t="str">
        <f>IF(Enrollment=0,"n/a",DGET(data,"Temp_hr22",_xlnm.Criteria))</f>
        <v>n/a</v>
      </c>
      <c r="J29" s="44" t="str">
        <f>IF(Enrollment=0,"n/a",DGET(data,"Pctile10_hr22",_xlnm.Criteria))</f>
        <v>n/a</v>
      </c>
      <c r="K29" s="44" t="str">
        <f>IF(Enrollment=0,"n/a",DGET(data,"Pctile30_hr22",_xlnm.Criteria))</f>
        <v>n/a</v>
      </c>
      <c r="L29" s="44" t="str">
        <f t="shared" si="1"/>
        <v>n/a</v>
      </c>
      <c r="M29" s="44" t="str">
        <f>IF(Enrollment=0,"n/a",DGET(data,"Pctile70_hr22",_xlnm.Criteria))</f>
        <v>n/a</v>
      </c>
      <c r="N29" s="44" t="str">
        <f>IF(Enrollment=0,"n/a",DGET(data,"Pctile90_hr22",_xlnm.Criteria))</f>
        <v>n/a</v>
      </c>
    </row>
    <row r="30" spans="3:23" ht="16.5" x14ac:dyDescent="0.2">
      <c r="C30" s="4"/>
      <c r="D30" s="4"/>
      <c r="E30" s="41">
        <v>23</v>
      </c>
      <c r="F30" s="44" t="str">
        <f>IF(Enrollment=0,"n/a",DGET(data,"Ref_hr23",_xlnm.Criteria))</f>
        <v>n/a</v>
      </c>
      <c r="G30" s="44" t="str">
        <f t="shared" si="0"/>
        <v>n/a</v>
      </c>
      <c r="H30" s="44" t="str">
        <f>IF(Enrollment=0,"n/a",DGET(data,"Pctile50_hr23",_xlnm.Criteria))</f>
        <v>n/a</v>
      </c>
      <c r="I30" s="44" t="str">
        <f>IF(Enrollment=0,"n/a",DGET(data,"Temp_hr23",_xlnm.Criteria))</f>
        <v>n/a</v>
      </c>
      <c r="J30" s="44" t="str">
        <f>IF(Enrollment=0,"n/a",DGET(data,"Pctile10_hr23",_xlnm.Criteria))</f>
        <v>n/a</v>
      </c>
      <c r="K30" s="44" t="str">
        <f>IF(Enrollment=0,"n/a",DGET(data,"Pctile30_hr23",_xlnm.Criteria))</f>
        <v>n/a</v>
      </c>
      <c r="L30" s="44" t="str">
        <f t="shared" si="1"/>
        <v>n/a</v>
      </c>
      <c r="M30" s="44" t="str">
        <f>IF(Enrollment=0,"n/a",DGET(data,"Pctile70_hr23",_xlnm.Criteria))</f>
        <v>n/a</v>
      </c>
      <c r="N30" s="44" t="str">
        <f>IF(Enrollment=0,"n/a",DGET(data,"Pctile90_hr23",_xlnm.Criteria))</f>
        <v>n/a</v>
      </c>
    </row>
    <row r="31" spans="3:23" ht="16.5" x14ac:dyDescent="0.2">
      <c r="C31" s="4"/>
      <c r="D31" s="4"/>
      <c r="E31" s="42">
        <v>24</v>
      </c>
      <c r="F31" s="44" t="str">
        <f>IF(Enrollment=0,"n/a",DGET(data,"Ref_hr24",_xlnm.Criteria))</f>
        <v>n/a</v>
      </c>
      <c r="G31" s="44" t="str">
        <f t="shared" si="0"/>
        <v>n/a</v>
      </c>
      <c r="H31" s="44" t="str">
        <f>IF(Enrollment=0,"n/a",DGET(data,"Pctile50_hr24",_xlnm.Criteria))</f>
        <v>n/a</v>
      </c>
      <c r="I31" s="44" t="str">
        <f>IF(Enrollment=0,"n/a",DGET(data,"Temp_hr24",_xlnm.Criteria))</f>
        <v>n/a</v>
      </c>
      <c r="J31" s="44" t="str">
        <f>IF(Enrollment=0,"n/a",DGET(data,"Pctile10_hr24",_xlnm.Criteria))</f>
        <v>n/a</v>
      </c>
      <c r="K31" s="44" t="str">
        <f>IF(Enrollment=0,"n/a",DGET(data,"Pctile30_hr24",_xlnm.Criteria))</f>
        <v>n/a</v>
      </c>
      <c r="L31" s="44" t="str">
        <f t="shared" si="1"/>
        <v>n/a</v>
      </c>
      <c r="M31" s="44" t="str">
        <f>IF(Enrollment=0,"n/a",DGET(data,"Pctile70_hr24",_xlnm.Criteria))</f>
        <v>n/a</v>
      </c>
      <c r="N31" s="44" t="str">
        <f>IF(Enrollment=0,"n/a",DGET(data,"Pctile90_hr24",_xlnm.Criteria))</f>
        <v>n/a</v>
      </c>
    </row>
    <row r="32" spans="3:23" ht="49.5" customHeight="1" thickBot="1" x14ac:dyDescent="0.35">
      <c r="C32" s="4"/>
      <c r="D32" s="4"/>
      <c r="E32" s="16"/>
      <c r="F32" s="66" t="str">
        <f>"Reference
Energy Use
("&amp;IF(Result_type="Aggregate Impact","MWh)","kWh)")</f>
        <v>Reference
Energy Use
(MWh)</v>
      </c>
      <c r="G32" s="66" t="str">
        <f>"Estimated Event Day Energy Use ("&amp;IF(Result_type="Aggregate Impact","MWh)","kWh)")</f>
        <v>Estimated Event Day Energy Use (MWh)</v>
      </c>
      <c r="H32" s="66" t="str">
        <f>"Change in Energy Use ("&amp;IF(Result_type="Aggregate Impact","MWh)","kWh)")</f>
        <v>Change in Energy Use (MWh)</v>
      </c>
      <c r="I32" s="68" t="s">
        <v>218</v>
      </c>
      <c r="J32" s="61" t="str">
        <f>"Uncertainty Adjusted Impact ("&amp;IF(Result_type="Aggregate Impact","MWh/hour) - Percentiles","kWh/hour) - Percentiles")</f>
        <v>Uncertainty Adjusted Impact (MWh/hour) - Percentiles</v>
      </c>
      <c r="K32" s="17"/>
      <c r="L32" s="17"/>
      <c r="M32" s="17"/>
      <c r="N32" s="18"/>
    </row>
    <row r="33" spans="3:14" ht="16.5" x14ac:dyDescent="0.3">
      <c r="C33" s="4"/>
      <c r="D33" s="4"/>
      <c r="E33" s="57" t="s">
        <v>226</v>
      </c>
      <c r="F33" s="67"/>
      <c r="G33" s="67"/>
      <c r="H33" s="67"/>
      <c r="I33" s="67"/>
      <c r="J33" s="19" t="s">
        <v>19</v>
      </c>
      <c r="K33" s="19" t="s">
        <v>20</v>
      </c>
      <c r="L33" s="19" t="s">
        <v>21</v>
      </c>
      <c r="M33" s="19" t="s">
        <v>22</v>
      </c>
      <c r="N33" s="20" t="s">
        <v>23</v>
      </c>
    </row>
    <row r="34" spans="3:14" ht="17.25" thickBot="1" x14ac:dyDescent="0.35">
      <c r="C34" s="4"/>
      <c r="D34" s="4"/>
      <c r="E34" s="21" t="s">
        <v>24</v>
      </c>
      <c r="F34" s="22">
        <f>SUM(F8:F31)</f>
        <v>0</v>
      </c>
      <c r="G34" s="23">
        <f>SUM(G8:G31)</f>
        <v>0</v>
      </c>
      <c r="H34" s="23">
        <f>SUM(H8:H31)</f>
        <v>0</v>
      </c>
      <c r="I34" s="24" t="str">
        <f>IF(Enrollment=0,"n/a",SUM(Lookups!H23:H46))</f>
        <v>n/a</v>
      </c>
      <c r="J34" s="24" t="s">
        <v>25</v>
      </c>
      <c r="K34" s="24" t="s">
        <v>25</v>
      </c>
      <c r="L34" s="24" t="s">
        <v>25</v>
      </c>
      <c r="M34" s="24" t="s">
        <v>25</v>
      </c>
      <c r="N34" s="24" t="s">
        <v>25</v>
      </c>
    </row>
    <row r="35" spans="3:14" ht="17.25" thickBot="1" x14ac:dyDescent="0.35">
      <c r="E35" s="21" t="s">
        <v>227</v>
      </c>
      <c r="F35" s="65" t="str">
        <f>IF(Enrollment=0,"n/a",Lookups!J47)</f>
        <v>n/a</v>
      </c>
      <c r="G35" s="24" t="str">
        <f>IF(Enrollment=0,"n/a",Lookups!K47)</f>
        <v>n/a</v>
      </c>
      <c r="H35" s="24" t="str">
        <f>IF(Enrollment=0,"n/a",Lookups!L47)</f>
        <v>n/a</v>
      </c>
      <c r="I35" s="24" t="str">
        <f>IF(Enrollment=0,"n/a",Lookups!M47)</f>
        <v>n/a</v>
      </c>
      <c r="J35" s="24" t="str">
        <f>IF(Enrollment=0,"n/a",IF(summer=1,AVERAGE(J21:J25)/AVERAGE($L$21:$L$25),AVERAGE(J24:J28)/AVERAGE($L$24:$L$28))*$H$35)</f>
        <v>n/a</v>
      </c>
      <c r="K35" s="24" t="str">
        <f>IF(Enrollment=0,"n/a",IF(summer=1,AVERAGE(K21:K25)/AVERAGE($L$21:$L$25),AVERAGE(K24:K28)/AVERAGE($L$24:$L$28))*$H$35)</f>
        <v>n/a</v>
      </c>
      <c r="L35" s="24" t="str">
        <f>IF(Enrollment=0,"n/a",IF(summer=1,AVERAGE(L21:L25)/AVERAGE($L$21:$L$25),AVERAGE(L24:L28)/AVERAGE($L$24:$L$28))*$H$35)</f>
        <v>n/a</v>
      </c>
      <c r="M35" s="24" t="str">
        <f>IF(Enrollment=0,"n/a",IF(summer=1,AVERAGE(M21:M25)/AVERAGE($L$21:$L$25),AVERAGE(M24:M28)/AVERAGE($L$24:$L$28))*$H$35)</f>
        <v>n/a</v>
      </c>
      <c r="N35" s="58" t="str">
        <f>IF(Enrollment=0,"n/a",IF(summer=1,AVERAGE(N21:N25)/AVERAGE($L$21:$L$25),AVERAGE(N24:N28)/AVERAGE($L$24:$L$28))*$H$35)</f>
        <v>n/a</v>
      </c>
    </row>
    <row r="36" spans="3:14" ht="15" x14ac:dyDescent="0.25">
      <c r="E36" s="25"/>
      <c r="F36" s="48"/>
      <c r="G36" s="63" t="s">
        <v>245</v>
      </c>
      <c r="H36" s="64" t="str">
        <f>IF(Enrollment=0,"n/a",H35/F35)</f>
        <v>n/a</v>
      </c>
      <c r="I36" s="48"/>
      <c r="J36" s="49"/>
    </row>
    <row r="37" spans="3:14" x14ac:dyDescent="0.2">
      <c r="E37" s="25"/>
      <c r="F37" s="48"/>
      <c r="G37" s="48"/>
      <c r="H37" s="48"/>
      <c r="I37" s="49"/>
    </row>
    <row r="38" spans="3:14" x14ac:dyDescent="0.2">
      <c r="E38" s="25"/>
      <c r="F38" s="48"/>
      <c r="G38" s="48"/>
      <c r="H38" s="48"/>
      <c r="I38" s="48"/>
    </row>
    <row r="40" spans="3:14" x14ac:dyDescent="0.2">
      <c r="E40" s="25"/>
      <c r="F40" s="48"/>
      <c r="G40" s="48"/>
      <c r="H40" s="48"/>
      <c r="I40" s="49"/>
    </row>
  </sheetData>
  <mergeCells count="9">
    <mergeCell ref="F32:F33"/>
    <mergeCell ref="G32:G33"/>
    <mergeCell ref="H32:H33"/>
    <mergeCell ref="I32:I33"/>
    <mergeCell ref="E5:E7"/>
    <mergeCell ref="F5:F7"/>
    <mergeCell ref="G5:G7"/>
    <mergeCell ref="H5:H7"/>
    <mergeCell ref="I5:I7"/>
  </mergeCells>
  <phoneticPr fontId="2" type="noConversion"/>
  <conditionalFormatting sqref="A1:C1">
    <cfRule type="expression" dxfId="6" priority="3" stopIfTrue="1">
      <formula>$A$1&lt;&gt;""</formula>
    </cfRule>
  </conditionalFormatting>
  <dataValidations count="6">
    <dataValidation type="list" allowBlank="1" showInputMessage="1" showErrorMessage="1" sqref="B10">
      <formula1>level_list</formula1>
    </dataValidation>
    <dataValidation type="list" allowBlank="1" showInputMessage="1" showErrorMessage="1" sqref="B8">
      <formula1>fcst_year</formula1>
    </dataValidation>
    <dataValidation type="list" allowBlank="1" showInputMessage="1" showErrorMessage="1" sqref="B9">
      <formula1>weath_year</formula1>
    </dataValidation>
    <dataValidation type="list" allowBlank="1" showInputMessage="1" showErrorMessage="1" sqref="B5">
      <formula1>evt_dates</formula1>
    </dataValidation>
    <dataValidation type="list" allowBlank="1" showInputMessage="1" showErrorMessage="1" sqref="B4">
      <formula1>Result_type_list</formula1>
    </dataValidation>
    <dataValidation type="list" allowBlank="1" showInputMessage="1" showErrorMessage="1" sqref="B11">
      <formula1>notice_list</formula1>
    </dataValidation>
  </dataValidations>
  <pageMargins left="0.75" right="0.75" top="1" bottom="1" header="0.5" footer="0.5"/>
  <pageSetup scale="56" orientation="landscape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A6A14D2E-93FF-41E9-8F7D-DE19F8FFF490}">
            <xm:f>Lookups!$C$37=0</xm:f>
            <x14:dxf>
              <fill>
                <patternFill>
                  <bgColor theme="3" tint="0.79998168889431442"/>
                </patternFill>
              </fill>
            </x14:dxf>
          </x14:cfRule>
          <xm:sqref>E24:N28</xm:sqref>
        </x14:conditionalFormatting>
        <x14:conditionalFormatting xmlns:xm="http://schemas.microsoft.com/office/excel/2006/main">
          <x14:cfRule type="expression" priority="1" id="{4AA4B4CC-B739-4BE6-B63D-41ECBF837381}">
            <xm:f>Lookups!$C$37=1</xm:f>
            <x14:dxf>
              <fill>
                <patternFill>
                  <bgColor theme="3" tint="0.79998168889431442"/>
                </patternFill>
              </fill>
            </x14:dxf>
          </x14:cfRule>
          <xm:sqref>E21:N25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0"/>
  <sheetViews>
    <sheetView workbookViewId="0"/>
  </sheetViews>
  <sheetFormatPr defaultRowHeight="12.75" x14ac:dyDescent="0.2"/>
  <cols>
    <col min="1" max="1" width="16.85546875" customWidth="1"/>
    <col min="2" max="2" width="19.5703125" customWidth="1"/>
    <col min="3" max="3" width="19.28515625" customWidth="1"/>
    <col min="4" max="5" width="12.85546875" customWidth="1"/>
    <col min="6" max="6" width="18.7109375" customWidth="1"/>
    <col min="9" max="9" width="16.85546875" customWidth="1"/>
    <col min="10" max="10" width="19.5703125" bestFit="1" customWidth="1"/>
    <col min="11" max="11" width="19" bestFit="1" customWidth="1"/>
    <col min="12" max="13" width="12.85546875" customWidth="1"/>
    <col min="14" max="14" width="17.85546875" customWidth="1"/>
    <col min="15" max="15" width="31" bestFit="1" customWidth="1"/>
  </cols>
  <sheetData>
    <row r="1" spans="1:15" x14ac:dyDescent="0.2">
      <c r="F1" s="1"/>
    </row>
    <row r="3" spans="1:15" ht="13.5" x14ac:dyDescent="0.25">
      <c r="A3" s="29"/>
      <c r="B3" s="26" t="s">
        <v>2</v>
      </c>
      <c r="C3" s="26" t="s">
        <v>3</v>
      </c>
      <c r="D3" s="26" t="s">
        <v>4</v>
      </c>
      <c r="E3" s="26" t="s">
        <v>5</v>
      </c>
      <c r="F3" s="26" t="s">
        <v>220</v>
      </c>
      <c r="G3" s="26" t="s">
        <v>246</v>
      </c>
      <c r="I3" s="10" t="s">
        <v>217</v>
      </c>
      <c r="J3" s="10" t="s">
        <v>2</v>
      </c>
      <c r="K3" s="10" t="s">
        <v>3</v>
      </c>
      <c r="L3" s="10" t="s">
        <v>4</v>
      </c>
      <c r="M3" s="10" t="s">
        <v>5</v>
      </c>
      <c r="N3" s="10" t="s">
        <v>220</v>
      </c>
    </row>
    <row r="4" spans="1:15" x14ac:dyDescent="0.2">
      <c r="A4" s="31"/>
      <c r="B4" t="str">
        <f>level</f>
        <v>Program-level impacts</v>
      </c>
      <c r="C4" s="27" t="str">
        <f>date</f>
        <v>Typical Event Day</v>
      </c>
      <c r="D4" s="4">
        <f>fcst</f>
        <v>2016</v>
      </c>
      <c r="E4" t="str">
        <f>weath</f>
        <v>Utility 1-in-2</v>
      </c>
      <c r="F4" s="4" t="str">
        <f>notice</f>
        <v>Day Of</v>
      </c>
      <c r="G4" t="str">
        <f>Result_type</f>
        <v>Aggregate Impact</v>
      </c>
      <c r="I4" s="4" t="s">
        <v>10</v>
      </c>
      <c r="J4" s="1" t="s">
        <v>214</v>
      </c>
      <c r="K4" s="51" t="s">
        <v>33</v>
      </c>
      <c r="L4">
        <v>2016</v>
      </c>
      <c r="M4" t="s">
        <v>222</v>
      </c>
      <c r="N4" t="s">
        <v>240</v>
      </c>
      <c r="O4" s="51"/>
    </row>
    <row r="5" spans="1:15" ht="13.5" x14ac:dyDescent="0.25">
      <c r="A5" s="29"/>
      <c r="B5" s="29"/>
      <c r="C5" s="29"/>
      <c r="D5" s="29"/>
      <c r="E5" s="29"/>
      <c r="F5" s="30"/>
      <c r="I5" s="1" t="s">
        <v>28</v>
      </c>
      <c r="J5" s="1" t="s">
        <v>215</v>
      </c>
      <c r="K5" s="51" t="s">
        <v>34</v>
      </c>
      <c r="L5" s="51"/>
      <c r="M5" s="51" t="s">
        <v>223</v>
      </c>
      <c r="N5" t="s">
        <v>241</v>
      </c>
      <c r="O5" s="51"/>
    </row>
    <row r="6" spans="1:15" x14ac:dyDescent="0.2">
      <c r="A6" s="31"/>
      <c r="B6" s="31"/>
      <c r="C6" s="32"/>
      <c r="D6" s="33"/>
      <c r="E6" s="31"/>
      <c r="F6" s="33"/>
      <c r="K6" s="51" t="s">
        <v>35</v>
      </c>
      <c r="M6" s="52" t="s">
        <v>224</v>
      </c>
      <c r="O6" s="51"/>
    </row>
    <row r="7" spans="1:15" ht="13.5" x14ac:dyDescent="0.25">
      <c r="A7" s="29"/>
      <c r="B7" s="29"/>
      <c r="C7" s="29"/>
      <c r="D7" s="29"/>
      <c r="E7" s="29"/>
      <c r="F7" s="30"/>
      <c r="K7" s="51" t="s">
        <v>36</v>
      </c>
      <c r="M7" s="52" t="s">
        <v>225</v>
      </c>
      <c r="O7" s="51"/>
    </row>
    <row r="8" spans="1:15" x14ac:dyDescent="0.2">
      <c r="A8" s="31"/>
      <c r="B8" s="31"/>
      <c r="C8" s="32"/>
      <c r="D8" s="33"/>
      <c r="E8" s="31"/>
      <c r="F8" s="33"/>
      <c r="K8" t="s">
        <v>37</v>
      </c>
    </row>
    <row r="9" spans="1:15" ht="13.5" x14ac:dyDescent="0.25">
      <c r="A9" s="29"/>
      <c r="B9" s="29"/>
      <c r="C9" s="29"/>
      <c r="D9" s="29"/>
      <c r="E9" s="29"/>
      <c r="F9" s="30"/>
      <c r="K9" t="s">
        <v>38</v>
      </c>
    </row>
    <row r="10" spans="1:15" x14ac:dyDescent="0.2">
      <c r="A10" s="31"/>
      <c r="B10" s="31"/>
      <c r="C10" s="32"/>
      <c r="D10" s="33"/>
      <c r="E10" s="31"/>
      <c r="F10" s="33"/>
      <c r="K10" t="s">
        <v>39</v>
      </c>
    </row>
    <row r="11" spans="1:15" ht="13.5" x14ac:dyDescent="0.25">
      <c r="A11" s="29"/>
      <c r="B11" s="29"/>
      <c r="C11" s="29"/>
      <c r="D11" s="29"/>
      <c r="E11" s="29"/>
      <c r="F11" s="30"/>
      <c r="K11" t="s">
        <v>40</v>
      </c>
    </row>
    <row r="12" spans="1:15" x14ac:dyDescent="0.2">
      <c r="A12" s="31"/>
      <c r="B12" s="31"/>
      <c r="C12" s="32"/>
      <c r="D12" s="33"/>
      <c r="E12" s="31"/>
      <c r="F12" s="33"/>
      <c r="K12" t="s">
        <v>41</v>
      </c>
    </row>
    <row r="13" spans="1:15" ht="13.5" x14ac:dyDescent="0.25">
      <c r="A13" s="29"/>
      <c r="B13" s="29"/>
      <c r="C13" s="29"/>
      <c r="D13" s="29"/>
      <c r="E13" s="29"/>
      <c r="F13" s="30"/>
      <c r="K13" t="s">
        <v>42</v>
      </c>
    </row>
    <row r="14" spans="1:15" x14ac:dyDescent="0.2">
      <c r="A14" s="31"/>
      <c r="B14" s="31"/>
      <c r="C14" s="32"/>
      <c r="D14" s="33"/>
      <c r="E14" s="31"/>
      <c r="F14" s="33"/>
      <c r="K14" s="51" t="s">
        <v>43</v>
      </c>
    </row>
    <row r="15" spans="1:15" ht="13.5" x14ac:dyDescent="0.25">
      <c r="A15" s="29"/>
      <c r="B15" s="29"/>
      <c r="C15" s="29"/>
      <c r="D15" s="29"/>
      <c r="E15" s="29"/>
      <c r="F15" s="30"/>
      <c r="K15" s="51" t="s">
        <v>44</v>
      </c>
    </row>
    <row r="16" spans="1:15" x14ac:dyDescent="0.2">
      <c r="A16" s="31"/>
      <c r="B16" s="31"/>
      <c r="C16" s="32"/>
      <c r="D16" s="33"/>
      <c r="E16" s="31"/>
      <c r="F16" s="33"/>
      <c r="K16" t="s">
        <v>9</v>
      </c>
    </row>
    <row r="17" spans="1:19" ht="13.5" x14ac:dyDescent="0.25">
      <c r="A17" s="29"/>
      <c r="B17" s="29"/>
      <c r="C17" s="29"/>
      <c r="D17" s="29"/>
      <c r="E17" s="29"/>
      <c r="F17" s="30"/>
    </row>
    <row r="18" spans="1:19" x14ac:dyDescent="0.2">
      <c r="A18" s="31"/>
      <c r="B18" s="31"/>
      <c r="C18" s="32"/>
      <c r="D18" s="33"/>
      <c r="E18" s="31"/>
      <c r="F18" s="33"/>
    </row>
    <row r="19" spans="1:19" ht="13.5" x14ac:dyDescent="0.25">
      <c r="A19" s="29"/>
      <c r="B19" s="29"/>
      <c r="C19" s="29"/>
      <c r="D19" s="29"/>
      <c r="E19" s="29"/>
      <c r="F19" s="30"/>
      <c r="O19" s="38"/>
    </row>
    <row r="20" spans="1:19" x14ac:dyDescent="0.2">
      <c r="A20" s="31"/>
      <c r="B20" s="31"/>
      <c r="C20" s="32"/>
      <c r="D20" s="33"/>
      <c r="E20" s="31"/>
      <c r="F20" s="33"/>
      <c r="O20" s="38"/>
    </row>
    <row r="21" spans="1:19" ht="13.5" x14ac:dyDescent="0.25">
      <c r="A21" s="29"/>
      <c r="B21" s="29"/>
      <c r="C21" s="29"/>
      <c r="D21" s="29"/>
      <c r="E21" s="29"/>
      <c r="F21" s="30"/>
      <c r="O21" s="38"/>
    </row>
    <row r="22" spans="1:19" x14ac:dyDescent="0.2">
      <c r="A22" s="31"/>
      <c r="C22" s="50" t="s">
        <v>216</v>
      </c>
      <c r="E22" s="54" t="s">
        <v>243</v>
      </c>
      <c r="F22" s="50" t="s">
        <v>216</v>
      </c>
      <c r="G22" s="54" t="s">
        <v>244</v>
      </c>
      <c r="H22" s="54" t="s">
        <v>219</v>
      </c>
      <c r="I22" s="54" t="s">
        <v>228</v>
      </c>
      <c r="J22" s="54" t="s">
        <v>229</v>
      </c>
      <c r="K22" s="54" t="s">
        <v>230</v>
      </c>
      <c r="L22" s="54" t="s">
        <v>231</v>
      </c>
      <c r="M22" s="54" t="s">
        <v>232</v>
      </c>
      <c r="N22" s="54" t="s">
        <v>233</v>
      </c>
      <c r="O22" s="54" t="s">
        <v>234</v>
      </c>
      <c r="P22" s="54" t="s">
        <v>235</v>
      </c>
      <c r="Q22" s="54" t="s">
        <v>236</v>
      </c>
      <c r="R22" s="54" t="s">
        <v>237</v>
      </c>
      <c r="S22" s="54" t="s">
        <v>238</v>
      </c>
    </row>
    <row r="23" spans="1:19" ht="13.5" x14ac:dyDescent="0.25">
      <c r="A23" s="29"/>
      <c r="B23" t="s">
        <v>33</v>
      </c>
      <c r="C23">
        <v>0</v>
      </c>
      <c r="E23">
        <v>0</v>
      </c>
      <c r="F23">
        <v>0</v>
      </c>
      <c r="G23">
        <v>1</v>
      </c>
      <c r="H23" s="55" t="e">
        <f>MAX(0,Table!I8-75)</f>
        <v>#VALUE!</v>
      </c>
      <c r="I23">
        <f t="shared" ref="I23:I46" ca="1" si="0">OFFSET(E23,0,summer)</f>
        <v>0</v>
      </c>
      <c r="J23" t="str">
        <f ca="1">IF($I23=1,Table!F8,"")</f>
        <v/>
      </c>
      <c r="K23" t="str">
        <f ca="1">IF($I23=1,Table!G8,"")</f>
        <v/>
      </c>
      <c r="L23" t="str">
        <f ca="1">IF($I23=1,Table!H8,"")</f>
        <v/>
      </c>
      <c r="M23" t="str">
        <f ca="1">IF($I23=1,H23,"")</f>
        <v/>
      </c>
      <c r="N23" s="48" t="str">
        <f t="shared" ref="N23:N46" ca="1" si="1">IF($I23=1,((P23-Q23)/NORMSINV(0.3))^2,"")</f>
        <v/>
      </c>
      <c r="O23" t="str">
        <f ca="1">IF($I23=1,Table!J8,"")</f>
        <v/>
      </c>
      <c r="P23" t="str">
        <f ca="1">IF($I23=1,Table!K8,"")</f>
        <v/>
      </c>
      <c r="Q23" t="str">
        <f ca="1">IF($I23=1,Table!L8,"")</f>
        <v/>
      </c>
      <c r="R23" t="str">
        <f ca="1">IF($I23=1,Table!M8,"")</f>
        <v/>
      </c>
      <c r="S23" t="str">
        <f ca="1">IF($I23=1,Table!N8,"")</f>
        <v/>
      </c>
    </row>
    <row r="24" spans="1:19" x14ac:dyDescent="0.2">
      <c r="A24" s="31"/>
      <c r="B24" t="s">
        <v>34</v>
      </c>
      <c r="C24">
        <v>0</v>
      </c>
      <c r="E24">
        <v>0</v>
      </c>
      <c r="F24">
        <v>0</v>
      </c>
      <c r="G24">
        <f>G23+1</f>
        <v>2</v>
      </c>
      <c r="H24" s="55" t="e">
        <f>MAX(0,Table!I9-75)</f>
        <v>#VALUE!</v>
      </c>
      <c r="I24">
        <f t="shared" ca="1" si="0"/>
        <v>0</v>
      </c>
      <c r="J24" t="str">
        <f ca="1">IF($I24=1,Table!F9,"")</f>
        <v/>
      </c>
      <c r="K24" t="str">
        <f ca="1">IF($I24=1,Table!G9,"")</f>
        <v/>
      </c>
      <c r="L24" t="str">
        <f ca="1">IF($I24=1,Table!H9,"")</f>
        <v/>
      </c>
      <c r="M24" t="str">
        <f t="shared" ref="M24:M46" ca="1" si="2">IF($I24=1,H24,"")</f>
        <v/>
      </c>
      <c r="N24" s="48" t="str">
        <f t="shared" ca="1" si="1"/>
        <v/>
      </c>
      <c r="O24" t="str">
        <f ca="1">IF($I24=1,Table!J9,"")</f>
        <v/>
      </c>
      <c r="P24" t="str">
        <f ca="1">IF($I24=1,Table!K9,"")</f>
        <v/>
      </c>
      <c r="Q24" t="str">
        <f ca="1">IF($I24=1,Table!L9,"")</f>
        <v/>
      </c>
      <c r="R24" t="str">
        <f ca="1">IF($I24=1,Table!M9,"")</f>
        <v/>
      </c>
      <c r="S24" t="str">
        <f ca="1">IF($I24=1,Table!N9,"")</f>
        <v/>
      </c>
    </row>
    <row r="25" spans="1:19" ht="13.5" x14ac:dyDescent="0.25">
      <c r="A25" s="29"/>
      <c r="B25" t="s">
        <v>35</v>
      </c>
      <c r="C25">
        <v>0</v>
      </c>
      <c r="E25">
        <v>0</v>
      </c>
      <c r="F25">
        <v>0</v>
      </c>
      <c r="G25">
        <f t="shared" ref="G25:G46" si="3">G24+1</f>
        <v>3</v>
      </c>
      <c r="H25" s="55" t="e">
        <f>MAX(0,Table!I10-75)</f>
        <v>#VALUE!</v>
      </c>
      <c r="I25">
        <f t="shared" ca="1" si="0"/>
        <v>0</v>
      </c>
      <c r="J25" t="str">
        <f ca="1">IF($I25=1,Table!F10,"")</f>
        <v/>
      </c>
      <c r="K25" t="str">
        <f ca="1">IF($I25=1,Table!G10,"")</f>
        <v/>
      </c>
      <c r="L25" t="str">
        <f ca="1">IF($I25=1,Table!H10,"")</f>
        <v/>
      </c>
      <c r="M25" t="str">
        <f t="shared" ca="1" si="2"/>
        <v/>
      </c>
      <c r="N25" s="48" t="str">
        <f t="shared" ca="1" si="1"/>
        <v/>
      </c>
      <c r="O25" t="str">
        <f ca="1">IF($I25=1,Table!J10,"")</f>
        <v/>
      </c>
      <c r="P25" t="str">
        <f ca="1">IF($I25=1,Table!K10,"")</f>
        <v/>
      </c>
      <c r="Q25" t="str">
        <f ca="1">IF($I25=1,Table!L10,"")</f>
        <v/>
      </c>
      <c r="R25" t="str">
        <f ca="1">IF($I25=1,Table!M10,"")</f>
        <v/>
      </c>
      <c r="S25" t="str">
        <f ca="1">IF($I25=1,Table!N10,"")</f>
        <v/>
      </c>
    </row>
    <row r="26" spans="1:19" x14ac:dyDescent="0.2">
      <c r="A26" s="31"/>
      <c r="B26" t="s">
        <v>36</v>
      </c>
      <c r="C26">
        <v>1</v>
      </c>
      <c r="E26">
        <v>0</v>
      </c>
      <c r="F26">
        <v>0</v>
      </c>
      <c r="G26">
        <f t="shared" si="3"/>
        <v>4</v>
      </c>
      <c r="H26" s="55" t="e">
        <f>MAX(0,Table!I11-75)</f>
        <v>#VALUE!</v>
      </c>
      <c r="I26">
        <f t="shared" ca="1" si="0"/>
        <v>0</v>
      </c>
      <c r="J26" t="str">
        <f ca="1">IF($I26=1,Table!F11,"")</f>
        <v/>
      </c>
      <c r="K26" t="str">
        <f ca="1">IF($I26=1,Table!G11,"")</f>
        <v/>
      </c>
      <c r="L26" t="str">
        <f ca="1">IF($I26=1,Table!H11,"")</f>
        <v/>
      </c>
      <c r="M26" t="str">
        <f t="shared" ca="1" si="2"/>
        <v/>
      </c>
      <c r="N26" s="48" t="str">
        <f t="shared" ca="1" si="1"/>
        <v/>
      </c>
      <c r="O26" t="str">
        <f ca="1">IF($I26=1,Table!J11,"")</f>
        <v/>
      </c>
      <c r="P26" t="str">
        <f ca="1">IF($I26=1,Table!K11,"")</f>
        <v/>
      </c>
      <c r="Q26" t="str">
        <f ca="1">IF($I26=1,Table!L11,"")</f>
        <v/>
      </c>
      <c r="R26" t="str">
        <f ca="1">IF($I26=1,Table!M11,"")</f>
        <v/>
      </c>
      <c r="S26" t="str">
        <f ca="1">IF($I26=1,Table!N11,"")</f>
        <v/>
      </c>
    </row>
    <row r="27" spans="1:19" ht="13.5" x14ac:dyDescent="0.25">
      <c r="A27" s="29"/>
      <c r="B27" t="s">
        <v>37</v>
      </c>
      <c r="C27">
        <v>1</v>
      </c>
      <c r="E27">
        <v>0</v>
      </c>
      <c r="F27">
        <v>0</v>
      </c>
      <c r="G27">
        <f t="shared" si="3"/>
        <v>5</v>
      </c>
      <c r="H27" s="55" t="e">
        <f>MAX(0,Table!I12-75)</f>
        <v>#VALUE!</v>
      </c>
      <c r="I27">
        <f t="shared" ca="1" si="0"/>
        <v>0</v>
      </c>
      <c r="J27" t="str">
        <f ca="1">IF($I27=1,Table!F12,"")</f>
        <v/>
      </c>
      <c r="K27" t="str">
        <f ca="1">IF($I27=1,Table!G12,"")</f>
        <v/>
      </c>
      <c r="L27" t="str">
        <f ca="1">IF($I27=1,Table!H12,"")</f>
        <v/>
      </c>
      <c r="M27" t="str">
        <f t="shared" ca="1" si="2"/>
        <v/>
      </c>
      <c r="N27" s="48" t="str">
        <f t="shared" ca="1" si="1"/>
        <v/>
      </c>
      <c r="O27" t="str">
        <f ca="1">IF($I27=1,Table!J12,"")</f>
        <v/>
      </c>
      <c r="P27" t="str">
        <f ca="1">IF($I27=1,Table!K12,"")</f>
        <v/>
      </c>
      <c r="Q27" t="str">
        <f ca="1">IF($I27=1,Table!L12,"")</f>
        <v/>
      </c>
      <c r="R27" t="str">
        <f ca="1">IF($I27=1,Table!M12,"")</f>
        <v/>
      </c>
      <c r="S27" t="str">
        <f ca="1">IF($I27=1,Table!N12,"")</f>
        <v/>
      </c>
    </row>
    <row r="28" spans="1:19" x14ac:dyDescent="0.2">
      <c r="A28" s="31"/>
      <c r="B28" t="s">
        <v>38</v>
      </c>
      <c r="C28">
        <v>1</v>
      </c>
      <c r="E28">
        <v>0</v>
      </c>
      <c r="F28">
        <v>0</v>
      </c>
      <c r="G28">
        <f t="shared" si="3"/>
        <v>6</v>
      </c>
      <c r="H28" s="55" t="e">
        <f>MAX(0,Table!I13-75)</f>
        <v>#VALUE!</v>
      </c>
      <c r="I28">
        <f t="shared" ca="1" si="0"/>
        <v>0</v>
      </c>
      <c r="J28" t="str">
        <f ca="1">IF($I28=1,Table!F13,"")</f>
        <v/>
      </c>
      <c r="K28" t="str">
        <f ca="1">IF($I28=1,Table!G13,"")</f>
        <v/>
      </c>
      <c r="L28" t="str">
        <f ca="1">IF($I28=1,Table!H13,"")</f>
        <v/>
      </c>
      <c r="M28" t="str">
        <f t="shared" ca="1" si="2"/>
        <v/>
      </c>
      <c r="N28" s="48" t="str">
        <f t="shared" ca="1" si="1"/>
        <v/>
      </c>
      <c r="O28" t="str">
        <f ca="1">IF($I28=1,Table!J13,"")</f>
        <v/>
      </c>
      <c r="P28" t="str">
        <f ca="1">IF($I28=1,Table!K13,"")</f>
        <v/>
      </c>
      <c r="Q28" t="str">
        <f ca="1">IF($I28=1,Table!L13,"")</f>
        <v/>
      </c>
      <c r="R28" t="str">
        <f ca="1">IF($I28=1,Table!M13,"")</f>
        <v/>
      </c>
      <c r="S28" t="str">
        <f ca="1">IF($I28=1,Table!N13,"")</f>
        <v/>
      </c>
    </row>
    <row r="29" spans="1:19" ht="13.5" x14ac:dyDescent="0.25">
      <c r="A29" s="29"/>
      <c r="B29" t="s">
        <v>39</v>
      </c>
      <c r="C29">
        <v>1</v>
      </c>
      <c r="E29">
        <v>0</v>
      </c>
      <c r="F29">
        <v>0</v>
      </c>
      <c r="G29">
        <f t="shared" si="3"/>
        <v>7</v>
      </c>
      <c r="H29" s="55" t="e">
        <f>MAX(0,Table!I14-75)</f>
        <v>#VALUE!</v>
      </c>
      <c r="I29">
        <f t="shared" ca="1" si="0"/>
        <v>0</v>
      </c>
      <c r="J29" t="str">
        <f ca="1">IF($I29=1,Table!F14,"")</f>
        <v/>
      </c>
      <c r="K29" t="str">
        <f ca="1">IF($I29=1,Table!G14,"")</f>
        <v/>
      </c>
      <c r="L29" t="str">
        <f ca="1">IF($I29=1,Table!H14,"")</f>
        <v/>
      </c>
      <c r="M29" t="str">
        <f t="shared" ca="1" si="2"/>
        <v/>
      </c>
      <c r="N29" s="48" t="str">
        <f t="shared" ca="1" si="1"/>
        <v/>
      </c>
      <c r="O29" t="str">
        <f ca="1">IF($I29=1,Table!J14,"")</f>
        <v/>
      </c>
      <c r="P29" t="str">
        <f ca="1">IF($I29=1,Table!K14,"")</f>
        <v/>
      </c>
      <c r="Q29" t="str">
        <f ca="1">IF($I29=1,Table!L14,"")</f>
        <v/>
      </c>
      <c r="R29" t="str">
        <f ca="1">IF($I29=1,Table!M14,"")</f>
        <v/>
      </c>
      <c r="S29" t="str">
        <f ca="1">IF($I29=1,Table!N14,"")</f>
        <v/>
      </c>
    </row>
    <row r="30" spans="1:19" x14ac:dyDescent="0.2">
      <c r="A30" s="31"/>
      <c r="B30" t="s">
        <v>40</v>
      </c>
      <c r="C30">
        <v>1</v>
      </c>
      <c r="E30">
        <v>0</v>
      </c>
      <c r="F30">
        <v>0</v>
      </c>
      <c r="G30">
        <f t="shared" si="3"/>
        <v>8</v>
      </c>
      <c r="H30" s="55" t="e">
        <f>MAX(0,Table!I15-75)</f>
        <v>#VALUE!</v>
      </c>
      <c r="I30">
        <f t="shared" ca="1" si="0"/>
        <v>0</v>
      </c>
      <c r="J30" t="str">
        <f ca="1">IF($I30=1,Table!F15,"")</f>
        <v/>
      </c>
      <c r="K30" t="str">
        <f ca="1">IF($I30=1,Table!G15,"")</f>
        <v/>
      </c>
      <c r="L30" t="str">
        <f ca="1">IF($I30=1,Table!H15,"")</f>
        <v/>
      </c>
      <c r="M30" t="str">
        <f t="shared" ca="1" si="2"/>
        <v/>
      </c>
      <c r="N30" s="48" t="str">
        <f t="shared" ca="1" si="1"/>
        <v/>
      </c>
      <c r="O30" t="str">
        <f ca="1">IF($I30=1,Table!J15,"")</f>
        <v/>
      </c>
      <c r="P30" t="str">
        <f ca="1">IF($I30=1,Table!K15,"")</f>
        <v/>
      </c>
      <c r="Q30" t="str">
        <f ca="1">IF($I30=1,Table!L15,"")</f>
        <v/>
      </c>
      <c r="R30" t="str">
        <f ca="1">IF($I30=1,Table!M15,"")</f>
        <v/>
      </c>
      <c r="S30" t="str">
        <f ca="1">IF($I30=1,Table!N15,"")</f>
        <v/>
      </c>
    </row>
    <row r="31" spans="1:19" ht="13.5" x14ac:dyDescent="0.25">
      <c r="A31" s="29"/>
      <c r="B31" t="s">
        <v>41</v>
      </c>
      <c r="C31">
        <v>1</v>
      </c>
      <c r="E31">
        <v>0</v>
      </c>
      <c r="F31">
        <v>0</v>
      </c>
      <c r="G31">
        <f t="shared" si="3"/>
        <v>9</v>
      </c>
      <c r="H31" s="55" t="e">
        <f>MAX(0,Table!I16-75)</f>
        <v>#VALUE!</v>
      </c>
      <c r="I31">
        <f t="shared" ca="1" si="0"/>
        <v>0</v>
      </c>
      <c r="J31" t="str">
        <f ca="1">IF($I31=1,Table!F16,"")</f>
        <v/>
      </c>
      <c r="K31" t="str">
        <f ca="1">IF($I31=1,Table!G16,"")</f>
        <v/>
      </c>
      <c r="L31" t="str">
        <f ca="1">IF($I31=1,Table!H16,"")</f>
        <v/>
      </c>
      <c r="M31" t="str">
        <f t="shared" ca="1" si="2"/>
        <v/>
      </c>
      <c r="N31" s="48" t="str">
        <f t="shared" ca="1" si="1"/>
        <v/>
      </c>
      <c r="O31" t="str">
        <f ca="1">IF($I31=1,Table!J16,"")</f>
        <v/>
      </c>
      <c r="P31" t="str">
        <f ca="1">IF($I31=1,Table!K16,"")</f>
        <v/>
      </c>
      <c r="Q31" t="str">
        <f ca="1">IF($I31=1,Table!L16,"")</f>
        <v/>
      </c>
      <c r="R31" t="str">
        <f ca="1">IF($I31=1,Table!M16,"")</f>
        <v/>
      </c>
      <c r="S31" t="str">
        <f ca="1">IF($I31=1,Table!N16,"")</f>
        <v/>
      </c>
    </row>
    <row r="32" spans="1:19" x14ac:dyDescent="0.2">
      <c r="A32" s="31"/>
      <c r="B32" t="s">
        <v>42</v>
      </c>
      <c r="C32">
        <v>1</v>
      </c>
      <c r="E32">
        <v>0</v>
      </c>
      <c r="F32">
        <v>0</v>
      </c>
      <c r="G32">
        <f t="shared" si="3"/>
        <v>10</v>
      </c>
      <c r="H32" s="55" t="e">
        <f>MAX(0,Table!I17-75)</f>
        <v>#VALUE!</v>
      </c>
      <c r="I32">
        <f t="shared" ca="1" si="0"/>
        <v>0</v>
      </c>
      <c r="J32" t="str">
        <f ca="1">IF($I32=1,Table!F17,"")</f>
        <v/>
      </c>
      <c r="K32" t="str">
        <f ca="1">IF($I32=1,Table!G17,"")</f>
        <v/>
      </c>
      <c r="L32" t="str">
        <f ca="1">IF($I32=1,Table!H17,"")</f>
        <v/>
      </c>
      <c r="M32" t="str">
        <f t="shared" ca="1" si="2"/>
        <v/>
      </c>
      <c r="N32" s="48" t="str">
        <f t="shared" ca="1" si="1"/>
        <v/>
      </c>
      <c r="O32" t="str">
        <f ca="1">IF($I32=1,Table!J17,"")</f>
        <v/>
      </c>
      <c r="P32" t="str">
        <f ca="1">IF($I32=1,Table!K17,"")</f>
        <v/>
      </c>
      <c r="Q32" t="str">
        <f ca="1">IF($I32=1,Table!L17,"")</f>
        <v/>
      </c>
      <c r="R32" t="str">
        <f ca="1">IF($I32=1,Table!M17,"")</f>
        <v/>
      </c>
      <c r="S32" t="str">
        <f ca="1">IF($I32=1,Table!N17,"")</f>
        <v/>
      </c>
    </row>
    <row r="33" spans="1:19" ht="13.5" x14ac:dyDescent="0.25">
      <c r="A33" s="29"/>
      <c r="B33" t="s">
        <v>43</v>
      </c>
      <c r="C33">
        <v>0</v>
      </c>
      <c r="E33">
        <v>0</v>
      </c>
      <c r="F33">
        <v>0</v>
      </c>
      <c r="G33">
        <f t="shared" si="3"/>
        <v>11</v>
      </c>
      <c r="H33" s="55" t="e">
        <f>MAX(0,Table!I18-75)</f>
        <v>#VALUE!</v>
      </c>
      <c r="I33">
        <f t="shared" ca="1" si="0"/>
        <v>0</v>
      </c>
      <c r="J33" t="str">
        <f ca="1">IF($I33=1,Table!F18,"")</f>
        <v/>
      </c>
      <c r="K33" t="str">
        <f ca="1">IF($I33=1,Table!G18,"")</f>
        <v/>
      </c>
      <c r="L33" t="str">
        <f ca="1">IF($I33=1,Table!H18,"")</f>
        <v/>
      </c>
      <c r="M33" t="str">
        <f t="shared" ca="1" si="2"/>
        <v/>
      </c>
      <c r="N33" s="48" t="str">
        <f t="shared" ca="1" si="1"/>
        <v/>
      </c>
      <c r="O33" t="str">
        <f ca="1">IF($I33=1,Table!J18,"")</f>
        <v/>
      </c>
      <c r="P33" t="str">
        <f ca="1">IF($I33=1,Table!K18,"")</f>
        <v/>
      </c>
      <c r="Q33" t="str">
        <f ca="1">IF($I33=1,Table!L18,"")</f>
        <v/>
      </c>
      <c r="R33" t="str">
        <f ca="1">IF($I33=1,Table!M18,"")</f>
        <v/>
      </c>
      <c r="S33" t="str">
        <f ca="1">IF($I33=1,Table!N18,"")</f>
        <v/>
      </c>
    </row>
    <row r="34" spans="1:19" x14ac:dyDescent="0.2">
      <c r="A34" s="31"/>
      <c r="B34" t="s">
        <v>44</v>
      </c>
      <c r="C34">
        <v>0</v>
      </c>
      <c r="E34">
        <v>0</v>
      </c>
      <c r="F34">
        <v>0</v>
      </c>
      <c r="G34">
        <f t="shared" si="3"/>
        <v>12</v>
      </c>
      <c r="H34" s="55" t="e">
        <f>MAX(0,Table!I19-75)</f>
        <v>#VALUE!</v>
      </c>
      <c r="I34">
        <f t="shared" ca="1" si="0"/>
        <v>0</v>
      </c>
      <c r="J34" t="str">
        <f ca="1">IF($I34=1,Table!F19,"")</f>
        <v/>
      </c>
      <c r="K34" t="str">
        <f ca="1">IF($I34=1,Table!G19,"")</f>
        <v/>
      </c>
      <c r="L34" t="str">
        <f ca="1">IF($I34=1,Table!H19,"")</f>
        <v/>
      </c>
      <c r="M34" t="str">
        <f t="shared" ca="1" si="2"/>
        <v/>
      </c>
      <c r="N34" s="48" t="str">
        <f t="shared" ca="1" si="1"/>
        <v/>
      </c>
      <c r="O34" t="str">
        <f ca="1">IF($I34=1,Table!J19,"")</f>
        <v/>
      </c>
      <c r="P34" t="str">
        <f ca="1">IF($I34=1,Table!K19,"")</f>
        <v/>
      </c>
      <c r="Q34" t="str">
        <f ca="1">IF($I34=1,Table!L19,"")</f>
        <v/>
      </c>
      <c r="R34" t="str">
        <f ca="1">IF($I34=1,Table!M19,"")</f>
        <v/>
      </c>
      <c r="S34" t="str">
        <f ca="1">IF($I34=1,Table!N19,"")</f>
        <v/>
      </c>
    </row>
    <row r="35" spans="1:19" ht="13.5" x14ac:dyDescent="0.25">
      <c r="A35" s="29"/>
      <c r="B35" t="s">
        <v>9</v>
      </c>
      <c r="C35">
        <v>1</v>
      </c>
      <c r="E35">
        <v>0</v>
      </c>
      <c r="F35">
        <v>0</v>
      </c>
      <c r="G35">
        <f t="shared" si="3"/>
        <v>13</v>
      </c>
      <c r="H35" s="55" t="e">
        <f>MAX(0,Table!I20-75)</f>
        <v>#VALUE!</v>
      </c>
      <c r="I35">
        <f t="shared" ca="1" si="0"/>
        <v>0</v>
      </c>
      <c r="J35" t="str">
        <f ca="1">IF($I35=1,Table!F20,"")</f>
        <v/>
      </c>
      <c r="K35" t="str">
        <f ca="1">IF($I35=1,Table!G20,"")</f>
        <v/>
      </c>
      <c r="L35" t="str">
        <f ca="1">IF($I35=1,Table!H20,"")</f>
        <v/>
      </c>
      <c r="M35" t="str">
        <f t="shared" ca="1" si="2"/>
        <v/>
      </c>
      <c r="N35" s="48" t="str">
        <f t="shared" ca="1" si="1"/>
        <v/>
      </c>
      <c r="O35" t="str">
        <f ca="1">IF($I35=1,Table!J20,"")</f>
        <v/>
      </c>
      <c r="P35" t="str">
        <f ca="1">IF($I35=1,Table!K20,"")</f>
        <v/>
      </c>
      <c r="Q35" t="str">
        <f ca="1">IF($I35=1,Table!L20,"")</f>
        <v/>
      </c>
      <c r="R35" t="str">
        <f ca="1">IF($I35=1,Table!M20,"")</f>
        <v/>
      </c>
      <c r="S35" t="str">
        <f ca="1">IF($I35=1,Table!N20,"")</f>
        <v/>
      </c>
    </row>
    <row r="36" spans="1:19" x14ac:dyDescent="0.2">
      <c r="A36" s="31"/>
      <c r="E36">
        <v>0</v>
      </c>
      <c r="F36">
        <v>1</v>
      </c>
      <c r="G36">
        <f t="shared" si="3"/>
        <v>14</v>
      </c>
      <c r="H36" s="55" t="e">
        <f>MAX(0,Table!I21-75)</f>
        <v>#VALUE!</v>
      </c>
      <c r="I36">
        <f t="shared" ca="1" si="0"/>
        <v>1</v>
      </c>
      <c r="J36" t="str">
        <f ca="1">IF($I36=1,Table!F21,"")</f>
        <v>n/a</v>
      </c>
      <c r="K36" t="str">
        <f ca="1">IF($I36=1,Table!G21,"")</f>
        <v>n/a</v>
      </c>
      <c r="L36" t="str">
        <f ca="1">IF($I36=1,Table!H21,"")</f>
        <v>n/a</v>
      </c>
      <c r="M36" t="e">
        <f t="shared" ca="1" si="2"/>
        <v>#VALUE!</v>
      </c>
      <c r="N36" s="48" t="e">
        <f t="shared" ca="1" si="1"/>
        <v>#VALUE!</v>
      </c>
      <c r="O36" t="str">
        <f ca="1">IF($I36=1,Table!J21,"")</f>
        <v>n/a</v>
      </c>
      <c r="P36" t="str">
        <f ca="1">IF($I36=1,Table!K21,"")</f>
        <v>n/a</v>
      </c>
      <c r="Q36" t="str">
        <f ca="1">IF($I36=1,Table!L21,"")</f>
        <v>n/a</v>
      </c>
      <c r="R36" t="str">
        <f ca="1">IF($I36=1,Table!M21,"")</f>
        <v>n/a</v>
      </c>
      <c r="S36" t="str">
        <f ca="1">IF($I36=1,Table!N21,"")</f>
        <v>n/a</v>
      </c>
    </row>
    <row r="37" spans="1:19" ht="13.5" x14ac:dyDescent="0.25">
      <c r="A37" s="29"/>
      <c r="C37">
        <f>VLOOKUP(date,Lookups!$B$23:$C$35,2,FALSE)</f>
        <v>1</v>
      </c>
      <c r="E37">
        <v>0</v>
      </c>
      <c r="F37">
        <v>1</v>
      </c>
      <c r="G37">
        <f t="shared" si="3"/>
        <v>15</v>
      </c>
      <c r="H37" s="55" t="e">
        <f>MAX(0,Table!I22-75)</f>
        <v>#VALUE!</v>
      </c>
      <c r="I37">
        <f t="shared" ca="1" si="0"/>
        <v>1</v>
      </c>
      <c r="J37" t="str">
        <f ca="1">IF($I37=1,Table!F22,"")</f>
        <v>n/a</v>
      </c>
      <c r="K37" t="str">
        <f ca="1">IF($I37=1,Table!G22,"")</f>
        <v>n/a</v>
      </c>
      <c r="L37" t="str">
        <f ca="1">IF($I37=1,Table!H22,"")</f>
        <v>n/a</v>
      </c>
      <c r="M37" t="e">
        <f t="shared" ca="1" si="2"/>
        <v>#VALUE!</v>
      </c>
      <c r="N37" s="48" t="e">
        <f t="shared" ca="1" si="1"/>
        <v>#VALUE!</v>
      </c>
      <c r="O37" t="str">
        <f ca="1">IF($I37=1,Table!J22,"")</f>
        <v>n/a</v>
      </c>
      <c r="P37" t="str">
        <f ca="1">IF($I37=1,Table!K22,"")</f>
        <v>n/a</v>
      </c>
      <c r="Q37" t="str">
        <f ca="1">IF($I37=1,Table!L22,"")</f>
        <v>n/a</v>
      </c>
      <c r="R37" t="str">
        <f ca="1">IF($I37=1,Table!M22,"")</f>
        <v>n/a</v>
      </c>
      <c r="S37" t="str">
        <f ca="1">IF($I37=1,Table!N22,"")</f>
        <v>n/a</v>
      </c>
    </row>
    <row r="38" spans="1:19" x14ac:dyDescent="0.2">
      <c r="A38" s="31"/>
      <c r="E38">
        <v>0</v>
      </c>
      <c r="F38">
        <v>1</v>
      </c>
      <c r="G38">
        <f t="shared" si="3"/>
        <v>16</v>
      </c>
      <c r="H38" s="55" t="e">
        <f>MAX(0,Table!I23-75)</f>
        <v>#VALUE!</v>
      </c>
      <c r="I38">
        <f t="shared" ca="1" si="0"/>
        <v>1</v>
      </c>
      <c r="J38" t="str">
        <f ca="1">IF($I38=1,Table!F23,"")</f>
        <v>n/a</v>
      </c>
      <c r="K38" t="str">
        <f ca="1">IF($I38=1,Table!G23,"")</f>
        <v>n/a</v>
      </c>
      <c r="L38" t="str">
        <f ca="1">IF($I38=1,Table!H23,"")</f>
        <v>n/a</v>
      </c>
      <c r="M38" t="e">
        <f t="shared" ca="1" si="2"/>
        <v>#VALUE!</v>
      </c>
      <c r="N38" s="48" t="e">
        <f t="shared" ca="1" si="1"/>
        <v>#VALUE!</v>
      </c>
      <c r="O38" t="str">
        <f ca="1">IF($I38=1,Table!J23,"")</f>
        <v>n/a</v>
      </c>
      <c r="P38" t="str">
        <f ca="1">IF($I38=1,Table!K23,"")</f>
        <v>n/a</v>
      </c>
      <c r="Q38" t="str">
        <f ca="1">IF($I38=1,Table!L23,"")</f>
        <v>n/a</v>
      </c>
      <c r="R38" t="str">
        <f ca="1">IF($I38=1,Table!M23,"")</f>
        <v>n/a</v>
      </c>
      <c r="S38" t="str">
        <f ca="1">IF($I38=1,Table!N23,"")</f>
        <v>n/a</v>
      </c>
    </row>
    <row r="39" spans="1:19" ht="13.5" x14ac:dyDescent="0.25">
      <c r="A39" s="29"/>
      <c r="E39">
        <v>1</v>
      </c>
      <c r="F39">
        <v>1</v>
      </c>
      <c r="G39">
        <f t="shared" si="3"/>
        <v>17</v>
      </c>
      <c r="H39" s="55" t="e">
        <f>MAX(0,Table!I24-75)</f>
        <v>#VALUE!</v>
      </c>
      <c r="I39">
        <f t="shared" ca="1" si="0"/>
        <v>1</v>
      </c>
      <c r="J39" t="str">
        <f ca="1">IF($I39=1,Table!F24,"")</f>
        <v>n/a</v>
      </c>
      <c r="K39" t="str">
        <f ca="1">IF($I39=1,Table!G24,"")</f>
        <v>n/a</v>
      </c>
      <c r="L39" t="str">
        <f ca="1">IF($I39=1,Table!H24,"")</f>
        <v>n/a</v>
      </c>
      <c r="M39" t="e">
        <f t="shared" ca="1" si="2"/>
        <v>#VALUE!</v>
      </c>
      <c r="N39" s="48" t="e">
        <f t="shared" ca="1" si="1"/>
        <v>#VALUE!</v>
      </c>
      <c r="O39" t="str">
        <f ca="1">IF($I39=1,Table!J24,"")</f>
        <v>n/a</v>
      </c>
      <c r="P39" t="str">
        <f ca="1">IF($I39=1,Table!K24,"")</f>
        <v>n/a</v>
      </c>
      <c r="Q39" t="str">
        <f ca="1">IF($I39=1,Table!L24,"")</f>
        <v>n/a</v>
      </c>
      <c r="R39" t="str">
        <f ca="1">IF($I39=1,Table!M24,"")</f>
        <v>n/a</v>
      </c>
      <c r="S39" t="str">
        <f ca="1">IF($I39=1,Table!N24,"")</f>
        <v>n/a</v>
      </c>
    </row>
    <row r="40" spans="1:19" x14ac:dyDescent="0.2">
      <c r="A40" s="31"/>
      <c r="E40">
        <v>1</v>
      </c>
      <c r="F40">
        <v>1</v>
      </c>
      <c r="G40">
        <f t="shared" si="3"/>
        <v>18</v>
      </c>
      <c r="H40" s="55" t="e">
        <f>MAX(0,Table!I25-75)</f>
        <v>#VALUE!</v>
      </c>
      <c r="I40">
        <f t="shared" ca="1" si="0"/>
        <v>1</v>
      </c>
      <c r="J40" t="str">
        <f ca="1">IF($I40=1,Table!F25,"")</f>
        <v>n/a</v>
      </c>
      <c r="K40" t="str">
        <f ca="1">IF($I40=1,Table!G25,"")</f>
        <v>n/a</v>
      </c>
      <c r="L40" t="str">
        <f ca="1">IF($I40=1,Table!H25,"")</f>
        <v>n/a</v>
      </c>
      <c r="M40" t="e">
        <f t="shared" ca="1" si="2"/>
        <v>#VALUE!</v>
      </c>
      <c r="N40" s="48" t="e">
        <f t="shared" ca="1" si="1"/>
        <v>#VALUE!</v>
      </c>
      <c r="O40" t="str">
        <f ca="1">IF($I40=1,Table!J25,"")</f>
        <v>n/a</v>
      </c>
      <c r="P40" t="str">
        <f ca="1">IF($I40=1,Table!K25,"")</f>
        <v>n/a</v>
      </c>
      <c r="Q40" t="str">
        <f ca="1">IF($I40=1,Table!L25,"")</f>
        <v>n/a</v>
      </c>
      <c r="R40" t="str">
        <f ca="1">IF($I40=1,Table!M25,"")</f>
        <v>n/a</v>
      </c>
      <c r="S40" t="str">
        <f ca="1">IF($I40=1,Table!N25,"")</f>
        <v>n/a</v>
      </c>
    </row>
    <row r="41" spans="1:19" ht="13.5" x14ac:dyDescent="0.25">
      <c r="A41" s="29"/>
      <c r="E41">
        <v>1</v>
      </c>
      <c r="F41">
        <v>0</v>
      </c>
      <c r="G41">
        <f t="shared" si="3"/>
        <v>19</v>
      </c>
      <c r="H41" s="55" t="e">
        <f>MAX(0,Table!I26-75)</f>
        <v>#VALUE!</v>
      </c>
      <c r="I41">
        <f t="shared" ca="1" si="0"/>
        <v>0</v>
      </c>
      <c r="J41" t="str">
        <f ca="1">IF($I41=1,Table!F26,"")</f>
        <v/>
      </c>
      <c r="K41" t="str">
        <f ca="1">IF($I41=1,Table!G26,"")</f>
        <v/>
      </c>
      <c r="L41" t="str">
        <f ca="1">IF($I41=1,Table!H26,"")</f>
        <v/>
      </c>
      <c r="M41" t="str">
        <f t="shared" ca="1" si="2"/>
        <v/>
      </c>
      <c r="N41" s="48" t="str">
        <f t="shared" ca="1" si="1"/>
        <v/>
      </c>
      <c r="O41" t="str">
        <f ca="1">IF($I41=1,Table!J26,"")</f>
        <v/>
      </c>
      <c r="P41" t="str">
        <f ca="1">IF($I41=1,Table!K26,"")</f>
        <v/>
      </c>
      <c r="Q41" t="str">
        <f ca="1">IF($I41=1,Table!L26,"")</f>
        <v/>
      </c>
      <c r="R41" t="str">
        <f ca="1">IF($I41=1,Table!M26,"")</f>
        <v/>
      </c>
      <c r="S41" t="str">
        <f ca="1">IF($I41=1,Table!N26,"")</f>
        <v/>
      </c>
    </row>
    <row r="42" spans="1:19" x14ac:dyDescent="0.2">
      <c r="A42" s="31"/>
      <c r="E42">
        <v>1</v>
      </c>
      <c r="F42">
        <v>0</v>
      </c>
      <c r="G42">
        <f t="shared" si="3"/>
        <v>20</v>
      </c>
      <c r="H42" s="55" t="e">
        <f>MAX(0,Table!I27-75)</f>
        <v>#VALUE!</v>
      </c>
      <c r="I42">
        <f t="shared" ca="1" si="0"/>
        <v>0</v>
      </c>
      <c r="J42" t="str">
        <f ca="1">IF($I42=1,Table!F27,"")</f>
        <v/>
      </c>
      <c r="K42" t="str">
        <f ca="1">IF($I42=1,Table!G27,"")</f>
        <v/>
      </c>
      <c r="L42" t="str">
        <f ca="1">IF($I42=1,Table!H27,"")</f>
        <v/>
      </c>
      <c r="M42" t="str">
        <f t="shared" ca="1" si="2"/>
        <v/>
      </c>
      <c r="N42" s="48" t="str">
        <f t="shared" ca="1" si="1"/>
        <v/>
      </c>
      <c r="O42" t="str">
        <f ca="1">IF($I42=1,Table!J27,"")</f>
        <v/>
      </c>
      <c r="P42" t="str">
        <f ca="1">IF($I42=1,Table!K27,"")</f>
        <v/>
      </c>
      <c r="Q42" t="str">
        <f ca="1">IF($I42=1,Table!L27,"")</f>
        <v/>
      </c>
      <c r="R42" t="str">
        <f ca="1">IF($I42=1,Table!M27,"")</f>
        <v/>
      </c>
      <c r="S42" t="str">
        <f ca="1">IF($I42=1,Table!N27,"")</f>
        <v/>
      </c>
    </row>
    <row r="43" spans="1:19" ht="13.5" x14ac:dyDescent="0.25">
      <c r="A43" s="29"/>
      <c r="E43">
        <v>1</v>
      </c>
      <c r="F43">
        <v>0</v>
      </c>
      <c r="G43">
        <f t="shared" si="3"/>
        <v>21</v>
      </c>
      <c r="H43" s="55" t="e">
        <f>MAX(0,Table!I28-75)</f>
        <v>#VALUE!</v>
      </c>
      <c r="I43">
        <f t="shared" ca="1" si="0"/>
        <v>0</v>
      </c>
      <c r="J43" t="str">
        <f ca="1">IF($I43=1,Table!F28,"")</f>
        <v/>
      </c>
      <c r="K43" t="str">
        <f ca="1">IF($I43=1,Table!G28,"")</f>
        <v/>
      </c>
      <c r="L43" t="str">
        <f ca="1">IF($I43=1,Table!H28,"")</f>
        <v/>
      </c>
      <c r="M43" t="str">
        <f t="shared" ca="1" si="2"/>
        <v/>
      </c>
      <c r="N43" s="48" t="str">
        <f t="shared" ca="1" si="1"/>
        <v/>
      </c>
      <c r="O43" t="str">
        <f ca="1">IF($I43=1,Table!J28,"")</f>
        <v/>
      </c>
      <c r="P43" t="str">
        <f ca="1">IF($I43=1,Table!K28,"")</f>
        <v/>
      </c>
      <c r="Q43" t="str">
        <f ca="1">IF($I43=1,Table!L28,"")</f>
        <v/>
      </c>
      <c r="R43" t="str">
        <f ca="1">IF($I43=1,Table!M28,"")</f>
        <v/>
      </c>
      <c r="S43" t="str">
        <f ca="1">IF($I43=1,Table!N28,"")</f>
        <v/>
      </c>
    </row>
    <row r="44" spans="1:19" x14ac:dyDescent="0.2">
      <c r="A44" s="31"/>
      <c r="B44" s="31"/>
      <c r="C44" s="32"/>
      <c r="E44">
        <v>0</v>
      </c>
      <c r="F44">
        <v>0</v>
      </c>
      <c r="G44">
        <f t="shared" si="3"/>
        <v>22</v>
      </c>
      <c r="H44" s="55" t="e">
        <f>MAX(0,Table!I29-75)</f>
        <v>#VALUE!</v>
      </c>
      <c r="I44">
        <f t="shared" ca="1" si="0"/>
        <v>0</v>
      </c>
      <c r="J44" t="str">
        <f ca="1">IF($I44=1,Table!F29,"")</f>
        <v/>
      </c>
      <c r="K44" t="str">
        <f ca="1">IF($I44=1,Table!G29,"")</f>
        <v/>
      </c>
      <c r="L44" t="str">
        <f ca="1">IF($I44=1,Table!H29,"")</f>
        <v/>
      </c>
      <c r="M44" t="str">
        <f t="shared" ca="1" si="2"/>
        <v/>
      </c>
      <c r="N44" s="48" t="str">
        <f t="shared" ca="1" si="1"/>
        <v/>
      </c>
      <c r="O44" t="str">
        <f ca="1">IF($I44=1,Table!J29,"")</f>
        <v/>
      </c>
      <c r="P44" t="str">
        <f ca="1">IF($I44=1,Table!K29,"")</f>
        <v/>
      </c>
      <c r="Q44" t="str">
        <f ca="1">IF($I44=1,Table!L29,"")</f>
        <v/>
      </c>
      <c r="R44" t="str">
        <f ca="1">IF($I44=1,Table!M29,"")</f>
        <v/>
      </c>
      <c r="S44" t="str">
        <f ca="1">IF($I44=1,Table!N29,"")</f>
        <v/>
      </c>
    </row>
    <row r="45" spans="1:19" ht="13.5" x14ac:dyDescent="0.25">
      <c r="A45" s="29"/>
      <c r="B45" s="29"/>
      <c r="C45" s="29"/>
      <c r="E45">
        <v>0</v>
      </c>
      <c r="F45">
        <v>0</v>
      </c>
      <c r="G45">
        <f t="shared" si="3"/>
        <v>23</v>
      </c>
      <c r="H45" s="55" t="e">
        <f>MAX(0,Table!I30-75)</f>
        <v>#VALUE!</v>
      </c>
      <c r="I45">
        <f t="shared" ca="1" si="0"/>
        <v>0</v>
      </c>
      <c r="J45" t="str">
        <f ca="1">IF($I45=1,Table!F30,"")</f>
        <v/>
      </c>
      <c r="K45" t="str">
        <f ca="1">IF($I45=1,Table!G30,"")</f>
        <v/>
      </c>
      <c r="L45" t="str">
        <f ca="1">IF($I45=1,Table!H30,"")</f>
        <v/>
      </c>
      <c r="M45" t="str">
        <f t="shared" ca="1" si="2"/>
        <v/>
      </c>
      <c r="N45" s="48" t="str">
        <f t="shared" ca="1" si="1"/>
        <v/>
      </c>
      <c r="O45" t="str">
        <f ca="1">IF($I45=1,Table!J30,"")</f>
        <v/>
      </c>
      <c r="P45" t="str">
        <f ca="1">IF($I45=1,Table!K30,"")</f>
        <v/>
      </c>
      <c r="Q45" t="str">
        <f ca="1">IF($I45=1,Table!L30,"")</f>
        <v/>
      </c>
      <c r="R45" t="str">
        <f ca="1">IF($I45=1,Table!M30,"")</f>
        <v/>
      </c>
      <c r="S45" t="str">
        <f ca="1">IF($I45=1,Table!N30,"")</f>
        <v/>
      </c>
    </row>
    <row r="46" spans="1:19" x14ac:dyDescent="0.2">
      <c r="A46" s="31"/>
      <c r="B46" s="31"/>
      <c r="C46" s="32"/>
      <c r="E46">
        <v>0</v>
      </c>
      <c r="F46">
        <v>0</v>
      </c>
      <c r="G46">
        <f t="shared" si="3"/>
        <v>24</v>
      </c>
      <c r="H46" s="55" t="e">
        <f>MAX(0,Table!I31-75)</f>
        <v>#VALUE!</v>
      </c>
      <c r="I46">
        <f t="shared" ca="1" si="0"/>
        <v>0</v>
      </c>
      <c r="J46" t="str">
        <f ca="1">IF($I46=1,Table!F31,"")</f>
        <v/>
      </c>
      <c r="K46" t="str">
        <f ca="1">IF($I46=1,Table!G31,"")</f>
        <v/>
      </c>
      <c r="L46" t="str">
        <f ca="1">IF($I46=1,Table!H31,"")</f>
        <v/>
      </c>
      <c r="M46" t="str">
        <f t="shared" ca="1" si="2"/>
        <v/>
      </c>
      <c r="N46" s="48" t="str">
        <f t="shared" ca="1" si="1"/>
        <v/>
      </c>
      <c r="O46" t="str">
        <f ca="1">IF($I46=1,Table!J31,"")</f>
        <v/>
      </c>
      <c r="P46" t="str">
        <f ca="1">IF($I46=1,Table!K31,"")</f>
        <v/>
      </c>
      <c r="Q46" t="str">
        <f ca="1">IF($I46=1,Table!L31,"")</f>
        <v/>
      </c>
      <c r="R46" t="str">
        <f ca="1">IF($I46=1,Table!M31,"")</f>
        <v/>
      </c>
      <c r="S46" t="str">
        <f ca="1">IF($I46=1,Table!N31,"")</f>
        <v/>
      </c>
    </row>
    <row r="47" spans="1:19" ht="13.5" x14ac:dyDescent="0.25">
      <c r="A47" s="29"/>
      <c r="B47" s="29"/>
      <c r="C47" s="29"/>
      <c r="I47" s="55">
        <f ca="1">SUM(I23:I46)</f>
        <v>5</v>
      </c>
      <c r="J47" s="55" t="e">
        <f ca="1">AVERAGE(J23:J46)</f>
        <v>#DIV/0!</v>
      </c>
      <c r="K47" s="55" t="e">
        <f ca="1">AVERAGE(K23:K46)</f>
        <v>#DIV/0!</v>
      </c>
      <c r="L47" s="55" t="e">
        <f ca="1">AVERAGE(L23:L46)</f>
        <v>#DIV/0!</v>
      </c>
      <c r="M47" s="55" t="e">
        <f ca="1">SUM(M23:M46)</f>
        <v>#VALUE!</v>
      </c>
      <c r="N47" s="62" t="e">
        <f ca="1">SQRT((1/SUM(I23:I46)^2*SUM(N23:N46)))</f>
        <v>#VALUE!</v>
      </c>
      <c r="O47" s="55" t="e">
        <f ca="1">NORMINV(0.1,$L47,$N47)</f>
        <v>#DIV/0!</v>
      </c>
      <c r="P47" s="55" t="e">
        <f ca="1">NORMINV(0.3,$L47,$N47)</f>
        <v>#DIV/0!</v>
      </c>
      <c r="Q47" s="55" t="e">
        <f ca="1">NORMINV(0.5,$L47,$N47)</f>
        <v>#DIV/0!</v>
      </c>
      <c r="R47" s="55" t="e">
        <f ca="1">NORMINV(0.7,$L47,$N47)</f>
        <v>#DIV/0!</v>
      </c>
      <c r="S47" s="55" t="e">
        <f ca="1">NORMINV(0.9,$L47,$N47)</f>
        <v>#DIV/0!</v>
      </c>
    </row>
    <row r="48" spans="1:19" x14ac:dyDescent="0.2">
      <c r="A48" s="31"/>
      <c r="B48" s="31"/>
      <c r="C48" s="32"/>
    </row>
    <row r="49" spans="1:3" ht="13.5" x14ac:dyDescent="0.25">
      <c r="A49" s="29"/>
      <c r="B49" s="29"/>
      <c r="C49" s="29"/>
    </row>
    <row r="50" spans="1:3" x14ac:dyDescent="0.2">
      <c r="A50" s="31"/>
      <c r="B50" s="31"/>
      <c r="C50" s="32"/>
    </row>
    <row r="51" spans="1:3" x14ac:dyDescent="0.2">
      <c r="A51" s="5"/>
      <c r="B51" s="5"/>
      <c r="C51" s="5"/>
    </row>
    <row r="52" spans="1:3" x14ac:dyDescent="0.2">
      <c r="A52" s="5"/>
      <c r="B52" s="5"/>
      <c r="C52" s="5"/>
    </row>
    <row r="53" spans="1:3" x14ac:dyDescent="0.2">
      <c r="A53" s="5"/>
      <c r="B53" s="5"/>
      <c r="C53" s="5"/>
    </row>
    <row r="54" spans="1:3" x14ac:dyDescent="0.2">
      <c r="A54" s="5"/>
      <c r="B54" s="5"/>
      <c r="C54" s="5"/>
    </row>
    <row r="55" spans="1:3" x14ac:dyDescent="0.2">
      <c r="A55" s="5"/>
      <c r="B55" s="5"/>
      <c r="C55" s="5"/>
    </row>
    <row r="56" spans="1:3" x14ac:dyDescent="0.2">
      <c r="A56" s="5"/>
      <c r="B56" s="5"/>
      <c r="C56" s="5"/>
    </row>
    <row r="57" spans="1:3" x14ac:dyDescent="0.2">
      <c r="A57" s="5"/>
      <c r="B57" s="5"/>
      <c r="C57" s="5"/>
    </row>
    <row r="58" spans="1:3" x14ac:dyDescent="0.2">
      <c r="A58" s="5"/>
      <c r="B58" s="5"/>
      <c r="C58" s="5"/>
    </row>
    <row r="59" spans="1:3" x14ac:dyDescent="0.2">
      <c r="A59" s="5"/>
      <c r="B59" s="5"/>
      <c r="C59" s="5"/>
    </row>
    <row r="60" spans="1:3" x14ac:dyDescent="0.2">
      <c r="A60" s="5"/>
      <c r="B60" s="5"/>
      <c r="C60" s="5"/>
    </row>
    <row r="61" spans="1:3" x14ac:dyDescent="0.2">
      <c r="A61" s="5"/>
      <c r="B61" s="5"/>
      <c r="C61" s="5"/>
    </row>
    <row r="62" spans="1:3" x14ac:dyDescent="0.2">
      <c r="A62" s="5"/>
      <c r="B62" s="5"/>
      <c r="C62" s="5"/>
    </row>
    <row r="63" spans="1:3" x14ac:dyDescent="0.2">
      <c r="A63" s="5"/>
      <c r="B63" s="5"/>
      <c r="C63" s="5"/>
    </row>
    <row r="64" spans="1:3" x14ac:dyDescent="0.2">
      <c r="A64" s="5"/>
      <c r="B64" s="5"/>
      <c r="C64" s="5"/>
    </row>
    <row r="65" spans="1:3" x14ac:dyDescent="0.2">
      <c r="A65" s="5"/>
      <c r="B65" s="5"/>
      <c r="C65" s="5"/>
    </row>
    <row r="66" spans="1:3" x14ac:dyDescent="0.2">
      <c r="A66" s="5"/>
      <c r="B66" s="5"/>
      <c r="C66" s="5"/>
    </row>
    <row r="67" spans="1:3" x14ac:dyDescent="0.2">
      <c r="A67" s="5"/>
      <c r="B67" s="5"/>
      <c r="C67" s="5"/>
    </row>
    <row r="68" spans="1:3" x14ac:dyDescent="0.2">
      <c r="A68" s="5"/>
      <c r="B68" s="5"/>
      <c r="C68" s="5"/>
    </row>
    <row r="69" spans="1:3" x14ac:dyDescent="0.2">
      <c r="A69" s="5"/>
      <c r="B69" s="5"/>
      <c r="C69" s="5"/>
    </row>
    <row r="70" spans="1:3" x14ac:dyDescent="0.2">
      <c r="A70" s="5"/>
      <c r="B70" s="5"/>
      <c r="C70" s="5"/>
    </row>
  </sheetData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X417"/>
  <sheetViews>
    <sheetView workbookViewId="0">
      <pane xSplit="8" ySplit="1" topLeftCell="I2" activePane="bottomRight" state="frozen"/>
      <selection pane="topRight"/>
      <selection pane="bottomLeft"/>
      <selection pane="bottomRight"/>
    </sheetView>
  </sheetViews>
  <sheetFormatPr defaultRowHeight="12.75" x14ac:dyDescent="0.2"/>
  <cols>
    <col min="1" max="1" width="22.7109375" bestFit="1" customWidth="1"/>
    <col min="2" max="2" width="23.85546875" customWidth="1"/>
    <col min="3" max="3" width="22.7109375" customWidth="1"/>
    <col min="4" max="4" width="19.5703125" customWidth="1"/>
    <col min="5" max="5" width="19" bestFit="1" customWidth="1"/>
    <col min="6" max="6" width="12.140625" bestFit="1" customWidth="1"/>
    <col min="7" max="7" width="12.140625" customWidth="1"/>
    <col min="8" max="8" width="11.85546875" bestFit="1" customWidth="1"/>
    <col min="9" max="9" width="11.85546875" customWidth="1"/>
    <col min="10" max="10" width="14" bestFit="1" customWidth="1"/>
    <col min="11" max="11" width="31" bestFit="1" customWidth="1"/>
    <col min="12" max="12" width="7.7109375" bestFit="1" customWidth="1"/>
    <col min="13" max="13" width="9.85546875" bestFit="1" customWidth="1"/>
    <col min="14" max="14" width="9.85546875" customWidth="1"/>
    <col min="15" max="15" width="6.140625" bestFit="1" customWidth="1"/>
    <col min="16" max="24" width="7.5703125" bestFit="1" customWidth="1"/>
    <col min="25" max="39" width="8.5703125" bestFit="1" customWidth="1"/>
    <col min="40" max="40" width="13.28515625" bestFit="1" customWidth="1"/>
    <col min="41" max="48" width="11.5703125" bestFit="1" customWidth="1"/>
    <col min="49" max="63" width="12.5703125" bestFit="1" customWidth="1"/>
    <col min="64" max="64" width="13.28515625" bestFit="1" customWidth="1"/>
    <col min="65" max="72" width="11.5703125" bestFit="1" customWidth="1"/>
    <col min="73" max="87" width="12.5703125" bestFit="1" customWidth="1"/>
    <col min="88" max="88" width="13.28515625" bestFit="1" customWidth="1"/>
    <col min="89" max="96" width="11.5703125" bestFit="1" customWidth="1"/>
    <col min="97" max="99" width="12.5703125" bestFit="1" customWidth="1"/>
    <col min="100" max="100" width="18.28515625" customWidth="1"/>
    <col min="101" max="111" width="12.5703125" bestFit="1" customWidth="1"/>
    <col min="112" max="112" width="13.28515625" bestFit="1" customWidth="1"/>
    <col min="113" max="120" width="11.5703125" bestFit="1" customWidth="1"/>
    <col min="121" max="135" width="12.5703125" bestFit="1" customWidth="1"/>
    <col min="136" max="136" width="13.28515625" bestFit="1" customWidth="1"/>
    <col min="137" max="144" width="11.5703125" bestFit="1" customWidth="1"/>
    <col min="145" max="159" width="12.5703125" bestFit="1" customWidth="1"/>
    <col min="169" max="180" width="10.140625" bestFit="1" customWidth="1"/>
  </cols>
  <sheetData>
    <row r="1" spans="1:180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s="51" t="s">
        <v>246</v>
      </c>
      <c r="H1" t="s">
        <v>220</v>
      </c>
      <c r="I1" t="s">
        <v>6</v>
      </c>
      <c r="J1" t="s">
        <v>8</v>
      </c>
      <c r="K1" t="s">
        <v>7</v>
      </c>
      <c r="L1" t="s">
        <v>190</v>
      </c>
      <c r="M1" t="s">
        <v>191</v>
      </c>
      <c r="N1" t="s">
        <v>192</v>
      </c>
      <c r="O1" t="s">
        <v>193</v>
      </c>
      <c r="P1" t="s">
        <v>194</v>
      </c>
      <c r="Q1" t="s">
        <v>195</v>
      </c>
      <c r="R1" t="s">
        <v>196</v>
      </c>
      <c r="S1" t="s">
        <v>197</v>
      </c>
      <c r="T1" t="s">
        <v>198</v>
      </c>
      <c r="U1" t="s">
        <v>199</v>
      </c>
      <c r="V1" t="s">
        <v>200</v>
      </c>
      <c r="W1" t="s">
        <v>201</v>
      </c>
      <c r="X1" t="s">
        <v>202</v>
      </c>
      <c r="Y1" t="s">
        <v>203</v>
      </c>
      <c r="Z1" t="s">
        <v>204</v>
      </c>
      <c r="AA1" t="s">
        <v>205</v>
      </c>
      <c r="AB1" t="s">
        <v>206</v>
      </c>
      <c r="AC1" t="s">
        <v>207</v>
      </c>
      <c r="AD1" t="s">
        <v>208</v>
      </c>
      <c r="AE1" t="s">
        <v>209</v>
      </c>
      <c r="AF1" t="s">
        <v>210</v>
      </c>
      <c r="AG1" t="s">
        <v>211</v>
      </c>
      <c r="AH1" t="s">
        <v>212</v>
      </c>
      <c r="AI1" t="s">
        <v>213</v>
      </c>
      <c r="AJ1" t="s">
        <v>45</v>
      </c>
      <c r="AK1" t="s">
        <v>69</v>
      </c>
      <c r="AL1" t="s">
        <v>93</v>
      </c>
      <c r="AM1" t="s">
        <v>117</v>
      </c>
      <c r="AN1" t="s">
        <v>141</v>
      </c>
      <c r="AO1" t="s">
        <v>46</v>
      </c>
      <c r="AP1" t="s">
        <v>70</v>
      </c>
      <c r="AQ1" t="s">
        <v>94</v>
      </c>
      <c r="AR1" t="s">
        <v>118</v>
      </c>
      <c r="AS1" t="s">
        <v>142</v>
      </c>
      <c r="AT1" t="s">
        <v>47</v>
      </c>
      <c r="AU1" t="s">
        <v>71</v>
      </c>
      <c r="AV1" t="s">
        <v>95</v>
      </c>
      <c r="AW1" t="s">
        <v>119</v>
      </c>
      <c r="AX1" t="s">
        <v>143</v>
      </c>
      <c r="AY1" t="s">
        <v>48</v>
      </c>
      <c r="AZ1" t="s">
        <v>72</v>
      </c>
      <c r="BA1" t="s">
        <v>96</v>
      </c>
      <c r="BB1" t="s">
        <v>120</v>
      </c>
      <c r="BC1" t="s">
        <v>144</v>
      </c>
      <c r="BD1" t="s">
        <v>49</v>
      </c>
      <c r="BE1" t="s">
        <v>73</v>
      </c>
      <c r="BF1" t="s">
        <v>97</v>
      </c>
      <c r="BG1" t="s">
        <v>121</v>
      </c>
      <c r="BH1" t="s">
        <v>145</v>
      </c>
      <c r="BI1" t="s">
        <v>50</v>
      </c>
      <c r="BJ1" t="s">
        <v>74</v>
      </c>
      <c r="BK1" t="s">
        <v>98</v>
      </c>
      <c r="BL1" t="s">
        <v>122</v>
      </c>
      <c r="BM1" t="s">
        <v>146</v>
      </c>
      <c r="BN1" t="s">
        <v>51</v>
      </c>
      <c r="BO1" t="s">
        <v>75</v>
      </c>
      <c r="BP1" t="s">
        <v>99</v>
      </c>
      <c r="BQ1" t="s">
        <v>123</v>
      </c>
      <c r="BR1" t="s">
        <v>147</v>
      </c>
      <c r="BS1" t="s">
        <v>52</v>
      </c>
      <c r="BT1" t="s">
        <v>76</v>
      </c>
      <c r="BU1" t="s">
        <v>100</v>
      </c>
      <c r="BV1" t="s">
        <v>124</v>
      </c>
      <c r="BW1" t="s">
        <v>148</v>
      </c>
      <c r="BX1" t="s">
        <v>53</v>
      </c>
      <c r="BY1" t="s">
        <v>77</v>
      </c>
      <c r="BZ1" t="s">
        <v>101</v>
      </c>
      <c r="CA1" t="s">
        <v>125</v>
      </c>
      <c r="CB1" t="s">
        <v>149</v>
      </c>
      <c r="CC1" t="s">
        <v>54</v>
      </c>
      <c r="CD1" t="s">
        <v>78</v>
      </c>
      <c r="CE1" t="s">
        <v>102</v>
      </c>
      <c r="CF1" t="s">
        <v>126</v>
      </c>
      <c r="CG1" t="s">
        <v>150</v>
      </c>
      <c r="CH1" t="s">
        <v>55</v>
      </c>
      <c r="CI1" t="s">
        <v>79</v>
      </c>
      <c r="CJ1" t="s">
        <v>103</v>
      </c>
      <c r="CK1" t="s">
        <v>127</v>
      </c>
      <c r="CL1" t="s">
        <v>151</v>
      </c>
      <c r="CM1" t="s">
        <v>56</v>
      </c>
      <c r="CN1" t="s">
        <v>80</v>
      </c>
      <c r="CO1" t="s">
        <v>104</v>
      </c>
      <c r="CP1" t="s">
        <v>128</v>
      </c>
      <c r="CQ1" t="s">
        <v>152</v>
      </c>
      <c r="CR1" t="s">
        <v>57</v>
      </c>
      <c r="CS1" t="s">
        <v>81</v>
      </c>
      <c r="CT1" t="s">
        <v>105</v>
      </c>
      <c r="CU1" t="s">
        <v>129</v>
      </c>
      <c r="CV1" t="s">
        <v>153</v>
      </c>
      <c r="CW1" t="s">
        <v>58</v>
      </c>
      <c r="CX1" t="s">
        <v>82</v>
      </c>
      <c r="CY1" t="s">
        <v>106</v>
      </c>
      <c r="CZ1" t="s">
        <v>130</v>
      </c>
      <c r="DA1" t="s">
        <v>154</v>
      </c>
      <c r="DB1" t="s">
        <v>59</v>
      </c>
      <c r="DC1" t="s">
        <v>83</v>
      </c>
      <c r="DD1" t="s">
        <v>107</v>
      </c>
      <c r="DE1" t="s">
        <v>131</v>
      </c>
      <c r="DF1" t="s">
        <v>155</v>
      </c>
      <c r="DG1" t="s">
        <v>60</v>
      </c>
      <c r="DH1" t="s">
        <v>84</v>
      </c>
      <c r="DI1" t="s">
        <v>108</v>
      </c>
      <c r="DJ1" t="s">
        <v>132</v>
      </c>
      <c r="DK1" t="s">
        <v>156</v>
      </c>
      <c r="DL1" t="s">
        <v>61</v>
      </c>
      <c r="DM1" t="s">
        <v>85</v>
      </c>
      <c r="DN1" t="s">
        <v>109</v>
      </c>
      <c r="DO1" t="s">
        <v>133</v>
      </c>
      <c r="DP1" t="s">
        <v>157</v>
      </c>
      <c r="DQ1" t="s">
        <v>62</v>
      </c>
      <c r="DR1" t="s">
        <v>86</v>
      </c>
      <c r="DS1" t="s">
        <v>110</v>
      </c>
      <c r="DT1" t="s">
        <v>134</v>
      </c>
      <c r="DU1" t="s">
        <v>158</v>
      </c>
      <c r="DV1" t="s">
        <v>63</v>
      </c>
      <c r="DW1" t="s">
        <v>87</v>
      </c>
      <c r="DX1" t="s">
        <v>111</v>
      </c>
      <c r="DY1" t="s">
        <v>135</v>
      </c>
      <c r="DZ1" t="s">
        <v>159</v>
      </c>
      <c r="EA1" t="s">
        <v>64</v>
      </c>
      <c r="EB1" t="s">
        <v>88</v>
      </c>
      <c r="EC1" t="s">
        <v>112</v>
      </c>
      <c r="ED1" t="s">
        <v>136</v>
      </c>
      <c r="EE1" t="s">
        <v>160</v>
      </c>
      <c r="EF1" t="s">
        <v>65</v>
      </c>
      <c r="EG1" t="s">
        <v>89</v>
      </c>
      <c r="EH1" t="s">
        <v>113</v>
      </c>
      <c r="EI1" t="s">
        <v>137</v>
      </c>
      <c r="EJ1" t="s">
        <v>161</v>
      </c>
      <c r="EK1" t="s">
        <v>66</v>
      </c>
      <c r="EL1" t="s">
        <v>90</v>
      </c>
      <c r="EM1" t="s">
        <v>114</v>
      </c>
      <c r="EN1" t="s">
        <v>138</v>
      </c>
      <c r="EO1" t="s">
        <v>162</v>
      </c>
      <c r="EP1" t="s">
        <v>67</v>
      </c>
      <c r="EQ1" t="s">
        <v>91</v>
      </c>
      <c r="ER1" t="s">
        <v>115</v>
      </c>
      <c r="ES1" t="s">
        <v>139</v>
      </c>
      <c r="ET1" t="s">
        <v>163</v>
      </c>
      <c r="EU1" t="s">
        <v>68</v>
      </c>
      <c r="EV1" t="s">
        <v>92</v>
      </c>
      <c r="EW1" t="s">
        <v>116</v>
      </c>
      <c r="EX1" t="s">
        <v>140</v>
      </c>
      <c r="EY1" t="s">
        <v>164</v>
      </c>
      <c r="EZ1" t="s">
        <v>165</v>
      </c>
      <c r="FA1" t="s">
        <v>166</v>
      </c>
      <c r="FB1" t="s">
        <v>167</v>
      </c>
      <c r="FC1" t="s">
        <v>168</v>
      </c>
      <c r="FD1" t="s">
        <v>169</v>
      </c>
      <c r="FE1" t="s">
        <v>170</v>
      </c>
      <c r="FF1" t="s">
        <v>171</v>
      </c>
      <c r="FG1" t="s">
        <v>172</v>
      </c>
      <c r="FH1" t="s">
        <v>173</v>
      </c>
      <c r="FI1" t="s">
        <v>174</v>
      </c>
      <c r="FJ1" t="s">
        <v>175</v>
      </c>
      <c r="FK1" t="s">
        <v>176</v>
      </c>
      <c r="FL1" t="s">
        <v>177</v>
      </c>
      <c r="FM1" t="s">
        <v>178</v>
      </c>
      <c r="FN1" t="s">
        <v>179</v>
      </c>
      <c r="FO1" t="s">
        <v>180</v>
      </c>
      <c r="FP1" t="s">
        <v>181</v>
      </c>
      <c r="FQ1" t="s">
        <v>182</v>
      </c>
      <c r="FR1" t="s">
        <v>183</v>
      </c>
      <c r="FS1" t="s">
        <v>184</v>
      </c>
      <c r="FT1" t="s">
        <v>185</v>
      </c>
      <c r="FU1" t="s">
        <v>186</v>
      </c>
      <c r="FV1" t="s">
        <v>187</v>
      </c>
      <c r="FW1" t="s">
        <v>188</v>
      </c>
      <c r="FX1" s="51" t="s">
        <v>247</v>
      </c>
    </row>
    <row r="2" spans="1:180" x14ac:dyDescent="0.2">
      <c r="A2" t="s">
        <v>239</v>
      </c>
      <c r="B2" t="s">
        <v>242</v>
      </c>
      <c r="C2" t="s">
        <v>215</v>
      </c>
      <c r="D2" t="s">
        <v>33</v>
      </c>
      <c r="E2" s="51">
        <v>2016</v>
      </c>
      <c r="F2" t="s">
        <v>222</v>
      </c>
      <c r="G2" s="51" t="s">
        <v>10</v>
      </c>
      <c r="H2" t="s">
        <v>240</v>
      </c>
      <c r="I2">
        <v>0</v>
      </c>
      <c r="FX2">
        <v>0</v>
      </c>
    </row>
    <row r="3" spans="1:180" x14ac:dyDescent="0.2">
      <c r="A3" t="s">
        <v>239</v>
      </c>
      <c r="B3" t="s">
        <v>242</v>
      </c>
      <c r="C3" t="s">
        <v>215</v>
      </c>
      <c r="D3" t="s">
        <v>33</v>
      </c>
      <c r="E3" s="51">
        <v>2016</v>
      </c>
      <c r="F3" t="s">
        <v>223</v>
      </c>
      <c r="G3" s="51" t="s">
        <v>10</v>
      </c>
      <c r="H3" t="s">
        <v>240</v>
      </c>
      <c r="I3">
        <v>0</v>
      </c>
      <c r="FX3">
        <v>0</v>
      </c>
    </row>
    <row r="4" spans="1:180" x14ac:dyDescent="0.2">
      <c r="A4" t="s">
        <v>239</v>
      </c>
      <c r="B4" t="s">
        <v>242</v>
      </c>
      <c r="C4" t="s">
        <v>215</v>
      </c>
      <c r="D4" t="s">
        <v>33</v>
      </c>
      <c r="E4" s="51">
        <v>2016</v>
      </c>
      <c r="F4" t="s">
        <v>224</v>
      </c>
      <c r="G4" s="51" t="s">
        <v>10</v>
      </c>
      <c r="H4" t="s">
        <v>240</v>
      </c>
      <c r="I4">
        <v>0</v>
      </c>
      <c r="FX4">
        <v>0</v>
      </c>
    </row>
    <row r="5" spans="1:180" x14ac:dyDescent="0.2">
      <c r="A5" t="s">
        <v>239</v>
      </c>
      <c r="B5" t="s">
        <v>242</v>
      </c>
      <c r="C5" t="s">
        <v>215</v>
      </c>
      <c r="D5" t="s">
        <v>33</v>
      </c>
      <c r="E5" s="51">
        <v>2016</v>
      </c>
      <c r="F5" t="s">
        <v>225</v>
      </c>
      <c r="G5" s="51" t="s">
        <v>10</v>
      </c>
      <c r="H5" t="s">
        <v>240</v>
      </c>
      <c r="I5">
        <v>0</v>
      </c>
      <c r="FX5">
        <v>0</v>
      </c>
    </row>
    <row r="6" spans="1:180" x14ac:dyDescent="0.2">
      <c r="A6" t="s">
        <v>239</v>
      </c>
      <c r="B6" t="s">
        <v>242</v>
      </c>
      <c r="C6" t="s">
        <v>215</v>
      </c>
      <c r="D6" t="s">
        <v>34</v>
      </c>
      <c r="E6" s="51">
        <v>2016</v>
      </c>
      <c r="F6" t="s">
        <v>222</v>
      </c>
      <c r="G6" s="51" t="s">
        <v>10</v>
      </c>
      <c r="H6" t="s">
        <v>240</v>
      </c>
      <c r="I6">
        <v>0</v>
      </c>
      <c r="FX6">
        <v>0</v>
      </c>
    </row>
    <row r="7" spans="1:180" x14ac:dyDescent="0.2">
      <c r="A7" t="s">
        <v>239</v>
      </c>
      <c r="B7" t="s">
        <v>242</v>
      </c>
      <c r="C7" t="s">
        <v>215</v>
      </c>
      <c r="D7" t="s">
        <v>34</v>
      </c>
      <c r="E7" s="51">
        <v>2016</v>
      </c>
      <c r="F7" t="s">
        <v>223</v>
      </c>
      <c r="G7" s="51" t="s">
        <v>10</v>
      </c>
      <c r="H7" t="s">
        <v>240</v>
      </c>
      <c r="I7">
        <v>0</v>
      </c>
      <c r="FX7">
        <v>0</v>
      </c>
    </row>
    <row r="8" spans="1:180" x14ac:dyDescent="0.2">
      <c r="A8" t="s">
        <v>239</v>
      </c>
      <c r="B8" t="s">
        <v>242</v>
      </c>
      <c r="C8" t="s">
        <v>215</v>
      </c>
      <c r="D8" t="s">
        <v>34</v>
      </c>
      <c r="E8" s="51">
        <v>2016</v>
      </c>
      <c r="F8" t="s">
        <v>224</v>
      </c>
      <c r="G8" s="51" t="s">
        <v>10</v>
      </c>
      <c r="H8" t="s">
        <v>240</v>
      </c>
      <c r="I8">
        <v>0</v>
      </c>
      <c r="FX8">
        <v>0</v>
      </c>
    </row>
    <row r="9" spans="1:180" x14ac:dyDescent="0.2">
      <c r="A9" t="s">
        <v>239</v>
      </c>
      <c r="B9" t="s">
        <v>242</v>
      </c>
      <c r="C9" t="s">
        <v>215</v>
      </c>
      <c r="D9" t="s">
        <v>34</v>
      </c>
      <c r="E9" s="51">
        <v>2016</v>
      </c>
      <c r="F9" t="s">
        <v>225</v>
      </c>
      <c r="G9" s="51" t="s">
        <v>10</v>
      </c>
      <c r="H9" t="s">
        <v>240</v>
      </c>
      <c r="I9">
        <v>0</v>
      </c>
      <c r="FX9">
        <v>0</v>
      </c>
    </row>
    <row r="10" spans="1:180" x14ac:dyDescent="0.2">
      <c r="A10" t="s">
        <v>239</v>
      </c>
      <c r="B10" t="s">
        <v>242</v>
      </c>
      <c r="C10" t="s">
        <v>215</v>
      </c>
      <c r="D10" t="s">
        <v>35</v>
      </c>
      <c r="E10" s="51">
        <v>2016</v>
      </c>
      <c r="F10" t="s">
        <v>222</v>
      </c>
      <c r="G10" s="51" t="s">
        <v>10</v>
      </c>
      <c r="H10" t="s">
        <v>240</v>
      </c>
      <c r="I10">
        <v>0</v>
      </c>
      <c r="FX10">
        <v>0</v>
      </c>
    </row>
    <row r="11" spans="1:180" x14ac:dyDescent="0.2">
      <c r="A11" t="s">
        <v>239</v>
      </c>
      <c r="B11" t="s">
        <v>242</v>
      </c>
      <c r="C11" t="s">
        <v>215</v>
      </c>
      <c r="D11" t="s">
        <v>35</v>
      </c>
      <c r="E11" s="51">
        <v>2016</v>
      </c>
      <c r="F11" t="s">
        <v>223</v>
      </c>
      <c r="G11" s="51" t="s">
        <v>10</v>
      </c>
      <c r="H11" t="s">
        <v>240</v>
      </c>
      <c r="I11">
        <v>0</v>
      </c>
      <c r="FX11">
        <v>0</v>
      </c>
    </row>
    <row r="12" spans="1:180" x14ac:dyDescent="0.2">
      <c r="A12" t="s">
        <v>239</v>
      </c>
      <c r="B12" t="s">
        <v>242</v>
      </c>
      <c r="C12" t="s">
        <v>215</v>
      </c>
      <c r="D12" t="s">
        <v>35</v>
      </c>
      <c r="E12" s="51">
        <v>2016</v>
      </c>
      <c r="F12" t="s">
        <v>224</v>
      </c>
      <c r="G12" s="51" t="s">
        <v>10</v>
      </c>
      <c r="H12" t="s">
        <v>240</v>
      </c>
      <c r="I12">
        <v>0</v>
      </c>
      <c r="FX12">
        <v>0</v>
      </c>
    </row>
    <row r="13" spans="1:180" x14ac:dyDescent="0.2">
      <c r="A13" t="s">
        <v>239</v>
      </c>
      <c r="B13" t="s">
        <v>242</v>
      </c>
      <c r="C13" t="s">
        <v>215</v>
      </c>
      <c r="D13" t="s">
        <v>35</v>
      </c>
      <c r="E13" s="51">
        <v>2016</v>
      </c>
      <c r="F13" t="s">
        <v>225</v>
      </c>
      <c r="G13" s="51" t="s">
        <v>10</v>
      </c>
      <c r="H13" t="s">
        <v>240</v>
      </c>
      <c r="I13">
        <v>0</v>
      </c>
      <c r="FX13">
        <v>0</v>
      </c>
    </row>
    <row r="14" spans="1:180" x14ac:dyDescent="0.2">
      <c r="A14" t="s">
        <v>239</v>
      </c>
      <c r="B14" t="s">
        <v>242</v>
      </c>
      <c r="C14" t="s">
        <v>215</v>
      </c>
      <c r="D14" t="s">
        <v>36</v>
      </c>
      <c r="E14" s="51">
        <v>2016</v>
      </c>
      <c r="F14" t="s">
        <v>222</v>
      </c>
      <c r="G14" s="51" t="s">
        <v>10</v>
      </c>
      <c r="H14" t="s">
        <v>240</v>
      </c>
      <c r="I14">
        <v>0</v>
      </c>
      <c r="FX14">
        <v>0</v>
      </c>
    </row>
    <row r="15" spans="1:180" x14ac:dyDescent="0.2">
      <c r="A15" t="s">
        <v>239</v>
      </c>
      <c r="B15" t="s">
        <v>242</v>
      </c>
      <c r="C15" t="s">
        <v>215</v>
      </c>
      <c r="D15" t="s">
        <v>36</v>
      </c>
      <c r="E15" s="51">
        <v>2016</v>
      </c>
      <c r="F15" t="s">
        <v>223</v>
      </c>
      <c r="G15" s="51" t="s">
        <v>10</v>
      </c>
      <c r="H15" t="s">
        <v>240</v>
      </c>
      <c r="I15">
        <v>0</v>
      </c>
      <c r="FX15">
        <v>0</v>
      </c>
    </row>
    <row r="16" spans="1:180" x14ac:dyDescent="0.2">
      <c r="A16" t="s">
        <v>239</v>
      </c>
      <c r="B16" t="s">
        <v>242</v>
      </c>
      <c r="C16" t="s">
        <v>215</v>
      </c>
      <c r="D16" t="s">
        <v>36</v>
      </c>
      <c r="E16" s="51">
        <v>2016</v>
      </c>
      <c r="F16" t="s">
        <v>224</v>
      </c>
      <c r="G16" s="51" t="s">
        <v>10</v>
      </c>
      <c r="H16" t="s">
        <v>240</v>
      </c>
      <c r="I16">
        <v>0</v>
      </c>
      <c r="FX16">
        <v>0</v>
      </c>
    </row>
    <row r="17" spans="1:180" x14ac:dyDescent="0.2">
      <c r="A17" t="s">
        <v>239</v>
      </c>
      <c r="B17" t="s">
        <v>242</v>
      </c>
      <c r="C17" t="s">
        <v>215</v>
      </c>
      <c r="D17" t="s">
        <v>36</v>
      </c>
      <c r="E17" s="51">
        <v>2016</v>
      </c>
      <c r="F17" t="s">
        <v>225</v>
      </c>
      <c r="G17" s="51" t="s">
        <v>10</v>
      </c>
      <c r="H17" t="s">
        <v>240</v>
      </c>
      <c r="I17">
        <v>0</v>
      </c>
      <c r="FX17">
        <v>0</v>
      </c>
    </row>
    <row r="18" spans="1:180" x14ac:dyDescent="0.2">
      <c r="A18" t="s">
        <v>239</v>
      </c>
      <c r="B18" t="s">
        <v>242</v>
      </c>
      <c r="C18" t="s">
        <v>215</v>
      </c>
      <c r="D18" t="s">
        <v>37</v>
      </c>
      <c r="E18" s="51">
        <v>2016</v>
      </c>
      <c r="F18" t="s">
        <v>222</v>
      </c>
      <c r="G18" s="51" t="s">
        <v>10</v>
      </c>
      <c r="H18" t="s">
        <v>240</v>
      </c>
      <c r="I18">
        <v>0</v>
      </c>
      <c r="FX18">
        <v>0</v>
      </c>
    </row>
    <row r="19" spans="1:180" x14ac:dyDescent="0.2">
      <c r="A19" t="s">
        <v>239</v>
      </c>
      <c r="B19" t="s">
        <v>242</v>
      </c>
      <c r="C19" t="s">
        <v>215</v>
      </c>
      <c r="D19" t="s">
        <v>37</v>
      </c>
      <c r="E19" s="51">
        <v>2016</v>
      </c>
      <c r="F19" t="s">
        <v>223</v>
      </c>
      <c r="G19" s="51" t="s">
        <v>10</v>
      </c>
      <c r="H19" t="s">
        <v>240</v>
      </c>
      <c r="I19">
        <v>0</v>
      </c>
      <c r="FX19">
        <v>0</v>
      </c>
    </row>
    <row r="20" spans="1:180" x14ac:dyDescent="0.2">
      <c r="A20" t="s">
        <v>239</v>
      </c>
      <c r="B20" t="s">
        <v>242</v>
      </c>
      <c r="C20" t="s">
        <v>215</v>
      </c>
      <c r="D20" t="s">
        <v>37</v>
      </c>
      <c r="E20" s="51">
        <v>2016</v>
      </c>
      <c r="F20" t="s">
        <v>224</v>
      </c>
      <c r="G20" s="51" t="s">
        <v>10</v>
      </c>
      <c r="H20" t="s">
        <v>240</v>
      </c>
      <c r="I20">
        <v>0</v>
      </c>
      <c r="FX20">
        <v>0</v>
      </c>
    </row>
    <row r="21" spans="1:180" x14ac:dyDescent="0.2">
      <c r="A21" t="s">
        <v>239</v>
      </c>
      <c r="B21" t="s">
        <v>242</v>
      </c>
      <c r="C21" t="s">
        <v>215</v>
      </c>
      <c r="D21" t="s">
        <v>37</v>
      </c>
      <c r="E21" s="51">
        <v>2016</v>
      </c>
      <c r="F21" t="s">
        <v>225</v>
      </c>
      <c r="G21" s="51" t="s">
        <v>10</v>
      </c>
      <c r="H21" t="s">
        <v>240</v>
      </c>
      <c r="I21">
        <v>0</v>
      </c>
      <c r="FX21">
        <v>0</v>
      </c>
    </row>
    <row r="22" spans="1:180" x14ac:dyDescent="0.2">
      <c r="A22" t="s">
        <v>239</v>
      </c>
      <c r="B22" t="s">
        <v>242</v>
      </c>
      <c r="C22" t="s">
        <v>215</v>
      </c>
      <c r="D22" t="s">
        <v>38</v>
      </c>
      <c r="E22" s="51">
        <v>2016</v>
      </c>
      <c r="F22" t="s">
        <v>222</v>
      </c>
      <c r="G22" s="51" t="s">
        <v>10</v>
      </c>
      <c r="H22" t="s">
        <v>240</v>
      </c>
      <c r="I22">
        <v>0</v>
      </c>
      <c r="FX22">
        <v>0</v>
      </c>
    </row>
    <row r="23" spans="1:180" x14ac:dyDescent="0.2">
      <c r="A23" t="s">
        <v>239</v>
      </c>
      <c r="B23" t="s">
        <v>242</v>
      </c>
      <c r="C23" t="s">
        <v>215</v>
      </c>
      <c r="D23" t="s">
        <v>38</v>
      </c>
      <c r="E23" s="51">
        <v>2016</v>
      </c>
      <c r="F23" t="s">
        <v>223</v>
      </c>
      <c r="G23" s="51" t="s">
        <v>10</v>
      </c>
      <c r="H23" t="s">
        <v>240</v>
      </c>
      <c r="I23">
        <v>0</v>
      </c>
      <c r="FX23">
        <v>0</v>
      </c>
    </row>
    <row r="24" spans="1:180" x14ac:dyDescent="0.2">
      <c r="A24" t="s">
        <v>239</v>
      </c>
      <c r="B24" t="s">
        <v>242</v>
      </c>
      <c r="C24" t="s">
        <v>215</v>
      </c>
      <c r="D24" t="s">
        <v>38</v>
      </c>
      <c r="E24" s="51">
        <v>2016</v>
      </c>
      <c r="F24" t="s">
        <v>224</v>
      </c>
      <c r="G24" s="51" t="s">
        <v>10</v>
      </c>
      <c r="H24" t="s">
        <v>240</v>
      </c>
      <c r="I24">
        <v>0</v>
      </c>
      <c r="FX24">
        <v>0</v>
      </c>
    </row>
    <row r="25" spans="1:180" x14ac:dyDescent="0.2">
      <c r="A25" t="s">
        <v>239</v>
      </c>
      <c r="B25" t="s">
        <v>242</v>
      </c>
      <c r="C25" t="s">
        <v>215</v>
      </c>
      <c r="D25" t="s">
        <v>38</v>
      </c>
      <c r="E25" s="51">
        <v>2016</v>
      </c>
      <c r="F25" t="s">
        <v>225</v>
      </c>
      <c r="G25" s="51" t="s">
        <v>10</v>
      </c>
      <c r="H25" t="s">
        <v>240</v>
      </c>
      <c r="I25">
        <v>0</v>
      </c>
      <c r="FX25">
        <v>0</v>
      </c>
    </row>
    <row r="26" spans="1:180" x14ac:dyDescent="0.2">
      <c r="A26" t="s">
        <v>239</v>
      </c>
      <c r="B26" t="s">
        <v>242</v>
      </c>
      <c r="C26" t="s">
        <v>215</v>
      </c>
      <c r="D26" t="s">
        <v>39</v>
      </c>
      <c r="E26" s="51">
        <v>2016</v>
      </c>
      <c r="F26" t="s">
        <v>222</v>
      </c>
      <c r="G26" s="51" t="s">
        <v>10</v>
      </c>
      <c r="H26" t="s">
        <v>240</v>
      </c>
      <c r="I26">
        <v>0</v>
      </c>
      <c r="FX26">
        <v>0</v>
      </c>
    </row>
    <row r="27" spans="1:180" x14ac:dyDescent="0.2">
      <c r="A27" t="s">
        <v>239</v>
      </c>
      <c r="B27" t="s">
        <v>242</v>
      </c>
      <c r="C27" t="s">
        <v>215</v>
      </c>
      <c r="D27" t="s">
        <v>39</v>
      </c>
      <c r="E27" s="51">
        <v>2016</v>
      </c>
      <c r="F27" t="s">
        <v>223</v>
      </c>
      <c r="G27" s="51" t="s">
        <v>10</v>
      </c>
      <c r="H27" t="s">
        <v>240</v>
      </c>
      <c r="I27">
        <v>0</v>
      </c>
      <c r="FX27">
        <v>0</v>
      </c>
    </row>
    <row r="28" spans="1:180" x14ac:dyDescent="0.2">
      <c r="A28" t="s">
        <v>239</v>
      </c>
      <c r="B28" t="s">
        <v>242</v>
      </c>
      <c r="C28" t="s">
        <v>215</v>
      </c>
      <c r="D28" t="s">
        <v>39</v>
      </c>
      <c r="E28" s="51">
        <v>2016</v>
      </c>
      <c r="F28" t="s">
        <v>224</v>
      </c>
      <c r="G28" s="51" t="s">
        <v>10</v>
      </c>
      <c r="H28" t="s">
        <v>240</v>
      </c>
      <c r="I28">
        <v>0</v>
      </c>
      <c r="FX28">
        <v>0</v>
      </c>
    </row>
    <row r="29" spans="1:180" x14ac:dyDescent="0.2">
      <c r="A29" t="s">
        <v>239</v>
      </c>
      <c r="B29" t="s">
        <v>242</v>
      </c>
      <c r="C29" t="s">
        <v>215</v>
      </c>
      <c r="D29" t="s">
        <v>39</v>
      </c>
      <c r="E29" s="51">
        <v>2016</v>
      </c>
      <c r="F29" t="s">
        <v>225</v>
      </c>
      <c r="G29" s="51" t="s">
        <v>10</v>
      </c>
      <c r="H29" t="s">
        <v>240</v>
      </c>
      <c r="I29">
        <v>0</v>
      </c>
      <c r="FX29">
        <v>0</v>
      </c>
    </row>
    <row r="30" spans="1:180" x14ac:dyDescent="0.2">
      <c r="A30" t="s">
        <v>239</v>
      </c>
      <c r="B30" t="s">
        <v>242</v>
      </c>
      <c r="C30" t="s">
        <v>215</v>
      </c>
      <c r="D30" t="s">
        <v>40</v>
      </c>
      <c r="E30" s="51">
        <v>2016</v>
      </c>
      <c r="F30" t="s">
        <v>222</v>
      </c>
      <c r="G30" s="51" t="s">
        <v>10</v>
      </c>
      <c r="H30" t="s">
        <v>240</v>
      </c>
      <c r="I30">
        <v>0</v>
      </c>
      <c r="FX30">
        <v>0</v>
      </c>
    </row>
    <row r="31" spans="1:180" x14ac:dyDescent="0.2">
      <c r="A31" t="s">
        <v>239</v>
      </c>
      <c r="B31" t="s">
        <v>242</v>
      </c>
      <c r="C31" t="s">
        <v>215</v>
      </c>
      <c r="D31" t="s">
        <v>40</v>
      </c>
      <c r="E31" s="51">
        <v>2016</v>
      </c>
      <c r="F31" t="s">
        <v>223</v>
      </c>
      <c r="G31" s="51" t="s">
        <v>10</v>
      </c>
      <c r="H31" t="s">
        <v>240</v>
      </c>
      <c r="I31">
        <v>0</v>
      </c>
      <c r="FX31">
        <v>0</v>
      </c>
    </row>
    <row r="32" spans="1:180" x14ac:dyDescent="0.2">
      <c r="A32" t="s">
        <v>239</v>
      </c>
      <c r="B32" t="s">
        <v>242</v>
      </c>
      <c r="C32" t="s">
        <v>215</v>
      </c>
      <c r="D32" t="s">
        <v>40</v>
      </c>
      <c r="E32" s="51">
        <v>2016</v>
      </c>
      <c r="F32" t="s">
        <v>224</v>
      </c>
      <c r="G32" s="51" t="s">
        <v>10</v>
      </c>
      <c r="H32" t="s">
        <v>240</v>
      </c>
      <c r="I32">
        <v>0</v>
      </c>
      <c r="FX32">
        <v>0</v>
      </c>
    </row>
    <row r="33" spans="1:180" x14ac:dyDescent="0.2">
      <c r="A33" t="s">
        <v>239</v>
      </c>
      <c r="B33" t="s">
        <v>242</v>
      </c>
      <c r="C33" t="s">
        <v>215</v>
      </c>
      <c r="D33" t="s">
        <v>40</v>
      </c>
      <c r="E33" s="51">
        <v>2016</v>
      </c>
      <c r="F33" t="s">
        <v>225</v>
      </c>
      <c r="G33" s="51" t="s">
        <v>10</v>
      </c>
      <c r="H33" t="s">
        <v>240</v>
      </c>
      <c r="I33">
        <v>0</v>
      </c>
      <c r="FX33">
        <v>0</v>
      </c>
    </row>
    <row r="34" spans="1:180" x14ac:dyDescent="0.2">
      <c r="A34" t="s">
        <v>239</v>
      </c>
      <c r="B34" t="s">
        <v>242</v>
      </c>
      <c r="C34" t="s">
        <v>215</v>
      </c>
      <c r="D34" t="s">
        <v>41</v>
      </c>
      <c r="E34" s="51">
        <v>2016</v>
      </c>
      <c r="F34" t="s">
        <v>222</v>
      </c>
      <c r="G34" s="51" t="s">
        <v>10</v>
      </c>
      <c r="H34" t="s">
        <v>240</v>
      </c>
      <c r="I34">
        <v>0</v>
      </c>
      <c r="FX34">
        <v>0</v>
      </c>
    </row>
    <row r="35" spans="1:180" x14ac:dyDescent="0.2">
      <c r="A35" t="s">
        <v>239</v>
      </c>
      <c r="B35" t="s">
        <v>242</v>
      </c>
      <c r="C35" t="s">
        <v>215</v>
      </c>
      <c r="D35" t="s">
        <v>41</v>
      </c>
      <c r="E35" s="51">
        <v>2016</v>
      </c>
      <c r="F35" t="s">
        <v>223</v>
      </c>
      <c r="G35" s="51" t="s">
        <v>10</v>
      </c>
      <c r="H35" t="s">
        <v>240</v>
      </c>
      <c r="I35">
        <v>0</v>
      </c>
      <c r="FX35">
        <v>0</v>
      </c>
    </row>
    <row r="36" spans="1:180" x14ac:dyDescent="0.2">
      <c r="A36" t="s">
        <v>239</v>
      </c>
      <c r="B36" t="s">
        <v>242</v>
      </c>
      <c r="C36" t="s">
        <v>215</v>
      </c>
      <c r="D36" t="s">
        <v>41</v>
      </c>
      <c r="E36" s="51">
        <v>2016</v>
      </c>
      <c r="F36" t="s">
        <v>224</v>
      </c>
      <c r="G36" s="51" t="s">
        <v>10</v>
      </c>
      <c r="H36" t="s">
        <v>240</v>
      </c>
      <c r="I36">
        <v>0</v>
      </c>
      <c r="FX36">
        <v>0</v>
      </c>
    </row>
    <row r="37" spans="1:180" x14ac:dyDescent="0.2">
      <c r="A37" t="s">
        <v>239</v>
      </c>
      <c r="B37" t="s">
        <v>242</v>
      </c>
      <c r="C37" t="s">
        <v>215</v>
      </c>
      <c r="D37" t="s">
        <v>41</v>
      </c>
      <c r="E37" s="51">
        <v>2016</v>
      </c>
      <c r="F37" t="s">
        <v>225</v>
      </c>
      <c r="G37" s="51" t="s">
        <v>10</v>
      </c>
      <c r="H37" t="s">
        <v>240</v>
      </c>
      <c r="I37">
        <v>0</v>
      </c>
      <c r="FX37">
        <v>0</v>
      </c>
    </row>
    <row r="38" spans="1:180" x14ac:dyDescent="0.2">
      <c r="A38" t="s">
        <v>239</v>
      </c>
      <c r="B38" t="s">
        <v>242</v>
      </c>
      <c r="C38" t="s">
        <v>215</v>
      </c>
      <c r="D38" t="s">
        <v>42</v>
      </c>
      <c r="E38" s="51">
        <v>2016</v>
      </c>
      <c r="F38" t="s">
        <v>222</v>
      </c>
      <c r="G38" s="51" t="s">
        <v>10</v>
      </c>
      <c r="H38" t="s">
        <v>240</v>
      </c>
      <c r="I38">
        <v>0</v>
      </c>
      <c r="FX38">
        <v>0</v>
      </c>
    </row>
    <row r="39" spans="1:180" x14ac:dyDescent="0.2">
      <c r="A39" t="s">
        <v>239</v>
      </c>
      <c r="B39" t="s">
        <v>242</v>
      </c>
      <c r="C39" t="s">
        <v>215</v>
      </c>
      <c r="D39" t="s">
        <v>42</v>
      </c>
      <c r="E39" s="51">
        <v>2016</v>
      </c>
      <c r="F39" t="s">
        <v>223</v>
      </c>
      <c r="G39" s="51" t="s">
        <v>10</v>
      </c>
      <c r="H39" t="s">
        <v>240</v>
      </c>
      <c r="I39">
        <v>0</v>
      </c>
      <c r="FX39">
        <v>0</v>
      </c>
    </row>
    <row r="40" spans="1:180" x14ac:dyDescent="0.2">
      <c r="A40" t="s">
        <v>239</v>
      </c>
      <c r="B40" t="s">
        <v>242</v>
      </c>
      <c r="C40" t="s">
        <v>215</v>
      </c>
      <c r="D40" t="s">
        <v>42</v>
      </c>
      <c r="E40" s="51">
        <v>2016</v>
      </c>
      <c r="F40" t="s">
        <v>224</v>
      </c>
      <c r="G40" s="51" t="s">
        <v>10</v>
      </c>
      <c r="H40" t="s">
        <v>240</v>
      </c>
      <c r="I40">
        <v>0</v>
      </c>
      <c r="FX40">
        <v>0</v>
      </c>
    </row>
    <row r="41" spans="1:180" x14ac:dyDescent="0.2">
      <c r="A41" t="s">
        <v>239</v>
      </c>
      <c r="B41" t="s">
        <v>242</v>
      </c>
      <c r="C41" t="s">
        <v>215</v>
      </c>
      <c r="D41" t="s">
        <v>42</v>
      </c>
      <c r="E41" s="51">
        <v>2016</v>
      </c>
      <c r="F41" t="s">
        <v>225</v>
      </c>
      <c r="G41" s="51" t="s">
        <v>10</v>
      </c>
      <c r="H41" t="s">
        <v>240</v>
      </c>
      <c r="I41">
        <v>0</v>
      </c>
      <c r="FX41">
        <v>0</v>
      </c>
    </row>
    <row r="42" spans="1:180" x14ac:dyDescent="0.2">
      <c r="A42" t="s">
        <v>239</v>
      </c>
      <c r="B42" t="s">
        <v>242</v>
      </c>
      <c r="C42" t="s">
        <v>215</v>
      </c>
      <c r="D42" t="s">
        <v>43</v>
      </c>
      <c r="E42" s="51">
        <v>2016</v>
      </c>
      <c r="F42" t="s">
        <v>222</v>
      </c>
      <c r="G42" s="51" t="s">
        <v>10</v>
      </c>
      <c r="H42" t="s">
        <v>240</v>
      </c>
      <c r="I42">
        <v>0</v>
      </c>
      <c r="FX42">
        <v>0</v>
      </c>
    </row>
    <row r="43" spans="1:180" x14ac:dyDescent="0.2">
      <c r="A43" t="s">
        <v>239</v>
      </c>
      <c r="B43" t="s">
        <v>242</v>
      </c>
      <c r="C43" t="s">
        <v>215</v>
      </c>
      <c r="D43" t="s">
        <v>43</v>
      </c>
      <c r="E43" s="51">
        <v>2016</v>
      </c>
      <c r="F43" t="s">
        <v>223</v>
      </c>
      <c r="G43" s="51" t="s">
        <v>10</v>
      </c>
      <c r="H43" t="s">
        <v>240</v>
      </c>
      <c r="I43">
        <v>0</v>
      </c>
      <c r="FX43">
        <v>0</v>
      </c>
    </row>
    <row r="44" spans="1:180" x14ac:dyDescent="0.2">
      <c r="A44" t="s">
        <v>239</v>
      </c>
      <c r="B44" t="s">
        <v>242</v>
      </c>
      <c r="C44" t="s">
        <v>215</v>
      </c>
      <c r="D44" t="s">
        <v>43</v>
      </c>
      <c r="E44" s="51">
        <v>2016</v>
      </c>
      <c r="F44" t="s">
        <v>224</v>
      </c>
      <c r="G44" s="51" t="s">
        <v>10</v>
      </c>
      <c r="H44" t="s">
        <v>240</v>
      </c>
      <c r="I44">
        <v>0</v>
      </c>
      <c r="FX44">
        <v>0</v>
      </c>
    </row>
    <row r="45" spans="1:180" x14ac:dyDescent="0.2">
      <c r="A45" t="s">
        <v>239</v>
      </c>
      <c r="B45" t="s">
        <v>242</v>
      </c>
      <c r="C45" t="s">
        <v>215</v>
      </c>
      <c r="D45" t="s">
        <v>43</v>
      </c>
      <c r="E45" s="51">
        <v>2016</v>
      </c>
      <c r="F45" t="s">
        <v>225</v>
      </c>
      <c r="G45" s="51" t="s">
        <v>10</v>
      </c>
      <c r="H45" t="s">
        <v>240</v>
      </c>
      <c r="I45">
        <v>0</v>
      </c>
      <c r="FX45">
        <v>0</v>
      </c>
    </row>
    <row r="46" spans="1:180" x14ac:dyDescent="0.2">
      <c r="A46" t="s">
        <v>239</v>
      </c>
      <c r="B46" t="s">
        <v>242</v>
      </c>
      <c r="C46" t="s">
        <v>215</v>
      </c>
      <c r="D46" t="s">
        <v>44</v>
      </c>
      <c r="E46" s="51">
        <v>2016</v>
      </c>
      <c r="F46" t="s">
        <v>222</v>
      </c>
      <c r="G46" s="51" t="s">
        <v>10</v>
      </c>
      <c r="H46" t="s">
        <v>240</v>
      </c>
      <c r="I46">
        <v>0</v>
      </c>
      <c r="FX46">
        <v>0</v>
      </c>
    </row>
    <row r="47" spans="1:180" x14ac:dyDescent="0.2">
      <c r="A47" t="s">
        <v>239</v>
      </c>
      <c r="B47" t="s">
        <v>242</v>
      </c>
      <c r="C47" t="s">
        <v>215</v>
      </c>
      <c r="D47" t="s">
        <v>44</v>
      </c>
      <c r="E47" s="51">
        <v>2016</v>
      </c>
      <c r="F47" t="s">
        <v>223</v>
      </c>
      <c r="G47" s="51" t="s">
        <v>10</v>
      </c>
      <c r="H47" t="s">
        <v>240</v>
      </c>
      <c r="I47">
        <v>0</v>
      </c>
      <c r="FX47">
        <v>0</v>
      </c>
    </row>
    <row r="48" spans="1:180" x14ac:dyDescent="0.2">
      <c r="A48" t="s">
        <v>239</v>
      </c>
      <c r="B48" t="s">
        <v>242</v>
      </c>
      <c r="C48" t="s">
        <v>215</v>
      </c>
      <c r="D48" t="s">
        <v>44</v>
      </c>
      <c r="E48" s="51">
        <v>2016</v>
      </c>
      <c r="F48" t="s">
        <v>224</v>
      </c>
      <c r="G48" s="51" t="s">
        <v>10</v>
      </c>
      <c r="H48" t="s">
        <v>240</v>
      </c>
      <c r="I48">
        <v>0</v>
      </c>
      <c r="FX48">
        <v>0</v>
      </c>
    </row>
    <row r="49" spans="1:180" x14ac:dyDescent="0.2">
      <c r="A49" t="s">
        <v>239</v>
      </c>
      <c r="B49" t="s">
        <v>242</v>
      </c>
      <c r="C49" t="s">
        <v>215</v>
      </c>
      <c r="D49" t="s">
        <v>44</v>
      </c>
      <c r="E49" s="51">
        <v>2016</v>
      </c>
      <c r="F49" t="s">
        <v>225</v>
      </c>
      <c r="G49" s="51" t="s">
        <v>10</v>
      </c>
      <c r="H49" t="s">
        <v>240</v>
      </c>
      <c r="I49">
        <v>0</v>
      </c>
      <c r="FX49">
        <v>0</v>
      </c>
    </row>
    <row r="50" spans="1:180" x14ac:dyDescent="0.2">
      <c r="A50" t="s">
        <v>239</v>
      </c>
      <c r="B50" t="s">
        <v>242</v>
      </c>
      <c r="C50" t="s">
        <v>215</v>
      </c>
      <c r="D50" t="s">
        <v>9</v>
      </c>
      <c r="E50" s="51">
        <v>2016</v>
      </c>
      <c r="F50" t="s">
        <v>222</v>
      </c>
      <c r="G50" s="51" t="s">
        <v>10</v>
      </c>
      <c r="H50" t="s">
        <v>240</v>
      </c>
      <c r="I50">
        <v>0</v>
      </c>
      <c r="FX50">
        <v>0</v>
      </c>
    </row>
    <row r="51" spans="1:180" x14ac:dyDescent="0.2">
      <c r="A51" t="s">
        <v>239</v>
      </c>
      <c r="B51" t="s">
        <v>242</v>
      </c>
      <c r="C51" t="s">
        <v>215</v>
      </c>
      <c r="D51" t="s">
        <v>9</v>
      </c>
      <c r="E51" s="51">
        <v>2016</v>
      </c>
      <c r="F51" t="s">
        <v>223</v>
      </c>
      <c r="G51" s="51" t="s">
        <v>10</v>
      </c>
      <c r="H51" t="s">
        <v>240</v>
      </c>
      <c r="I51">
        <v>0</v>
      </c>
      <c r="FX51">
        <v>0</v>
      </c>
    </row>
    <row r="52" spans="1:180" x14ac:dyDescent="0.2">
      <c r="A52" t="s">
        <v>239</v>
      </c>
      <c r="B52" t="s">
        <v>242</v>
      </c>
      <c r="C52" t="s">
        <v>215</v>
      </c>
      <c r="D52" t="s">
        <v>9</v>
      </c>
      <c r="E52" s="51">
        <v>2016</v>
      </c>
      <c r="F52" t="s">
        <v>224</v>
      </c>
      <c r="G52" s="51" t="s">
        <v>10</v>
      </c>
      <c r="H52" t="s">
        <v>240</v>
      </c>
      <c r="I52">
        <v>0</v>
      </c>
      <c r="FX52">
        <v>0</v>
      </c>
    </row>
    <row r="53" spans="1:180" x14ac:dyDescent="0.2">
      <c r="A53" t="s">
        <v>239</v>
      </c>
      <c r="B53" t="s">
        <v>242</v>
      </c>
      <c r="C53" t="s">
        <v>215</v>
      </c>
      <c r="D53" t="s">
        <v>9</v>
      </c>
      <c r="E53" s="51">
        <v>2016</v>
      </c>
      <c r="F53" t="s">
        <v>225</v>
      </c>
      <c r="G53" s="51" t="s">
        <v>10</v>
      </c>
      <c r="H53" t="s">
        <v>240</v>
      </c>
      <c r="I53">
        <v>0</v>
      </c>
      <c r="FX53">
        <v>0</v>
      </c>
    </row>
    <row r="54" spans="1:180" x14ac:dyDescent="0.2">
      <c r="A54" t="s">
        <v>239</v>
      </c>
      <c r="B54" t="s">
        <v>242</v>
      </c>
      <c r="C54" t="s">
        <v>215</v>
      </c>
      <c r="D54" t="s">
        <v>33</v>
      </c>
      <c r="E54" s="51">
        <v>2016</v>
      </c>
      <c r="F54" t="s">
        <v>222</v>
      </c>
      <c r="G54" s="51" t="s">
        <v>10</v>
      </c>
      <c r="H54" t="s">
        <v>241</v>
      </c>
      <c r="I54">
        <v>0</v>
      </c>
      <c r="FX54">
        <v>0</v>
      </c>
    </row>
    <row r="55" spans="1:180" x14ac:dyDescent="0.2">
      <c r="A55" t="s">
        <v>239</v>
      </c>
      <c r="B55" t="s">
        <v>242</v>
      </c>
      <c r="C55" t="s">
        <v>215</v>
      </c>
      <c r="D55" t="s">
        <v>33</v>
      </c>
      <c r="E55" s="51">
        <v>2016</v>
      </c>
      <c r="F55" t="s">
        <v>223</v>
      </c>
      <c r="G55" s="51" t="s">
        <v>10</v>
      </c>
      <c r="H55" t="s">
        <v>241</v>
      </c>
      <c r="I55">
        <v>0</v>
      </c>
      <c r="FX55">
        <v>0</v>
      </c>
    </row>
    <row r="56" spans="1:180" x14ac:dyDescent="0.2">
      <c r="A56" t="s">
        <v>239</v>
      </c>
      <c r="B56" t="s">
        <v>242</v>
      </c>
      <c r="C56" t="s">
        <v>215</v>
      </c>
      <c r="D56" t="s">
        <v>33</v>
      </c>
      <c r="E56" s="51">
        <v>2016</v>
      </c>
      <c r="F56" t="s">
        <v>224</v>
      </c>
      <c r="G56" s="51" t="s">
        <v>10</v>
      </c>
      <c r="H56" t="s">
        <v>241</v>
      </c>
      <c r="I56">
        <v>0</v>
      </c>
      <c r="FX56">
        <v>0</v>
      </c>
    </row>
    <row r="57" spans="1:180" x14ac:dyDescent="0.2">
      <c r="A57" t="s">
        <v>239</v>
      </c>
      <c r="B57" t="s">
        <v>242</v>
      </c>
      <c r="C57" t="s">
        <v>215</v>
      </c>
      <c r="D57" t="s">
        <v>33</v>
      </c>
      <c r="E57" s="51">
        <v>2016</v>
      </c>
      <c r="F57" t="s">
        <v>225</v>
      </c>
      <c r="G57" s="51" t="s">
        <v>10</v>
      </c>
      <c r="H57" t="s">
        <v>241</v>
      </c>
      <c r="I57">
        <v>0</v>
      </c>
      <c r="FX57">
        <v>0</v>
      </c>
    </row>
    <row r="58" spans="1:180" x14ac:dyDescent="0.2">
      <c r="A58" t="s">
        <v>239</v>
      </c>
      <c r="B58" t="s">
        <v>242</v>
      </c>
      <c r="C58" t="s">
        <v>215</v>
      </c>
      <c r="D58" t="s">
        <v>34</v>
      </c>
      <c r="E58" s="51">
        <v>2016</v>
      </c>
      <c r="F58" t="s">
        <v>222</v>
      </c>
      <c r="G58" s="51" t="s">
        <v>10</v>
      </c>
      <c r="H58" t="s">
        <v>241</v>
      </c>
      <c r="I58">
        <v>0</v>
      </c>
      <c r="FX58">
        <v>0</v>
      </c>
    </row>
    <row r="59" spans="1:180" x14ac:dyDescent="0.2">
      <c r="A59" t="s">
        <v>239</v>
      </c>
      <c r="B59" t="s">
        <v>242</v>
      </c>
      <c r="C59" t="s">
        <v>215</v>
      </c>
      <c r="D59" t="s">
        <v>34</v>
      </c>
      <c r="E59" s="51">
        <v>2016</v>
      </c>
      <c r="F59" t="s">
        <v>223</v>
      </c>
      <c r="G59" s="51" t="s">
        <v>10</v>
      </c>
      <c r="H59" t="s">
        <v>241</v>
      </c>
      <c r="I59">
        <v>0</v>
      </c>
      <c r="FX59">
        <v>0</v>
      </c>
    </row>
    <row r="60" spans="1:180" x14ac:dyDescent="0.2">
      <c r="A60" t="s">
        <v>239</v>
      </c>
      <c r="B60" t="s">
        <v>242</v>
      </c>
      <c r="C60" t="s">
        <v>215</v>
      </c>
      <c r="D60" t="s">
        <v>34</v>
      </c>
      <c r="E60" s="51">
        <v>2016</v>
      </c>
      <c r="F60" t="s">
        <v>224</v>
      </c>
      <c r="G60" s="51" t="s">
        <v>10</v>
      </c>
      <c r="H60" t="s">
        <v>241</v>
      </c>
      <c r="I60">
        <v>0</v>
      </c>
      <c r="FX60">
        <v>0</v>
      </c>
    </row>
    <row r="61" spans="1:180" x14ac:dyDescent="0.2">
      <c r="A61" t="s">
        <v>239</v>
      </c>
      <c r="B61" t="s">
        <v>242</v>
      </c>
      <c r="C61" t="s">
        <v>215</v>
      </c>
      <c r="D61" t="s">
        <v>34</v>
      </c>
      <c r="E61" s="51">
        <v>2016</v>
      </c>
      <c r="F61" t="s">
        <v>225</v>
      </c>
      <c r="G61" s="51" t="s">
        <v>10</v>
      </c>
      <c r="H61" t="s">
        <v>241</v>
      </c>
      <c r="I61">
        <v>0</v>
      </c>
      <c r="FX61">
        <v>0</v>
      </c>
    </row>
    <row r="62" spans="1:180" x14ac:dyDescent="0.2">
      <c r="A62" t="s">
        <v>239</v>
      </c>
      <c r="B62" t="s">
        <v>242</v>
      </c>
      <c r="C62" t="s">
        <v>215</v>
      </c>
      <c r="D62" t="s">
        <v>35</v>
      </c>
      <c r="E62" s="51">
        <v>2016</v>
      </c>
      <c r="F62" t="s">
        <v>222</v>
      </c>
      <c r="G62" s="51" t="s">
        <v>10</v>
      </c>
      <c r="H62" t="s">
        <v>241</v>
      </c>
      <c r="I62">
        <v>0</v>
      </c>
      <c r="FX62">
        <v>0</v>
      </c>
    </row>
    <row r="63" spans="1:180" x14ac:dyDescent="0.2">
      <c r="A63" t="s">
        <v>239</v>
      </c>
      <c r="B63" t="s">
        <v>242</v>
      </c>
      <c r="C63" t="s">
        <v>215</v>
      </c>
      <c r="D63" t="s">
        <v>35</v>
      </c>
      <c r="E63" s="51">
        <v>2016</v>
      </c>
      <c r="F63" t="s">
        <v>223</v>
      </c>
      <c r="G63" s="51" t="s">
        <v>10</v>
      </c>
      <c r="H63" t="s">
        <v>241</v>
      </c>
      <c r="I63">
        <v>0</v>
      </c>
      <c r="FX63">
        <v>0</v>
      </c>
    </row>
    <row r="64" spans="1:180" x14ac:dyDescent="0.2">
      <c r="A64" t="s">
        <v>239</v>
      </c>
      <c r="B64" t="s">
        <v>242</v>
      </c>
      <c r="C64" t="s">
        <v>215</v>
      </c>
      <c r="D64" t="s">
        <v>35</v>
      </c>
      <c r="E64" s="51">
        <v>2016</v>
      </c>
      <c r="F64" t="s">
        <v>224</v>
      </c>
      <c r="G64" s="51" t="s">
        <v>10</v>
      </c>
      <c r="H64" t="s">
        <v>241</v>
      </c>
      <c r="I64">
        <v>0</v>
      </c>
      <c r="FX64">
        <v>0</v>
      </c>
    </row>
    <row r="65" spans="1:180" x14ac:dyDescent="0.2">
      <c r="A65" t="s">
        <v>239</v>
      </c>
      <c r="B65" t="s">
        <v>242</v>
      </c>
      <c r="C65" t="s">
        <v>215</v>
      </c>
      <c r="D65" t="s">
        <v>35</v>
      </c>
      <c r="E65" s="51">
        <v>2016</v>
      </c>
      <c r="F65" t="s">
        <v>225</v>
      </c>
      <c r="G65" s="51" t="s">
        <v>10</v>
      </c>
      <c r="H65" t="s">
        <v>241</v>
      </c>
      <c r="I65">
        <v>0</v>
      </c>
      <c r="FX65">
        <v>0</v>
      </c>
    </row>
    <row r="66" spans="1:180" x14ac:dyDescent="0.2">
      <c r="A66" t="s">
        <v>239</v>
      </c>
      <c r="B66" t="s">
        <v>242</v>
      </c>
      <c r="C66" t="s">
        <v>215</v>
      </c>
      <c r="D66" t="s">
        <v>36</v>
      </c>
      <c r="E66" s="51">
        <v>2016</v>
      </c>
      <c r="F66" t="s">
        <v>222</v>
      </c>
      <c r="G66" s="51" t="s">
        <v>10</v>
      </c>
      <c r="H66" t="s">
        <v>241</v>
      </c>
      <c r="I66">
        <v>0</v>
      </c>
      <c r="FX66">
        <v>0</v>
      </c>
    </row>
    <row r="67" spans="1:180" x14ac:dyDescent="0.2">
      <c r="A67" t="s">
        <v>239</v>
      </c>
      <c r="B67" t="s">
        <v>242</v>
      </c>
      <c r="C67" t="s">
        <v>215</v>
      </c>
      <c r="D67" t="s">
        <v>36</v>
      </c>
      <c r="E67" s="51">
        <v>2016</v>
      </c>
      <c r="F67" t="s">
        <v>223</v>
      </c>
      <c r="G67" s="51" t="s">
        <v>10</v>
      </c>
      <c r="H67" t="s">
        <v>241</v>
      </c>
      <c r="I67">
        <v>0</v>
      </c>
      <c r="FX67">
        <v>0</v>
      </c>
    </row>
    <row r="68" spans="1:180" x14ac:dyDescent="0.2">
      <c r="A68" t="s">
        <v>239</v>
      </c>
      <c r="B68" t="s">
        <v>242</v>
      </c>
      <c r="C68" t="s">
        <v>215</v>
      </c>
      <c r="D68" t="s">
        <v>36</v>
      </c>
      <c r="E68" s="51">
        <v>2016</v>
      </c>
      <c r="F68" t="s">
        <v>224</v>
      </c>
      <c r="G68" s="51" t="s">
        <v>10</v>
      </c>
      <c r="H68" t="s">
        <v>241</v>
      </c>
      <c r="I68">
        <v>0</v>
      </c>
      <c r="FX68">
        <v>0</v>
      </c>
    </row>
    <row r="69" spans="1:180" x14ac:dyDescent="0.2">
      <c r="A69" t="s">
        <v>239</v>
      </c>
      <c r="B69" t="s">
        <v>242</v>
      </c>
      <c r="C69" t="s">
        <v>215</v>
      </c>
      <c r="D69" t="s">
        <v>36</v>
      </c>
      <c r="E69" s="51">
        <v>2016</v>
      </c>
      <c r="F69" t="s">
        <v>225</v>
      </c>
      <c r="G69" s="51" t="s">
        <v>10</v>
      </c>
      <c r="H69" t="s">
        <v>241</v>
      </c>
      <c r="I69">
        <v>0</v>
      </c>
      <c r="FX69">
        <v>0</v>
      </c>
    </row>
    <row r="70" spans="1:180" x14ac:dyDescent="0.2">
      <c r="A70" t="s">
        <v>239</v>
      </c>
      <c r="B70" t="s">
        <v>242</v>
      </c>
      <c r="C70" t="s">
        <v>215</v>
      </c>
      <c r="D70" t="s">
        <v>37</v>
      </c>
      <c r="E70" s="51">
        <v>2016</v>
      </c>
      <c r="F70" t="s">
        <v>222</v>
      </c>
      <c r="G70" s="51" t="s">
        <v>10</v>
      </c>
      <c r="H70" t="s">
        <v>241</v>
      </c>
      <c r="I70">
        <v>0</v>
      </c>
      <c r="FX70">
        <v>0</v>
      </c>
    </row>
    <row r="71" spans="1:180" x14ac:dyDescent="0.2">
      <c r="A71" t="s">
        <v>239</v>
      </c>
      <c r="B71" t="s">
        <v>242</v>
      </c>
      <c r="C71" t="s">
        <v>215</v>
      </c>
      <c r="D71" t="s">
        <v>37</v>
      </c>
      <c r="E71" s="51">
        <v>2016</v>
      </c>
      <c r="F71" t="s">
        <v>223</v>
      </c>
      <c r="G71" s="51" t="s">
        <v>10</v>
      </c>
      <c r="H71" t="s">
        <v>241</v>
      </c>
      <c r="I71">
        <v>0</v>
      </c>
      <c r="FX71">
        <v>0</v>
      </c>
    </row>
    <row r="72" spans="1:180" x14ac:dyDescent="0.2">
      <c r="A72" t="s">
        <v>239</v>
      </c>
      <c r="B72" t="s">
        <v>242</v>
      </c>
      <c r="C72" t="s">
        <v>215</v>
      </c>
      <c r="D72" t="s">
        <v>37</v>
      </c>
      <c r="E72" s="51">
        <v>2016</v>
      </c>
      <c r="F72" t="s">
        <v>224</v>
      </c>
      <c r="G72" s="51" t="s">
        <v>10</v>
      </c>
      <c r="H72" t="s">
        <v>241</v>
      </c>
      <c r="I72">
        <v>0</v>
      </c>
      <c r="FX72">
        <v>0</v>
      </c>
    </row>
    <row r="73" spans="1:180" x14ac:dyDescent="0.2">
      <c r="A73" t="s">
        <v>239</v>
      </c>
      <c r="B73" t="s">
        <v>242</v>
      </c>
      <c r="C73" t="s">
        <v>215</v>
      </c>
      <c r="D73" t="s">
        <v>37</v>
      </c>
      <c r="E73" s="51">
        <v>2016</v>
      </c>
      <c r="F73" t="s">
        <v>225</v>
      </c>
      <c r="G73" s="51" t="s">
        <v>10</v>
      </c>
      <c r="H73" t="s">
        <v>241</v>
      </c>
      <c r="I73">
        <v>0</v>
      </c>
      <c r="FX73">
        <v>0</v>
      </c>
    </row>
    <row r="74" spans="1:180" x14ac:dyDescent="0.2">
      <c r="A74" t="s">
        <v>239</v>
      </c>
      <c r="B74" t="s">
        <v>242</v>
      </c>
      <c r="C74" t="s">
        <v>215</v>
      </c>
      <c r="D74" t="s">
        <v>38</v>
      </c>
      <c r="E74" s="51">
        <v>2016</v>
      </c>
      <c r="F74" t="s">
        <v>222</v>
      </c>
      <c r="G74" s="51" t="s">
        <v>10</v>
      </c>
      <c r="H74" t="s">
        <v>241</v>
      </c>
      <c r="I74">
        <v>0</v>
      </c>
      <c r="FX74">
        <v>0</v>
      </c>
    </row>
    <row r="75" spans="1:180" x14ac:dyDescent="0.2">
      <c r="A75" t="s">
        <v>239</v>
      </c>
      <c r="B75" t="s">
        <v>242</v>
      </c>
      <c r="C75" t="s">
        <v>215</v>
      </c>
      <c r="D75" t="s">
        <v>38</v>
      </c>
      <c r="E75" s="51">
        <v>2016</v>
      </c>
      <c r="F75" t="s">
        <v>223</v>
      </c>
      <c r="G75" s="51" t="s">
        <v>10</v>
      </c>
      <c r="H75" t="s">
        <v>241</v>
      </c>
      <c r="I75">
        <v>0</v>
      </c>
      <c r="FX75">
        <v>0</v>
      </c>
    </row>
    <row r="76" spans="1:180" x14ac:dyDescent="0.2">
      <c r="A76" t="s">
        <v>239</v>
      </c>
      <c r="B76" t="s">
        <v>242</v>
      </c>
      <c r="C76" t="s">
        <v>215</v>
      </c>
      <c r="D76" t="s">
        <v>38</v>
      </c>
      <c r="E76" s="51">
        <v>2016</v>
      </c>
      <c r="F76" t="s">
        <v>224</v>
      </c>
      <c r="G76" s="51" t="s">
        <v>10</v>
      </c>
      <c r="H76" t="s">
        <v>241</v>
      </c>
      <c r="I76">
        <v>0</v>
      </c>
      <c r="FX76">
        <v>0</v>
      </c>
    </row>
    <row r="77" spans="1:180" x14ac:dyDescent="0.2">
      <c r="A77" t="s">
        <v>239</v>
      </c>
      <c r="B77" t="s">
        <v>242</v>
      </c>
      <c r="C77" t="s">
        <v>215</v>
      </c>
      <c r="D77" t="s">
        <v>38</v>
      </c>
      <c r="E77" s="51">
        <v>2016</v>
      </c>
      <c r="F77" t="s">
        <v>225</v>
      </c>
      <c r="G77" s="51" t="s">
        <v>10</v>
      </c>
      <c r="H77" t="s">
        <v>241</v>
      </c>
      <c r="I77">
        <v>0</v>
      </c>
      <c r="FX77">
        <v>0</v>
      </c>
    </row>
    <row r="78" spans="1:180" x14ac:dyDescent="0.2">
      <c r="A78" t="s">
        <v>239</v>
      </c>
      <c r="B78" t="s">
        <v>242</v>
      </c>
      <c r="C78" t="s">
        <v>215</v>
      </c>
      <c r="D78" t="s">
        <v>39</v>
      </c>
      <c r="E78" s="51">
        <v>2016</v>
      </c>
      <c r="F78" t="s">
        <v>222</v>
      </c>
      <c r="G78" s="51" t="s">
        <v>10</v>
      </c>
      <c r="H78" t="s">
        <v>241</v>
      </c>
      <c r="I78">
        <v>0</v>
      </c>
      <c r="FX78">
        <v>0</v>
      </c>
    </row>
    <row r="79" spans="1:180" x14ac:dyDescent="0.2">
      <c r="A79" t="s">
        <v>239</v>
      </c>
      <c r="B79" t="s">
        <v>242</v>
      </c>
      <c r="C79" t="s">
        <v>215</v>
      </c>
      <c r="D79" t="s">
        <v>39</v>
      </c>
      <c r="E79" s="51">
        <v>2016</v>
      </c>
      <c r="F79" t="s">
        <v>223</v>
      </c>
      <c r="G79" s="51" t="s">
        <v>10</v>
      </c>
      <c r="H79" t="s">
        <v>241</v>
      </c>
      <c r="I79">
        <v>0</v>
      </c>
      <c r="FX79">
        <v>0</v>
      </c>
    </row>
    <row r="80" spans="1:180" x14ac:dyDescent="0.2">
      <c r="A80" t="s">
        <v>239</v>
      </c>
      <c r="B80" t="s">
        <v>242</v>
      </c>
      <c r="C80" t="s">
        <v>215</v>
      </c>
      <c r="D80" t="s">
        <v>39</v>
      </c>
      <c r="E80" s="51">
        <v>2016</v>
      </c>
      <c r="F80" t="s">
        <v>224</v>
      </c>
      <c r="G80" s="51" t="s">
        <v>10</v>
      </c>
      <c r="H80" t="s">
        <v>241</v>
      </c>
      <c r="I80">
        <v>0</v>
      </c>
      <c r="FX80">
        <v>0</v>
      </c>
    </row>
    <row r="81" spans="1:180" x14ac:dyDescent="0.2">
      <c r="A81" t="s">
        <v>239</v>
      </c>
      <c r="B81" t="s">
        <v>242</v>
      </c>
      <c r="C81" t="s">
        <v>215</v>
      </c>
      <c r="D81" t="s">
        <v>39</v>
      </c>
      <c r="E81" s="51">
        <v>2016</v>
      </c>
      <c r="F81" t="s">
        <v>225</v>
      </c>
      <c r="G81" s="51" t="s">
        <v>10</v>
      </c>
      <c r="H81" t="s">
        <v>241</v>
      </c>
      <c r="I81">
        <v>0</v>
      </c>
      <c r="FX81">
        <v>0</v>
      </c>
    </row>
    <row r="82" spans="1:180" x14ac:dyDescent="0.2">
      <c r="A82" t="s">
        <v>239</v>
      </c>
      <c r="B82" t="s">
        <v>242</v>
      </c>
      <c r="C82" t="s">
        <v>215</v>
      </c>
      <c r="D82" t="s">
        <v>40</v>
      </c>
      <c r="E82" s="51">
        <v>2016</v>
      </c>
      <c r="F82" t="s">
        <v>222</v>
      </c>
      <c r="G82" s="51" t="s">
        <v>10</v>
      </c>
      <c r="H82" t="s">
        <v>241</v>
      </c>
      <c r="I82">
        <v>0</v>
      </c>
      <c r="FX82">
        <v>0</v>
      </c>
    </row>
    <row r="83" spans="1:180" x14ac:dyDescent="0.2">
      <c r="A83" t="s">
        <v>239</v>
      </c>
      <c r="B83" t="s">
        <v>242</v>
      </c>
      <c r="C83" t="s">
        <v>215</v>
      </c>
      <c r="D83" t="s">
        <v>40</v>
      </c>
      <c r="E83" s="51">
        <v>2016</v>
      </c>
      <c r="F83" t="s">
        <v>223</v>
      </c>
      <c r="G83" s="51" t="s">
        <v>10</v>
      </c>
      <c r="H83" t="s">
        <v>241</v>
      </c>
      <c r="I83">
        <v>0</v>
      </c>
      <c r="FX83">
        <v>0</v>
      </c>
    </row>
    <row r="84" spans="1:180" x14ac:dyDescent="0.2">
      <c r="A84" t="s">
        <v>239</v>
      </c>
      <c r="B84" t="s">
        <v>242</v>
      </c>
      <c r="C84" t="s">
        <v>215</v>
      </c>
      <c r="D84" t="s">
        <v>40</v>
      </c>
      <c r="E84" s="51">
        <v>2016</v>
      </c>
      <c r="F84" t="s">
        <v>224</v>
      </c>
      <c r="G84" s="51" t="s">
        <v>10</v>
      </c>
      <c r="H84" t="s">
        <v>241</v>
      </c>
      <c r="I84">
        <v>0</v>
      </c>
      <c r="FX84">
        <v>0</v>
      </c>
    </row>
    <row r="85" spans="1:180" x14ac:dyDescent="0.2">
      <c r="A85" t="s">
        <v>239</v>
      </c>
      <c r="B85" t="s">
        <v>242</v>
      </c>
      <c r="C85" t="s">
        <v>215</v>
      </c>
      <c r="D85" t="s">
        <v>40</v>
      </c>
      <c r="E85" s="51">
        <v>2016</v>
      </c>
      <c r="F85" t="s">
        <v>225</v>
      </c>
      <c r="G85" s="51" t="s">
        <v>10</v>
      </c>
      <c r="H85" t="s">
        <v>241</v>
      </c>
      <c r="I85">
        <v>0</v>
      </c>
      <c r="FX85">
        <v>0</v>
      </c>
    </row>
    <row r="86" spans="1:180" x14ac:dyDescent="0.2">
      <c r="A86" t="s">
        <v>239</v>
      </c>
      <c r="B86" t="s">
        <v>242</v>
      </c>
      <c r="C86" t="s">
        <v>215</v>
      </c>
      <c r="D86" t="s">
        <v>41</v>
      </c>
      <c r="E86" s="51">
        <v>2016</v>
      </c>
      <c r="F86" t="s">
        <v>222</v>
      </c>
      <c r="G86" s="51" t="s">
        <v>10</v>
      </c>
      <c r="H86" t="s">
        <v>241</v>
      </c>
      <c r="I86">
        <v>0</v>
      </c>
      <c r="FX86">
        <v>0</v>
      </c>
    </row>
    <row r="87" spans="1:180" x14ac:dyDescent="0.2">
      <c r="A87" t="s">
        <v>239</v>
      </c>
      <c r="B87" t="s">
        <v>242</v>
      </c>
      <c r="C87" t="s">
        <v>215</v>
      </c>
      <c r="D87" t="s">
        <v>41</v>
      </c>
      <c r="E87" s="51">
        <v>2016</v>
      </c>
      <c r="F87" t="s">
        <v>223</v>
      </c>
      <c r="G87" s="51" t="s">
        <v>10</v>
      </c>
      <c r="H87" t="s">
        <v>241</v>
      </c>
      <c r="I87">
        <v>0</v>
      </c>
      <c r="FX87">
        <v>0</v>
      </c>
    </row>
    <row r="88" spans="1:180" x14ac:dyDescent="0.2">
      <c r="A88" t="s">
        <v>239</v>
      </c>
      <c r="B88" t="s">
        <v>242</v>
      </c>
      <c r="C88" t="s">
        <v>215</v>
      </c>
      <c r="D88" t="s">
        <v>41</v>
      </c>
      <c r="E88" s="51">
        <v>2016</v>
      </c>
      <c r="F88" t="s">
        <v>224</v>
      </c>
      <c r="G88" s="51" t="s">
        <v>10</v>
      </c>
      <c r="H88" t="s">
        <v>241</v>
      </c>
      <c r="I88">
        <v>0</v>
      </c>
      <c r="FX88">
        <v>0</v>
      </c>
    </row>
    <row r="89" spans="1:180" x14ac:dyDescent="0.2">
      <c r="A89" t="s">
        <v>239</v>
      </c>
      <c r="B89" t="s">
        <v>242</v>
      </c>
      <c r="C89" t="s">
        <v>215</v>
      </c>
      <c r="D89" t="s">
        <v>41</v>
      </c>
      <c r="E89" s="51">
        <v>2016</v>
      </c>
      <c r="F89" t="s">
        <v>225</v>
      </c>
      <c r="G89" s="51" t="s">
        <v>10</v>
      </c>
      <c r="H89" t="s">
        <v>241</v>
      </c>
      <c r="I89">
        <v>0</v>
      </c>
      <c r="FX89">
        <v>0</v>
      </c>
    </row>
    <row r="90" spans="1:180" x14ac:dyDescent="0.2">
      <c r="A90" t="s">
        <v>239</v>
      </c>
      <c r="B90" t="s">
        <v>242</v>
      </c>
      <c r="C90" t="s">
        <v>215</v>
      </c>
      <c r="D90" t="s">
        <v>42</v>
      </c>
      <c r="E90" s="51">
        <v>2016</v>
      </c>
      <c r="F90" t="s">
        <v>222</v>
      </c>
      <c r="G90" s="51" t="s">
        <v>10</v>
      </c>
      <c r="H90" t="s">
        <v>241</v>
      </c>
      <c r="I90">
        <v>0</v>
      </c>
      <c r="FX90">
        <v>0</v>
      </c>
    </row>
    <row r="91" spans="1:180" x14ac:dyDescent="0.2">
      <c r="A91" t="s">
        <v>239</v>
      </c>
      <c r="B91" t="s">
        <v>242</v>
      </c>
      <c r="C91" t="s">
        <v>215</v>
      </c>
      <c r="D91" t="s">
        <v>42</v>
      </c>
      <c r="E91" s="51">
        <v>2016</v>
      </c>
      <c r="F91" t="s">
        <v>223</v>
      </c>
      <c r="G91" s="51" t="s">
        <v>10</v>
      </c>
      <c r="H91" t="s">
        <v>241</v>
      </c>
      <c r="I91">
        <v>0</v>
      </c>
      <c r="FX91">
        <v>0</v>
      </c>
    </row>
    <row r="92" spans="1:180" x14ac:dyDescent="0.2">
      <c r="A92" t="s">
        <v>239</v>
      </c>
      <c r="B92" t="s">
        <v>242</v>
      </c>
      <c r="C92" t="s">
        <v>215</v>
      </c>
      <c r="D92" t="s">
        <v>42</v>
      </c>
      <c r="E92" s="51">
        <v>2016</v>
      </c>
      <c r="F92" t="s">
        <v>224</v>
      </c>
      <c r="G92" s="51" t="s">
        <v>10</v>
      </c>
      <c r="H92" t="s">
        <v>241</v>
      </c>
      <c r="I92">
        <v>0</v>
      </c>
      <c r="FX92">
        <v>0</v>
      </c>
    </row>
    <row r="93" spans="1:180" x14ac:dyDescent="0.2">
      <c r="A93" t="s">
        <v>239</v>
      </c>
      <c r="B93" t="s">
        <v>242</v>
      </c>
      <c r="C93" t="s">
        <v>215</v>
      </c>
      <c r="D93" t="s">
        <v>42</v>
      </c>
      <c r="E93" s="51">
        <v>2016</v>
      </c>
      <c r="F93" t="s">
        <v>225</v>
      </c>
      <c r="G93" s="51" t="s">
        <v>10</v>
      </c>
      <c r="H93" t="s">
        <v>241</v>
      </c>
      <c r="I93">
        <v>0</v>
      </c>
      <c r="FX93">
        <v>0</v>
      </c>
    </row>
    <row r="94" spans="1:180" x14ac:dyDescent="0.2">
      <c r="A94" t="s">
        <v>239</v>
      </c>
      <c r="B94" t="s">
        <v>242</v>
      </c>
      <c r="C94" t="s">
        <v>215</v>
      </c>
      <c r="D94" t="s">
        <v>43</v>
      </c>
      <c r="E94" s="51">
        <v>2016</v>
      </c>
      <c r="F94" t="s">
        <v>222</v>
      </c>
      <c r="G94" s="51" t="s">
        <v>10</v>
      </c>
      <c r="H94" t="s">
        <v>241</v>
      </c>
      <c r="I94">
        <v>0</v>
      </c>
      <c r="FX94">
        <v>0</v>
      </c>
    </row>
    <row r="95" spans="1:180" x14ac:dyDescent="0.2">
      <c r="A95" t="s">
        <v>239</v>
      </c>
      <c r="B95" t="s">
        <v>242</v>
      </c>
      <c r="C95" t="s">
        <v>215</v>
      </c>
      <c r="D95" t="s">
        <v>43</v>
      </c>
      <c r="E95" s="51">
        <v>2016</v>
      </c>
      <c r="F95" t="s">
        <v>223</v>
      </c>
      <c r="G95" s="51" t="s">
        <v>10</v>
      </c>
      <c r="H95" t="s">
        <v>241</v>
      </c>
      <c r="I95">
        <v>0</v>
      </c>
      <c r="FX95">
        <v>0</v>
      </c>
    </row>
    <row r="96" spans="1:180" x14ac:dyDescent="0.2">
      <c r="A96" t="s">
        <v>239</v>
      </c>
      <c r="B96" t="s">
        <v>242</v>
      </c>
      <c r="C96" t="s">
        <v>215</v>
      </c>
      <c r="D96" t="s">
        <v>43</v>
      </c>
      <c r="E96" s="51">
        <v>2016</v>
      </c>
      <c r="F96" t="s">
        <v>224</v>
      </c>
      <c r="G96" s="51" t="s">
        <v>10</v>
      </c>
      <c r="H96" t="s">
        <v>241</v>
      </c>
      <c r="I96">
        <v>0</v>
      </c>
      <c r="FX96">
        <v>0</v>
      </c>
    </row>
    <row r="97" spans="1:180" x14ac:dyDescent="0.2">
      <c r="A97" t="s">
        <v>239</v>
      </c>
      <c r="B97" t="s">
        <v>242</v>
      </c>
      <c r="C97" t="s">
        <v>215</v>
      </c>
      <c r="D97" t="s">
        <v>43</v>
      </c>
      <c r="E97" s="51">
        <v>2016</v>
      </c>
      <c r="F97" t="s">
        <v>225</v>
      </c>
      <c r="G97" s="51" t="s">
        <v>10</v>
      </c>
      <c r="H97" t="s">
        <v>241</v>
      </c>
      <c r="I97">
        <v>0</v>
      </c>
      <c r="FX97">
        <v>0</v>
      </c>
    </row>
    <row r="98" spans="1:180" x14ac:dyDescent="0.2">
      <c r="A98" t="s">
        <v>239</v>
      </c>
      <c r="B98" t="s">
        <v>242</v>
      </c>
      <c r="C98" t="s">
        <v>215</v>
      </c>
      <c r="D98" t="s">
        <v>44</v>
      </c>
      <c r="E98" s="51">
        <v>2016</v>
      </c>
      <c r="F98" t="s">
        <v>222</v>
      </c>
      <c r="G98" s="51" t="s">
        <v>10</v>
      </c>
      <c r="H98" t="s">
        <v>241</v>
      </c>
      <c r="I98">
        <v>0</v>
      </c>
      <c r="FX98">
        <v>0</v>
      </c>
    </row>
    <row r="99" spans="1:180" x14ac:dyDescent="0.2">
      <c r="A99" t="s">
        <v>239</v>
      </c>
      <c r="B99" t="s">
        <v>242</v>
      </c>
      <c r="C99" t="s">
        <v>215</v>
      </c>
      <c r="D99" t="s">
        <v>44</v>
      </c>
      <c r="E99" s="51">
        <v>2016</v>
      </c>
      <c r="F99" t="s">
        <v>223</v>
      </c>
      <c r="G99" s="51" t="s">
        <v>10</v>
      </c>
      <c r="H99" t="s">
        <v>241</v>
      </c>
      <c r="I99">
        <v>0</v>
      </c>
      <c r="FX99">
        <v>0</v>
      </c>
    </row>
    <row r="100" spans="1:180" x14ac:dyDescent="0.2">
      <c r="A100" t="s">
        <v>239</v>
      </c>
      <c r="B100" t="s">
        <v>242</v>
      </c>
      <c r="C100" t="s">
        <v>215</v>
      </c>
      <c r="D100" t="s">
        <v>44</v>
      </c>
      <c r="E100" s="51">
        <v>2016</v>
      </c>
      <c r="F100" t="s">
        <v>224</v>
      </c>
      <c r="G100" s="51" t="s">
        <v>10</v>
      </c>
      <c r="H100" t="s">
        <v>241</v>
      </c>
      <c r="I100">
        <v>0</v>
      </c>
      <c r="FX100">
        <v>0</v>
      </c>
    </row>
    <row r="101" spans="1:180" x14ac:dyDescent="0.2">
      <c r="A101" t="s">
        <v>239</v>
      </c>
      <c r="B101" t="s">
        <v>242</v>
      </c>
      <c r="C101" t="s">
        <v>215</v>
      </c>
      <c r="D101" t="s">
        <v>44</v>
      </c>
      <c r="E101" s="51">
        <v>2016</v>
      </c>
      <c r="F101" t="s">
        <v>225</v>
      </c>
      <c r="G101" s="51" t="s">
        <v>10</v>
      </c>
      <c r="H101" t="s">
        <v>241</v>
      </c>
      <c r="I101">
        <v>0</v>
      </c>
      <c r="FX101">
        <v>0</v>
      </c>
    </row>
    <row r="102" spans="1:180" x14ac:dyDescent="0.2">
      <c r="A102" t="s">
        <v>239</v>
      </c>
      <c r="B102" t="s">
        <v>242</v>
      </c>
      <c r="C102" t="s">
        <v>215</v>
      </c>
      <c r="D102" t="s">
        <v>9</v>
      </c>
      <c r="E102" s="51">
        <v>2016</v>
      </c>
      <c r="F102" t="s">
        <v>222</v>
      </c>
      <c r="G102" s="51" t="s">
        <v>10</v>
      </c>
      <c r="H102" t="s">
        <v>241</v>
      </c>
      <c r="I102">
        <v>0</v>
      </c>
      <c r="FX102">
        <v>0</v>
      </c>
    </row>
    <row r="103" spans="1:180" x14ac:dyDescent="0.2">
      <c r="A103" t="s">
        <v>239</v>
      </c>
      <c r="B103" t="s">
        <v>242</v>
      </c>
      <c r="C103" t="s">
        <v>215</v>
      </c>
      <c r="D103" t="s">
        <v>9</v>
      </c>
      <c r="E103" s="51">
        <v>2016</v>
      </c>
      <c r="F103" t="s">
        <v>223</v>
      </c>
      <c r="G103" s="51" t="s">
        <v>10</v>
      </c>
      <c r="H103" t="s">
        <v>241</v>
      </c>
      <c r="I103">
        <v>0</v>
      </c>
      <c r="FX103">
        <v>0</v>
      </c>
    </row>
    <row r="104" spans="1:180" x14ac:dyDescent="0.2">
      <c r="A104" t="s">
        <v>239</v>
      </c>
      <c r="B104" t="s">
        <v>242</v>
      </c>
      <c r="C104" t="s">
        <v>215</v>
      </c>
      <c r="D104" t="s">
        <v>9</v>
      </c>
      <c r="E104" s="51">
        <v>2016</v>
      </c>
      <c r="F104" t="s">
        <v>224</v>
      </c>
      <c r="G104" s="51" t="s">
        <v>10</v>
      </c>
      <c r="H104" t="s">
        <v>241</v>
      </c>
      <c r="I104">
        <v>0</v>
      </c>
      <c r="FX104">
        <v>0</v>
      </c>
    </row>
    <row r="105" spans="1:180" x14ac:dyDescent="0.2">
      <c r="A105" t="s">
        <v>239</v>
      </c>
      <c r="B105" t="s">
        <v>242</v>
      </c>
      <c r="C105" t="s">
        <v>215</v>
      </c>
      <c r="D105" t="s">
        <v>9</v>
      </c>
      <c r="E105" s="51">
        <v>2016</v>
      </c>
      <c r="F105" t="s">
        <v>225</v>
      </c>
      <c r="G105" s="51" t="s">
        <v>10</v>
      </c>
      <c r="H105" t="s">
        <v>241</v>
      </c>
      <c r="I105">
        <v>0</v>
      </c>
      <c r="FX105">
        <v>0</v>
      </c>
    </row>
    <row r="106" spans="1:180" x14ac:dyDescent="0.2">
      <c r="A106" t="s">
        <v>239</v>
      </c>
      <c r="B106" t="s">
        <v>242</v>
      </c>
      <c r="C106" t="s">
        <v>214</v>
      </c>
      <c r="D106" t="s">
        <v>33</v>
      </c>
      <c r="E106" s="51">
        <v>2016</v>
      </c>
      <c r="F106" t="s">
        <v>222</v>
      </c>
      <c r="G106" s="51" t="s">
        <v>10</v>
      </c>
      <c r="H106" t="s">
        <v>240</v>
      </c>
      <c r="I106">
        <v>0</v>
      </c>
      <c r="FX106">
        <v>0</v>
      </c>
    </row>
    <row r="107" spans="1:180" x14ac:dyDescent="0.2">
      <c r="A107" t="s">
        <v>239</v>
      </c>
      <c r="B107" t="s">
        <v>242</v>
      </c>
      <c r="C107" t="s">
        <v>214</v>
      </c>
      <c r="D107" t="s">
        <v>33</v>
      </c>
      <c r="E107" s="51">
        <v>2016</v>
      </c>
      <c r="F107" t="s">
        <v>223</v>
      </c>
      <c r="G107" s="51" t="s">
        <v>10</v>
      </c>
      <c r="H107" t="s">
        <v>240</v>
      </c>
      <c r="I107">
        <v>0</v>
      </c>
      <c r="FX107">
        <v>0</v>
      </c>
    </row>
    <row r="108" spans="1:180" x14ac:dyDescent="0.2">
      <c r="A108" t="s">
        <v>239</v>
      </c>
      <c r="B108" t="s">
        <v>242</v>
      </c>
      <c r="C108" t="s">
        <v>214</v>
      </c>
      <c r="D108" t="s">
        <v>33</v>
      </c>
      <c r="E108" s="51">
        <v>2016</v>
      </c>
      <c r="F108" t="s">
        <v>224</v>
      </c>
      <c r="G108" s="51" t="s">
        <v>10</v>
      </c>
      <c r="H108" t="s">
        <v>240</v>
      </c>
      <c r="I108">
        <v>0</v>
      </c>
      <c r="FX108">
        <v>0</v>
      </c>
    </row>
    <row r="109" spans="1:180" x14ac:dyDescent="0.2">
      <c r="A109" t="s">
        <v>239</v>
      </c>
      <c r="B109" t="s">
        <v>242</v>
      </c>
      <c r="C109" t="s">
        <v>214</v>
      </c>
      <c r="D109" t="s">
        <v>33</v>
      </c>
      <c r="E109" s="51">
        <v>2016</v>
      </c>
      <c r="F109" t="s">
        <v>225</v>
      </c>
      <c r="G109" s="51" t="s">
        <v>10</v>
      </c>
      <c r="H109" t="s">
        <v>240</v>
      </c>
      <c r="I109">
        <v>0</v>
      </c>
      <c r="FX109">
        <v>0</v>
      </c>
    </row>
    <row r="110" spans="1:180" x14ac:dyDescent="0.2">
      <c r="A110" t="s">
        <v>239</v>
      </c>
      <c r="B110" t="s">
        <v>242</v>
      </c>
      <c r="C110" t="s">
        <v>214</v>
      </c>
      <c r="D110" t="s">
        <v>34</v>
      </c>
      <c r="E110" s="51">
        <v>2016</v>
      </c>
      <c r="F110" t="s">
        <v>222</v>
      </c>
      <c r="G110" s="51" t="s">
        <v>10</v>
      </c>
      <c r="H110" t="s">
        <v>240</v>
      </c>
      <c r="I110">
        <v>0</v>
      </c>
      <c r="FX110">
        <v>0</v>
      </c>
    </row>
    <row r="111" spans="1:180" x14ac:dyDescent="0.2">
      <c r="A111" t="s">
        <v>239</v>
      </c>
      <c r="B111" t="s">
        <v>242</v>
      </c>
      <c r="C111" t="s">
        <v>214</v>
      </c>
      <c r="D111" t="s">
        <v>34</v>
      </c>
      <c r="E111" s="51">
        <v>2016</v>
      </c>
      <c r="F111" t="s">
        <v>223</v>
      </c>
      <c r="G111" s="51" t="s">
        <v>10</v>
      </c>
      <c r="H111" t="s">
        <v>240</v>
      </c>
      <c r="I111">
        <v>0</v>
      </c>
      <c r="FX111">
        <v>0</v>
      </c>
    </row>
    <row r="112" spans="1:180" x14ac:dyDescent="0.2">
      <c r="A112" t="s">
        <v>239</v>
      </c>
      <c r="B112" t="s">
        <v>242</v>
      </c>
      <c r="C112" t="s">
        <v>214</v>
      </c>
      <c r="D112" t="s">
        <v>34</v>
      </c>
      <c r="E112" s="51">
        <v>2016</v>
      </c>
      <c r="F112" t="s">
        <v>224</v>
      </c>
      <c r="G112" s="51" t="s">
        <v>10</v>
      </c>
      <c r="H112" t="s">
        <v>240</v>
      </c>
      <c r="I112">
        <v>0</v>
      </c>
      <c r="FX112">
        <v>0</v>
      </c>
    </row>
    <row r="113" spans="1:180" x14ac:dyDescent="0.2">
      <c r="A113" t="s">
        <v>239</v>
      </c>
      <c r="B113" t="s">
        <v>242</v>
      </c>
      <c r="C113" t="s">
        <v>214</v>
      </c>
      <c r="D113" t="s">
        <v>34</v>
      </c>
      <c r="E113" s="51">
        <v>2016</v>
      </c>
      <c r="F113" t="s">
        <v>225</v>
      </c>
      <c r="G113" s="51" t="s">
        <v>10</v>
      </c>
      <c r="H113" t="s">
        <v>240</v>
      </c>
      <c r="I113">
        <v>0</v>
      </c>
      <c r="FX113">
        <v>0</v>
      </c>
    </row>
    <row r="114" spans="1:180" x14ac:dyDescent="0.2">
      <c r="A114" t="s">
        <v>239</v>
      </c>
      <c r="B114" t="s">
        <v>242</v>
      </c>
      <c r="C114" t="s">
        <v>214</v>
      </c>
      <c r="D114" t="s">
        <v>35</v>
      </c>
      <c r="E114" s="51">
        <v>2016</v>
      </c>
      <c r="F114" t="s">
        <v>222</v>
      </c>
      <c r="G114" s="51" t="s">
        <v>10</v>
      </c>
      <c r="H114" t="s">
        <v>240</v>
      </c>
      <c r="I114">
        <v>0</v>
      </c>
      <c r="FX114">
        <v>0</v>
      </c>
    </row>
    <row r="115" spans="1:180" x14ac:dyDescent="0.2">
      <c r="A115" t="s">
        <v>239</v>
      </c>
      <c r="B115" t="s">
        <v>242</v>
      </c>
      <c r="C115" t="s">
        <v>214</v>
      </c>
      <c r="D115" t="s">
        <v>35</v>
      </c>
      <c r="E115" s="51">
        <v>2016</v>
      </c>
      <c r="F115" t="s">
        <v>223</v>
      </c>
      <c r="G115" s="51" t="s">
        <v>10</v>
      </c>
      <c r="H115" t="s">
        <v>240</v>
      </c>
      <c r="I115">
        <v>0</v>
      </c>
      <c r="FX115">
        <v>0</v>
      </c>
    </row>
    <row r="116" spans="1:180" x14ac:dyDescent="0.2">
      <c r="A116" t="s">
        <v>239</v>
      </c>
      <c r="B116" t="s">
        <v>242</v>
      </c>
      <c r="C116" t="s">
        <v>214</v>
      </c>
      <c r="D116" t="s">
        <v>35</v>
      </c>
      <c r="E116" s="51">
        <v>2016</v>
      </c>
      <c r="F116" t="s">
        <v>224</v>
      </c>
      <c r="G116" s="51" t="s">
        <v>10</v>
      </c>
      <c r="H116" t="s">
        <v>240</v>
      </c>
      <c r="I116">
        <v>0</v>
      </c>
      <c r="FX116">
        <v>0</v>
      </c>
    </row>
    <row r="117" spans="1:180" x14ac:dyDescent="0.2">
      <c r="A117" t="s">
        <v>239</v>
      </c>
      <c r="B117" t="s">
        <v>242</v>
      </c>
      <c r="C117" t="s">
        <v>214</v>
      </c>
      <c r="D117" t="s">
        <v>35</v>
      </c>
      <c r="E117" s="51">
        <v>2016</v>
      </c>
      <c r="F117" t="s">
        <v>225</v>
      </c>
      <c r="G117" s="51" t="s">
        <v>10</v>
      </c>
      <c r="H117" t="s">
        <v>240</v>
      </c>
      <c r="I117">
        <v>0</v>
      </c>
      <c r="FX117">
        <v>0</v>
      </c>
    </row>
    <row r="118" spans="1:180" x14ac:dyDescent="0.2">
      <c r="A118" t="s">
        <v>239</v>
      </c>
      <c r="B118" t="s">
        <v>242</v>
      </c>
      <c r="C118" t="s">
        <v>214</v>
      </c>
      <c r="D118" t="s">
        <v>36</v>
      </c>
      <c r="E118" s="51">
        <v>2016</v>
      </c>
      <c r="F118" t="s">
        <v>222</v>
      </c>
      <c r="G118" s="51" t="s">
        <v>10</v>
      </c>
      <c r="H118" t="s">
        <v>240</v>
      </c>
      <c r="I118">
        <v>0</v>
      </c>
      <c r="FX118">
        <v>0</v>
      </c>
    </row>
    <row r="119" spans="1:180" x14ac:dyDescent="0.2">
      <c r="A119" t="s">
        <v>239</v>
      </c>
      <c r="B119" t="s">
        <v>242</v>
      </c>
      <c r="C119" t="s">
        <v>214</v>
      </c>
      <c r="D119" t="s">
        <v>36</v>
      </c>
      <c r="E119" s="51">
        <v>2016</v>
      </c>
      <c r="F119" t="s">
        <v>223</v>
      </c>
      <c r="G119" s="51" t="s">
        <v>10</v>
      </c>
      <c r="H119" t="s">
        <v>240</v>
      </c>
      <c r="I119">
        <v>0</v>
      </c>
      <c r="FX119">
        <v>0</v>
      </c>
    </row>
    <row r="120" spans="1:180" x14ac:dyDescent="0.2">
      <c r="A120" t="s">
        <v>239</v>
      </c>
      <c r="B120" t="s">
        <v>242</v>
      </c>
      <c r="C120" t="s">
        <v>214</v>
      </c>
      <c r="D120" t="s">
        <v>36</v>
      </c>
      <c r="E120" s="51">
        <v>2016</v>
      </c>
      <c r="F120" t="s">
        <v>224</v>
      </c>
      <c r="G120" s="51" t="s">
        <v>10</v>
      </c>
      <c r="H120" t="s">
        <v>240</v>
      </c>
      <c r="I120">
        <v>0</v>
      </c>
      <c r="FX120">
        <v>0</v>
      </c>
    </row>
    <row r="121" spans="1:180" x14ac:dyDescent="0.2">
      <c r="A121" t="s">
        <v>239</v>
      </c>
      <c r="B121" t="s">
        <v>242</v>
      </c>
      <c r="C121" t="s">
        <v>214</v>
      </c>
      <c r="D121" t="s">
        <v>36</v>
      </c>
      <c r="E121" s="51">
        <v>2016</v>
      </c>
      <c r="F121" t="s">
        <v>225</v>
      </c>
      <c r="G121" s="51" t="s">
        <v>10</v>
      </c>
      <c r="H121" t="s">
        <v>240</v>
      </c>
      <c r="I121">
        <v>0</v>
      </c>
      <c r="FX121">
        <v>0</v>
      </c>
    </row>
    <row r="122" spans="1:180" x14ac:dyDescent="0.2">
      <c r="A122" t="s">
        <v>239</v>
      </c>
      <c r="B122" t="s">
        <v>242</v>
      </c>
      <c r="C122" t="s">
        <v>214</v>
      </c>
      <c r="D122" t="s">
        <v>37</v>
      </c>
      <c r="E122" s="51">
        <v>2016</v>
      </c>
      <c r="F122" t="s">
        <v>222</v>
      </c>
      <c r="G122" s="51" t="s">
        <v>10</v>
      </c>
      <c r="H122" t="s">
        <v>240</v>
      </c>
      <c r="I122">
        <v>0</v>
      </c>
      <c r="FX122">
        <v>0</v>
      </c>
    </row>
    <row r="123" spans="1:180" x14ac:dyDescent="0.2">
      <c r="A123" t="s">
        <v>239</v>
      </c>
      <c r="B123" t="s">
        <v>242</v>
      </c>
      <c r="C123" t="s">
        <v>214</v>
      </c>
      <c r="D123" t="s">
        <v>37</v>
      </c>
      <c r="E123" s="51">
        <v>2016</v>
      </c>
      <c r="F123" t="s">
        <v>223</v>
      </c>
      <c r="G123" s="51" t="s">
        <v>10</v>
      </c>
      <c r="H123" t="s">
        <v>240</v>
      </c>
      <c r="I123">
        <v>0</v>
      </c>
      <c r="FX123">
        <v>0</v>
      </c>
    </row>
    <row r="124" spans="1:180" x14ac:dyDescent="0.2">
      <c r="A124" t="s">
        <v>239</v>
      </c>
      <c r="B124" t="s">
        <v>242</v>
      </c>
      <c r="C124" t="s">
        <v>214</v>
      </c>
      <c r="D124" t="s">
        <v>37</v>
      </c>
      <c r="E124" s="51">
        <v>2016</v>
      </c>
      <c r="F124" t="s">
        <v>224</v>
      </c>
      <c r="G124" s="51" t="s">
        <v>10</v>
      </c>
      <c r="H124" t="s">
        <v>240</v>
      </c>
      <c r="I124">
        <v>0</v>
      </c>
      <c r="FX124">
        <v>0</v>
      </c>
    </row>
    <row r="125" spans="1:180" x14ac:dyDescent="0.2">
      <c r="A125" t="s">
        <v>239</v>
      </c>
      <c r="B125" t="s">
        <v>242</v>
      </c>
      <c r="C125" t="s">
        <v>214</v>
      </c>
      <c r="D125" t="s">
        <v>37</v>
      </c>
      <c r="E125" s="51">
        <v>2016</v>
      </c>
      <c r="F125" t="s">
        <v>225</v>
      </c>
      <c r="G125" s="51" t="s">
        <v>10</v>
      </c>
      <c r="H125" t="s">
        <v>240</v>
      </c>
      <c r="I125">
        <v>0</v>
      </c>
      <c r="FX125">
        <v>0</v>
      </c>
    </row>
    <row r="126" spans="1:180" x14ac:dyDescent="0.2">
      <c r="A126" t="s">
        <v>239</v>
      </c>
      <c r="B126" t="s">
        <v>242</v>
      </c>
      <c r="C126" t="s">
        <v>214</v>
      </c>
      <c r="D126" t="s">
        <v>38</v>
      </c>
      <c r="E126" s="51">
        <v>2016</v>
      </c>
      <c r="F126" t="s">
        <v>222</v>
      </c>
      <c r="G126" s="51" t="s">
        <v>10</v>
      </c>
      <c r="H126" t="s">
        <v>240</v>
      </c>
      <c r="I126">
        <v>0</v>
      </c>
      <c r="FX126">
        <v>0</v>
      </c>
    </row>
    <row r="127" spans="1:180" x14ac:dyDescent="0.2">
      <c r="A127" t="s">
        <v>239</v>
      </c>
      <c r="B127" t="s">
        <v>242</v>
      </c>
      <c r="C127" t="s">
        <v>214</v>
      </c>
      <c r="D127" t="s">
        <v>38</v>
      </c>
      <c r="E127" s="51">
        <v>2016</v>
      </c>
      <c r="F127" t="s">
        <v>223</v>
      </c>
      <c r="G127" s="51" t="s">
        <v>10</v>
      </c>
      <c r="H127" t="s">
        <v>240</v>
      </c>
      <c r="I127">
        <v>0</v>
      </c>
      <c r="FX127">
        <v>0</v>
      </c>
    </row>
    <row r="128" spans="1:180" x14ac:dyDescent="0.2">
      <c r="A128" t="s">
        <v>239</v>
      </c>
      <c r="B128" t="s">
        <v>242</v>
      </c>
      <c r="C128" t="s">
        <v>214</v>
      </c>
      <c r="D128" t="s">
        <v>38</v>
      </c>
      <c r="E128" s="51">
        <v>2016</v>
      </c>
      <c r="F128" t="s">
        <v>224</v>
      </c>
      <c r="G128" s="51" t="s">
        <v>10</v>
      </c>
      <c r="H128" t="s">
        <v>240</v>
      </c>
      <c r="I128">
        <v>0</v>
      </c>
      <c r="FX128">
        <v>0</v>
      </c>
    </row>
    <row r="129" spans="1:180" x14ac:dyDescent="0.2">
      <c r="A129" t="s">
        <v>239</v>
      </c>
      <c r="B129" t="s">
        <v>242</v>
      </c>
      <c r="C129" t="s">
        <v>214</v>
      </c>
      <c r="D129" t="s">
        <v>38</v>
      </c>
      <c r="E129" s="51">
        <v>2016</v>
      </c>
      <c r="F129" t="s">
        <v>225</v>
      </c>
      <c r="G129" s="51" t="s">
        <v>10</v>
      </c>
      <c r="H129" t="s">
        <v>240</v>
      </c>
      <c r="I129">
        <v>0</v>
      </c>
      <c r="FX129">
        <v>0</v>
      </c>
    </row>
    <row r="130" spans="1:180" x14ac:dyDescent="0.2">
      <c r="A130" t="s">
        <v>239</v>
      </c>
      <c r="B130" t="s">
        <v>242</v>
      </c>
      <c r="C130" t="s">
        <v>214</v>
      </c>
      <c r="D130" t="s">
        <v>39</v>
      </c>
      <c r="E130" s="51">
        <v>2016</v>
      </c>
      <c r="F130" t="s">
        <v>222</v>
      </c>
      <c r="G130" s="51" t="s">
        <v>10</v>
      </c>
      <c r="H130" t="s">
        <v>240</v>
      </c>
      <c r="I130">
        <v>0</v>
      </c>
      <c r="FX130">
        <v>0</v>
      </c>
    </row>
    <row r="131" spans="1:180" x14ac:dyDescent="0.2">
      <c r="A131" t="s">
        <v>239</v>
      </c>
      <c r="B131" t="s">
        <v>242</v>
      </c>
      <c r="C131" t="s">
        <v>214</v>
      </c>
      <c r="D131" t="s">
        <v>39</v>
      </c>
      <c r="E131" s="51">
        <v>2016</v>
      </c>
      <c r="F131" t="s">
        <v>223</v>
      </c>
      <c r="G131" s="51" t="s">
        <v>10</v>
      </c>
      <c r="H131" t="s">
        <v>240</v>
      </c>
      <c r="I131">
        <v>0</v>
      </c>
      <c r="FX131">
        <v>0</v>
      </c>
    </row>
    <row r="132" spans="1:180" x14ac:dyDescent="0.2">
      <c r="A132" t="s">
        <v>239</v>
      </c>
      <c r="B132" t="s">
        <v>242</v>
      </c>
      <c r="C132" t="s">
        <v>214</v>
      </c>
      <c r="D132" t="s">
        <v>39</v>
      </c>
      <c r="E132" s="51">
        <v>2016</v>
      </c>
      <c r="F132" t="s">
        <v>224</v>
      </c>
      <c r="G132" s="51" t="s">
        <v>10</v>
      </c>
      <c r="H132" t="s">
        <v>240</v>
      </c>
      <c r="I132">
        <v>0</v>
      </c>
      <c r="FX132">
        <v>0</v>
      </c>
    </row>
    <row r="133" spans="1:180" x14ac:dyDescent="0.2">
      <c r="A133" t="s">
        <v>239</v>
      </c>
      <c r="B133" t="s">
        <v>242</v>
      </c>
      <c r="C133" t="s">
        <v>214</v>
      </c>
      <c r="D133" t="s">
        <v>39</v>
      </c>
      <c r="E133" s="51">
        <v>2016</v>
      </c>
      <c r="F133" t="s">
        <v>225</v>
      </c>
      <c r="G133" s="51" t="s">
        <v>10</v>
      </c>
      <c r="H133" t="s">
        <v>240</v>
      </c>
      <c r="I133">
        <v>0</v>
      </c>
      <c r="FX133">
        <v>0</v>
      </c>
    </row>
    <row r="134" spans="1:180" x14ac:dyDescent="0.2">
      <c r="A134" t="s">
        <v>239</v>
      </c>
      <c r="B134" t="s">
        <v>242</v>
      </c>
      <c r="C134" t="s">
        <v>214</v>
      </c>
      <c r="D134" t="s">
        <v>40</v>
      </c>
      <c r="E134" s="51">
        <v>2016</v>
      </c>
      <c r="F134" t="s">
        <v>222</v>
      </c>
      <c r="G134" s="51" t="s">
        <v>10</v>
      </c>
      <c r="H134" t="s">
        <v>240</v>
      </c>
      <c r="I134">
        <v>0</v>
      </c>
      <c r="FX134">
        <v>0</v>
      </c>
    </row>
    <row r="135" spans="1:180" x14ac:dyDescent="0.2">
      <c r="A135" t="s">
        <v>239</v>
      </c>
      <c r="B135" t="s">
        <v>242</v>
      </c>
      <c r="C135" t="s">
        <v>214</v>
      </c>
      <c r="D135" t="s">
        <v>40</v>
      </c>
      <c r="E135" s="51">
        <v>2016</v>
      </c>
      <c r="F135" t="s">
        <v>223</v>
      </c>
      <c r="G135" s="51" t="s">
        <v>10</v>
      </c>
      <c r="H135" t="s">
        <v>240</v>
      </c>
      <c r="I135">
        <v>0</v>
      </c>
      <c r="FX135">
        <v>0</v>
      </c>
    </row>
    <row r="136" spans="1:180" x14ac:dyDescent="0.2">
      <c r="A136" t="s">
        <v>239</v>
      </c>
      <c r="B136" t="s">
        <v>242</v>
      </c>
      <c r="C136" t="s">
        <v>214</v>
      </c>
      <c r="D136" t="s">
        <v>40</v>
      </c>
      <c r="E136" s="51">
        <v>2016</v>
      </c>
      <c r="F136" t="s">
        <v>224</v>
      </c>
      <c r="G136" s="51" t="s">
        <v>10</v>
      </c>
      <c r="H136" t="s">
        <v>240</v>
      </c>
      <c r="I136">
        <v>0</v>
      </c>
      <c r="FX136">
        <v>0</v>
      </c>
    </row>
    <row r="137" spans="1:180" x14ac:dyDescent="0.2">
      <c r="A137" t="s">
        <v>239</v>
      </c>
      <c r="B137" t="s">
        <v>242</v>
      </c>
      <c r="C137" t="s">
        <v>214</v>
      </c>
      <c r="D137" t="s">
        <v>40</v>
      </c>
      <c r="E137" s="51">
        <v>2016</v>
      </c>
      <c r="F137" t="s">
        <v>225</v>
      </c>
      <c r="G137" s="51" t="s">
        <v>10</v>
      </c>
      <c r="H137" t="s">
        <v>240</v>
      </c>
      <c r="I137">
        <v>0</v>
      </c>
      <c r="FX137">
        <v>0</v>
      </c>
    </row>
    <row r="138" spans="1:180" x14ac:dyDescent="0.2">
      <c r="A138" t="s">
        <v>239</v>
      </c>
      <c r="B138" t="s">
        <v>242</v>
      </c>
      <c r="C138" t="s">
        <v>214</v>
      </c>
      <c r="D138" t="s">
        <v>41</v>
      </c>
      <c r="E138" s="51">
        <v>2016</v>
      </c>
      <c r="F138" t="s">
        <v>222</v>
      </c>
      <c r="G138" s="51" t="s">
        <v>10</v>
      </c>
      <c r="H138" t="s">
        <v>240</v>
      </c>
      <c r="I138">
        <v>0</v>
      </c>
      <c r="FX138">
        <v>0</v>
      </c>
    </row>
    <row r="139" spans="1:180" x14ac:dyDescent="0.2">
      <c r="A139" t="s">
        <v>239</v>
      </c>
      <c r="B139" t="s">
        <v>242</v>
      </c>
      <c r="C139" t="s">
        <v>214</v>
      </c>
      <c r="D139" t="s">
        <v>41</v>
      </c>
      <c r="E139" s="51">
        <v>2016</v>
      </c>
      <c r="F139" t="s">
        <v>223</v>
      </c>
      <c r="G139" s="51" t="s">
        <v>10</v>
      </c>
      <c r="H139" t="s">
        <v>240</v>
      </c>
      <c r="I139">
        <v>0</v>
      </c>
      <c r="FX139">
        <v>0</v>
      </c>
    </row>
    <row r="140" spans="1:180" x14ac:dyDescent="0.2">
      <c r="A140" t="s">
        <v>239</v>
      </c>
      <c r="B140" t="s">
        <v>242</v>
      </c>
      <c r="C140" t="s">
        <v>214</v>
      </c>
      <c r="D140" t="s">
        <v>41</v>
      </c>
      <c r="E140" s="51">
        <v>2016</v>
      </c>
      <c r="F140" t="s">
        <v>224</v>
      </c>
      <c r="G140" s="51" t="s">
        <v>10</v>
      </c>
      <c r="H140" t="s">
        <v>240</v>
      </c>
      <c r="I140">
        <v>0</v>
      </c>
      <c r="FX140">
        <v>0</v>
      </c>
    </row>
    <row r="141" spans="1:180" x14ac:dyDescent="0.2">
      <c r="A141" t="s">
        <v>239</v>
      </c>
      <c r="B141" t="s">
        <v>242</v>
      </c>
      <c r="C141" t="s">
        <v>214</v>
      </c>
      <c r="D141" t="s">
        <v>41</v>
      </c>
      <c r="E141" s="51">
        <v>2016</v>
      </c>
      <c r="F141" t="s">
        <v>225</v>
      </c>
      <c r="G141" s="51" t="s">
        <v>10</v>
      </c>
      <c r="H141" t="s">
        <v>240</v>
      </c>
      <c r="I141">
        <v>0</v>
      </c>
      <c r="FX141">
        <v>0</v>
      </c>
    </row>
    <row r="142" spans="1:180" x14ac:dyDescent="0.2">
      <c r="A142" t="s">
        <v>239</v>
      </c>
      <c r="B142" t="s">
        <v>242</v>
      </c>
      <c r="C142" t="s">
        <v>214</v>
      </c>
      <c r="D142" t="s">
        <v>42</v>
      </c>
      <c r="E142" s="51">
        <v>2016</v>
      </c>
      <c r="F142" t="s">
        <v>222</v>
      </c>
      <c r="G142" s="51" t="s">
        <v>10</v>
      </c>
      <c r="H142" t="s">
        <v>240</v>
      </c>
      <c r="I142">
        <v>0</v>
      </c>
      <c r="FX142">
        <v>0</v>
      </c>
    </row>
    <row r="143" spans="1:180" x14ac:dyDescent="0.2">
      <c r="A143" t="s">
        <v>239</v>
      </c>
      <c r="B143" t="s">
        <v>242</v>
      </c>
      <c r="C143" t="s">
        <v>214</v>
      </c>
      <c r="D143" t="s">
        <v>42</v>
      </c>
      <c r="E143" s="51">
        <v>2016</v>
      </c>
      <c r="F143" t="s">
        <v>223</v>
      </c>
      <c r="G143" s="51" t="s">
        <v>10</v>
      </c>
      <c r="H143" t="s">
        <v>240</v>
      </c>
      <c r="I143">
        <v>0</v>
      </c>
      <c r="FX143">
        <v>0</v>
      </c>
    </row>
    <row r="144" spans="1:180" x14ac:dyDescent="0.2">
      <c r="A144" t="s">
        <v>239</v>
      </c>
      <c r="B144" t="s">
        <v>242</v>
      </c>
      <c r="C144" t="s">
        <v>214</v>
      </c>
      <c r="D144" t="s">
        <v>42</v>
      </c>
      <c r="E144" s="51">
        <v>2016</v>
      </c>
      <c r="F144" t="s">
        <v>224</v>
      </c>
      <c r="G144" s="51" t="s">
        <v>10</v>
      </c>
      <c r="H144" t="s">
        <v>240</v>
      </c>
      <c r="I144">
        <v>0</v>
      </c>
      <c r="FX144">
        <v>0</v>
      </c>
    </row>
    <row r="145" spans="1:180" x14ac:dyDescent="0.2">
      <c r="A145" t="s">
        <v>239</v>
      </c>
      <c r="B145" t="s">
        <v>242</v>
      </c>
      <c r="C145" t="s">
        <v>214</v>
      </c>
      <c r="D145" t="s">
        <v>42</v>
      </c>
      <c r="E145" s="51">
        <v>2016</v>
      </c>
      <c r="F145" t="s">
        <v>225</v>
      </c>
      <c r="G145" s="51" t="s">
        <v>10</v>
      </c>
      <c r="H145" t="s">
        <v>240</v>
      </c>
      <c r="I145">
        <v>0</v>
      </c>
      <c r="FX145">
        <v>0</v>
      </c>
    </row>
    <row r="146" spans="1:180" x14ac:dyDescent="0.2">
      <c r="A146" t="s">
        <v>239</v>
      </c>
      <c r="B146" t="s">
        <v>242</v>
      </c>
      <c r="C146" t="s">
        <v>214</v>
      </c>
      <c r="D146" t="s">
        <v>43</v>
      </c>
      <c r="E146" s="51">
        <v>2016</v>
      </c>
      <c r="F146" t="s">
        <v>222</v>
      </c>
      <c r="G146" s="51" t="s">
        <v>10</v>
      </c>
      <c r="H146" t="s">
        <v>240</v>
      </c>
      <c r="I146">
        <v>0</v>
      </c>
      <c r="FX146">
        <v>0</v>
      </c>
    </row>
    <row r="147" spans="1:180" x14ac:dyDescent="0.2">
      <c r="A147" t="s">
        <v>239</v>
      </c>
      <c r="B147" t="s">
        <v>242</v>
      </c>
      <c r="C147" t="s">
        <v>214</v>
      </c>
      <c r="D147" t="s">
        <v>43</v>
      </c>
      <c r="E147" s="51">
        <v>2016</v>
      </c>
      <c r="F147" t="s">
        <v>223</v>
      </c>
      <c r="G147" s="51" t="s">
        <v>10</v>
      </c>
      <c r="H147" t="s">
        <v>240</v>
      </c>
      <c r="I147">
        <v>0</v>
      </c>
      <c r="FX147">
        <v>0</v>
      </c>
    </row>
    <row r="148" spans="1:180" x14ac:dyDescent="0.2">
      <c r="A148" t="s">
        <v>239</v>
      </c>
      <c r="B148" t="s">
        <v>242</v>
      </c>
      <c r="C148" t="s">
        <v>214</v>
      </c>
      <c r="D148" t="s">
        <v>43</v>
      </c>
      <c r="E148" s="51">
        <v>2016</v>
      </c>
      <c r="F148" t="s">
        <v>224</v>
      </c>
      <c r="G148" s="51" t="s">
        <v>10</v>
      </c>
      <c r="H148" t="s">
        <v>240</v>
      </c>
      <c r="I148">
        <v>0</v>
      </c>
      <c r="FX148">
        <v>0</v>
      </c>
    </row>
    <row r="149" spans="1:180" x14ac:dyDescent="0.2">
      <c r="A149" t="s">
        <v>239</v>
      </c>
      <c r="B149" t="s">
        <v>242</v>
      </c>
      <c r="C149" t="s">
        <v>214</v>
      </c>
      <c r="D149" t="s">
        <v>43</v>
      </c>
      <c r="E149" s="51">
        <v>2016</v>
      </c>
      <c r="F149" t="s">
        <v>225</v>
      </c>
      <c r="G149" s="51" t="s">
        <v>10</v>
      </c>
      <c r="H149" t="s">
        <v>240</v>
      </c>
      <c r="I149">
        <v>0</v>
      </c>
      <c r="FX149">
        <v>0</v>
      </c>
    </row>
    <row r="150" spans="1:180" x14ac:dyDescent="0.2">
      <c r="A150" t="s">
        <v>239</v>
      </c>
      <c r="B150" t="s">
        <v>242</v>
      </c>
      <c r="C150" t="s">
        <v>214</v>
      </c>
      <c r="D150" t="s">
        <v>44</v>
      </c>
      <c r="E150" s="51">
        <v>2016</v>
      </c>
      <c r="F150" t="s">
        <v>222</v>
      </c>
      <c r="G150" s="51" t="s">
        <v>10</v>
      </c>
      <c r="H150" t="s">
        <v>240</v>
      </c>
      <c r="I150">
        <v>0</v>
      </c>
      <c r="FX150">
        <v>0</v>
      </c>
    </row>
    <row r="151" spans="1:180" x14ac:dyDescent="0.2">
      <c r="A151" t="s">
        <v>239</v>
      </c>
      <c r="B151" t="s">
        <v>242</v>
      </c>
      <c r="C151" t="s">
        <v>214</v>
      </c>
      <c r="D151" t="s">
        <v>44</v>
      </c>
      <c r="E151" s="51">
        <v>2016</v>
      </c>
      <c r="F151" t="s">
        <v>223</v>
      </c>
      <c r="G151" s="51" t="s">
        <v>10</v>
      </c>
      <c r="H151" t="s">
        <v>240</v>
      </c>
      <c r="I151">
        <v>0</v>
      </c>
      <c r="FX151">
        <v>0</v>
      </c>
    </row>
    <row r="152" spans="1:180" x14ac:dyDescent="0.2">
      <c r="A152" t="s">
        <v>239</v>
      </c>
      <c r="B152" t="s">
        <v>242</v>
      </c>
      <c r="C152" t="s">
        <v>214</v>
      </c>
      <c r="D152" t="s">
        <v>44</v>
      </c>
      <c r="E152" s="51">
        <v>2016</v>
      </c>
      <c r="F152" t="s">
        <v>224</v>
      </c>
      <c r="G152" s="51" t="s">
        <v>10</v>
      </c>
      <c r="H152" t="s">
        <v>240</v>
      </c>
      <c r="I152">
        <v>0</v>
      </c>
      <c r="FX152">
        <v>0</v>
      </c>
    </row>
    <row r="153" spans="1:180" x14ac:dyDescent="0.2">
      <c r="A153" t="s">
        <v>239</v>
      </c>
      <c r="B153" t="s">
        <v>242</v>
      </c>
      <c r="C153" t="s">
        <v>214</v>
      </c>
      <c r="D153" t="s">
        <v>44</v>
      </c>
      <c r="E153" s="51">
        <v>2016</v>
      </c>
      <c r="F153" t="s">
        <v>225</v>
      </c>
      <c r="G153" s="51" t="s">
        <v>10</v>
      </c>
      <c r="H153" t="s">
        <v>240</v>
      </c>
      <c r="I153">
        <v>0</v>
      </c>
      <c r="FX153">
        <v>0</v>
      </c>
    </row>
    <row r="154" spans="1:180" x14ac:dyDescent="0.2">
      <c r="A154" t="s">
        <v>239</v>
      </c>
      <c r="B154" t="s">
        <v>242</v>
      </c>
      <c r="C154" t="s">
        <v>214</v>
      </c>
      <c r="D154" t="s">
        <v>9</v>
      </c>
      <c r="E154" s="51">
        <v>2016</v>
      </c>
      <c r="F154" t="s">
        <v>222</v>
      </c>
      <c r="G154" s="51" t="s">
        <v>10</v>
      </c>
      <c r="H154" t="s">
        <v>240</v>
      </c>
      <c r="I154">
        <v>0</v>
      </c>
      <c r="FX154">
        <v>0</v>
      </c>
    </row>
    <row r="155" spans="1:180" x14ac:dyDescent="0.2">
      <c r="A155" t="s">
        <v>239</v>
      </c>
      <c r="B155" t="s">
        <v>242</v>
      </c>
      <c r="C155" t="s">
        <v>214</v>
      </c>
      <c r="D155" t="s">
        <v>9</v>
      </c>
      <c r="E155" s="51">
        <v>2016</v>
      </c>
      <c r="F155" t="s">
        <v>223</v>
      </c>
      <c r="G155" s="51" t="s">
        <v>10</v>
      </c>
      <c r="H155" t="s">
        <v>240</v>
      </c>
      <c r="I155">
        <v>0</v>
      </c>
      <c r="FX155">
        <v>0</v>
      </c>
    </row>
    <row r="156" spans="1:180" x14ac:dyDescent="0.2">
      <c r="A156" t="s">
        <v>239</v>
      </c>
      <c r="B156" t="s">
        <v>242</v>
      </c>
      <c r="C156" t="s">
        <v>214</v>
      </c>
      <c r="D156" t="s">
        <v>9</v>
      </c>
      <c r="E156" s="51">
        <v>2016</v>
      </c>
      <c r="F156" t="s">
        <v>224</v>
      </c>
      <c r="G156" s="51" t="s">
        <v>10</v>
      </c>
      <c r="H156" t="s">
        <v>240</v>
      </c>
      <c r="I156">
        <v>0</v>
      </c>
      <c r="FX156">
        <v>0</v>
      </c>
    </row>
    <row r="157" spans="1:180" x14ac:dyDescent="0.2">
      <c r="A157" t="s">
        <v>239</v>
      </c>
      <c r="B157" t="s">
        <v>242</v>
      </c>
      <c r="C157" t="s">
        <v>214</v>
      </c>
      <c r="D157" t="s">
        <v>9</v>
      </c>
      <c r="E157" s="51">
        <v>2016</v>
      </c>
      <c r="F157" t="s">
        <v>225</v>
      </c>
      <c r="G157" s="51" t="s">
        <v>10</v>
      </c>
      <c r="H157" t="s">
        <v>240</v>
      </c>
      <c r="I157">
        <v>0</v>
      </c>
      <c r="FX157">
        <v>0</v>
      </c>
    </row>
    <row r="158" spans="1:180" x14ac:dyDescent="0.2">
      <c r="A158" t="s">
        <v>239</v>
      </c>
      <c r="B158" t="s">
        <v>242</v>
      </c>
      <c r="C158" t="s">
        <v>214</v>
      </c>
      <c r="D158" t="s">
        <v>33</v>
      </c>
      <c r="E158" s="51">
        <v>2016</v>
      </c>
      <c r="F158" t="s">
        <v>222</v>
      </c>
      <c r="G158" s="51" t="s">
        <v>10</v>
      </c>
      <c r="H158" t="s">
        <v>241</v>
      </c>
      <c r="I158">
        <v>0</v>
      </c>
      <c r="FX158">
        <v>0</v>
      </c>
    </row>
    <row r="159" spans="1:180" x14ac:dyDescent="0.2">
      <c r="A159" t="s">
        <v>239</v>
      </c>
      <c r="B159" t="s">
        <v>242</v>
      </c>
      <c r="C159" t="s">
        <v>214</v>
      </c>
      <c r="D159" t="s">
        <v>33</v>
      </c>
      <c r="E159" s="51">
        <v>2016</v>
      </c>
      <c r="F159" t="s">
        <v>223</v>
      </c>
      <c r="G159" s="51" t="s">
        <v>10</v>
      </c>
      <c r="H159" t="s">
        <v>241</v>
      </c>
      <c r="I159">
        <v>0</v>
      </c>
      <c r="FX159">
        <v>0</v>
      </c>
    </row>
    <row r="160" spans="1:180" x14ac:dyDescent="0.2">
      <c r="A160" t="s">
        <v>239</v>
      </c>
      <c r="B160" t="s">
        <v>242</v>
      </c>
      <c r="C160" t="s">
        <v>214</v>
      </c>
      <c r="D160" t="s">
        <v>33</v>
      </c>
      <c r="E160" s="51">
        <v>2016</v>
      </c>
      <c r="F160" t="s">
        <v>224</v>
      </c>
      <c r="G160" s="51" t="s">
        <v>10</v>
      </c>
      <c r="H160" t="s">
        <v>241</v>
      </c>
      <c r="I160">
        <v>0</v>
      </c>
      <c r="FX160">
        <v>0</v>
      </c>
    </row>
    <row r="161" spans="1:180" x14ac:dyDescent="0.2">
      <c r="A161" t="s">
        <v>239</v>
      </c>
      <c r="B161" t="s">
        <v>242</v>
      </c>
      <c r="C161" t="s">
        <v>214</v>
      </c>
      <c r="D161" t="s">
        <v>33</v>
      </c>
      <c r="E161" s="51">
        <v>2016</v>
      </c>
      <c r="F161" t="s">
        <v>225</v>
      </c>
      <c r="G161" s="51" t="s">
        <v>10</v>
      </c>
      <c r="H161" t="s">
        <v>241</v>
      </c>
      <c r="I161">
        <v>0</v>
      </c>
      <c r="FX161">
        <v>0</v>
      </c>
    </row>
    <row r="162" spans="1:180" x14ac:dyDescent="0.2">
      <c r="A162" t="s">
        <v>239</v>
      </c>
      <c r="B162" t="s">
        <v>242</v>
      </c>
      <c r="C162" t="s">
        <v>214</v>
      </c>
      <c r="D162" t="s">
        <v>34</v>
      </c>
      <c r="E162" s="51">
        <v>2016</v>
      </c>
      <c r="F162" t="s">
        <v>222</v>
      </c>
      <c r="G162" s="51" t="s">
        <v>10</v>
      </c>
      <c r="H162" t="s">
        <v>241</v>
      </c>
      <c r="I162">
        <v>0</v>
      </c>
      <c r="FX162">
        <v>0</v>
      </c>
    </row>
    <row r="163" spans="1:180" x14ac:dyDescent="0.2">
      <c r="A163" t="s">
        <v>239</v>
      </c>
      <c r="B163" t="s">
        <v>242</v>
      </c>
      <c r="C163" t="s">
        <v>214</v>
      </c>
      <c r="D163" t="s">
        <v>34</v>
      </c>
      <c r="E163" s="51">
        <v>2016</v>
      </c>
      <c r="F163" t="s">
        <v>223</v>
      </c>
      <c r="G163" s="51" t="s">
        <v>10</v>
      </c>
      <c r="H163" t="s">
        <v>241</v>
      </c>
      <c r="I163">
        <v>0</v>
      </c>
      <c r="FX163">
        <v>0</v>
      </c>
    </row>
    <row r="164" spans="1:180" x14ac:dyDescent="0.2">
      <c r="A164" t="s">
        <v>239</v>
      </c>
      <c r="B164" t="s">
        <v>242</v>
      </c>
      <c r="C164" t="s">
        <v>214</v>
      </c>
      <c r="D164" t="s">
        <v>34</v>
      </c>
      <c r="E164" s="51">
        <v>2016</v>
      </c>
      <c r="F164" t="s">
        <v>224</v>
      </c>
      <c r="G164" s="51" t="s">
        <v>10</v>
      </c>
      <c r="H164" t="s">
        <v>241</v>
      </c>
      <c r="I164">
        <v>0</v>
      </c>
      <c r="FX164">
        <v>0</v>
      </c>
    </row>
    <row r="165" spans="1:180" x14ac:dyDescent="0.2">
      <c r="A165" t="s">
        <v>239</v>
      </c>
      <c r="B165" t="s">
        <v>242</v>
      </c>
      <c r="C165" t="s">
        <v>214</v>
      </c>
      <c r="D165" t="s">
        <v>34</v>
      </c>
      <c r="E165" s="51">
        <v>2016</v>
      </c>
      <c r="F165" t="s">
        <v>225</v>
      </c>
      <c r="G165" s="51" t="s">
        <v>10</v>
      </c>
      <c r="H165" t="s">
        <v>241</v>
      </c>
      <c r="I165">
        <v>0</v>
      </c>
      <c r="FX165">
        <v>0</v>
      </c>
    </row>
    <row r="166" spans="1:180" x14ac:dyDescent="0.2">
      <c r="A166" t="s">
        <v>239</v>
      </c>
      <c r="B166" t="s">
        <v>242</v>
      </c>
      <c r="C166" t="s">
        <v>214</v>
      </c>
      <c r="D166" t="s">
        <v>35</v>
      </c>
      <c r="E166" s="51">
        <v>2016</v>
      </c>
      <c r="F166" t="s">
        <v>222</v>
      </c>
      <c r="G166" s="51" t="s">
        <v>10</v>
      </c>
      <c r="H166" t="s">
        <v>241</v>
      </c>
      <c r="I166">
        <v>0</v>
      </c>
      <c r="FX166">
        <v>0</v>
      </c>
    </row>
    <row r="167" spans="1:180" x14ac:dyDescent="0.2">
      <c r="A167" t="s">
        <v>239</v>
      </c>
      <c r="B167" t="s">
        <v>242</v>
      </c>
      <c r="C167" t="s">
        <v>214</v>
      </c>
      <c r="D167" t="s">
        <v>35</v>
      </c>
      <c r="E167" s="51">
        <v>2016</v>
      </c>
      <c r="F167" t="s">
        <v>223</v>
      </c>
      <c r="G167" s="51" t="s">
        <v>10</v>
      </c>
      <c r="H167" t="s">
        <v>241</v>
      </c>
      <c r="I167">
        <v>0</v>
      </c>
      <c r="FX167">
        <v>0</v>
      </c>
    </row>
    <row r="168" spans="1:180" x14ac:dyDescent="0.2">
      <c r="A168" t="s">
        <v>239</v>
      </c>
      <c r="B168" t="s">
        <v>242</v>
      </c>
      <c r="C168" t="s">
        <v>214</v>
      </c>
      <c r="D168" t="s">
        <v>35</v>
      </c>
      <c r="E168" s="51">
        <v>2016</v>
      </c>
      <c r="F168" t="s">
        <v>224</v>
      </c>
      <c r="G168" s="51" t="s">
        <v>10</v>
      </c>
      <c r="H168" t="s">
        <v>241</v>
      </c>
      <c r="I168">
        <v>0</v>
      </c>
      <c r="FX168">
        <v>0</v>
      </c>
    </row>
    <row r="169" spans="1:180" x14ac:dyDescent="0.2">
      <c r="A169" t="s">
        <v>239</v>
      </c>
      <c r="B169" t="s">
        <v>242</v>
      </c>
      <c r="C169" t="s">
        <v>214</v>
      </c>
      <c r="D169" t="s">
        <v>35</v>
      </c>
      <c r="E169" s="51">
        <v>2016</v>
      </c>
      <c r="F169" t="s">
        <v>225</v>
      </c>
      <c r="G169" s="51" t="s">
        <v>10</v>
      </c>
      <c r="H169" t="s">
        <v>241</v>
      </c>
      <c r="I169">
        <v>0</v>
      </c>
      <c r="FX169">
        <v>0</v>
      </c>
    </row>
    <row r="170" spans="1:180" x14ac:dyDescent="0.2">
      <c r="A170" t="s">
        <v>239</v>
      </c>
      <c r="B170" t="s">
        <v>242</v>
      </c>
      <c r="C170" t="s">
        <v>214</v>
      </c>
      <c r="D170" t="s">
        <v>36</v>
      </c>
      <c r="E170" s="51">
        <v>2016</v>
      </c>
      <c r="F170" t="s">
        <v>222</v>
      </c>
      <c r="G170" s="51" t="s">
        <v>10</v>
      </c>
      <c r="H170" t="s">
        <v>241</v>
      </c>
      <c r="I170">
        <v>0</v>
      </c>
      <c r="FX170">
        <v>0</v>
      </c>
    </row>
    <row r="171" spans="1:180" x14ac:dyDescent="0.2">
      <c r="A171" t="s">
        <v>239</v>
      </c>
      <c r="B171" t="s">
        <v>242</v>
      </c>
      <c r="C171" t="s">
        <v>214</v>
      </c>
      <c r="D171" t="s">
        <v>36</v>
      </c>
      <c r="E171" s="51">
        <v>2016</v>
      </c>
      <c r="F171" t="s">
        <v>223</v>
      </c>
      <c r="G171" s="51" t="s">
        <v>10</v>
      </c>
      <c r="H171" t="s">
        <v>241</v>
      </c>
      <c r="I171">
        <v>0</v>
      </c>
      <c r="FX171">
        <v>0</v>
      </c>
    </row>
    <row r="172" spans="1:180" x14ac:dyDescent="0.2">
      <c r="A172" t="s">
        <v>239</v>
      </c>
      <c r="B172" t="s">
        <v>242</v>
      </c>
      <c r="C172" t="s">
        <v>214</v>
      </c>
      <c r="D172" t="s">
        <v>36</v>
      </c>
      <c r="E172" s="51">
        <v>2016</v>
      </c>
      <c r="F172" t="s">
        <v>224</v>
      </c>
      <c r="G172" s="51" t="s">
        <v>10</v>
      </c>
      <c r="H172" t="s">
        <v>241</v>
      </c>
      <c r="I172">
        <v>0</v>
      </c>
      <c r="FX172">
        <v>0</v>
      </c>
    </row>
    <row r="173" spans="1:180" x14ac:dyDescent="0.2">
      <c r="A173" t="s">
        <v>239</v>
      </c>
      <c r="B173" t="s">
        <v>242</v>
      </c>
      <c r="C173" t="s">
        <v>214</v>
      </c>
      <c r="D173" t="s">
        <v>36</v>
      </c>
      <c r="E173" s="51">
        <v>2016</v>
      </c>
      <c r="F173" t="s">
        <v>225</v>
      </c>
      <c r="G173" s="51" t="s">
        <v>10</v>
      </c>
      <c r="H173" t="s">
        <v>241</v>
      </c>
      <c r="I173">
        <v>0</v>
      </c>
      <c r="FX173">
        <v>0</v>
      </c>
    </row>
    <row r="174" spans="1:180" x14ac:dyDescent="0.2">
      <c r="A174" t="s">
        <v>239</v>
      </c>
      <c r="B174" t="s">
        <v>242</v>
      </c>
      <c r="C174" t="s">
        <v>214</v>
      </c>
      <c r="D174" t="s">
        <v>37</v>
      </c>
      <c r="E174" s="51">
        <v>2016</v>
      </c>
      <c r="F174" t="s">
        <v>222</v>
      </c>
      <c r="G174" s="51" t="s">
        <v>10</v>
      </c>
      <c r="H174" t="s">
        <v>241</v>
      </c>
      <c r="I174">
        <v>0</v>
      </c>
      <c r="FX174">
        <v>0</v>
      </c>
    </row>
    <row r="175" spans="1:180" x14ac:dyDescent="0.2">
      <c r="A175" t="s">
        <v>239</v>
      </c>
      <c r="B175" t="s">
        <v>242</v>
      </c>
      <c r="C175" t="s">
        <v>214</v>
      </c>
      <c r="D175" t="s">
        <v>37</v>
      </c>
      <c r="E175" s="51">
        <v>2016</v>
      </c>
      <c r="F175" t="s">
        <v>223</v>
      </c>
      <c r="G175" s="51" t="s">
        <v>10</v>
      </c>
      <c r="H175" t="s">
        <v>241</v>
      </c>
      <c r="I175">
        <v>0</v>
      </c>
      <c r="FX175">
        <v>0</v>
      </c>
    </row>
    <row r="176" spans="1:180" x14ac:dyDescent="0.2">
      <c r="A176" t="s">
        <v>239</v>
      </c>
      <c r="B176" t="s">
        <v>242</v>
      </c>
      <c r="C176" t="s">
        <v>214</v>
      </c>
      <c r="D176" t="s">
        <v>37</v>
      </c>
      <c r="E176" s="51">
        <v>2016</v>
      </c>
      <c r="F176" t="s">
        <v>224</v>
      </c>
      <c r="G176" s="51" t="s">
        <v>10</v>
      </c>
      <c r="H176" t="s">
        <v>241</v>
      </c>
      <c r="I176">
        <v>0</v>
      </c>
      <c r="FX176">
        <v>0</v>
      </c>
    </row>
    <row r="177" spans="1:180" x14ac:dyDescent="0.2">
      <c r="A177" t="s">
        <v>239</v>
      </c>
      <c r="B177" t="s">
        <v>242</v>
      </c>
      <c r="C177" t="s">
        <v>214</v>
      </c>
      <c r="D177" t="s">
        <v>37</v>
      </c>
      <c r="E177" s="51">
        <v>2016</v>
      </c>
      <c r="F177" t="s">
        <v>225</v>
      </c>
      <c r="G177" s="51" t="s">
        <v>10</v>
      </c>
      <c r="H177" t="s">
        <v>241</v>
      </c>
      <c r="I177">
        <v>0</v>
      </c>
      <c r="FX177">
        <v>0</v>
      </c>
    </row>
    <row r="178" spans="1:180" x14ac:dyDescent="0.2">
      <c r="A178" t="s">
        <v>239</v>
      </c>
      <c r="B178" t="s">
        <v>242</v>
      </c>
      <c r="C178" t="s">
        <v>214</v>
      </c>
      <c r="D178" t="s">
        <v>38</v>
      </c>
      <c r="E178" s="51">
        <v>2016</v>
      </c>
      <c r="F178" t="s">
        <v>222</v>
      </c>
      <c r="G178" s="51" t="s">
        <v>10</v>
      </c>
      <c r="H178" t="s">
        <v>241</v>
      </c>
      <c r="I178">
        <v>0</v>
      </c>
      <c r="FX178">
        <v>0</v>
      </c>
    </row>
    <row r="179" spans="1:180" x14ac:dyDescent="0.2">
      <c r="A179" t="s">
        <v>239</v>
      </c>
      <c r="B179" t="s">
        <v>242</v>
      </c>
      <c r="C179" t="s">
        <v>214</v>
      </c>
      <c r="D179" t="s">
        <v>38</v>
      </c>
      <c r="E179" s="51">
        <v>2016</v>
      </c>
      <c r="F179" t="s">
        <v>223</v>
      </c>
      <c r="G179" s="51" t="s">
        <v>10</v>
      </c>
      <c r="H179" t="s">
        <v>241</v>
      </c>
      <c r="I179">
        <v>0</v>
      </c>
      <c r="FX179">
        <v>0</v>
      </c>
    </row>
    <row r="180" spans="1:180" x14ac:dyDescent="0.2">
      <c r="A180" t="s">
        <v>239</v>
      </c>
      <c r="B180" t="s">
        <v>242</v>
      </c>
      <c r="C180" t="s">
        <v>214</v>
      </c>
      <c r="D180" t="s">
        <v>38</v>
      </c>
      <c r="E180" s="51">
        <v>2016</v>
      </c>
      <c r="F180" t="s">
        <v>224</v>
      </c>
      <c r="G180" s="51" t="s">
        <v>10</v>
      </c>
      <c r="H180" t="s">
        <v>241</v>
      </c>
      <c r="I180">
        <v>0</v>
      </c>
      <c r="FX180">
        <v>0</v>
      </c>
    </row>
    <row r="181" spans="1:180" x14ac:dyDescent="0.2">
      <c r="A181" t="s">
        <v>239</v>
      </c>
      <c r="B181" t="s">
        <v>242</v>
      </c>
      <c r="C181" t="s">
        <v>214</v>
      </c>
      <c r="D181" t="s">
        <v>38</v>
      </c>
      <c r="E181" s="51">
        <v>2016</v>
      </c>
      <c r="F181" t="s">
        <v>225</v>
      </c>
      <c r="G181" s="51" t="s">
        <v>10</v>
      </c>
      <c r="H181" t="s">
        <v>241</v>
      </c>
      <c r="I181">
        <v>0</v>
      </c>
      <c r="FX181">
        <v>0</v>
      </c>
    </row>
    <row r="182" spans="1:180" x14ac:dyDescent="0.2">
      <c r="A182" t="s">
        <v>239</v>
      </c>
      <c r="B182" t="s">
        <v>242</v>
      </c>
      <c r="C182" t="s">
        <v>214</v>
      </c>
      <c r="D182" t="s">
        <v>39</v>
      </c>
      <c r="E182" s="51">
        <v>2016</v>
      </c>
      <c r="F182" t="s">
        <v>222</v>
      </c>
      <c r="G182" s="51" t="s">
        <v>10</v>
      </c>
      <c r="H182" t="s">
        <v>241</v>
      </c>
      <c r="I182">
        <v>0</v>
      </c>
      <c r="FX182">
        <v>0</v>
      </c>
    </row>
    <row r="183" spans="1:180" x14ac:dyDescent="0.2">
      <c r="A183" t="s">
        <v>239</v>
      </c>
      <c r="B183" t="s">
        <v>242</v>
      </c>
      <c r="C183" t="s">
        <v>214</v>
      </c>
      <c r="D183" t="s">
        <v>39</v>
      </c>
      <c r="E183" s="51">
        <v>2016</v>
      </c>
      <c r="F183" t="s">
        <v>223</v>
      </c>
      <c r="G183" s="51" t="s">
        <v>10</v>
      </c>
      <c r="H183" t="s">
        <v>241</v>
      </c>
      <c r="I183">
        <v>0</v>
      </c>
      <c r="FX183">
        <v>0</v>
      </c>
    </row>
    <row r="184" spans="1:180" x14ac:dyDescent="0.2">
      <c r="A184" t="s">
        <v>239</v>
      </c>
      <c r="B184" t="s">
        <v>242</v>
      </c>
      <c r="C184" t="s">
        <v>214</v>
      </c>
      <c r="D184" t="s">
        <v>39</v>
      </c>
      <c r="E184" s="51">
        <v>2016</v>
      </c>
      <c r="F184" t="s">
        <v>224</v>
      </c>
      <c r="G184" s="51" t="s">
        <v>10</v>
      </c>
      <c r="H184" t="s">
        <v>241</v>
      </c>
      <c r="I184">
        <v>0</v>
      </c>
      <c r="FX184">
        <v>0</v>
      </c>
    </row>
    <row r="185" spans="1:180" x14ac:dyDescent="0.2">
      <c r="A185" t="s">
        <v>239</v>
      </c>
      <c r="B185" t="s">
        <v>242</v>
      </c>
      <c r="C185" t="s">
        <v>214</v>
      </c>
      <c r="D185" t="s">
        <v>39</v>
      </c>
      <c r="E185" s="51">
        <v>2016</v>
      </c>
      <c r="F185" t="s">
        <v>225</v>
      </c>
      <c r="G185" s="51" t="s">
        <v>10</v>
      </c>
      <c r="H185" t="s">
        <v>241</v>
      </c>
      <c r="I185">
        <v>0</v>
      </c>
      <c r="FX185">
        <v>0</v>
      </c>
    </row>
    <row r="186" spans="1:180" x14ac:dyDescent="0.2">
      <c r="A186" t="s">
        <v>239</v>
      </c>
      <c r="B186" t="s">
        <v>242</v>
      </c>
      <c r="C186" t="s">
        <v>214</v>
      </c>
      <c r="D186" t="s">
        <v>40</v>
      </c>
      <c r="E186" s="51">
        <v>2016</v>
      </c>
      <c r="F186" t="s">
        <v>222</v>
      </c>
      <c r="G186" s="51" t="s">
        <v>10</v>
      </c>
      <c r="H186" t="s">
        <v>241</v>
      </c>
      <c r="I186">
        <v>0</v>
      </c>
      <c r="FX186">
        <v>0</v>
      </c>
    </row>
    <row r="187" spans="1:180" x14ac:dyDescent="0.2">
      <c r="A187" t="s">
        <v>239</v>
      </c>
      <c r="B187" t="s">
        <v>242</v>
      </c>
      <c r="C187" t="s">
        <v>214</v>
      </c>
      <c r="D187" t="s">
        <v>40</v>
      </c>
      <c r="E187" s="51">
        <v>2016</v>
      </c>
      <c r="F187" t="s">
        <v>223</v>
      </c>
      <c r="G187" s="51" t="s">
        <v>10</v>
      </c>
      <c r="H187" t="s">
        <v>241</v>
      </c>
      <c r="I187">
        <v>0</v>
      </c>
      <c r="FX187">
        <v>0</v>
      </c>
    </row>
    <row r="188" spans="1:180" x14ac:dyDescent="0.2">
      <c r="A188" t="s">
        <v>239</v>
      </c>
      <c r="B188" t="s">
        <v>242</v>
      </c>
      <c r="C188" t="s">
        <v>214</v>
      </c>
      <c r="D188" t="s">
        <v>40</v>
      </c>
      <c r="E188" s="51">
        <v>2016</v>
      </c>
      <c r="F188" t="s">
        <v>224</v>
      </c>
      <c r="G188" s="51" t="s">
        <v>10</v>
      </c>
      <c r="H188" t="s">
        <v>241</v>
      </c>
      <c r="I188">
        <v>0</v>
      </c>
      <c r="FX188">
        <v>0</v>
      </c>
    </row>
    <row r="189" spans="1:180" x14ac:dyDescent="0.2">
      <c r="A189" t="s">
        <v>239</v>
      </c>
      <c r="B189" t="s">
        <v>242</v>
      </c>
      <c r="C189" t="s">
        <v>214</v>
      </c>
      <c r="D189" t="s">
        <v>40</v>
      </c>
      <c r="E189" s="51">
        <v>2016</v>
      </c>
      <c r="F189" t="s">
        <v>225</v>
      </c>
      <c r="G189" s="51" t="s">
        <v>10</v>
      </c>
      <c r="H189" t="s">
        <v>241</v>
      </c>
      <c r="I189">
        <v>0</v>
      </c>
      <c r="FX189">
        <v>0</v>
      </c>
    </row>
    <row r="190" spans="1:180" x14ac:dyDescent="0.2">
      <c r="A190" t="s">
        <v>239</v>
      </c>
      <c r="B190" t="s">
        <v>242</v>
      </c>
      <c r="C190" t="s">
        <v>214</v>
      </c>
      <c r="D190" t="s">
        <v>41</v>
      </c>
      <c r="E190" s="51">
        <v>2016</v>
      </c>
      <c r="F190" t="s">
        <v>222</v>
      </c>
      <c r="G190" s="51" t="s">
        <v>10</v>
      </c>
      <c r="H190" t="s">
        <v>241</v>
      </c>
      <c r="I190">
        <v>0</v>
      </c>
      <c r="FX190">
        <v>0</v>
      </c>
    </row>
    <row r="191" spans="1:180" x14ac:dyDescent="0.2">
      <c r="A191" t="s">
        <v>239</v>
      </c>
      <c r="B191" t="s">
        <v>242</v>
      </c>
      <c r="C191" t="s">
        <v>214</v>
      </c>
      <c r="D191" t="s">
        <v>41</v>
      </c>
      <c r="E191" s="51">
        <v>2016</v>
      </c>
      <c r="F191" t="s">
        <v>223</v>
      </c>
      <c r="G191" s="51" t="s">
        <v>10</v>
      </c>
      <c r="H191" t="s">
        <v>241</v>
      </c>
      <c r="I191">
        <v>0</v>
      </c>
      <c r="FX191">
        <v>0</v>
      </c>
    </row>
    <row r="192" spans="1:180" x14ac:dyDescent="0.2">
      <c r="A192" t="s">
        <v>239</v>
      </c>
      <c r="B192" t="s">
        <v>242</v>
      </c>
      <c r="C192" t="s">
        <v>214</v>
      </c>
      <c r="D192" t="s">
        <v>41</v>
      </c>
      <c r="E192" s="51">
        <v>2016</v>
      </c>
      <c r="F192" t="s">
        <v>224</v>
      </c>
      <c r="G192" s="51" t="s">
        <v>10</v>
      </c>
      <c r="H192" t="s">
        <v>241</v>
      </c>
      <c r="I192">
        <v>0</v>
      </c>
      <c r="FX192">
        <v>0</v>
      </c>
    </row>
    <row r="193" spans="1:180" x14ac:dyDescent="0.2">
      <c r="A193" t="s">
        <v>239</v>
      </c>
      <c r="B193" t="s">
        <v>242</v>
      </c>
      <c r="C193" t="s">
        <v>214</v>
      </c>
      <c r="D193" t="s">
        <v>41</v>
      </c>
      <c r="E193" s="51">
        <v>2016</v>
      </c>
      <c r="F193" t="s">
        <v>225</v>
      </c>
      <c r="G193" s="51" t="s">
        <v>10</v>
      </c>
      <c r="H193" t="s">
        <v>241</v>
      </c>
      <c r="I193">
        <v>0</v>
      </c>
      <c r="FX193">
        <v>0</v>
      </c>
    </row>
    <row r="194" spans="1:180" x14ac:dyDescent="0.2">
      <c r="A194" t="s">
        <v>239</v>
      </c>
      <c r="B194" t="s">
        <v>242</v>
      </c>
      <c r="C194" t="s">
        <v>214</v>
      </c>
      <c r="D194" t="s">
        <v>42</v>
      </c>
      <c r="E194" s="51">
        <v>2016</v>
      </c>
      <c r="F194" t="s">
        <v>222</v>
      </c>
      <c r="G194" s="51" t="s">
        <v>10</v>
      </c>
      <c r="H194" t="s">
        <v>241</v>
      </c>
      <c r="I194">
        <v>0</v>
      </c>
      <c r="FX194">
        <v>0</v>
      </c>
    </row>
    <row r="195" spans="1:180" x14ac:dyDescent="0.2">
      <c r="A195" t="s">
        <v>239</v>
      </c>
      <c r="B195" t="s">
        <v>242</v>
      </c>
      <c r="C195" t="s">
        <v>214</v>
      </c>
      <c r="D195" t="s">
        <v>42</v>
      </c>
      <c r="E195" s="51">
        <v>2016</v>
      </c>
      <c r="F195" t="s">
        <v>223</v>
      </c>
      <c r="G195" s="51" t="s">
        <v>10</v>
      </c>
      <c r="H195" t="s">
        <v>241</v>
      </c>
      <c r="I195">
        <v>0</v>
      </c>
      <c r="FX195">
        <v>0</v>
      </c>
    </row>
    <row r="196" spans="1:180" x14ac:dyDescent="0.2">
      <c r="A196" t="s">
        <v>239</v>
      </c>
      <c r="B196" t="s">
        <v>242</v>
      </c>
      <c r="C196" t="s">
        <v>214</v>
      </c>
      <c r="D196" t="s">
        <v>42</v>
      </c>
      <c r="E196" s="51">
        <v>2016</v>
      </c>
      <c r="F196" t="s">
        <v>224</v>
      </c>
      <c r="G196" s="51" t="s">
        <v>10</v>
      </c>
      <c r="H196" t="s">
        <v>241</v>
      </c>
      <c r="I196">
        <v>0</v>
      </c>
      <c r="FX196">
        <v>0</v>
      </c>
    </row>
    <row r="197" spans="1:180" x14ac:dyDescent="0.2">
      <c r="A197" t="s">
        <v>239</v>
      </c>
      <c r="B197" t="s">
        <v>242</v>
      </c>
      <c r="C197" t="s">
        <v>214</v>
      </c>
      <c r="D197" t="s">
        <v>42</v>
      </c>
      <c r="E197" s="51">
        <v>2016</v>
      </c>
      <c r="F197" t="s">
        <v>225</v>
      </c>
      <c r="G197" s="51" t="s">
        <v>10</v>
      </c>
      <c r="H197" t="s">
        <v>241</v>
      </c>
      <c r="I197">
        <v>0</v>
      </c>
      <c r="FX197">
        <v>0</v>
      </c>
    </row>
    <row r="198" spans="1:180" x14ac:dyDescent="0.2">
      <c r="A198" t="s">
        <v>239</v>
      </c>
      <c r="B198" t="s">
        <v>242</v>
      </c>
      <c r="C198" t="s">
        <v>214</v>
      </c>
      <c r="D198" t="s">
        <v>43</v>
      </c>
      <c r="E198" s="51">
        <v>2016</v>
      </c>
      <c r="F198" t="s">
        <v>222</v>
      </c>
      <c r="G198" s="51" t="s">
        <v>10</v>
      </c>
      <c r="H198" t="s">
        <v>241</v>
      </c>
      <c r="I198">
        <v>0</v>
      </c>
      <c r="FX198">
        <v>0</v>
      </c>
    </row>
    <row r="199" spans="1:180" x14ac:dyDescent="0.2">
      <c r="A199" t="s">
        <v>239</v>
      </c>
      <c r="B199" t="s">
        <v>242</v>
      </c>
      <c r="C199" t="s">
        <v>214</v>
      </c>
      <c r="D199" t="s">
        <v>43</v>
      </c>
      <c r="E199" s="51">
        <v>2016</v>
      </c>
      <c r="F199" t="s">
        <v>223</v>
      </c>
      <c r="G199" s="51" t="s">
        <v>10</v>
      </c>
      <c r="H199" t="s">
        <v>241</v>
      </c>
      <c r="I199">
        <v>0</v>
      </c>
      <c r="FX199">
        <v>0</v>
      </c>
    </row>
    <row r="200" spans="1:180" x14ac:dyDescent="0.2">
      <c r="A200" t="s">
        <v>239</v>
      </c>
      <c r="B200" t="s">
        <v>242</v>
      </c>
      <c r="C200" t="s">
        <v>214</v>
      </c>
      <c r="D200" t="s">
        <v>43</v>
      </c>
      <c r="E200" s="51">
        <v>2016</v>
      </c>
      <c r="F200" t="s">
        <v>224</v>
      </c>
      <c r="G200" s="51" t="s">
        <v>10</v>
      </c>
      <c r="H200" t="s">
        <v>241</v>
      </c>
      <c r="I200">
        <v>0</v>
      </c>
      <c r="FX200">
        <v>0</v>
      </c>
    </row>
    <row r="201" spans="1:180" x14ac:dyDescent="0.2">
      <c r="A201" t="s">
        <v>239</v>
      </c>
      <c r="B201" t="s">
        <v>242</v>
      </c>
      <c r="C201" t="s">
        <v>214</v>
      </c>
      <c r="D201" t="s">
        <v>43</v>
      </c>
      <c r="E201" s="51">
        <v>2016</v>
      </c>
      <c r="F201" t="s">
        <v>225</v>
      </c>
      <c r="G201" s="51" t="s">
        <v>10</v>
      </c>
      <c r="H201" t="s">
        <v>241</v>
      </c>
      <c r="I201">
        <v>0</v>
      </c>
      <c r="FX201">
        <v>0</v>
      </c>
    </row>
    <row r="202" spans="1:180" x14ac:dyDescent="0.2">
      <c r="A202" t="s">
        <v>239</v>
      </c>
      <c r="B202" t="s">
        <v>242</v>
      </c>
      <c r="C202" t="s">
        <v>214</v>
      </c>
      <c r="D202" t="s">
        <v>44</v>
      </c>
      <c r="E202" s="51">
        <v>2016</v>
      </c>
      <c r="F202" t="s">
        <v>222</v>
      </c>
      <c r="G202" s="51" t="s">
        <v>10</v>
      </c>
      <c r="H202" t="s">
        <v>241</v>
      </c>
      <c r="I202">
        <v>0</v>
      </c>
      <c r="FX202">
        <v>0</v>
      </c>
    </row>
    <row r="203" spans="1:180" x14ac:dyDescent="0.2">
      <c r="A203" t="s">
        <v>239</v>
      </c>
      <c r="B203" t="s">
        <v>242</v>
      </c>
      <c r="C203" t="s">
        <v>214</v>
      </c>
      <c r="D203" t="s">
        <v>44</v>
      </c>
      <c r="E203" s="51">
        <v>2016</v>
      </c>
      <c r="F203" t="s">
        <v>223</v>
      </c>
      <c r="G203" s="51" t="s">
        <v>10</v>
      </c>
      <c r="H203" t="s">
        <v>241</v>
      </c>
      <c r="I203">
        <v>0</v>
      </c>
      <c r="FX203">
        <v>0</v>
      </c>
    </row>
    <row r="204" spans="1:180" x14ac:dyDescent="0.2">
      <c r="A204" t="s">
        <v>239</v>
      </c>
      <c r="B204" t="s">
        <v>242</v>
      </c>
      <c r="C204" t="s">
        <v>214</v>
      </c>
      <c r="D204" t="s">
        <v>44</v>
      </c>
      <c r="E204" s="51">
        <v>2016</v>
      </c>
      <c r="F204" t="s">
        <v>224</v>
      </c>
      <c r="G204" s="51" t="s">
        <v>10</v>
      </c>
      <c r="H204" t="s">
        <v>241</v>
      </c>
      <c r="I204">
        <v>0</v>
      </c>
      <c r="FX204">
        <v>0</v>
      </c>
    </row>
    <row r="205" spans="1:180" x14ac:dyDescent="0.2">
      <c r="A205" t="s">
        <v>239</v>
      </c>
      <c r="B205" t="s">
        <v>242</v>
      </c>
      <c r="C205" t="s">
        <v>214</v>
      </c>
      <c r="D205" t="s">
        <v>44</v>
      </c>
      <c r="E205" s="51">
        <v>2016</v>
      </c>
      <c r="F205" t="s">
        <v>225</v>
      </c>
      <c r="G205" s="51" t="s">
        <v>10</v>
      </c>
      <c r="H205" t="s">
        <v>241</v>
      </c>
      <c r="I205">
        <v>0</v>
      </c>
      <c r="FX205">
        <v>0</v>
      </c>
    </row>
    <row r="206" spans="1:180" x14ac:dyDescent="0.2">
      <c r="A206" t="s">
        <v>239</v>
      </c>
      <c r="B206" t="s">
        <v>242</v>
      </c>
      <c r="C206" t="s">
        <v>214</v>
      </c>
      <c r="D206" t="s">
        <v>9</v>
      </c>
      <c r="E206" s="51">
        <v>2016</v>
      </c>
      <c r="F206" t="s">
        <v>222</v>
      </c>
      <c r="G206" s="51" t="s">
        <v>10</v>
      </c>
      <c r="H206" t="s">
        <v>241</v>
      </c>
      <c r="I206">
        <v>0</v>
      </c>
      <c r="FX206">
        <v>0</v>
      </c>
    </row>
    <row r="207" spans="1:180" x14ac:dyDescent="0.2">
      <c r="A207" t="s">
        <v>239</v>
      </c>
      <c r="B207" t="s">
        <v>242</v>
      </c>
      <c r="C207" t="s">
        <v>214</v>
      </c>
      <c r="D207" t="s">
        <v>9</v>
      </c>
      <c r="E207" s="51">
        <v>2016</v>
      </c>
      <c r="F207" t="s">
        <v>223</v>
      </c>
      <c r="G207" s="51" t="s">
        <v>10</v>
      </c>
      <c r="H207" t="s">
        <v>241</v>
      </c>
      <c r="I207">
        <v>0</v>
      </c>
      <c r="FX207">
        <v>0</v>
      </c>
    </row>
    <row r="208" spans="1:180" x14ac:dyDescent="0.2">
      <c r="A208" t="s">
        <v>239</v>
      </c>
      <c r="B208" t="s">
        <v>242</v>
      </c>
      <c r="C208" t="s">
        <v>214</v>
      </c>
      <c r="D208" t="s">
        <v>9</v>
      </c>
      <c r="E208" s="51">
        <v>2016</v>
      </c>
      <c r="F208" t="s">
        <v>224</v>
      </c>
      <c r="G208" s="51" t="s">
        <v>10</v>
      </c>
      <c r="H208" t="s">
        <v>241</v>
      </c>
      <c r="I208">
        <v>0</v>
      </c>
      <c r="FX208">
        <v>0</v>
      </c>
    </row>
    <row r="209" spans="1:180" x14ac:dyDescent="0.2">
      <c r="A209" t="s">
        <v>239</v>
      </c>
      <c r="B209" t="s">
        <v>242</v>
      </c>
      <c r="C209" t="s">
        <v>214</v>
      </c>
      <c r="D209" t="s">
        <v>9</v>
      </c>
      <c r="E209" s="51">
        <v>2016</v>
      </c>
      <c r="F209" t="s">
        <v>225</v>
      </c>
      <c r="G209" s="51" t="s">
        <v>10</v>
      </c>
      <c r="H209" t="s">
        <v>241</v>
      </c>
      <c r="I209">
        <v>0</v>
      </c>
      <c r="FX209">
        <v>0</v>
      </c>
    </row>
    <row r="210" spans="1:180" x14ac:dyDescent="0.2">
      <c r="A210" t="s">
        <v>239</v>
      </c>
      <c r="B210" t="s">
        <v>242</v>
      </c>
      <c r="C210" t="s">
        <v>215</v>
      </c>
      <c r="D210" t="s">
        <v>33</v>
      </c>
      <c r="E210" s="51">
        <v>2016</v>
      </c>
      <c r="F210" t="s">
        <v>222</v>
      </c>
      <c r="G210" s="51" t="s">
        <v>28</v>
      </c>
      <c r="H210" t="s">
        <v>240</v>
      </c>
      <c r="I210">
        <v>0</v>
      </c>
      <c r="FX210" s="51">
        <v>0</v>
      </c>
    </row>
    <row r="211" spans="1:180" x14ac:dyDescent="0.2">
      <c r="A211" t="s">
        <v>239</v>
      </c>
      <c r="B211" t="s">
        <v>242</v>
      </c>
      <c r="C211" t="s">
        <v>215</v>
      </c>
      <c r="D211" t="s">
        <v>33</v>
      </c>
      <c r="E211" s="51">
        <v>2016</v>
      </c>
      <c r="F211" t="s">
        <v>223</v>
      </c>
      <c r="G211" s="51" t="s">
        <v>28</v>
      </c>
      <c r="H211" t="s">
        <v>240</v>
      </c>
      <c r="I211">
        <v>0</v>
      </c>
      <c r="FX211" s="51">
        <v>0</v>
      </c>
    </row>
    <row r="212" spans="1:180" x14ac:dyDescent="0.2">
      <c r="A212" t="s">
        <v>239</v>
      </c>
      <c r="B212" t="s">
        <v>242</v>
      </c>
      <c r="C212" t="s">
        <v>215</v>
      </c>
      <c r="D212" t="s">
        <v>33</v>
      </c>
      <c r="E212" s="51">
        <v>2016</v>
      </c>
      <c r="F212" t="s">
        <v>224</v>
      </c>
      <c r="G212" s="51" t="s">
        <v>28</v>
      </c>
      <c r="H212" t="s">
        <v>240</v>
      </c>
      <c r="I212">
        <v>0</v>
      </c>
      <c r="FX212" s="51">
        <v>0</v>
      </c>
    </row>
    <row r="213" spans="1:180" x14ac:dyDescent="0.2">
      <c r="A213" t="s">
        <v>239</v>
      </c>
      <c r="B213" t="s">
        <v>242</v>
      </c>
      <c r="C213" t="s">
        <v>215</v>
      </c>
      <c r="D213" t="s">
        <v>33</v>
      </c>
      <c r="E213" s="51">
        <v>2016</v>
      </c>
      <c r="F213" t="s">
        <v>225</v>
      </c>
      <c r="G213" s="51" t="s">
        <v>28</v>
      </c>
      <c r="H213" t="s">
        <v>240</v>
      </c>
      <c r="I213">
        <v>0</v>
      </c>
      <c r="FX213" s="51">
        <v>0</v>
      </c>
    </row>
    <row r="214" spans="1:180" x14ac:dyDescent="0.2">
      <c r="A214" t="s">
        <v>239</v>
      </c>
      <c r="B214" t="s">
        <v>242</v>
      </c>
      <c r="C214" t="s">
        <v>215</v>
      </c>
      <c r="D214" t="s">
        <v>34</v>
      </c>
      <c r="E214" s="51">
        <v>2016</v>
      </c>
      <c r="F214" t="s">
        <v>222</v>
      </c>
      <c r="G214" s="51" t="s">
        <v>28</v>
      </c>
      <c r="H214" t="s">
        <v>240</v>
      </c>
      <c r="I214">
        <v>0</v>
      </c>
      <c r="FX214" s="51">
        <v>0</v>
      </c>
    </row>
    <row r="215" spans="1:180" x14ac:dyDescent="0.2">
      <c r="A215" t="s">
        <v>239</v>
      </c>
      <c r="B215" t="s">
        <v>242</v>
      </c>
      <c r="C215" t="s">
        <v>215</v>
      </c>
      <c r="D215" t="s">
        <v>34</v>
      </c>
      <c r="E215" s="51">
        <v>2016</v>
      </c>
      <c r="F215" t="s">
        <v>223</v>
      </c>
      <c r="G215" s="51" t="s">
        <v>28</v>
      </c>
      <c r="H215" t="s">
        <v>240</v>
      </c>
      <c r="I215">
        <v>0</v>
      </c>
      <c r="FX215" s="51">
        <v>0</v>
      </c>
    </row>
    <row r="216" spans="1:180" x14ac:dyDescent="0.2">
      <c r="A216" t="s">
        <v>239</v>
      </c>
      <c r="B216" t="s">
        <v>242</v>
      </c>
      <c r="C216" t="s">
        <v>215</v>
      </c>
      <c r="D216" t="s">
        <v>34</v>
      </c>
      <c r="E216" s="51">
        <v>2016</v>
      </c>
      <c r="F216" t="s">
        <v>224</v>
      </c>
      <c r="G216" s="51" t="s">
        <v>28</v>
      </c>
      <c r="H216" t="s">
        <v>240</v>
      </c>
      <c r="I216">
        <v>0</v>
      </c>
      <c r="FX216" s="51">
        <v>0</v>
      </c>
    </row>
    <row r="217" spans="1:180" x14ac:dyDescent="0.2">
      <c r="A217" t="s">
        <v>239</v>
      </c>
      <c r="B217" t="s">
        <v>242</v>
      </c>
      <c r="C217" t="s">
        <v>215</v>
      </c>
      <c r="D217" t="s">
        <v>34</v>
      </c>
      <c r="E217" s="51">
        <v>2016</v>
      </c>
      <c r="F217" t="s">
        <v>225</v>
      </c>
      <c r="G217" s="51" t="s">
        <v>28</v>
      </c>
      <c r="H217" t="s">
        <v>240</v>
      </c>
      <c r="I217">
        <v>0</v>
      </c>
      <c r="FX217" s="51">
        <v>0</v>
      </c>
    </row>
    <row r="218" spans="1:180" x14ac:dyDescent="0.2">
      <c r="A218" t="s">
        <v>239</v>
      </c>
      <c r="B218" t="s">
        <v>242</v>
      </c>
      <c r="C218" t="s">
        <v>215</v>
      </c>
      <c r="D218" t="s">
        <v>35</v>
      </c>
      <c r="E218" s="51">
        <v>2016</v>
      </c>
      <c r="F218" t="s">
        <v>222</v>
      </c>
      <c r="G218" s="51" t="s">
        <v>28</v>
      </c>
      <c r="H218" t="s">
        <v>240</v>
      </c>
      <c r="I218">
        <v>0</v>
      </c>
      <c r="FX218" s="51">
        <v>0</v>
      </c>
    </row>
    <row r="219" spans="1:180" x14ac:dyDescent="0.2">
      <c r="A219" t="s">
        <v>239</v>
      </c>
      <c r="B219" t="s">
        <v>242</v>
      </c>
      <c r="C219" t="s">
        <v>215</v>
      </c>
      <c r="D219" t="s">
        <v>35</v>
      </c>
      <c r="E219" s="51">
        <v>2016</v>
      </c>
      <c r="F219" t="s">
        <v>223</v>
      </c>
      <c r="G219" s="51" t="s">
        <v>28</v>
      </c>
      <c r="H219" t="s">
        <v>240</v>
      </c>
      <c r="I219">
        <v>0</v>
      </c>
      <c r="FX219" s="51">
        <v>0</v>
      </c>
    </row>
    <row r="220" spans="1:180" x14ac:dyDescent="0.2">
      <c r="A220" t="s">
        <v>239</v>
      </c>
      <c r="B220" t="s">
        <v>242</v>
      </c>
      <c r="C220" t="s">
        <v>215</v>
      </c>
      <c r="D220" t="s">
        <v>35</v>
      </c>
      <c r="E220" s="51">
        <v>2016</v>
      </c>
      <c r="F220" t="s">
        <v>224</v>
      </c>
      <c r="G220" s="51" t="s">
        <v>28</v>
      </c>
      <c r="H220" t="s">
        <v>240</v>
      </c>
      <c r="I220">
        <v>0</v>
      </c>
      <c r="FX220" s="51">
        <v>0</v>
      </c>
    </row>
    <row r="221" spans="1:180" x14ac:dyDescent="0.2">
      <c r="A221" t="s">
        <v>239</v>
      </c>
      <c r="B221" t="s">
        <v>242</v>
      </c>
      <c r="C221" t="s">
        <v>215</v>
      </c>
      <c r="D221" t="s">
        <v>35</v>
      </c>
      <c r="E221" s="51">
        <v>2016</v>
      </c>
      <c r="F221" t="s">
        <v>225</v>
      </c>
      <c r="G221" s="51" t="s">
        <v>28</v>
      </c>
      <c r="H221" t="s">
        <v>240</v>
      </c>
      <c r="I221">
        <v>0</v>
      </c>
      <c r="FX221" s="51">
        <v>0</v>
      </c>
    </row>
    <row r="222" spans="1:180" x14ac:dyDescent="0.2">
      <c r="A222" t="s">
        <v>239</v>
      </c>
      <c r="B222" t="s">
        <v>242</v>
      </c>
      <c r="C222" t="s">
        <v>215</v>
      </c>
      <c r="D222" t="s">
        <v>36</v>
      </c>
      <c r="E222" s="51">
        <v>2016</v>
      </c>
      <c r="F222" t="s">
        <v>222</v>
      </c>
      <c r="G222" s="51" t="s">
        <v>28</v>
      </c>
      <c r="H222" t="s">
        <v>240</v>
      </c>
      <c r="I222">
        <v>0</v>
      </c>
      <c r="FX222" s="51">
        <v>0</v>
      </c>
    </row>
    <row r="223" spans="1:180" x14ac:dyDescent="0.2">
      <c r="A223" t="s">
        <v>239</v>
      </c>
      <c r="B223" t="s">
        <v>242</v>
      </c>
      <c r="C223" t="s">
        <v>215</v>
      </c>
      <c r="D223" t="s">
        <v>36</v>
      </c>
      <c r="E223" s="51">
        <v>2016</v>
      </c>
      <c r="F223" t="s">
        <v>223</v>
      </c>
      <c r="G223" s="51" t="s">
        <v>28</v>
      </c>
      <c r="H223" t="s">
        <v>240</v>
      </c>
      <c r="I223">
        <v>0</v>
      </c>
      <c r="FX223" s="51">
        <v>0</v>
      </c>
    </row>
    <row r="224" spans="1:180" x14ac:dyDescent="0.2">
      <c r="A224" t="s">
        <v>239</v>
      </c>
      <c r="B224" t="s">
        <v>242</v>
      </c>
      <c r="C224" t="s">
        <v>215</v>
      </c>
      <c r="D224" t="s">
        <v>36</v>
      </c>
      <c r="E224" s="51">
        <v>2016</v>
      </c>
      <c r="F224" t="s">
        <v>224</v>
      </c>
      <c r="G224" s="51" t="s">
        <v>28</v>
      </c>
      <c r="H224" t="s">
        <v>240</v>
      </c>
      <c r="I224">
        <v>0</v>
      </c>
      <c r="FX224" s="51">
        <v>0</v>
      </c>
    </row>
    <row r="225" spans="1:180" x14ac:dyDescent="0.2">
      <c r="A225" t="s">
        <v>239</v>
      </c>
      <c r="B225" t="s">
        <v>242</v>
      </c>
      <c r="C225" t="s">
        <v>215</v>
      </c>
      <c r="D225" t="s">
        <v>36</v>
      </c>
      <c r="E225" s="51">
        <v>2016</v>
      </c>
      <c r="F225" t="s">
        <v>225</v>
      </c>
      <c r="G225" s="51" t="s">
        <v>28</v>
      </c>
      <c r="H225" t="s">
        <v>240</v>
      </c>
      <c r="I225">
        <v>0</v>
      </c>
      <c r="FX225" s="51">
        <v>0</v>
      </c>
    </row>
    <row r="226" spans="1:180" x14ac:dyDescent="0.2">
      <c r="A226" t="s">
        <v>239</v>
      </c>
      <c r="B226" t="s">
        <v>242</v>
      </c>
      <c r="C226" t="s">
        <v>215</v>
      </c>
      <c r="D226" t="s">
        <v>37</v>
      </c>
      <c r="E226" s="51">
        <v>2016</v>
      </c>
      <c r="F226" t="s">
        <v>222</v>
      </c>
      <c r="G226" s="51" t="s">
        <v>28</v>
      </c>
      <c r="H226" t="s">
        <v>240</v>
      </c>
      <c r="I226">
        <v>0</v>
      </c>
      <c r="FX226" s="51">
        <v>0</v>
      </c>
    </row>
    <row r="227" spans="1:180" x14ac:dyDescent="0.2">
      <c r="A227" t="s">
        <v>239</v>
      </c>
      <c r="B227" t="s">
        <v>242</v>
      </c>
      <c r="C227" t="s">
        <v>215</v>
      </c>
      <c r="D227" t="s">
        <v>37</v>
      </c>
      <c r="E227" s="51">
        <v>2016</v>
      </c>
      <c r="F227" t="s">
        <v>223</v>
      </c>
      <c r="G227" s="51" t="s">
        <v>28</v>
      </c>
      <c r="H227" t="s">
        <v>240</v>
      </c>
      <c r="I227">
        <v>0</v>
      </c>
      <c r="FX227" s="51">
        <v>0</v>
      </c>
    </row>
    <row r="228" spans="1:180" x14ac:dyDescent="0.2">
      <c r="A228" t="s">
        <v>239</v>
      </c>
      <c r="B228" t="s">
        <v>242</v>
      </c>
      <c r="C228" t="s">
        <v>215</v>
      </c>
      <c r="D228" t="s">
        <v>37</v>
      </c>
      <c r="E228" s="51">
        <v>2016</v>
      </c>
      <c r="F228" t="s">
        <v>224</v>
      </c>
      <c r="G228" s="51" t="s">
        <v>28</v>
      </c>
      <c r="H228" t="s">
        <v>240</v>
      </c>
      <c r="I228">
        <v>0</v>
      </c>
      <c r="FX228" s="51">
        <v>0</v>
      </c>
    </row>
    <row r="229" spans="1:180" x14ac:dyDescent="0.2">
      <c r="A229" t="s">
        <v>239</v>
      </c>
      <c r="B229" t="s">
        <v>242</v>
      </c>
      <c r="C229" t="s">
        <v>215</v>
      </c>
      <c r="D229" t="s">
        <v>37</v>
      </c>
      <c r="E229" s="51">
        <v>2016</v>
      </c>
      <c r="F229" t="s">
        <v>225</v>
      </c>
      <c r="G229" s="51" t="s">
        <v>28</v>
      </c>
      <c r="H229" t="s">
        <v>240</v>
      </c>
      <c r="I229">
        <v>0</v>
      </c>
      <c r="FX229" s="51">
        <v>0</v>
      </c>
    </row>
    <row r="230" spans="1:180" x14ac:dyDescent="0.2">
      <c r="A230" t="s">
        <v>239</v>
      </c>
      <c r="B230" t="s">
        <v>242</v>
      </c>
      <c r="C230" t="s">
        <v>215</v>
      </c>
      <c r="D230" t="s">
        <v>38</v>
      </c>
      <c r="E230" s="51">
        <v>2016</v>
      </c>
      <c r="F230" t="s">
        <v>222</v>
      </c>
      <c r="G230" s="51" t="s">
        <v>28</v>
      </c>
      <c r="H230" t="s">
        <v>240</v>
      </c>
      <c r="I230">
        <v>0</v>
      </c>
      <c r="FX230" s="51">
        <v>0</v>
      </c>
    </row>
    <row r="231" spans="1:180" x14ac:dyDescent="0.2">
      <c r="A231" t="s">
        <v>239</v>
      </c>
      <c r="B231" t="s">
        <v>242</v>
      </c>
      <c r="C231" t="s">
        <v>215</v>
      </c>
      <c r="D231" t="s">
        <v>38</v>
      </c>
      <c r="E231" s="51">
        <v>2016</v>
      </c>
      <c r="F231" t="s">
        <v>223</v>
      </c>
      <c r="G231" s="51" t="s">
        <v>28</v>
      </c>
      <c r="H231" t="s">
        <v>240</v>
      </c>
      <c r="I231">
        <v>0</v>
      </c>
      <c r="FX231" s="51">
        <v>0</v>
      </c>
    </row>
    <row r="232" spans="1:180" x14ac:dyDescent="0.2">
      <c r="A232" t="s">
        <v>239</v>
      </c>
      <c r="B232" t="s">
        <v>242</v>
      </c>
      <c r="C232" t="s">
        <v>215</v>
      </c>
      <c r="D232" t="s">
        <v>38</v>
      </c>
      <c r="E232" s="51">
        <v>2016</v>
      </c>
      <c r="F232" t="s">
        <v>224</v>
      </c>
      <c r="G232" s="51" t="s">
        <v>28</v>
      </c>
      <c r="H232" t="s">
        <v>240</v>
      </c>
      <c r="I232">
        <v>0</v>
      </c>
      <c r="FX232" s="51">
        <v>0</v>
      </c>
    </row>
    <row r="233" spans="1:180" x14ac:dyDescent="0.2">
      <c r="A233" t="s">
        <v>239</v>
      </c>
      <c r="B233" t="s">
        <v>242</v>
      </c>
      <c r="C233" t="s">
        <v>215</v>
      </c>
      <c r="D233" t="s">
        <v>38</v>
      </c>
      <c r="E233" s="51">
        <v>2016</v>
      </c>
      <c r="F233" t="s">
        <v>225</v>
      </c>
      <c r="G233" s="51" t="s">
        <v>28</v>
      </c>
      <c r="H233" t="s">
        <v>240</v>
      </c>
      <c r="I233">
        <v>0</v>
      </c>
      <c r="FX233" s="51">
        <v>0</v>
      </c>
    </row>
    <row r="234" spans="1:180" x14ac:dyDescent="0.2">
      <c r="A234" t="s">
        <v>239</v>
      </c>
      <c r="B234" t="s">
        <v>242</v>
      </c>
      <c r="C234" t="s">
        <v>215</v>
      </c>
      <c r="D234" t="s">
        <v>39</v>
      </c>
      <c r="E234" s="51">
        <v>2016</v>
      </c>
      <c r="F234" t="s">
        <v>222</v>
      </c>
      <c r="G234" s="51" t="s">
        <v>28</v>
      </c>
      <c r="H234" t="s">
        <v>240</v>
      </c>
      <c r="I234">
        <v>0</v>
      </c>
      <c r="FX234" s="51">
        <v>0</v>
      </c>
    </row>
    <row r="235" spans="1:180" x14ac:dyDescent="0.2">
      <c r="A235" t="s">
        <v>239</v>
      </c>
      <c r="B235" t="s">
        <v>242</v>
      </c>
      <c r="C235" t="s">
        <v>215</v>
      </c>
      <c r="D235" t="s">
        <v>39</v>
      </c>
      <c r="E235" s="51">
        <v>2016</v>
      </c>
      <c r="F235" t="s">
        <v>223</v>
      </c>
      <c r="G235" s="51" t="s">
        <v>28</v>
      </c>
      <c r="H235" t="s">
        <v>240</v>
      </c>
      <c r="I235">
        <v>0</v>
      </c>
      <c r="FX235" s="51">
        <v>0</v>
      </c>
    </row>
    <row r="236" spans="1:180" x14ac:dyDescent="0.2">
      <c r="A236" t="s">
        <v>239</v>
      </c>
      <c r="B236" t="s">
        <v>242</v>
      </c>
      <c r="C236" t="s">
        <v>215</v>
      </c>
      <c r="D236" t="s">
        <v>39</v>
      </c>
      <c r="E236" s="51">
        <v>2016</v>
      </c>
      <c r="F236" t="s">
        <v>224</v>
      </c>
      <c r="G236" s="51" t="s">
        <v>28</v>
      </c>
      <c r="H236" t="s">
        <v>240</v>
      </c>
      <c r="I236">
        <v>0</v>
      </c>
      <c r="FX236" s="51">
        <v>0</v>
      </c>
    </row>
    <row r="237" spans="1:180" x14ac:dyDescent="0.2">
      <c r="A237" t="s">
        <v>239</v>
      </c>
      <c r="B237" t="s">
        <v>242</v>
      </c>
      <c r="C237" t="s">
        <v>215</v>
      </c>
      <c r="D237" t="s">
        <v>39</v>
      </c>
      <c r="E237" s="51">
        <v>2016</v>
      </c>
      <c r="F237" t="s">
        <v>225</v>
      </c>
      <c r="G237" s="51" t="s">
        <v>28</v>
      </c>
      <c r="H237" t="s">
        <v>240</v>
      </c>
      <c r="I237">
        <v>0</v>
      </c>
      <c r="FX237" s="51">
        <v>0</v>
      </c>
    </row>
    <row r="238" spans="1:180" x14ac:dyDescent="0.2">
      <c r="A238" t="s">
        <v>239</v>
      </c>
      <c r="B238" t="s">
        <v>242</v>
      </c>
      <c r="C238" t="s">
        <v>215</v>
      </c>
      <c r="D238" t="s">
        <v>40</v>
      </c>
      <c r="E238" s="51">
        <v>2016</v>
      </c>
      <c r="F238" t="s">
        <v>222</v>
      </c>
      <c r="G238" s="51" t="s">
        <v>28</v>
      </c>
      <c r="H238" t="s">
        <v>240</v>
      </c>
      <c r="I238">
        <v>0</v>
      </c>
      <c r="FX238" s="51">
        <v>0</v>
      </c>
    </row>
    <row r="239" spans="1:180" x14ac:dyDescent="0.2">
      <c r="A239" t="s">
        <v>239</v>
      </c>
      <c r="B239" t="s">
        <v>242</v>
      </c>
      <c r="C239" t="s">
        <v>215</v>
      </c>
      <c r="D239" t="s">
        <v>40</v>
      </c>
      <c r="E239" s="51">
        <v>2016</v>
      </c>
      <c r="F239" t="s">
        <v>223</v>
      </c>
      <c r="G239" s="51" t="s">
        <v>28</v>
      </c>
      <c r="H239" t="s">
        <v>240</v>
      </c>
      <c r="I239">
        <v>0</v>
      </c>
      <c r="FX239" s="51">
        <v>0</v>
      </c>
    </row>
    <row r="240" spans="1:180" x14ac:dyDescent="0.2">
      <c r="A240" t="s">
        <v>239</v>
      </c>
      <c r="B240" t="s">
        <v>242</v>
      </c>
      <c r="C240" t="s">
        <v>215</v>
      </c>
      <c r="D240" t="s">
        <v>40</v>
      </c>
      <c r="E240" s="51">
        <v>2016</v>
      </c>
      <c r="F240" t="s">
        <v>224</v>
      </c>
      <c r="G240" s="51" t="s">
        <v>28</v>
      </c>
      <c r="H240" t="s">
        <v>240</v>
      </c>
      <c r="I240">
        <v>0</v>
      </c>
      <c r="FX240" s="51">
        <v>0</v>
      </c>
    </row>
    <row r="241" spans="1:180" x14ac:dyDescent="0.2">
      <c r="A241" t="s">
        <v>239</v>
      </c>
      <c r="B241" t="s">
        <v>242</v>
      </c>
      <c r="C241" t="s">
        <v>215</v>
      </c>
      <c r="D241" t="s">
        <v>40</v>
      </c>
      <c r="E241" s="51">
        <v>2016</v>
      </c>
      <c r="F241" t="s">
        <v>225</v>
      </c>
      <c r="G241" s="51" t="s">
        <v>28</v>
      </c>
      <c r="H241" t="s">
        <v>240</v>
      </c>
      <c r="I241">
        <v>0</v>
      </c>
      <c r="FX241" s="51">
        <v>0</v>
      </c>
    </row>
    <row r="242" spans="1:180" x14ac:dyDescent="0.2">
      <c r="A242" t="s">
        <v>239</v>
      </c>
      <c r="B242" t="s">
        <v>242</v>
      </c>
      <c r="C242" t="s">
        <v>215</v>
      </c>
      <c r="D242" t="s">
        <v>41</v>
      </c>
      <c r="E242" s="51">
        <v>2016</v>
      </c>
      <c r="F242" t="s">
        <v>222</v>
      </c>
      <c r="G242" s="51" t="s">
        <v>28</v>
      </c>
      <c r="H242" t="s">
        <v>240</v>
      </c>
      <c r="I242">
        <v>0</v>
      </c>
      <c r="FX242" s="51">
        <v>0</v>
      </c>
    </row>
    <row r="243" spans="1:180" x14ac:dyDescent="0.2">
      <c r="A243" t="s">
        <v>239</v>
      </c>
      <c r="B243" t="s">
        <v>242</v>
      </c>
      <c r="C243" t="s">
        <v>215</v>
      </c>
      <c r="D243" t="s">
        <v>41</v>
      </c>
      <c r="E243" s="51">
        <v>2016</v>
      </c>
      <c r="F243" t="s">
        <v>223</v>
      </c>
      <c r="G243" s="51" t="s">
        <v>28</v>
      </c>
      <c r="H243" t="s">
        <v>240</v>
      </c>
      <c r="I243">
        <v>0</v>
      </c>
      <c r="FX243" s="51">
        <v>0</v>
      </c>
    </row>
    <row r="244" spans="1:180" x14ac:dyDescent="0.2">
      <c r="A244" t="s">
        <v>239</v>
      </c>
      <c r="B244" t="s">
        <v>242</v>
      </c>
      <c r="C244" t="s">
        <v>215</v>
      </c>
      <c r="D244" t="s">
        <v>41</v>
      </c>
      <c r="E244" s="51">
        <v>2016</v>
      </c>
      <c r="F244" t="s">
        <v>224</v>
      </c>
      <c r="G244" s="51" t="s">
        <v>28</v>
      </c>
      <c r="H244" t="s">
        <v>240</v>
      </c>
      <c r="I244">
        <v>0</v>
      </c>
      <c r="FX244" s="51">
        <v>0</v>
      </c>
    </row>
    <row r="245" spans="1:180" x14ac:dyDescent="0.2">
      <c r="A245" t="s">
        <v>239</v>
      </c>
      <c r="B245" t="s">
        <v>242</v>
      </c>
      <c r="C245" t="s">
        <v>215</v>
      </c>
      <c r="D245" t="s">
        <v>41</v>
      </c>
      <c r="E245" s="51">
        <v>2016</v>
      </c>
      <c r="F245" t="s">
        <v>225</v>
      </c>
      <c r="G245" s="51" t="s">
        <v>28</v>
      </c>
      <c r="H245" t="s">
        <v>240</v>
      </c>
      <c r="I245">
        <v>0</v>
      </c>
      <c r="FX245" s="51">
        <v>0</v>
      </c>
    </row>
    <row r="246" spans="1:180" x14ac:dyDescent="0.2">
      <c r="A246" t="s">
        <v>239</v>
      </c>
      <c r="B246" t="s">
        <v>242</v>
      </c>
      <c r="C246" t="s">
        <v>215</v>
      </c>
      <c r="D246" t="s">
        <v>42</v>
      </c>
      <c r="E246" s="51">
        <v>2016</v>
      </c>
      <c r="F246" t="s">
        <v>222</v>
      </c>
      <c r="G246" s="51" t="s">
        <v>28</v>
      </c>
      <c r="H246" t="s">
        <v>240</v>
      </c>
      <c r="I246">
        <v>0</v>
      </c>
      <c r="FX246" s="51">
        <v>0</v>
      </c>
    </row>
    <row r="247" spans="1:180" x14ac:dyDescent="0.2">
      <c r="A247" t="s">
        <v>239</v>
      </c>
      <c r="B247" t="s">
        <v>242</v>
      </c>
      <c r="C247" t="s">
        <v>215</v>
      </c>
      <c r="D247" t="s">
        <v>42</v>
      </c>
      <c r="E247" s="51">
        <v>2016</v>
      </c>
      <c r="F247" t="s">
        <v>223</v>
      </c>
      <c r="G247" s="51" t="s">
        <v>28</v>
      </c>
      <c r="H247" t="s">
        <v>240</v>
      </c>
      <c r="I247">
        <v>0</v>
      </c>
      <c r="FX247" s="51">
        <v>0</v>
      </c>
    </row>
    <row r="248" spans="1:180" x14ac:dyDescent="0.2">
      <c r="A248" t="s">
        <v>239</v>
      </c>
      <c r="B248" t="s">
        <v>242</v>
      </c>
      <c r="C248" t="s">
        <v>215</v>
      </c>
      <c r="D248" t="s">
        <v>42</v>
      </c>
      <c r="E248" s="51">
        <v>2016</v>
      </c>
      <c r="F248" t="s">
        <v>224</v>
      </c>
      <c r="G248" s="51" t="s">
        <v>28</v>
      </c>
      <c r="H248" t="s">
        <v>240</v>
      </c>
      <c r="I248">
        <v>0</v>
      </c>
      <c r="FX248" s="51">
        <v>0</v>
      </c>
    </row>
    <row r="249" spans="1:180" x14ac:dyDescent="0.2">
      <c r="A249" t="s">
        <v>239</v>
      </c>
      <c r="B249" t="s">
        <v>242</v>
      </c>
      <c r="C249" t="s">
        <v>215</v>
      </c>
      <c r="D249" t="s">
        <v>42</v>
      </c>
      <c r="E249" s="51">
        <v>2016</v>
      </c>
      <c r="F249" t="s">
        <v>225</v>
      </c>
      <c r="G249" s="51" t="s">
        <v>28</v>
      </c>
      <c r="H249" t="s">
        <v>240</v>
      </c>
      <c r="I249">
        <v>0</v>
      </c>
      <c r="FX249" s="51">
        <v>0</v>
      </c>
    </row>
    <row r="250" spans="1:180" x14ac:dyDescent="0.2">
      <c r="A250" t="s">
        <v>239</v>
      </c>
      <c r="B250" t="s">
        <v>242</v>
      </c>
      <c r="C250" t="s">
        <v>215</v>
      </c>
      <c r="D250" t="s">
        <v>43</v>
      </c>
      <c r="E250" s="51">
        <v>2016</v>
      </c>
      <c r="F250" t="s">
        <v>222</v>
      </c>
      <c r="G250" s="51" t="s">
        <v>28</v>
      </c>
      <c r="H250" t="s">
        <v>240</v>
      </c>
      <c r="I250">
        <v>0</v>
      </c>
      <c r="FX250" s="51">
        <v>0</v>
      </c>
    </row>
    <row r="251" spans="1:180" x14ac:dyDescent="0.2">
      <c r="A251" t="s">
        <v>239</v>
      </c>
      <c r="B251" t="s">
        <v>242</v>
      </c>
      <c r="C251" t="s">
        <v>215</v>
      </c>
      <c r="D251" t="s">
        <v>43</v>
      </c>
      <c r="E251" s="51">
        <v>2016</v>
      </c>
      <c r="F251" t="s">
        <v>223</v>
      </c>
      <c r="G251" s="51" t="s">
        <v>28</v>
      </c>
      <c r="H251" t="s">
        <v>240</v>
      </c>
      <c r="I251">
        <v>0</v>
      </c>
      <c r="FX251" s="51">
        <v>0</v>
      </c>
    </row>
    <row r="252" spans="1:180" x14ac:dyDescent="0.2">
      <c r="A252" t="s">
        <v>239</v>
      </c>
      <c r="B252" t="s">
        <v>242</v>
      </c>
      <c r="C252" t="s">
        <v>215</v>
      </c>
      <c r="D252" t="s">
        <v>43</v>
      </c>
      <c r="E252" s="51">
        <v>2016</v>
      </c>
      <c r="F252" t="s">
        <v>224</v>
      </c>
      <c r="G252" s="51" t="s">
        <v>28</v>
      </c>
      <c r="H252" t="s">
        <v>240</v>
      </c>
      <c r="I252">
        <v>0</v>
      </c>
      <c r="FX252" s="51">
        <v>0</v>
      </c>
    </row>
    <row r="253" spans="1:180" x14ac:dyDescent="0.2">
      <c r="A253" t="s">
        <v>239</v>
      </c>
      <c r="B253" t="s">
        <v>242</v>
      </c>
      <c r="C253" t="s">
        <v>215</v>
      </c>
      <c r="D253" t="s">
        <v>43</v>
      </c>
      <c r="E253" s="51">
        <v>2016</v>
      </c>
      <c r="F253" t="s">
        <v>225</v>
      </c>
      <c r="G253" s="51" t="s">
        <v>28</v>
      </c>
      <c r="H253" t="s">
        <v>240</v>
      </c>
      <c r="I253">
        <v>0</v>
      </c>
      <c r="FX253" s="51">
        <v>0</v>
      </c>
    </row>
    <row r="254" spans="1:180" x14ac:dyDescent="0.2">
      <c r="A254" t="s">
        <v>239</v>
      </c>
      <c r="B254" t="s">
        <v>242</v>
      </c>
      <c r="C254" t="s">
        <v>215</v>
      </c>
      <c r="D254" t="s">
        <v>44</v>
      </c>
      <c r="E254" s="51">
        <v>2016</v>
      </c>
      <c r="F254" t="s">
        <v>222</v>
      </c>
      <c r="G254" s="51" t="s">
        <v>28</v>
      </c>
      <c r="H254" t="s">
        <v>240</v>
      </c>
      <c r="I254">
        <v>0</v>
      </c>
      <c r="FX254" s="51">
        <v>0</v>
      </c>
    </row>
    <row r="255" spans="1:180" x14ac:dyDescent="0.2">
      <c r="A255" t="s">
        <v>239</v>
      </c>
      <c r="B255" t="s">
        <v>242</v>
      </c>
      <c r="C255" t="s">
        <v>215</v>
      </c>
      <c r="D255" t="s">
        <v>44</v>
      </c>
      <c r="E255" s="51">
        <v>2016</v>
      </c>
      <c r="F255" t="s">
        <v>223</v>
      </c>
      <c r="G255" s="51" t="s">
        <v>28</v>
      </c>
      <c r="H255" t="s">
        <v>240</v>
      </c>
      <c r="I255">
        <v>0</v>
      </c>
      <c r="FX255" s="51">
        <v>0</v>
      </c>
    </row>
    <row r="256" spans="1:180" x14ac:dyDescent="0.2">
      <c r="A256" t="s">
        <v>239</v>
      </c>
      <c r="B256" t="s">
        <v>242</v>
      </c>
      <c r="C256" t="s">
        <v>215</v>
      </c>
      <c r="D256" t="s">
        <v>44</v>
      </c>
      <c r="E256" s="51">
        <v>2016</v>
      </c>
      <c r="F256" t="s">
        <v>224</v>
      </c>
      <c r="G256" s="51" t="s">
        <v>28</v>
      </c>
      <c r="H256" t="s">
        <v>240</v>
      </c>
      <c r="I256">
        <v>0</v>
      </c>
      <c r="FX256" s="51">
        <v>0</v>
      </c>
    </row>
    <row r="257" spans="1:180" x14ac:dyDescent="0.2">
      <c r="A257" t="s">
        <v>239</v>
      </c>
      <c r="B257" t="s">
        <v>242</v>
      </c>
      <c r="C257" t="s">
        <v>215</v>
      </c>
      <c r="D257" t="s">
        <v>44</v>
      </c>
      <c r="E257" s="51">
        <v>2016</v>
      </c>
      <c r="F257" t="s">
        <v>225</v>
      </c>
      <c r="G257" s="51" t="s">
        <v>28</v>
      </c>
      <c r="H257" t="s">
        <v>240</v>
      </c>
      <c r="I257">
        <v>0</v>
      </c>
      <c r="FX257" s="51">
        <v>0</v>
      </c>
    </row>
    <row r="258" spans="1:180" x14ac:dyDescent="0.2">
      <c r="A258" t="s">
        <v>239</v>
      </c>
      <c r="B258" t="s">
        <v>242</v>
      </c>
      <c r="C258" t="s">
        <v>215</v>
      </c>
      <c r="D258" t="s">
        <v>9</v>
      </c>
      <c r="E258" s="51">
        <v>2016</v>
      </c>
      <c r="F258" t="s">
        <v>222</v>
      </c>
      <c r="G258" s="51" t="s">
        <v>28</v>
      </c>
      <c r="H258" t="s">
        <v>240</v>
      </c>
      <c r="I258">
        <v>0</v>
      </c>
      <c r="FX258" s="51">
        <v>0</v>
      </c>
    </row>
    <row r="259" spans="1:180" x14ac:dyDescent="0.2">
      <c r="A259" t="s">
        <v>239</v>
      </c>
      <c r="B259" t="s">
        <v>242</v>
      </c>
      <c r="C259" t="s">
        <v>215</v>
      </c>
      <c r="D259" t="s">
        <v>9</v>
      </c>
      <c r="E259" s="51">
        <v>2016</v>
      </c>
      <c r="F259" t="s">
        <v>223</v>
      </c>
      <c r="G259" s="51" t="s">
        <v>28</v>
      </c>
      <c r="H259" t="s">
        <v>240</v>
      </c>
      <c r="I259">
        <v>0</v>
      </c>
      <c r="FX259" s="51">
        <v>0</v>
      </c>
    </row>
    <row r="260" spans="1:180" x14ac:dyDescent="0.2">
      <c r="A260" t="s">
        <v>239</v>
      </c>
      <c r="B260" t="s">
        <v>242</v>
      </c>
      <c r="C260" t="s">
        <v>215</v>
      </c>
      <c r="D260" t="s">
        <v>9</v>
      </c>
      <c r="E260" s="51">
        <v>2016</v>
      </c>
      <c r="F260" t="s">
        <v>224</v>
      </c>
      <c r="G260" s="51" t="s">
        <v>28</v>
      </c>
      <c r="H260" t="s">
        <v>240</v>
      </c>
      <c r="I260">
        <v>0</v>
      </c>
      <c r="FX260" s="51">
        <v>0</v>
      </c>
    </row>
    <row r="261" spans="1:180" x14ac:dyDescent="0.2">
      <c r="A261" t="s">
        <v>239</v>
      </c>
      <c r="B261" t="s">
        <v>242</v>
      </c>
      <c r="C261" t="s">
        <v>215</v>
      </c>
      <c r="D261" t="s">
        <v>9</v>
      </c>
      <c r="E261" s="51">
        <v>2016</v>
      </c>
      <c r="F261" t="s">
        <v>225</v>
      </c>
      <c r="G261" s="51" t="s">
        <v>28</v>
      </c>
      <c r="H261" t="s">
        <v>240</v>
      </c>
      <c r="I261">
        <v>0</v>
      </c>
      <c r="FX261" s="51">
        <v>0</v>
      </c>
    </row>
    <row r="262" spans="1:180" x14ac:dyDescent="0.2">
      <c r="A262" t="s">
        <v>239</v>
      </c>
      <c r="B262" t="s">
        <v>242</v>
      </c>
      <c r="C262" t="s">
        <v>215</v>
      </c>
      <c r="D262" t="s">
        <v>33</v>
      </c>
      <c r="E262" s="51">
        <v>2016</v>
      </c>
      <c r="F262" t="s">
        <v>222</v>
      </c>
      <c r="G262" s="51" t="s">
        <v>28</v>
      </c>
      <c r="H262" t="s">
        <v>241</v>
      </c>
      <c r="I262">
        <v>0</v>
      </c>
      <c r="FX262" s="51">
        <v>0</v>
      </c>
    </row>
    <row r="263" spans="1:180" x14ac:dyDescent="0.2">
      <c r="A263" t="s">
        <v>239</v>
      </c>
      <c r="B263" t="s">
        <v>242</v>
      </c>
      <c r="C263" t="s">
        <v>215</v>
      </c>
      <c r="D263" t="s">
        <v>33</v>
      </c>
      <c r="E263" s="51">
        <v>2016</v>
      </c>
      <c r="F263" t="s">
        <v>223</v>
      </c>
      <c r="G263" s="51" t="s">
        <v>28</v>
      </c>
      <c r="H263" t="s">
        <v>241</v>
      </c>
      <c r="I263">
        <v>0</v>
      </c>
      <c r="FX263" s="51">
        <v>0</v>
      </c>
    </row>
    <row r="264" spans="1:180" x14ac:dyDescent="0.2">
      <c r="A264" t="s">
        <v>239</v>
      </c>
      <c r="B264" t="s">
        <v>242</v>
      </c>
      <c r="C264" t="s">
        <v>215</v>
      </c>
      <c r="D264" t="s">
        <v>33</v>
      </c>
      <c r="E264" s="51">
        <v>2016</v>
      </c>
      <c r="F264" t="s">
        <v>224</v>
      </c>
      <c r="G264" s="51" t="s">
        <v>28</v>
      </c>
      <c r="H264" t="s">
        <v>241</v>
      </c>
      <c r="I264">
        <v>0</v>
      </c>
      <c r="FX264" s="51">
        <v>0</v>
      </c>
    </row>
    <row r="265" spans="1:180" x14ac:dyDescent="0.2">
      <c r="A265" t="s">
        <v>239</v>
      </c>
      <c r="B265" t="s">
        <v>242</v>
      </c>
      <c r="C265" t="s">
        <v>215</v>
      </c>
      <c r="D265" t="s">
        <v>33</v>
      </c>
      <c r="E265" s="51">
        <v>2016</v>
      </c>
      <c r="F265" t="s">
        <v>225</v>
      </c>
      <c r="G265" s="51" t="s">
        <v>28</v>
      </c>
      <c r="H265" t="s">
        <v>241</v>
      </c>
      <c r="I265">
        <v>0</v>
      </c>
      <c r="FX265" s="51">
        <v>0</v>
      </c>
    </row>
    <row r="266" spans="1:180" x14ac:dyDescent="0.2">
      <c r="A266" t="s">
        <v>239</v>
      </c>
      <c r="B266" t="s">
        <v>242</v>
      </c>
      <c r="C266" t="s">
        <v>215</v>
      </c>
      <c r="D266" t="s">
        <v>34</v>
      </c>
      <c r="E266" s="51">
        <v>2016</v>
      </c>
      <c r="F266" t="s">
        <v>222</v>
      </c>
      <c r="G266" s="51" t="s">
        <v>28</v>
      </c>
      <c r="H266" t="s">
        <v>241</v>
      </c>
      <c r="I266">
        <v>0</v>
      </c>
      <c r="FX266" s="51">
        <v>0</v>
      </c>
    </row>
    <row r="267" spans="1:180" x14ac:dyDescent="0.2">
      <c r="A267" t="s">
        <v>239</v>
      </c>
      <c r="B267" t="s">
        <v>242</v>
      </c>
      <c r="C267" t="s">
        <v>215</v>
      </c>
      <c r="D267" t="s">
        <v>34</v>
      </c>
      <c r="E267" s="51">
        <v>2016</v>
      </c>
      <c r="F267" t="s">
        <v>223</v>
      </c>
      <c r="G267" s="51" t="s">
        <v>28</v>
      </c>
      <c r="H267" t="s">
        <v>241</v>
      </c>
      <c r="I267">
        <v>0</v>
      </c>
      <c r="FX267" s="51">
        <v>0</v>
      </c>
    </row>
    <row r="268" spans="1:180" x14ac:dyDescent="0.2">
      <c r="A268" t="s">
        <v>239</v>
      </c>
      <c r="B268" t="s">
        <v>242</v>
      </c>
      <c r="C268" t="s">
        <v>215</v>
      </c>
      <c r="D268" t="s">
        <v>34</v>
      </c>
      <c r="E268" s="51">
        <v>2016</v>
      </c>
      <c r="F268" t="s">
        <v>224</v>
      </c>
      <c r="G268" s="51" t="s">
        <v>28</v>
      </c>
      <c r="H268" t="s">
        <v>241</v>
      </c>
      <c r="I268">
        <v>0</v>
      </c>
      <c r="FX268" s="51">
        <v>0</v>
      </c>
    </row>
    <row r="269" spans="1:180" x14ac:dyDescent="0.2">
      <c r="A269" t="s">
        <v>239</v>
      </c>
      <c r="B269" t="s">
        <v>242</v>
      </c>
      <c r="C269" t="s">
        <v>215</v>
      </c>
      <c r="D269" t="s">
        <v>34</v>
      </c>
      <c r="E269" s="51">
        <v>2016</v>
      </c>
      <c r="F269" t="s">
        <v>225</v>
      </c>
      <c r="G269" s="51" t="s">
        <v>28</v>
      </c>
      <c r="H269" t="s">
        <v>241</v>
      </c>
      <c r="I269">
        <v>0</v>
      </c>
      <c r="FX269" s="51">
        <v>0</v>
      </c>
    </row>
    <row r="270" spans="1:180" x14ac:dyDescent="0.2">
      <c r="A270" t="s">
        <v>239</v>
      </c>
      <c r="B270" t="s">
        <v>242</v>
      </c>
      <c r="C270" t="s">
        <v>215</v>
      </c>
      <c r="D270" t="s">
        <v>35</v>
      </c>
      <c r="E270" s="51">
        <v>2016</v>
      </c>
      <c r="F270" t="s">
        <v>222</v>
      </c>
      <c r="G270" s="51" t="s">
        <v>28</v>
      </c>
      <c r="H270" t="s">
        <v>241</v>
      </c>
      <c r="I270">
        <v>0</v>
      </c>
      <c r="FX270" s="51">
        <v>0</v>
      </c>
    </row>
    <row r="271" spans="1:180" x14ac:dyDescent="0.2">
      <c r="A271" t="s">
        <v>239</v>
      </c>
      <c r="B271" t="s">
        <v>242</v>
      </c>
      <c r="C271" t="s">
        <v>215</v>
      </c>
      <c r="D271" t="s">
        <v>35</v>
      </c>
      <c r="E271" s="51">
        <v>2016</v>
      </c>
      <c r="F271" t="s">
        <v>223</v>
      </c>
      <c r="G271" s="51" t="s">
        <v>28</v>
      </c>
      <c r="H271" t="s">
        <v>241</v>
      </c>
      <c r="I271">
        <v>0</v>
      </c>
      <c r="FX271" s="51">
        <v>0</v>
      </c>
    </row>
    <row r="272" spans="1:180" x14ac:dyDescent="0.2">
      <c r="A272" t="s">
        <v>239</v>
      </c>
      <c r="B272" t="s">
        <v>242</v>
      </c>
      <c r="C272" t="s">
        <v>215</v>
      </c>
      <c r="D272" t="s">
        <v>35</v>
      </c>
      <c r="E272" s="51">
        <v>2016</v>
      </c>
      <c r="F272" t="s">
        <v>224</v>
      </c>
      <c r="G272" s="51" t="s">
        <v>28</v>
      </c>
      <c r="H272" t="s">
        <v>241</v>
      </c>
      <c r="I272">
        <v>0</v>
      </c>
      <c r="FX272" s="51">
        <v>0</v>
      </c>
    </row>
    <row r="273" spans="1:180" x14ac:dyDescent="0.2">
      <c r="A273" t="s">
        <v>239</v>
      </c>
      <c r="B273" t="s">
        <v>242</v>
      </c>
      <c r="C273" t="s">
        <v>215</v>
      </c>
      <c r="D273" t="s">
        <v>35</v>
      </c>
      <c r="E273" s="51">
        <v>2016</v>
      </c>
      <c r="F273" t="s">
        <v>225</v>
      </c>
      <c r="G273" s="51" t="s">
        <v>28</v>
      </c>
      <c r="H273" t="s">
        <v>241</v>
      </c>
      <c r="I273">
        <v>0</v>
      </c>
      <c r="FX273" s="51">
        <v>0</v>
      </c>
    </row>
    <row r="274" spans="1:180" x14ac:dyDescent="0.2">
      <c r="A274" t="s">
        <v>239</v>
      </c>
      <c r="B274" t="s">
        <v>242</v>
      </c>
      <c r="C274" t="s">
        <v>215</v>
      </c>
      <c r="D274" t="s">
        <v>36</v>
      </c>
      <c r="E274" s="51">
        <v>2016</v>
      </c>
      <c r="F274" t="s">
        <v>222</v>
      </c>
      <c r="G274" s="51" t="s">
        <v>28</v>
      </c>
      <c r="H274" t="s">
        <v>241</v>
      </c>
      <c r="I274">
        <v>0</v>
      </c>
      <c r="FX274" s="51">
        <v>0</v>
      </c>
    </row>
    <row r="275" spans="1:180" x14ac:dyDescent="0.2">
      <c r="A275" t="s">
        <v>239</v>
      </c>
      <c r="B275" t="s">
        <v>242</v>
      </c>
      <c r="C275" t="s">
        <v>215</v>
      </c>
      <c r="D275" t="s">
        <v>36</v>
      </c>
      <c r="E275" s="51">
        <v>2016</v>
      </c>
      <c r="F275" t="s">
        <v>223</v>
      </c>
      <c r="G275" s="51" t="s">
        <v>28</v>
      </c>
      <c r="H275" t="s">
        <v>241</v>
      </c>
      <c r="I275">
        <v>0</v>
      </c>
      <c r="FX275" s="51">
        <v>0</v>
      </c>
    </row>
    <row r="276" spans="1:180" x14ac:dyDescent="0.2">
      <c r="A276" t="s">
        <v>239</v>
      </c>
      <c r="B276" t="s">
        <v>242</v>
      </c>
      <c r="C276" t="s">
        <v>215</v>
      </c>
      <c r="D276" t="s">
        <v>36</v>
      </c>
      <c r="E276" s="51">
        <v>2016</v>
      </c>
      <c r="F276" t="s">
        <v>224</v>
      </c>
      <c r="G276" s="51" t="s">
        <v>28</v>
      </c>
      <c r="H276" t="s">
        <v>241</v>
      </c>
      <c r="I276">
        <v>0</v>
      </c>
      <c r="FX276" s="51">
        <v>0</v>
      </c>
    </row>
    <row r="277" spans="1:180" x14ac:dyDescent="0.2">
      <c r="A277" t="s">
        <v>239</v>
      </c>
      <c r="B277" t="s">
        <v>242</v>
      </c>
      <c r="C277" t="s">
        <v>215</v>
      </c>
      <c r="D277" t="s">
        <v>36</v>
      </c>
      <c r="E277" s="51">
        <v>2016</v>
      </c>
      <c r="F277" t="s">
        <v>225</v>
      </c>
      <c r="G277" s="51" t="s">
        <v>28</v>
      </c>
      <c r="H277" t="s">
        <v>241</v>
      </c>
      <c r="I277">
        <v>0</v>
      </c>
      <c r="FX277" s="51">
        <v>0</v>
      </c>
    </row>
    <row r="278" spans="1:180" x14ac:dyDescent="0.2">
      <c r="A278" t="s">
        <v>239</v>
      </c>
      <c r="B278" t="s">
        <v>242</v>
      </c>
      <c r="C278" t="s">
        <v>215</v>
      </c>
      <c r="D278" t="s">
        <v>37</v>
      </c>
      <c r="E278" s="51">
        <v>2016</v>
      </c>
      <c r="F278" t="s">
        <v>222</v>
      </c>
      <c r="G278" s="51" t="s">
        <v>28</v>
      </c>
      <c r="H278" t="s">
        <v>241</v>
      </c>
      <c r="I278">
        <v>0</v>
      </c>
      <c r="FX278" s="51">
        <v>0</v>
      </c>
    </row>
    <row r="279" spans="1:180" x14ac:dyDescent="0.2">
      <c r="A279" t="s">
        <v>239</v>
      </c>
      <c r="B279" t="s">
        <v>242</v>
      </c>
      <c r="C279" t="s">
        <v>215</v>
      </c>
      <c r="D279" t="s">
        <v>37</v>
      </c>
      <c r="E279" s="51">
        <v>2016</v>
      </c>
      <c r="F279" t="s">
        <v>223</v>
      </c>
      <c r="G279" s="51" t="s">
        <v>28</v>
      </c>
      <c r="H279" t="s">
        <v>241</v>
      </c>
      <c r="I279">
        <v>0</v>
      </c>
      <c r="FX279" s="51">
        <v>0</v>
      </c>
    </row>
    <row r="280" spans="1:180" x14ac:dyDescent="0.2">
      <c r="A280" t="s">
        <v>239</v>
      </c>
      <c r="B280" t="s">
        <v>242</v>
      </c>
      <c r="C280" t="s">
        <v>215</v>
      </c>
      <c r="D280" t="s">
        <v>37</v>
      </c>
      <c r="E280" s="51">
        <v>2016</v>
      </c>
      <c r="F280" t="s">
        <v>224</v>
      </c>
      <c r="G280" s="51" t="s">
        <v>28</v>
      </c>
      <c r="H280" t="s">
        <v>241</v>
      </c>
      <c r="I280">
        <v>0</v>
      </c>
      <c r="FX280" s="51">
        <v>0</v>
      </c>
    </row>
    <row r="281" spans="1:180" x14ac:dyDescent="0.2">
      <c r="A281" t="s">
        <v>239</v>
      </c>
      <c r="B281" t="s">
        <v>242</v>
      </c>
      <c r="C281" t="s">
        <v>215</v>
      </c>
      <c r="D281" t="s">
        <v>37</v>
      </c>
      <c r="E281" s="51">
        <v>2016</v>
      </c>
      <c r="F281" t="s">
        <v>225</v>
      </c>
      <c r="G281" s="51" t="s">
        <v>28</v>
      </c>
      <c r="H281" t="s">
        <v>241</v>
      </c>
      <c r="I281">
        <v>0</v>
      </c>
      <c r="FX281" s="51">
        <v>0</v>
      </c>
    </row>
    <row r="282" spans="1:180" x14ac:dyDescent="0.2">
      <c r="A282" t="s">
        <v>239</v>
      </c>
      <c r="B282" t="s">
        <v>242</v>
      </c>
      <c r="C282" t="s">
        <v>215</v>
      </c>
      <c r="D282" t="s">
        <v>38</v>
      </c>
      <c r="E282" s="51">
        <v>2016</v>
      </c>
      <c r="F282" t="s">
        <v>222</v>
      </c>
      <c r="G282" s="51" t="s">
        <v>28</v>
      </c>
      <c r="H282" t="s">
        <v>241</v>
      </c>
      <c r="I282">
        <v>0</v>
      </c>
      <c r="FX282" s="51">
        <v>0</v>
      </c>
    </row>
    <row r="283" spans="1:180" x14ac:dyDescent="0.2">
      <c r="A283" t="s">
        <v>239</v>
      </c>
      <c r="B283" t="s">
        <v>242</v>
      </c>
      <c r="C283" t="s">
        <v>215</v>
      </c>
      <c r="D283" t="s">
        <v>38</v>
      </c>
      <c r="E283" s="51">
        <v>2016</v>
      </c>
      <c r="F283" t="s">
        <v>223</v>
      </c>
      <c r="G283" s="51" t="s">
        <v>28</v>
      </c>
      <c r="H283" t="s">
        <v>241</v>
      </c>
      <c r="I283">
        <v>0</v>
      </c>
      <c r="FX283" s="51">
        <v>0</v>
      </c>
    </row>
    <row r="284" spans="1:180" x14ac:dyDescent="0.2">
      <c r="A284" t="s">
        <v>239</v>
      </c>
      <c r="B284" t="s">
        <v>242</v>
      </c>
      <c r="C284" t="s">
        <v>215</v>
      </c>
      <c r="D284" t="s">
        <v>38</v>
      </c>
      <c r="E284" s="51">
        <v>2016</v>
      </c>
      <c r="F284" t="s">
        <v>224</v>
      </c>
      <c r="G284" s="51" t="s">
        <v>28</v>
      </c>
      <c r="H284" t="s">
        <v>241</v>
      </c>
      <c r="I284">
        <v>0</v>
      </c>
      <c r="FX284" s="51">
        <v>0</v>
      </c>
    </row>
    <row r="285" spans="1:180" x14ac:dyDescent="0.2">
      <c r="A285" t="s">
        <v>239</v>
      </c>
      <c r="B285" t="s">
        <v>242</v>
      </c>
      <c r="C285" t="s">
        <v>215</v>
      </c>
      <c r="D285" t="s">
        <v>38</v>
      </c>
      <c r="E285" s="51">
        <v>2016</v>
      </c>
      <c r="F285" t="s">
        <v>225</v>
      </c>
      <c r="G285" s="51" t="s">
        <v>28</v>
      </c>
      <c r="H285" t="s">
        <v>241</v>
      </c>
      <c r="I285">
        <v>0</v>
      </c>
      <c r="FX285" s="51">
        <v>0</v>
      </c>
    </row>
    <row r="286" spans="1:180" x14ac:dyDescent="0.2">
      <c r="A286" t="s">
        <v>239</v>
      </c>
      <c r="B286" t="s">
        <v>242</v>
      </c>
      <c r="C286" t="s">
        <v>215</v>
      </c>
      <c r="D286" t="s">
        <v>39</v>
      </c>
      <c r="E286" s="51">
        <v>2016</v>
      </c>
      <c r="F286" t="s">
        <v>222</v>
      </c>
      <c r="G286" s="51" t="s">
        <v>28</v>
      </c>
      <c r="H286" t="s">
        <v>241</v>
      </c>
      <c r="I286">
        <v>0</v>
      </c>
      <c r="FX286" s="51">
        <v>0</v>
      </c>
    </row>
    <row r="287" spans="1:180" x14ac:dyDescent="0.2">
      <c r="A287" t="s">
        <v>239</v>
      </c>
      <c r="B287" t="s">
        <v>242</v>
      </c>
      <c r="C287" t="s">
        <v>215</v>
      </c>
      <c r="D287" t="s">
        <v>39</v>
      </c>
      <c r="E287" s="51">
        <v>2016</v>
      </c>
      <c r="F287" t="s">
        <v>223</v>
      </c>
      <c r="G287" s="51" t="s">
        <v>28</v>
      </c>
      <c r="H287" t="s">
        <v>241</v>
      </c>
      <c r="I287">
        <v>0</v>
      </c>
      <c r="FX287" s="51">
        <v>0</v>
      </c>
    </row>
    <row r="288" spans="1:180" x14ac:dyDescent="0.2">
      <c r="A288" t="s">
        <v>239</v>
      </c>
      <c r="B288" t="s">
        <v>242</v>
      </c>
      <c r="C288" t="s">
        <v>215</v>
      </c>
      <c r="D288" t="s">
        <v>39</v>
      </c>
      <c r="E288" s="51">
        <v>2016</v>
      </c>
      <c r="F288" t="s">
        <v>224</v>
      </c>
      <c r="G288" s="51" t="s">
        <v>28</v>
      </c>
      <c r="H288" t="s">
        <v>241</v>
      </c>
      <c r="I288">
        <v>0</v>
      </c>
      <c r="FX288" s="51">
        <v>0</v>
      </c>
    </row>
    <row r="289" spans="1:180" x14ac:dyDescent="0.2">
      <c r="A289" t="s">
        <v>239</v>
      </c>
      <c r="B289" t="s">
        <v>242</v>
      </c>
      <c r="C289" t="s">
        <v>215</v>
      </c>
      <c r="D289" t="s">
        <v>39</v>
      </c>
      <c r="E289" s="51">
        <v>2016</v>
      </c>
      <c r="F289" t="s">
        <v>225</v>
      </c>
      <c r="G289" s="51" t="s">
        <v>28</v>
      </c>
      <c r="H289" t="s">
        <v>241</v>
      </c>
      <c r="I289">
        <v>0</v>
      </c>
      <c r="FX289" s="51">
        <v>0</v>
      </c>
    </row>
    <row r="290" spans="1:180" x14ac:dyDescent="0.2">
      <c r="A290" t="s">
        <v>239</v>
      </c>
      <c r="B290" t="s">
        <v>242</v>
      </c>
      <c r="C290" t="s">
        <v>215</v>
      </c>
      <c r="D290" t="s">
        <v>40</v>
      </c>
      <c r="E290" s="51">
        <v>2016</v>
      </c>
      <c r="F290" t="s">
        <v>222</v>
      </c>
      <c r="G290" s="51" t="s">
        <v>28</v>
      </c>
      <c r="H290" t="s">
        <v>241</v>
      </c>
      <c r="I290">
        <v>0</v>
      </c>
      <c r="FX290" s="51">
        <v>0</v>
      </c>
    </row>
    <row r="291" spans="1:180" x14ac:dyDescent="0.2">
      <c r="A291" t="s">
        <v>239</v>
      </c>
      <c r="B291" t="s">
        <v>242</v>
      </c>
      <c r="C291" t="s">
        <v>215</v>
      </c>
      <c r="D291" t="s">
        <v>40</v>
      </c>
      <c r="E291" s="51">
        <v>2016</v>
      </c>
      <c r="F291" t="s">
        <v>223</v>
      </c>
      <c r="G291" s="51" t="s">
        <v>28</v>
      </c>
      <c r="H291" t="s">
        <v>241</v>
      </c>
      <c r="I291">
        <v>0</v>
      </c>
      <c r="FX291" s="51">
        <v>0</v>
      </c>
    </row>
    <row r="292" spans="1:180" x14ac:dyDescent="0.2">
      <c r="A292" t="s">
        <v>239</v>
      </c>
      <c r="B292" t="s">
        <v>242</v>
      </c>
      <c r="C292" t="s">
        <v>215</v>
      </c>
      <c r="D292" t="s">
        <v>40</v>
      </c>
      <c r="E292" s="51">
        <v>2016</v>
      </c>
      <c r="F292" t="s">
        <v>224</v>
      </c>
      <c r="G292" s="51" t="s">
        <v>28</v>
      </c>
      <c r="H292" t="s">
        <v>241</v>
      </c>
      <c r="I292">
        <v>0</v>
      </c>
      <c r="FX292" s="51">
        <v>0</v>
      </c>
    </row>
    <row r="293" spans="1:180" x14ac:dyDescent="0.2">
      <c r="A293" t="s">
        <v>239</v>
      </c>
      <c r="B293" t="s">
        <v>242</v>
      </c>
      <c r="C293" t="s">
        <v>215</v>
      </c>
      <c r="D293" t="s">
        <v>40</v>
      </c>
      <c r="E293" s="51">
        <v>2016</v>
      </c>
      <c r="F293" t="s">
        <v>225</v>
      </c>
      <c r="G293" s="51" t="s">
        <v>28</v>
      </c>
      <c r="H293" t="s">
        <v>241</v>
      </c>
      <c r="I293">
        <v>0</v>
      </c>
      <c r="FX293" s="51">
        <v>0</v>
      </c>
    </row>
    <row r="294" spans="1:180" x14ac:dyDescent="0.2">
      <c r="A294" t="s">
        <v>239</v>
      </c>
      <c r="B294" t="s">
        <v>242</v>
      </c>
      <c r="C294" t="s">
        <v>215</v>
      </c>
      <c r="D294" t="s">
        <v>41</v>
      </c>
      <c r="E294" s="51">
        <v>2016</v>
      </c>
      <c r="F294" t="s">
        <v>222</v>
      </c>
      <c r="G294" s="51" t="s">
        <v>28</v>
      </c>
      <c r="H294" t="s">
        <v>241</v>
      </c>
      <c r="I294">
        <v>0</v>
      </c>
      <c r="FX294" s="51">
        <v>0</v>
      </c>
    </row>
    <row r="295" spans="1:180" x14ac:dyDescent="0.2">
      <c r="A295" t="s">
        <v>239</v>
      </c>
      <c r="B295" t="s">
        <v>242</v>
      </c>
      <c r="C295" t="s">
        <v>215</v>
      </c>
      <c r="D295" t="s">
        <v>41</v>
      </c>
      <c r="E295" s="51">
        <v>2016</v>
      </c>
      <c r="F295" t="s">
        <v>223</v>
      </c>
      <c r="G295" s="51" t="s">
        <v>28</v>
      </c>
      <c r="H295" t="s">
        <v>241</v>
      </c>
      <c r="I295">
        <v>0</v>
      </c>
      <c r="FX295" s="51">
        <v>0</v>
      </c>
    </row>
    <row r="296" spans="1:180" x14ac:dyDescent="0.2">
      <c r="A296" t="s">
        <v>239</v>
      </c>
      <c r="B296" t="s">
        <v>242</v>
      </c>
      <c r="C296" t="s">
        <v>215</v>
      </c>
      <c r="D296" t="s">
        <v>41</v>
      </c>
      <c r="E296" s="51">
        <v>2016</v>
      </c>
      <c r="F296" t="s">
        <v>224</v>
      </c>
      <c r="G296" s="51" t="s">
        <v>28</v>
      </c>
      <c r="H296" t="s">
        <v>241</v>
      </c>
      <c r="I296">
        <v>0</v>
      </c>
      <c r="FX296" s="51">
        <v>0</v>
      </c>
    </row>
    <row r="297" spans="1:180" x14ac:dyDescent="0.2">
      <c r="A297" t="s">
        <v>239</v>
      </c>
      <c r="B297" t="s">
        <v>242</v>
      </c>
      <c r="C297" t="s">
        <v>215</v>
      </c>
      <c r="D297" t="s">
        <v>41</v>
      </c>
      <c r="E297" s="51">
        <v>2016</v>
      </c>
      <c r="F297" t="s">
        <v>225</v>
      </c>
      <c r="G297" s="51" t="s">
        <v>28</v>
      </c>
      <c r="H297" t="s">
        <v>241</v>
      </c>
      <c r="I297">
        <v>0</v>
      </c>
      <c r="FX297" s="51">
        <v>0</v>
      </c>
    </row>
    <row r="298" spans="1:180" x14ac:dyDescent="0.2">
      <c r="A298" t="s">
        <v>239</v>
      </c>
      <c r="B298" t="s">
        <v>242</v>
      </c>
      <c r="C298" t="s">
        <v>215</v>
      </c>
      <c r="D298" t="s">
        <v>42</v>
      </c>
      <c r="E298" s="51">
        <v>2016</v>
      </c>
      <c r="F298" t="s">
        <v>222</v>
      </c>
      <c r="G298" s="51" t="s">
        <v>28</v>
      </c>
      <c r="H298" t="s">
        <v>241</v>
      </c>
      <c r="I298">
        <v>0</v>
      </c>
      <c r="FX298" s="51">
        <v>0</v>
      </c>
    </row>
    <row r="299" spans="1:180" x14ac:dyDescent="0.2">
      <c r="A299" t="s">
        <v>239</v>
      </c>
      <c r="B299" t="s">
        <v>242</v>
      </c>
      <c r="C299" t="s">
        <v>215</v>
      </c>
      <c r="D299" t="s">
        <v>42</v>
      </c>
      <c r="E299" s="51">
        <v>2016</v>
      </c>
      <c r="F299" t="s">
        <v>223</v>
      </c>
      <c r="G299" s="51" t="s">
        <v>28</v>
      </c>
      <c r="H299" t="s">
        <v>241</v>
      </c>
      <c r="I299">
        <v>0</v>
      </c>
      <c r="FX299" s="51">
        <v>0</v>
      </c>
    </row>
    <row r="300" spans="1:180" x14ac:dyDescent="0.2">
      <c r="A300" t="s">
        <v>239</v>
      </c>
      <c r="B300" t="s">
        <v>242</v>
      </c>
      <c r="C300" t="s">
        <v>215</v>
      </c>
      <c r="D300" t="s">
        <v>42</v>
      </c>
      <c r="E300" s="51">
        <v>2016</v>
      </c>
      <c r="F300" t="s">
        <v>224</v>
      </c>
      <c r="G300" s="51" t="s">
        <v>28</v>
      </c>
      <c r="H300" t="s">
        <v>241</v>
      </c>
      <c r="I300">
        <v>0</v>
      </c>
      <c r="FX300" s="51">
        <v>0</v>
      </c>
    </row>
    <row r="301" spans="1:180" x14ac:dyDescent="0.2">
      <c r="A301" t="s">
        <v>239</v>
      </c>
      <c r="B301" t="s">
        <v>242</v>
      </c>
      <c r="C301" t="s">
        <v>215</v>
      </c>
      <c r="D301" t="s">
        <v>42</v>
      </c>
      <c r="E301" s="51">
        <v>2016</v>
      </c>
      <c r="F301" t="s">
        <v>225</v>
      </c>
      <c r="G301" s="51" t="s">
        <v>28</v>
      </c>
      <c r="H301" t="s">
        <v>241</v>
      </c>
      <c r="I301">
        <v>0</v>
      </c>
      <c r="FX301" s="51">
        <v>0</v>
      </c>
    </row>
    <row r="302" spans="1:180" x14ac:dyDescent="0.2">
      <c r="A302" t="s">
        <v>239</v>
      </c>
      <c r="B302" t="s">
        <v>242</v>
      </c>
      <c r="C302" t="s">
        <v>215</v>
      </c>
      <c r="D302" t="s">
        <v>43</v>
      </c>
      <c r="E302" s="51">
        <v>2016</v>
      </c>
      <c r="F302" t="s">
        <v>222</v>
      </c>
      <c r="G302" s="51" t="s">
        <v>28</v>
      </c>
      <c r="H302" t="s">
        <v>241</v>
      </c>
      <c r="I302">
        <v>0</v>
      </c>
      <c r="FX302" s="51">
        <v>0</v>
      </c>
    </row>
    <row r="303" spans="1:180" x14ac:dyDescent="0.2">
      <c r="A303" t="s">
        <v>239</v>
      </c>
      <c r="B303" t="s">
        <v>242</v>
      </c>
      <c r="C303" t="s">
        <v>215</v>
      </c>
      <c r="D303" t="s">
        <v>43</v>
      </c>
      <c r="E303" s="51">
        <v>2016</v>
      </c>
      <c r="F303" t="s">
        <v>223</v>
      </c>
      <c r="G303" s="51" t="s">
        <v>28</v>
      </c>
      <c r="H303" t="s">
        <v>241</v>
      </c>
      <c r="I303">
        <v>0</v>
      </c>
      <c r="FX303" s="51">
        <v>0</v>
      </c>
    </row>
    <row r="304" spans="1:180" x14ac:dyDescent="0.2">
      <c r="A304" t="s">
        <v>239</v>
      </c>
      <c r="B304" t="s">
        <v>242</v>
      </c>
      <c r="C304" t="s">
        <v>215</v>
      </c>
      <c r="D304" t="s">
        <v>43</v>
      </c>
      <c r="E304" s="51">
        <v>2016</v>
      </c>
      <c r="F304" t="s">
        <v>224</v>
      </c>
      <c r="G304" s="51" t="s">
        <v>28</v>
      </c>
      <c r="H304" t="s">
        <v>241</v>
      </c>
      <c r="I304">
        <v>0</v>
      </c>
      <c r="FX304" s="51">
        <v>0</v>
      </c>
    </row>
    <row r="305" spans="1:180" x14ac:dyDescent="0.2">
      <c r="A305" t="s">
        <v>239</v>
      </c>
      <c r="B305" t="s">
        <v>242</v>
      </c>
      <c r="C305" t="s">
        <v>215</v>
      </c>
      <c r="D305" t="s">
        <v>43</v>
      </c>
      <c r="E305" s="51">
        <v>2016</v>
      </c>
      <c r="F305" t="s">
        <v>225</v>
      </c>
      <c r="G305" s="51" t="s">
        <v>28</v>
      </c>
      <c r="H305" t="s">
        <v>241</v>
      </c>
      <c r="I305">
        <v>0</v>
      </c>
      <c r="FX305" s="51">
        <v>0</v>
      </c>
    </row>
    <row r="306" spans="1:180" x14ac:dyDescent="0.2">
      <c r="A306" t="s">
        <v>239</v>
      </c>
      <c r="B306" t="s">
        <v>242</v>
      </c>
      <c r="C306" t="s">
        <v>215</v>
      </c>
      <c r="D306" t="s">
        <v>44</v>
      </c>
      <c r="E306" s="51">
        <v>2016</v>
      </c>
      <c r="F306" t="s">
        <v>222</v>
      </c>
      <c r="G306" s="51" t="s">
        <v>28</v>
      </c>
      <c r="H306" t="s">
        <v>241</v>
      </c>
      <c r="I306">
        <v>0</v>
      </c>
      <c r="FX306" s="51">
        <v>0</v>
      </c>
    </row>
    <row r="307" spans="1:180" x14ac:dyDescent="0.2">
      <c r="A307" t="s">
        <v>239</v>
      </c>
      <c r="B307" t="s">
        <v>242</v>
      </c>
      <c r="C307" t="s">
        <v>215</v>
      </c>
      <c r="D307" t="s">
        <v>44</v>
      </c>
      <c r="E307" s="51">
        <v>2016</v>
      </c>
      <c r="F307" t="s">
        <v>223</v>
      </c>
      <c r="G307" s="51" t="s">
        <v>28</v>
      </c>
      <c r="H307" t="s">
        <v>241</v>
      </c>
      <c r="I307">
        <v>0</v>
      </c>
      <c r="FX307" s="51">
        <v>0</v>
      </c>
    </row>
    <row r="308" spans="1:180" x14ac:dyDescent="0.2">
      <c r="A308" t="s">
        <v>239</v>
      </c>
      <c r="B308" t="s">
        <v>242</v>
      </c>
      <c r="C308" t="s">
        <v>215</v>
      </c>
      <c r="D308" t="s">
        <v>44</v>
      </c>
      <c r="E308" s="51">
        <v>2016</v>
      </c>
      <c r="F308" t="s">
        <v>224</v>
      </c>
      <c r="G308" s="51" t="s">
        <v>28</v>
      </c>
      <c r="H308" t="s">
        <v>241</v>
      </c>
      <c r="I308">
        <v>0</v>
      </c>
      <c r="FX308" s="51">
        <v>0</v>
      </c>
    </row>
    <row r="309" spans="1:180" x14ac:dyDescent="0.2">
      <c r="A309" t="s">
        <v>239</v>
      </c>
      <c r="B309" t="s">
        <v>242</v>
      </c>
      <c r="C309" t="s">
        <v>215</v>
      </c>
      <c r="D309" t="s">
        <v>44</v>
      </c>
      <c r="E309" s="51">
        <v>2016</v>
      </c>
      <c r="F309" t="s">
        <v>225</v>
      </c>
      <c r="G309" s="51" t="s">
        <v>28</v>
      </c>
      <c r="H309" t="s">
        <v>241</v>
      </c>
      <c r="I309">
        <v>0</v>
      </c>
      <c r="FX309" s="51">
        <v>0</v>
      </c>
    </row>
    <row r="310" spans="1:180" x14ac:dyDescent="0.2">
      <c r="A310" t="s">
        <v>239</v>
      </c>
      <c r="B310" t="s">
        <v>242</v>
      </c>
      <c r="C310" t="s">
        <v>215</v>
      </c>
      <c r="D310" t="s">
        <v>9</v>
      </c>
      <c r="E310" s="51">
        <v>2016</v>
      </c>
      <c r="F310" t="s">
        <v>222</v>
      </c>
      <c r="G310" s="51" t="s">
        <v>28</v>
      </c>
      <c r="H310" t="s">
        <v>241</v>
      </c>
      <c r="I310">
        <v>0</v>
      </c>
      <c r="FX310" s="51">
        <v>0</v>
      </c>
    </row>
    <row r="311" spans="1:180" x14ac:dyDescent="0.2">
      <c r="A311" t="s">
        <v>239</v>
      </c>
      <c r="B311" t="s">
        <v>242</v>
      </c>
      <c r="C311" t="s">
        <v>215</v>
      </c>
      <c r="D311" t="s">
        <v>9</v>
      </c>
      <c r="E311" s="51">
        <v>2016</v>
      </c>
      <c r="F311" t="s">
        <v>223</v>
      </c>
      <c r="G311" s="51" t="s">
        <v>28</v>
      </c>
      <c r="H311" t="s">
        <v>241</v>
      </c>
      <c r="I311">
        <v>0</v>
      </c>
      <c r="FX311" s="51">
        <v>0</v>
      </c>
    </row>
    <row r="312" spans="1:180" x14ac:dyDescent="0.2">
      <c r="A312" t="s">
        <v>239</v>
      </c>
      <c r="B312" t="s">
        <v>242</v>
      </c>
      <c r="C312" t="s">
        <v>215</v>
      </c>
      <c r="D312" t="s">
        <v>9</v>
      </c>
      <c r="E312" s="51">
        <v>2016</v>
      </c>
      <c r="F312" t="s">
        <v>224</v>
      </c>
      <c r="G312" s="51" t="s">
        <v>28</v>
      </c>
      <c r="H312" t="s">
        <v>241</v>
      </c>
      <c r="I312">
        <v>0</v>
      </c>
      <c r="FX312" s="51">
        <v>0</v>
      </c>
    </row>
    <row r="313" spans="1:180" x14ac:dyDescent="0.2">
      <c r="A313" t="s">
        <v>239</v>
      </c>
      <c r="B313" t="s">
        <v>242</v>
      </c>
      <c r="C313" t="s">
        <v>215</v>
      </c>
      <c r="D313" t="s">
        <v>9</v>
      </c>
      <c r="E313" s="51">
        <v>2016</v>
      </c>
      <c r="F313" t="s">
        <v>225</v>
      </c>
      <c r="G313" s="51" t="s">
        <v>28</v>
      </c>
      <c r="H313" t="s">
        <v>241</v>
      </c>
      <c r="I313">
        <v>0</v>
      </c>
      <c r="FX313" s="51">
        <v>0</v>
      </c>
    </row>
    <row r="314" spans="1:180" x14ac:dyDescent="0.2">
      <c r="A314" t="s">
        <v>239</v>
      </c>
      <c r="B314" t="s">
        <v>242</v>
      </c>
      <c r="C314" t="s">
        <v>214</v>
      </c>
      <c r="D314" t="s">
        <v>33</v>
      </c>
      <c r="E314" s="51">
        <v>2016</v>
      </c>
      <c r="F314" t="s">
        <v>222</v>
      </c>
      <c r="G314" s="51" t="s">
        <v>28</v>
      </c>
      <c r="H314" t="s">
        <v>240</v>
      </c>
      <c r="I314">
        <v>0</v>
      </c>
      <c r="FX314" s="51">
        <v>0</v>
      </c>
    </row>
    <row r="315" spans="1:180" x14ac:dyDescent="0.2">
      <c r="A315" t="s">
        <v>239</v>
      </c>
      <c r="B315" t="s">
        <v>242</v>
      </c>
      <c r="C315" t="s">
        <v>214</v>
      </c>
      <c r="D315" t="s">
        <v>33</v>
      </c>
      <c r="E315" s="51">
        <v>2016</v>
      </c>
      <c r="F315" t="s">
        <v>223</v>
      </c>
      <c r="G315" s="51" t="s">
        <v>28</v>
      </c>
      <c r="H315" t="s">
        <v>240</v>
      </c>
      <c r="I315">
        <v>0</v>
      </c>
      <c r="FX315" s="51">
        <v>0</v>
      </c>
    </row>
    <row r="316" spans="1:180" x14ac:dyDescent="0.2">
      <c r="A316" t="s">
        <v>239</v>
      </c>
      <c r="B316" t="s">
        <v>242</v>
      </c>
      <c r="C316" t="s">
        <v>214</v>
      </c>
      <c r="D316" t="s">
        <v>33</v>
      </c>
      <c r="E316" s="51">
        <v>2016</v>
      </c>
      <c r="F316" t="s">
        <v>224</v>
      </c>
      <c r="G316" s="51" t="s">
        <v>28</v>
      </c>
      <c r="H316" t="s">
        <v>240</v>
      </c>
      <c r="I316">
        <v>0</v>
      </c>
      <c r="FX316" s="51">
        <v>0</v>
      </c>
    </row>
    <row r="317" spans="1:180" x14ac:dyDescent="0.2">
      <c r="A317" t="s">
        <v>239</v>
      </c>
      <c r="B317" t="s">
        <v>242</v>
      </c>
      <c r="C317" t="s">
        <v>214</v>
      </c>
      <c r="D317" t="s">
        <v>33</v>
      </c>
      <c r="E317" s="51">
        <v>2016</v>
      </c>
      <c r="F317" t="s">
        <v>225</v>
      </c>
      <c r="G317" s="51" t="s">
        <v>28</v>
      </c>
      <c r="H317" t="s">
        <v>240</v>
      </c>
      <c r="I317">
        <v>0</v>
      </c>
      <c r="FX317" s="51">
        <v>0</v>
      </c>
    </row>
    <row r="318" spans="1:180" x14ac:dyDescent="0.2">
      <c r="A318" t="s">
        <v>239</v>
      </c>
      <c r="B318" t="s">
        <v>242</v>
      </c>
      <c r="C318" t="s">
        <v>214</v>
      </c>
      <c r="D318" t="s">
        <v>34</v>
      </c>
      <c r="E318" s="51">
        <v>2016</v>
      </c>
      <c r="F318" t="s">
        <v>222</v>
      </c>
      <c r="G318" s="51" t="s">
        <v>28</v>
      </c>
      <c r="H318" t="s">
        <v>240</v>
      </c>
      <c r="I318">
        <v>0</v>
      </c>
      <c r="FX318" s="51">
        <v>0</v>
      </c>
    </row>
    <row r="319" spans="1:180" x14ac:dyDescent="0.2">
      <c r="A319" t="s">
        <v>239</v>
      </c>
      <c r="B319" t="s">
        <v>242</v>
      </c>
      <c r="C319" t="s">
        <v>214</v>
      </c>
      <c r="D319" t="s">
        <v>34</v>
      </c>
      <c r="E319" s="51">
        <v>2016</v>
      </c>
      <c r="F319" t="s">
        <v>223</v>
      </c>
      <c r="G319" s="51" t="s">
        <v>28</v>
      </c>
      <c r="H319" t="s">
        <v>240</v>
      </c>
      <c r="I319">
        <v>0</v>
      </c>
      <c r="FX319" s="51">
        <v>0</v>
      </c>
    </row>
    <row r="320" spans="1:180" x14ac:dyDescent="0.2">
      <c r="A320" t="s">
        <v>239</v>
      </c>
      <c r="B320" t="s">
        <v>242</v>
      </c>
      <c r="C320" t="s">
        <v>214</v>
      </c>
      <c r="D320" t="s">
        <v>34</v>
      </c>
      <c r="E320" s="51">
        <v>2016</v>
      </c>
      <c r="F320" t="s">
        <v>224</v>
      </c>
      <c r="G320" s="51" t="s">
        <v>28</v>
      </c>
      <c r="H320" t="s">
        <v>240</v>
      </c>
      <c r="I320">
        <v>0</v>
      </c>
      <c r="FX320" s="51">
        <v>0</v>
      </c>
    </row>
    <row r="321" spans="1:180" x14ac:dyDescent="0.2">
      <c r="A321" t="s">
        <v>239</v>
      </c>
      <c r="B321" t="s">
        <v>242</v>
      </c>
      <c r="C321" t="s">
        <v>214</v>
      </c>
      <c r="D321" t="s">
        <v>34</v>
      </c>
      <c r="E321" s="51">
        <v>2016</v>
      </c>
      <c r="F321" t="s">
        <v>225</v>
      </c>
      <c r="G321" s="51" t="s">
        <v>28</v>
      </c>
      <c r="H321" t="s">
        <v>240</v>
      </c>
      <c r="I321">
        <v>0</v>
      </c>
      <c r="FX321" s="51">
        <v>0</v>
      </c>
    </row>
    <row r="322" spans="1:180" x14ac:dyDescent="0.2">
      <c r="A322" t="s">
        <v>239</v>
      </c>
      <c r="B322" t="s">
        <v>242</v>
      </c>
      <c r="C322" t="s">
        <v>214</v>
      </c>
      <c r="D322" t="s">
        <v>35</v>
      </c>
      <c r="E322" s="51">
        <v>2016</v>
      </c>
      <c r="F322" t="s">
        <v>222</v>
      </c>
      <c r="G322" s="51" t="s">
        <v>28</v>
      </c>
      <c r="H322" t="s">
        <v>240</v>
      </c>
      <c r="I322">
        <v>0</v>
      </c>
      <c r="FX322" s="51">
        <v>0</v>
      </c>
    </row>
    <row r="323" spans="1:180" x14ac:dyDescent="0.2">
      <c r="A323" t="s">
        <v>239</v>
      </c>
      <c r="B323" t="s">
        <v>242</v>
      </c>
      <c r="C323" t="s">
        <v>214</v>
      </c>
      <c r="D323" t="s">
        <v>35</v>
      </c>
      <c r="E323" s="51">
        <v>2016</v>
      </c>
      <c r="F323" t="s">
        <v>223</v>
      </c>
      <c r="G323" s="51" t="s">
        <v>28</v>
      </c>
      <c r="H323" t="s">
        <v>240</v>
      </c>
      <c r="I323">
        <v>0</v>
      </c>
      <c r="FX323" s="51">
        <v>0</v>
      </c>
    </row>
    <row r="324" spans="1:180" x14ac:dyDescent="0.2">
      <c r="A324" t="s">
        <v>239</v>
      </c>
      <c r="B324" t="s">
        <v>242</v>
      </c>
      <c r="C324" t="s">
        <v>214</v>
      </c>
      <c r="D324" t="s">
        <v>35</v>
      </c>
      <c r="E324" s="51">
        <v>2016</v>
      </c>
      <c r="F324" t="s">
        <v>224</v>
      </c>
      <c r="G324" s="51" t="s">
        <v>28</v>
      </c>
      <c r="H324" t="s">
        <v>240</v>
      </c>
      <c r="I324">
        <v>0</v>
      </c>
      <c r="FX324" s="51">
        <v>0</v>
      </c>
    </row>
    <row r="325" spans="1:180" x14ac:dyDescent="0.2">
      <c r="A325" t="s">
        <v>239</v>
      </c>
      <c r="B325" t="s">
        <v>242</v>
      </c>
      <c r="C325" t="s">
        <v>214</v>
      </c>
      <c r="D325" t="s">
        <v>35</v>
      </c>
      <c r="E325" s="51">
        <v>2016</v>
      </c>
      <c r="F325" t="s">
        <v>225</v>
      </c>
      <c r="G325" s="51" t="s">
        <v>28</v>
      </c>
      <c r="H325" t="s">
        <v>240</v>
      </c>
      <c r="I325">
        <v>0</v>
      </c>
      <c r="FX325" s="51">
        <v>0</v>
      </c>
    </row>
    <row r="326" spans="1:180" x14ac:dyDescent="0.2">
      <c r="A326" t="s">
        <v>239</v>
      </c>
      <c r="B326" t="s">
        <v>242</v>
      </c>
      <c r="C326" t="s">
        <v>214</v>
      </c>
      <c r="D326" t="s">
        <v>36</v>
      </c>
      <c r="E326" s="51">
        <v>2016</v>
      </c>
      <c r="F326" t="s">
        <v>222</v>
      </c>
      <c r="G326" s="51" t="s">
        <v>28</v>
      </c>
      <c r="H326" t="s">
        <v>240</v>
      </c>
      <c r="I326">
        <v>0</v>
      </c>
      <c r="FX326" s="51">
        <v>0</v>
      </c>
    </row>
    <row r="327" spans="1:180" x14ac:dyDescent="0.2">
      <c r="A327" t="s">
        <v>239</v>
      </c>
      <c r="B327" t="s">
        <v>242</v>
      </c>
      <c r="C327" t="s">
        <v>214</v>
      </c>
      <c r="D327" t="s">
        <v>36</v>
      </c>
      <c r="E327" s="51">
        <v>2016</v>
      </c>
      <c r="F327" t="s">
        <v>223</v>
      </c>
      <c r="G327" s="51" t="s">
        <v>28</v>
      </c>
      <c r="H327" t="s">
        <v>240</v>
      </c>
      <c r="I327">
        <v>0</v>
      </c>
      <c r="FX327" s="51">
        <v>0</v>
      </c>
    </row>
    <row r="328" spans="1:180" x14ac:dyDescent="0.2">
      <c r="A328" t="s">
        <v>239</v>
      </c>
      <c r="B328" t="s">
        <v>242</v>
      </c>
      <c r="C328" t="s">
        <v>214</v>
      </c>
      <c r="D328" t="s">
        <v>36</v>
      </c>
      <c r="E328" s="51">
        <v>2016</v>
      </c>
      <c r="F328" t="s">
        <v>224</v>
      </c>
      <c r="G328" s="51" t="s">
        <v>28</v>
      </c>
      <c r="H328" t="s">
        <v>240</v>
      </c>
      <c r="I328">
        <v>0</v>
      </c>
      <c r="FX328" s="51">
        <v>0</v>
      </c>
    </row>
    <row r="329" spans="1:180" x14ac:dyDescent="0.2">
      <c r="A329" t="s">
        <v>239</v>
      </c>
      <c r="B329" t="s">
        <v>242</v>
      </c>
      <c r="C329" t="s">
        <v>214</v>
      </c>
      <c r="D329" t="s">
        <v>36</v>
      </c>
      <c r="E329" s="51">
        <v>2016</v>
      </c>
      <c r="F329" t="s">
        <v>225</v>
      </c>
      <c r="G329" s="51" t="s">
        <v>28</v>
      </c>
      <c r="H329" t="s">
        <v>240</v>
      </c>
      <c r="I329">
        <v>0</v>
      </c>
      <c r="FX329" s="51">
        <v>0</v>
      </c>
    </row>
    <row r="330" spans="1:180" x14ac:dyDescent="0.2">
      <c r="A330" t="s">
        <v>239</v>
      </c>
      <c r="B330" t="s">
        <v>242</v>
      </c>
      <c r="C330" t="s">
        <v>214</v>
      </c>
      <c r="D330" t="s">
        <v>37</v>
      </c>
      <c r="E330" s="51">
        <v>2016</v>
      </c>
      <c r="F330" t="s">
        <v>222</v>
      </c>
      <c r="G330" s="51" t="s">
        <v>28</v>
      </c>
      <c r="H330" t="s">
        <v>240</v>
      </c>
      <c r="I330">
        <v>0</v>
      </c>
      <c r="FX330" s="51">
        <v>0</v>
      </c>
    </row>
    <row r="331" spans="1:180" x14ac:dyDescent="0.2">
      <c r="A331" t="s">
        <v>239</v>
      </c>
      <c r="B331" t="s">
        <v>242</v>
      </c>
      <c r="C331" t="s">
        <v>214</v>
      </c>
      <c r="D331" t="s">
        <v>37</v>
      </c>
      <c r="E331" s="51">
        <v>2016</v>
      </c>
      <c r="F331" t="s">
        <v>223</v>
      </c>
      <c r="G331" s="51" t="s">
        <v>28</v>
      </c>
      <c r="H331" t="s">
        <v>240</v>
      </c>
      <c r="I331">
        <v>0</v>
      </c>
      <c r="FX331" s="51">
        <v>0</v>
      </c>
    </row>
    <row r="332" spans="1:180" x14ac:dyDescent="0.2">
      <c r="A332" t="s">
        <v>239</v>
      </c>
      <c r="B332" t="s">
        <v>242</v>
      </c>
      <c r="C332" t="s">
        <v>214</v>
      </c>
      <c r="D332" t="s">
        <v>37</v>
      </c>
      <c r="E332" s="51">
        <v>2016</v>
      </c>
      <c r="F332" t="s">
        <v>224</v>
      </c>
      <c r="G332" s="51" t="s">
        <v>28</v>
      </c>
      <c r="H332" t="s">
        <v>240</v>
      </c>
      <c r="I332">
        <v>0</v>
      </c>
      <c r="FX332" s="51">
        <v>0</v>
      </c>
    </row>
    <row r="333" spans="1:180" x14ac:dyDescent="0.2">
      <c r="A333" t="s">
        <v>239</v>
      </c>
      <c r="B333" t="s">
        <v>242</v>
      </c>
      <c r="C333" t="s">
        <v>214</v>
      </c>
      <c r="D333" t="s">
        <v>37</v>
      </c>
      <c r="E333" s="51">
        <v>2016</v>
      </c>
      <c r="F333" t="s">
        <v>225</v>
      </c>
      <c r="G333" s="51" t="s">
        <v>28</v>
      </c>
      <c r="H333" t="s">
        <v>240</v>
      </c>
      <c r="I333">
        <v>0</v>
      </c>
      <c r="FX333" s="51">
        <v>0</v>
      </c>
    </row>
    <row r="334" spans="1:180" x14ac:dyDescent="0.2">
      <c r="A334" t="s">
        <v>239</v>
      </c>
      <c r="B334" t="s">
        <v>242</v>
      </c>
      <c r="C334" t="s">
        <v>214</v>
      </c>
      <c r="D334" t="s">
        <v>38</v>
      </c>
      <c r="E334" s="51">
        <v>2016</v>
      </c>
      <c r="F334" t="s">
        <v>222</v>
      </c>
      <c r="G334" s="51" t="s">
        <v>28</v>
      </c>
      <c r="H334" t="s">
        <v>240</v>
      </c>
      <c r="I334">
        <v>0</v>
      </c>
      <c r="FX334" s="51">
        <v>0</v>
      </c>
    </row>
    <row r="335" spans="1:180" x14ac:dyDescent="0.2">
      <c r="A335" t="s">
        <v>239</v>
      </c>
      <c r="B335" t="s">
        <v>242</v>
      </c>
      <c r="C335" t="s">
        <v>214</v>
      </c>
      <c r="D335" t="s">
        <v>38</v>
      </c>
      <c r="E335" s="51">
        <v>2016</v>
      </c>
      <c r="F335" t="s">
        <v>223</v>
      </c>
      <c r="G335" s="51" t="s">
        <v>28</v>
      </c>
      <c r="H335" t="s">
        <v>240</v>
      </c>
      <c r="I335">
        <v>0</v>
      </c>
      <c r="FX335" s="51">
        <v>0</v>
      </c>
    </row>
    <row r="336" spans="1:180" x14ac:dyDescent="0.2">
      <c r="A336" t="s">
        <v>239</v>
      </c>
      <c r="B336" t="s">
        <v>242</v>
      </c>
      <c r="C336" t="s">
        <v>214</v>
      </c>
      <c r="D336" t="s">
        <v>38</v>
      </c>
      <c r="E336" s="51">
        <v>2016</v>
      </c>
      <c r="F336" t="s">
        <v>224</v>
      </c>
      <c r="G336" s="51" t="s">
        <v>28</v>
      </c>
      <c r="H336" t="s">
        <v>240</v>
      </c>
      <c r="I336">
        <v>0</v>
      </c>
      <c r="FX336" s="51">
        <v>0</v>
      </c>
    </row>
    <row r="337" spans="1:180" x14ac:dyDescent="0.2">
      <c r="A337" t="s">
        <v>239</v>
      </c>
      <c r="B337" t="s">
        <v>242</v>
      </c>
      <c r="C337" t="s">
        <v>214</v>
      </c>
      <c r="D337" t="s">
        <v>38</v>
      </c>
      <c r="E337" s="51">
        <v>2016</v>
      </c>
      <c r="F337" t="s">
        <v>225</v>
      </c>
      <c r="G337" s="51" t="s">
        <v>28</v>
      </c>
      <c r="H337" t="s">
        <v>240</v>
      </c>
      <c r="I337">
        <v>0</v>
      </c>
      <c r="FX337" s="51">
        <v>0</v>
      </c>
    </row>
    <row r="338" spans="1:180" x14ac:dyDescent="0.2">
      <c r="A338" t="s">
        <v>239</v>
      </c>
      <c r="B338" t="s">
        <v>242</v>
      </c>
      <c r="C338" t="s">
        <v>214</v>
      </c>
      <c r="D338" t="s">
        <v>39</v>
      </c>
      <c r="E338" s="51">
        <v>2016</v>
      </c>
      <c r="F338" t="s">
        <v>222</v>
      </c>
      <c r="G338" s="51" t="s">
        <v>28</v>
      </c>
      <c r="H338" t="s">
        <v>240</v>
      </c>
      <c r="I338">
        <v>0</v>
      </c>
      <c r="FX338" s="51">
        <v>0</v>
      </c>
    </row>
    <row r="339" spans="1:180" x14ac:dyDescent="0.2">
      <c r="A339" t="s">
        <v>239</v>
      </c>
      <c r="B339" t="s">
        <v>242</v>
      </c>
      <c r="C339" t="s">
        <v>214</v>
      </c>
      <c r="D339" t="s">
        <v>39</v>
      </c>
      <c r="E339" s="51">
        <v>2016</v>
      </c>
      <c r="F339" t="s">
        <v>223</v>
      </c>
      <c r="G339" s="51" t="s">
        <v>28</v>
      </c>
      <c r="H339" t="s">
        <v>240</v>
      </c>
      <c r="I339">
        <v>0</v>
      </c>
      <c r="FX339" s="51">
        <v>0</v>
      </c>
    </row>
    <row r="340" spans="1:180" x14ac:dyDescent="0.2">
      <c r="A340" t="s">
        <v>239</v>
      </c>
      <c r="B340" t="s">
        <v>242</v>
      </c>
      <c r="C340" t="s">
        <v>214</v>
      </c>
      <c r="D340" t="s">
        <v>39</v>
      </c>
      <c r="E340" s="51">
        <v>2016</v>
      </c>
      <c r="F340" t="s">
        <v>224</v>
      </c>
      <c r="G340" s="51" t="s">
        <v>28</v>
      </c>
      <c r="H340" t="s">
        <v>240</v>
      </c>
      <c r="I340">
        <v>0</v>
      </c>
      <c r="FX340" s="51">
        <v>0</v>
      </c>
    </row>
    <row r="341" spans="1:180" x14ac:dyDescent="0.2">
      <c r="A341" t="s">
        <v>239</v>
      </c>
      <c r="B341" t="s">
        <v>242</v>
      </c>
      <c r="C341" t="s">
        <v>214</v>
      </c>
      <c r="D341" t="s">
        <v>39</v>
      </c>
      <c r="E341" s="51">
        <v>2016</v>
      </c>
      <c r="F341" t="s">
        <v>225</v>
      </c>
      <c r="G341" s="51" t="s">
        <v>28</v>
      </c>
      <c r="H341" t="s">
        <v>240</v>
      </c>
      <c r="I341">
        <v>0</v>
      </c>
      <c r="FX341" s="51">
        <v>0</v>
      </c>
    </row>
    <row r="342" spans="1:180" x14ac:dyDescent="0.2">
      <c r="A342" t="s">
        <v>239</v>
      </c>
      <c r="B342" t="s">
        <v>242</v>
      </c>
      <c r="C342" t="s">
        <v>214</v>
      </c>
      <c r="D342" t="s">
        <v>40</v>
      </c>
      <c r="E342" s="51">
        <v>2016</v>
      </c>
      <c r="F342" t="s">
        <v>222</v>
      </c>
      <c r="G342" s="51" t="s">
        <v>28</v>
      </c>
      <c r="H342" t="s">
        <v>240</v>
      </c>
      <c r="I342">
        <v>0</v>
      </c>
      <c r="FX342" s="51">
        <v>0</v>
      </c>
    </row>
    <row r="343" spans="1:180" x14ac:dyDescent="0.2">
      <c r="A343" t="s">
        <v>239</v>
      </c>
      <c r="B343" t="s">
        <v>242</v>
      </c>
      <c r="C343" t="s">
        <v>214</v>
      </c>
      <c r="D343" t="s">
        <v>40</v>
      </c>
      <c r="E343" s="51">
        <v>2016</v>
      </c>
      <c r="F343" t="s">
        <v>223</v>
      </c>
      <c r="G343" s="51" t="s">
        <v>28</v>
      </c>
      <c r="H343" t="s">
        <v>240</v>
      </c>
      <c r="I343">
        <v>0</v>
      </c>
      <c r="FX343" s="51">
        <v>0</v>
      </c>
    </row>
    <row r="344" spans="1:180" x14ac:dyDescent="0.2">
      <c r="A344" t="s">
        <v>239</v>
      </c>
      <c r="B344" t="s">
        <v>242</v>
      </c>
      <c r="C344" t="s">
        <v>214</v>
      </c>
      <c r="D344" t="s">
        <v>40</v>
      </c>
      <c r="E344" s="51">
        <v>2016</v>
      </c>
      <c r="F344" t="s">
        <v>224</v>
      </c>
      <c r="G344" s="51" t="s">
        <v>28</v>
      </c>
      <c r="H344" t="s">
        <v>240</v>
      </c>
      <c r="I344">
        <v>0</v>
      </c>
      <c r="FX344" s="51">
        <v>0</v>
      </c>
    </row>
    <row r="345" spans="1:180" x14ac:dyDescent="0.2">
      <c r="A345" t="s">
        <v>239</v>
      </c>
      <c r="B345" t="s">
        <v>242</v>
      </c>
      <c r="C345" t="s">
        <v>214</v>
      </c>
      <c r="D345" t="s">
        <v>40</v>
      </c>
      <c r="E345" s="51">
        <v>2016</v>
      </c>
      <c r="F345" t="s">
        <v>225</v>
      </c>
      <c r="G345" s="51" t="s">
        <v>28</v>
      </c>
      <c r="H345" t="s">
        <v>240</v>
      </c>
      <c r="I345">
        <v>0</v>
      </c>
      <c r="FX345" s="51">
        <v>0</v>
      </c>
    </row>
    <row r="346" spans="1:180" x14ac:dyDescent="0.2">
      <c r="A346" t="s">
        <v>239</v>
      </c>
      <c r="B346" t="s">
        <v>242</v>
      </c>
      <c r="C346" t="s">
        <v>214</v>
      </c>
      <c r="D346" t="s">
        <v>41</v>
      </c>
      <c r="E346" s="51">
        <v>2016</v>
      </c>
      <c r="F346" t="s">
        <v>222</v>
      </c>
      <c r="G346" s="51" t="s">
        <v>28</v>
      </c>
      <c r="H346" t="s">
        <v>240</v>
      </c>
      <c r="I346">
        <v>0</v>
      </c>
      <c r="FX346" s="51">
        <v>0</v>
      </c>
    </row>
    <row r="347" spans="1:180" x14ac:dyDescent="0.2">
      <c r="A347" t="s">
        <v>239</v>
      </c>
      <c r="B347" t="s">
        <v>242</v>
      </c>
      <c r="C347" t="s">
        <v>214</v>
      </c>
      <c r="D347" t="s">
        <v>41</v>
      </c>
      <c r="E347" s="51">
        <v>2016</v>
      </c>
      <c r="F347" t="s">
        <v>223</v>
      </c>
      <c r="G347" s="51" t="s">
        <v>28</v>
      </c>
      <c r="H347" t="s">
        <v>240</v>
      </c>
      <c r="I347">
        <v>0</v>
      </c>
      <c r="FX347" s="51">
        <v>0</v>
      </c>
    </row>
    <row r="348" spans="1:180" x14ac:dyDescent="0.2">
      <c r="A348" t="s">
        <v>239</v>
      </c>
      <c r="B348" t="s">
        <v>242</v>
      </c>
      <c r="C348" t="s">
        <v>214</v>
      </c>
      <c r="D348" t="s">
        <v>41</v>
      </c>
      <c r="E348" s="51">
        <v>2016</v>
      </c>
      <c r="F348" t="s">
        <v>224</v>
      </c>
      <c r="G348" s="51" t="s">
        <v>28</v>
      </c>
      <c r="H348" t="s">
        <v>240</v>
      </c>
      <c r="I348">
        <v>0</v>
      </c>
      <c r="FX348" s="51">
        <v>0</v>
      </c>
    </row>
    <row r="349" spans="1:180" x14ac:dyDescent="0.2">
      <c r="A349" t="s">
        <v>239</v>
      </c>
      <c r="B349" t="s">
        <v>242</v>
      </c>
      <c r="C349" t="s">
        <v>214</v>
      </c>
      <c r="D349" t="s">
        <v>41</v>
      </c>
      <c r="E349" s="51">
        <v>2016</v>
      </c>
      <c r="F349" t="s">
        <v>225</v>
      </c>
      <c r="G349" s="51" t="s">
        <v>28</v>
      </c>
      <c r="H349" t="s">
        <v>240</v>
      </c>
      <c r="I349">
        <v>0</v>
      </c>
      <c r="FX349" s="51">
        <v>0</v>
      </c>
    </row>
    <row r="350" spans="1:180" x14ac:dyDescent="0.2">
      <c r="A350" t="s">
        <v>239</v>
      </c>
      <c r="B350" t="s">
        <v>242</v>
      </c>
      <c r="C350" t="s">
        <v>214</v>
      </c>
      <c r="D350" t="s">
        <v>42</v>
      </c>
      <c r="E350" s="51">
        <v>2016</v>
      </c>
      <c r="F350" t="s">
        <v>222</v>
      </c>
      <c r="G350" s="51" t="s">
        <v>28</v>
      </c>
      <c r="H350" t="s">
        <v>240</v>
      </c>
      <c r="I350">
        <v>0</v>
      </c>
      <c r="FX350" s="51">
        <v>0</v>
      </c>
    </row>
    <row r="351" spans="1:180" x14ac:dyDescent="0.2">
      <c r="A351" t="s">
        <v>239</v>
      </c>
      <c r="B351" t="s">
        <v>242</v>
      </c>
      <c r="C351" t="s">
        <v>214</v>
      </c>
      <c r="D351" t="s">
        <v>42</v>
      </c>
      <c r="E351" s="51">
        <v>2016</v>
      </c>
      <c r="F351" t="s">
        <v>223</v>
      </c>
      <c r="G351" s="51" t="s">
        <v>28</v>
      </c>
      <c r="H351" t="s">
        <v>240</v>
      </c>
      <c r="I351">
        <v>0</v>
      </c>
      <c r="FX351" s="51">
        <v>0</v>
      </c>
    </row>
    <row r="352" spans="1:180" x14ac:dyDescent="0.2">
      <c r="A352" t="s">
        <v>239</v>
      </c>
      <c r="B352" t="s">
        <v>242</v>
      </c>
      <c r="C352" t="s">
        <v>214</v>
      </c>
      <c r="D352" t="s">
        <v>42</v>
      </c>
      <c r="E352" s="51">
        <v>2016</v>
      </c>
      <c r="F352" t="s">
        <v>224</v>
      </c>
      <c r="G352" s="51" t="s">
        <v>28</v>
      </c>
      <c r="H352" t="s">
        <v>240</v>
      </c>
      <c r="I352">
        <v>0</v>
      </c>
      <c r="FX352" s="51">
        <v>0</v>
      </c>
    </row>
    <row r="353" spans="1:180" x14ac:dyDescent="0.2">
      <c r="A353" t="s">
        <v>239</v>
      </c>
      <c r="B353" t="s">
        <v>242</v>
      </c>
      <c r="C353" t="s">
        <v>214</v>
      </c>
      <c r="D353" t="s">
        <v>42</v>
      </c>
      <c r="E353" s="51">
        <v>2016</v>
      </c>
      <c r="F353" t="s">
        <v>225</v>
      </c>
      <c r="G353" s="51" t="s">
        <v>28</v>
      </c>
      <c r="H353" t="s">
        <v>240</v>
      </c>
      <c r="I353">
        <v>0</v>
      </c>
      <c r="FX353" s="51">
        <v>0</v>
      </c>
    </row>
    <row r="354" spans="1:180" x14ac:dyDescent="0.2">
      <c r="A354" t="s">
        <v>239</v>
      </c>
      <c r="B354" t="s">
        <v>242</v>
      </c>
      <c r="C354" t="s">
        <v>214</v>
      </c>
      <c r="D354" t="s">
        <v>43</v>
      </c>
      <c r="E354" s="51">
        <v>2016</v>
      </c>
      <c r="F354" t="s">
        <v>222</v>
      </c>
      <c r="G354" s="51" t="s">
        <v>28</v>
      </c>
      <c r="H354" t="s">
        <v>240</v>
      </c>
      <c r="I354">
        <v>0</v>
      </c>
      <c r="FX354" s="51">
        <v>0</v>
      </c>
    </row>
    <row r="355" spans="1:180" x14ac:dyDescent="0.2">
      <c r="A355" t="s">
        <v>239</v>
      </c>
      <c r="B355" t="s">
        <v>242</v>
      </c>
      <c r="C355" t="s">
        <v>214</v>
      </c>
      <c r="D355" t="s">
        <v>43</v>
      </c>
      <c r="E355" s="51">
        <v>2016</v>
      </c>
      <c r="F355" t="s">
        <v>223</v>
      </c>
      <c r="G355" s="51" t="s">
        <v>28</v>
      </c>
      <c r="H355" t="s">
        <v>240</v>
      </c>
      <c r="I355">
        <v>0</v>
      </c>
      <c r="FX355" s="51">
        <v>0</v>
      </c>
    </row>
    <row r="356" spans="1:180" x14ac:dyDescent="0.2">
      <c r="A356" t="s">
        <v>239</v>
      </c>
      <c r="B356" t="s">
        <v>242</v>
      </c>
      <c r="C356" t="s">
        <v>214</v>
      </c>
      <c r="D356" t="s">
        <v>43</v>
      </c>
      <c r="E356" s="51">
        <v>2016</v>
      </c>
      <c r="F356" t="s">
        <v>224</v>
      </c>
      <c r="G356" s="51" t="s">
        <v>28</v>
      </c>
      <c r="H356" t="s">
        <v>240</v>
      </c>
      <c r="I356">
        <v>0</v>
      </c>
      <c r="FX356" s="51">
        <v>0</v>
      </c>
    </row>
    <row r="357" spans="1:180" x14ac:dyDescent="0.2">
      <c r="A357" t="s">
        <v>239</v>
      </c>
      <c r="B357" t="s">
        <v>242</v>
      </c>
      <c r="C357" t="s">
        <v>214</v>
      </c>
      <c r="D357" t="s">
        <v>43</v>
      </c>
      <c r="E357" s="51">
        <v>2016</v>
      </c>
      <c r="F357" t="s">
        <v>225</v>
      </c>
      <c r="G357" s="51" t="s">
        <v>28</v>
      </c>
      <c r="H357" t="s">
        <v>240</v>
      </c>
      <c r="I357">
        <v>0</v>
      </c>
      <c r="FX357" s="51">
        <v>0</v>
      </c>
    </row>
    <row r="358" spans="1:180" x14ac:dyDescent="0.2">
      <c r="A358" t="s">
        <v>239</v>
      </c>
      <c r="B358" t="s">
        <v>242</v>
      </c>
      <c r="C358" t="s">
        <v>214</v>
      </c>
      <c r="D358" t="s">
        <v>44</v>
      </c>
      <c r="E358" s="51">
        <v>2016</v>
      </c>
      <c r="F358" t="s">
        <v>222</v>
      </c>
      <c r="G358" s="51" t="s">
        <v>28</v>
      </c>
      <c r="H358" t="s">
        <v>240</v>
      </c>
      <c r="I358">
        <v>0</v>
      </c>
      <c r="FX358" s="51">
        <v>0</v>
      </c>
    </row>
    <row r="359" spans="1:180" x14ac:dyDescent="0.2">
      <c r="A359" t="s">
        <v>239</v>
      </c>
      <c r="B359" t="s">
        <v>242</v>
      </c>
      <c r="C359" t="s">
        <v>214</v>
      </c>
      <c r="D359" t="s">
        <v>44</v>
      </c>
      <c r="E359" s="51">
        <v>2016</v>
      </c>
      <c r="F359" t="s">
        <v>223</v>
      </c>
      <c r="G359" s="51" t="s">
        <v>28</v>
      </c>
      <c r="H359" t="s">
        <v>240</v>
      </c>
      <c r="I359">
        <v>0</v>
      </c>
      <c r="FX359" s="51">
        <v>0</v>
      </c>
    </row>
    <row r="360" spans="1:180" x14ac:dyDescent="0.2">
      <c r="A360" t="s">
        <v>239</v>
      </c>
      <c r="B360" t="s">
        <v>242</v>
      </c>
      <c r="C360" t="s">
        <v>214</v>
      </c>
      <c r="D360" t="s">
        <v>44</v>
      </c>
      <c r="E360" s="51">
        <v>2016</v>
      </c>
      <c r="F360" t="s">
        <v>224</v>
      </c>
      <c r="G360" s="51" t="s">
        <v>28</v>
      </c>
      <c r="H360" t="s">
        <v>240</v>
      </c>
      <c r="I360">
        <v>0</v>
      </c>
      <c r="FX360" s="51">
        <v>0</v>
      </c>
    </row>
    <row r="361" spans="1:180" x14ac:dyDescent="0.2">
      <c r="A361" t="s">
        <v>239</v>
      </c>
      <c r="B361" t="s">
        <v>242</v>
      </c>
      <c r="C361" t="s">
        <v>214</v>
      </c>
      <c r="D361" t="s">
        <v>44</v>
      </c>
      <c r="E361" s="51">
        <v>2016</v>
      </c>
      <c r="F361" t="s">
        <v>225</v>
      </c>
      <c r="G361" s="51" t="s">
        <v>28</v>
      </c>
      <c r="H361" t="s">
        <v>240</v>
      </c>
      <c r="I361">
        <v>0</v>
      </c>
      <c r="FX361" s="51">
        <v>0</v>
      </c>
    </row>
    <row r="362" spans="1:180" x14ac:dyDescent="0.2">
      <c r="A362" t="s">
        <v>239</v>
      </c>
      <c r="B362" t="s">
        <v>242</v>
      </c>
      <c r="C362" t="s">
        <v>214</v>
      </c>
      <c r="D362" t="s">
        <v>9</v>
      </c>
      <c r="E362" s="51">
        <v>2016</v>
      </c>
      <c r="F362" t="s">
        <v>222</v>
      </c>
      <c r="G362" s="51" t="s">
        <v>28</v>
      </c>
      <c r="H362" t="s">
        <v>240</v>
      </c>
      <c r="I362">
        <v>0</v>
      </c>
      <c r="FX362" s="51">
        <v>0</v>
      </c>
    </row>
    <row r="363" spans="1:180" x14ac:dyDescent="0.2">
      <c r="A363" t="s">
        <v>239</v>
      </c>
      <c r="B363" t="s">
        <v>242</v>
      </c>
      <c r="C363" t="s">
        <v>214</v>
      </c>
      <c r="D363" t="s">
        <v>9</v>
      </c>
      <c r="E363" s="51">
        <v>2016</v>
      </c>
      <c r="F363" t="s">
        <v>223</v>
      </c>
      <c r="G363" s="51" t="s">
        <v>28</v>
      </c>
      <c r="H363" t="s">
        <v>240</v>
      </c>
      <c r="I363">
        <v>0</v>
      </c>
      <c r="FX363" s="51">
        <v>0</v>
      </c>
    </row>
    <row r="364" spans="1:180" x14ac:dyDescent="0.2">
      <c r="A364" t="s">
        <v>239</v>
      </c>
      <c r="B364" t="s">
        <v>242</v>
      </c>
      <c r="C364" t="s">
        <v>214</v>
      </c>
      <c r="D364" t="s">
        <v>9</v>
      </c>
      <c r="E364" s="51">
        <v>2016</v>
      </c>
      <c r="F364" t="s">
        <v>224</v>
      </c>
      <c r="G364" s="51" t="s">
        <v>28</v>
      </c>
      <c r="H364" t="s">
        <v>240</v>
      </c>
      <c r="I364">
        <v>0</v>
      </c>
      <c r="FX364" s="51">
        <v>0</v>
      </c>
    </row>
    <row r="365" spans="1:180" x14ac:dyDescent="0.2">
      <c r="A365" t="s">
        <v>239</v>
      </c>
      <c r="B365" t="s">
        <v>242</v>
      </c>
      <c r="C365" t="s">
        <v>214</v>
      </c>
      <c r="D365" t="s">
        <v>9</v>
      </c>
      <c r="E365" s="51">
        <v>2016</v>
      </c>
      <c r="F365" t="s">
        <v>225</v>
      </c>
      <c r="G365" s="51" t="s">
        <v>28</v>
      </c>
      <c r="H365" t="s">
        <v>240</v>
      </c>
      <c r="I365">
        <v>0</v>
      </c>
      <c r="FX365" s="51">
        <v>0</v>
      </c>
    </row>
    <row r="366" spans="1:180" x14ac:dyDescent="0.2">
      <c r="A366" t="s">
        <v>239</v>
      </c>
      <c r="B366" t="s">
        <v>242</v>
      </c>
      <c r="C366" t="s">
        <v>214</v>
      </c>
      <c r="D366" t="s">
        <v>33</v>
      </c>
      <c r="E366" s="51">
        <v>2016</v>
      </c>
      <c r="F366" t="s">
        <v>222</v>
      </c>
      <c r="G366" s="51" t="s">
        <v>28</v>
      </c>
      <c r="H366" t="s">
        <v>241</v>
      </c>
      <c r="I366">
        <v>0</v>
      </c>
      <c r="FX366" s="51">
        <v>0</v>
      </c>
    </row>
    <row r="367" spans="1:180" x14ac:dyDescent="0.2">
      <c r="A367" t="s">
        <v>239</v>
      </c>
      <c r="B367" t="s">
        <v>242</v>
      </c>
      <c r="C367" t="s">
        <v>214</v>
      </c>
      <c r="D367" t="s">
        <v>33</v>
      </c>
      <c r="E367" s="51">
        <v>2016</v>
      </c>
      <c r="F367" t="s">
        <v>223</v>
      </c>
      <c r="G367" s="51" t="s">
        <v>28</v>
      </c>
      <c r="H367" t="s">
        <v>241</v>
      </c>
      <c r="I367">
        <v>0</v>
      </c>
      <c r="FX367" s="51">
        <v>0</v>
      </c>
    </row>
    <row r="368" spans="1:180" x14ac:dyDescent="0.2">
      <c r="A368" t="s">
        <v>239</v>
      </c>
      <c r="B368" t="s">
        <v>242</v>
      </c>
      <c r="C368" t="s">
        <v>214</v>
      </c>
      <c r="D368" t="s">
        <v>33</v>
      </c>
      <c r="E368" s="51">
        <v>2016</v>
      </c>
      <c r="F368" t="s">
        <v>224</v>
      </c>
      <c r="G368" s="51" t="s">
        <v>28</v>
      </c>
      <c r="H368" t="s">
        <v>241</v>
      </c>
      <c r="I368">
        <v>0</v>
      </c>
      <c r="FX368" s="51">
        <v>0</v>
      </c>
    </row>
    <row r="369" spans="1:180" x14ac:dyDescent="0.2">
      <c r="A369" t="s">
        <v>239</v>
      </c>
      <c r="B369" t="s">
        <v>242</v>
      </c>
      <c r="C369" t="s">
        <v>214</v>
      </c>
      <c r="D369" t="s">
        <v>33</v>
      </c>
      <c r="E369" s="51">
        <v>2016</v>
      </c>
      <c r="F369" t="s">
        <v>225</v>
      </c>
      <c r="G369" s="51" t="s">
        <v>28</v>
      </c>
      <c r="H369" t="s">
        <v>241</v>
      </c>
      <c r="I369">
        <v>0</v>
      </c>
      <c r="FX369" s="51">
        <v>0</v>
      </c>
    </row>
    <row r="370" spans="1:180" x14ac:dyDescent="0.2">
      <c r="A370" t="s">
        <v>239</v>
      </c>
      <c r="B370" t="s">
        <v>242</v>
      </c>
      <c r="C370" t="s">
        <v>214</v>
      </c>
      <c r="D370" t="s">
        <v>34</v>
      </c>
      <c r="E370" s="51">
        <v>2016</v>
      </c>
      <c r="F370" t="s">
        <v>222</v>
      </c>
      <c r="G370" s="51" t="s">
        <v>28</v>
      </c>
      <c r="H370" t="s">
        <v>241</v>
      </c>
      <c r="I370">
        <v>0</v>
      </c>
      <c r="FX370" s="51">
        <v>0</v>
      </c>
    </row>
    <row r="371" spans="1:180" x14ac:dyDescent="0.2">
      <c r="A371" t="s">
        <v>239</v>
      </c>
      <c r="B371" t="s">
        <v>242</v>
      </c>
      <c r="C371" t="s">
        <v>214</v>
      </c>
      <c r="D371" t="s">
        <v>34</v>
      </c>
      <c r="E371" s="51">
        <v>2016</v>
      </c>
      <c r="F371" t="s">
        <v>223</v>
      </c>
      <c r="G371" s="51" t="s">
        <v>28</v>
      </c>
      <c r="H371" t="s">
        <v>241</v>
      </c>
      <c r="I371">
        <v>0</v>
      </c>
      <c r="FX371" s="51">
        <v>0</v>
      </c>
    </row>
    <row r="372" spans="1:180" x14ac:dyDescent="0.2">
      <c r="A372" t="s">
        <v>239</v>
      </c>
      <c r="B372" t="s">
        <v>242</v>
      </c>
      <c r="C372" t="s">
        <v>214</v>
      </c>
      <c r="D372" t="s">
        <v>34</v>
      </c>
      <c r="E372" s="51">
        <v>2016</v>
      </c>
      <c r="F372" t="s">
        <v>224</v>
      </c>
      <c r="G372" s="51" t="s">
        <v>28</v>
      </c>
      <c r="H372" t="s">
        <v>241</v>
      </c>
      <c r="I372">
        <v>0</v>
      </c>
      <c r="FX372" s="51">
        <v>0</v>
      </c>
    </row>
    <row r="373" spans="1:180" x14ac:dyDescent="0.2">
      <c r="A373" t="s">
        <v>239</v>
      </c>
      <c r="B373" t="s">
        <v>242</v>
      </c>
      <c r="C373" t="s">
        <v>214</v>
      </c>
      <c r="D373" t="s">
        <v>34</v>
      </c>
      <c r="E373" s="51">
        <v>2016</v>
      </c>
      <c r="F373" t="s">
        <v>225</v>
      </c>
      <c r="G373" s="51" t="s">
        <v>28</v>
      </c>
      <c r="H373" t="s">
        <v>241</v>
      </c>
      <c r="I373">
        <v>0</v>
      </c>
      <c r="FX373" s="51">
        <v>0</v>
      </c>
    </row>
    <row r="374" spans="1:180" x14ac:dyDescent="0.2">
      <c r="A374" t="s">
        <v>239</v>
      </c>
      <c r="B374" t="s">
        <v>242</v>
      </c>
      <c r="C374" t="s">
        <v>214</v>
      </c>
      <c r="D374" t="s">
        <v>35</v>
      </c>
      <c r="E374" s="51">
        <v>2016</v>
      </c>
      <c r="F374" t="s">
        <v>222</v>
      </c>
      <c r="G374" s="51" t="s">
        <v>28</v>
      </c>
      <c r="H374" t="s">
        <v>241</v>
      </c>
      <c r="I374">
        <v>0</v>
      </c>
      <c r="FX374" s="51">
        <v>0</v>
      </c>
    </row>
    <row r="375" spans="1:180" x14ac:dyDescent="0.2">
      <c r="A375" t="s">
        <v>239</v>
      </c>
      <c r="B375" t="s">
        <v>242</v>
      </c>
      <c r="C375" t="s">
        <v>214</v>
      </c>
      <c r="D375" t="s">
        <v>35</v>
      </c>
      <c r="E375" s="51">
        <v>2016</v>
      </c>
      <c r="F375" t="s">
        <v>223</v>
      </c>
      <c r="G375" s="51" t="s">
        <v>28</v>
      </c>
      <c r="H375" t="s">
        <v>241</v>
      </c>
      <c r="I375">
        <v>0</v>
      </c>
      <c r="FX375" s="51">
        <v>0</v>
      </c>
    </row>
    <row r="376" spans="1:180" x14ac:dyDescent="0.2">
      <c r="A376" t="s">
        <v>239</v>
      </c>
      <c r="B376" t="s">
        <v>242</v>
      </c>
      <c r="C376" t="s">
        <v>214</v>
      </c>
      <c r="D376" t="s">
        <v>35</v>
      </c>
      <c r="E376" s="51">
        <v>2016</v>
      </c>
      <c r="F376" t="s">
        <v>224</v>
      </c>
      <c r="G376" s="51" t="s">
        <v>28</v>
      </c>
      <c r="H376" t="s">
        <v>241</v>
      </c>
      <c r="I376">
        <v>0</v>
      </c>
      <c r="FX376" s="51">
        <v>0</v>
      </c>
    </row>
    <row r="377" spans="1:180" x14ac:dyDescent="0.2">
      <c r="A377" t="s">
        <v>239</v>
      </c>
      <c r="B377" t="s">
        <v>242</v>
      </c>
      <c r="C377" t="s">
        <v>214</v>
      </c>
      <c r="D377" t="s">
        <v>35</v>
      </c>
      <c r="E377" s="51">
        <v>2016</v>
      </c>
      <c r="F377" t="s">
        <v>225</v>
      </c>
      <c r="G377" s="51" t="s">
        <v>28</v>
      </c>
      <c r="H377" t="s">
        <v>241</v>
      </c>
      <c r="I377">
        <v>0</v>
      </c>
      <c r="FX377" s="51">
        <v>0</v>
      </c>
    </row>
    <row r="378" spans="1:180" x14ac:dyDescent="0.2">
      <c r="A378" t="s">
        <v>239</v>
      </c>
      <c r="B378" t="s">
        <v>242</v>
      </c>
      <c r="C378" t="s">
        <v>214</v>
      </c>
      <c r="D378" t="s">
        <v>36</v>
      </c>
      <c r="E378" s="51">
        <v>2016</v>
      </c>
      <c r="F378" t="s">
        <v>222</v>
      </c>
      <c r="G378" s="51" t="s">
        <v>28</v>
      </c>
      <c r="H378" t="s">
        <v>241</v>
      </c>
      <c r="I378">
        <v>0</v>
      </c>
      <c r="FX378" s="51">
        <v>0</v>
      </c>
    </row>
    <row r="379" spans="1:180" x14ac:dyDescent="0.2">
      <c r="A379" t="s">
        <v>239</v>
      </c>
      <c r="B379" t="s">
        <v>242</v>
      </c>
      <c r="C379" t="s">
        <v>214</v>
      </c>
      <c r="D379" t="s">
        <v>36</v>
      </c>
      <c r="E379" s="51">
        <v>2016</v>
      </c>
      <c r="F379" t="s">
        <v>223</v>
      </c>
      <c r="G379" s="51" t="s">
        <v>28</v>
      </c>
      <c r="H379" t="s">
        <v>241</v>
      </c>
      <c r="I379">
        <v>0</v>
      </c>
      <c r="FX379" s="51">
        <v>0</v>
      </c>
    </row>
    <row r="380" spans="1:180" x14ac:dyDescent="0.2">
      <c r="A380" t="s">
        <v>239</v>
      </c>
      <c r="B380" t="s">
        <v>242</v>
      </c>
      <c r="C380" t="s">
        <v>214</v>
      </c>
      <c r="D380" t="s">
        <v>36</v>
      </c>
      <c r="E380" s="51">
        <v>2016</v>
      </c>
      <c r="F380" t="s">
        <v>224</v>
      </c>
      <c r="G380" s="51" t="s">
        <v>28</v>
      </c>
      <c r="H380" t="s">
        <v>241</v>
      </c>
      <c r="I380">
        <v>0</v>
      </c>
      <c r="FX380" s="51">
        <v>0</v>
      </c>
    </row>
    <row r="381" spans="1:180" x14ac:dyDescent="0.2">
      <c r="A381" t="s">
        <v>239</v>
      </c>
      <c r="B381" t="s">
        <v>242</v>
      </c>
      <c r="C381" t="s">
        <v>214</v>
      </c>
      <c r="D381" t="s">
        <v>36</v>
      </c>
      <c r="E381" s="51">
        <v>2016</v>
      </c>
      <c r="F381" t="s">
        <v>225</v>
      </c>
      <c r="G381" s="51" t="s">
        <v>28</v>
      </c>
      <c r="H381" t="s">
        <v>241</v>
      </c>
      <c r="I381">
        <v>0</v>
      </c>
      <c r="FX381" s="51">
        <v>0</v>
      </c>
    </row>
    <row r="382" spans="1:180" x14ac:dyDescent="0.2">
      <c r="A382" t="s">
        <v>239</v>
      </c>
      <c r="B382" t="s">
        <v>242</v>
      </c>
      <c r="C382" t="s">
        <v>214</v>
      </c>
      <c r="D382" t="s">
        <v>37</v>
      </c>
      <c r="E382" s="51">
        <v>2016</v>
      </c>
      <c r="F382" t="s">
        <v>222</v>
      </c>
      <c r="G382" s="51" t="s">
        <v>28</v>
      </c>
      <c r="H382" t="s">
        <v>241</v>
      </c>
      <c r="I382">
        <v>0</v>
      </c>
      <c r="FX382" s="51">
        <v>0</v>
      </c>
    </row>
    <row r="383" spans="1:180" x14ac:dyDescent="0.2">
      <c r="A383" t="s">
        <v>239</v>
      </c>
      <c r="B383" t="s">
        <v>242</v>
      </c>
      <c r="C383" t="s">
        <v>214</v>
      </c>
      <c r="D383" t="s">
        <v>37</v>
      </c>
      <c r="E383" s="51">
        <v>2016</v>
      </c>
      <c r="F383" t="s">
        <v>223</v>
      </c>
      <c r="G383" s="51" t="s">
        <v>28</v>
      </c>
      <c r="H383" t="s">
        <v>241</v>
      </c>
      <c r="I383">
        <v>0</v>
      </c>
      <c r="FX383" s="51">
        <v>0</v>
      </c>
    </row>
    <row r="384" spans="1:180" x14ac:dyDescent="0.2">
      <c r="A384" t="s">
        <v>239</v>
      </c>
      <c r="B384" t="s">
        <v>242</v>
      </c>
      <c r="C384" t="s">
        <v>214</v>
      </c>
      <c r="D384" t="s">
        <v>37</v>
      </c>
      <c r="E384" s="51">
        <v>2016</v>
      </c>
      <c r="F384" t="s">
        <v>224</v>
      </c>
      <c r="G384" s="51" t="s">
        <v>28</v>
      </c>
      <c r="H384" t="s">
        <v>241</v>
      </c>
      <c r="I384">
        <v>0</v>
      </c>
      <c r="FX384" s="51">
        <v>0</v>
      </c>
    </row>
    <row r="385" spans="1:180" x14ac:dyDescent="0.2">
      <c r="A385" t="s">
        <v>239</v>
      </c>
      <c r="B385" t="s">
        <v>242</v>
      </c>
      <c r="C385" t="s">
        <v>214</v>
      </c>
      <c r="D385" t="s">
        <v>37</v>
      </c>
      <c r="E385" s="51">
        <v>2016</v>
      </c>
      <c r="F385" t="s">
        <v>225</v>
      </c>
      <c r="G385" s="51" t="s">
        <v>28</v>
      </c>
      <c r="H385" t="s">
        <v>241</v>
      </c>
      <c r="I385">
        <v>0</v>
      </c>
      <c r="FX385" s="51">
        <v>0</v>
      </c>
    </row>
    <row r="386" spans="1:180" x14ac:dyDescent="0.2">
      <c r="A386" t="s">
        <v>239</v>
      </c>
      <c r="B386" t="s">
        <v>242</v>
      </c>
      <c r="C386" t="s">
        <v>214</v>
      </c>
      <c r="D386" t="s">
        <v>38</v>
      </c>
      <c r="E386" s="51">
        <v>2016</v>
      </c>
      <c r="F386" t="s">
        <v>222</v>
      </c>
      <c r="G386" s="51" t="s">
        <v>28</v>
      </c>
      <c r="H386" t="s">
        <v>241</v>
      </c>
      <c r="I386">
        <v>0</v>
      </c>
      <c r="FX386" s="51">
        <v>0</v>
      </c>
    </row>
    <row r="387" spans="1:180" x14ac:dyDescent="0.2">
      <c r="A387" t="s">
        <v>239</v>
      </c>
      <c r="B387" t="s">
        <v>242</v>
      </c>
      <c r="C387" t="s">
        <v>214</v>
      </c>
      <c r="D387" t="s">
        <v>38</v>
      </c>
      <c r="E387" s="51">
        <v>2016</v>
      </c>
      <c r="F387" t="s">
        <v>223</v>
      </c>
      <c r="G387" s="51" t="s">
        <v>28</v>
      </c>
      <c r="H387" t="s">
        <v>241</v>
      </c>
      <c r="I387">
        <v>0</v>
      </c>
      <c r="FX387" s="51">
        <v>0</v>
      </c>
    </row>
    <row r="388" spans="1:180" x14ac:dyDescent="0.2">
      <c r="A388" t="s">
        <v>239</v>
      </c>
      <c r="B388" t="s">
        <v>242</v>
      </c>
      <c r="C388" t="s">
        <v>214</v>
      </c>
      <c r="D388" t="s">
        <v>38</v>
      </c>
      <c r="E388" s="51">
        <v>2016</v>
      </c>
      <c r="F388" t="s">
        <v>224</v>
      </c>
      <c r="G388" s="51" t="s">
        <v>28</v>
      </c>
      <c r="H388" t="s">
        <v>241</v>
      </c>
      <c r="I388">
        <v>0</v>
      </c>
      <c r="FX388" s="51">
        <v>0</v>
      </c>
    </row>
    <row r="389" spans="1:180" x14ac:dyDescent="0.2">
      <c r="A389" t="s">
        <v>239</v>
      </c>
      <c r="B389" t="s">
        <v>242</v>
      </c>
      <c r="C389" t="s">
        <v>214</v>
      </c>
      <c r="D389" t="s">
        <v>38</v>
      </c>
      <c r="E389" s="51">
        <v>2016</v>
      </c>
      <c r="F389" t="s">
        <v>225</v>
      </c>
      <c r="G389" s="51" t="s">
        <v>28</v>
      </c>
      <c r="H389" t="s">
        <v>241</v>
      </c>
      <c r="I389">
        <v>0</v>
      </c>
      <c r="FX389" s="51">
        <v>0</v>
      </c>
    </row>
    <row r="390" spans="1:180" x14ac:dyDescent="0.2">
      <c r="A390" t="s">
        <v>239</v>
      </c>
      <c r="B390" t="s">
        <v>242</v>
      </c>
      <c r="C390" t="s">
        <v>214</v>
      </c>
      <c r="D390" t="s">
        <v>39</v>
      </c>
      <c r="E390" s="51">
        <v>2016</v>
      </c>
      <c r="F390" t="s">
        <v>222</v>
      </c>
      <c r="G390" s="51" t="s">
        <v>28</v>
      </c>
      <c r="H390" t="s">
        <v>241</v>
      </c>
      <c r="I390">
        <v>0</v>
      </c>
      <c r="FX390" s="51">
        <v>0</v>
      </c>
    </row>
    <row r="391" spans="1:180" x14ac:dyDescent="0.2">
      <c r="A391" t="s">
        <v>239</v>
      </c>
      <c r="B391" t="s">
        <v>242</v>
      </c>
      <c r="C391" t="s">
        <v>214</v>
      </c>
      <c r="D391" t="s">
        <v>39</v>
      </c>
      <c r="E391" s="51">
        <v>2016</v>
      </c>
      <c r="F391" t="s">
        <v>223</v>
      </c>
      <c r="G391" s="51" t="s">
        <v>28</v>
      </c>
      <c r="H391" t="s">
        <v>241</v>
      </c>
      <c r="I391">
        <v>0</v>
      </c>
      <c r="FX391" s="51">
        <v>0</v>
      </c>
    </row>
    <row r="392" spans="1:180" x14ac:dyDescent="0.2">
      <c r="A392" t="s">
        <v>239</v>
      </c>
      <c r="B392" t="s">
        <v>242</v>
      </c>
      <c r="C392" t="s">
        <v>214</v>
      </c>
      <c r="D392" t="s">
        <v>39</v>
      </c>
      <c r="E392" s="51">
        <v>2016</v>
      </c>
      <c r="F392" t="s">
        <v>224</v>
      </c>
      <c r="G392" s="51" t="s">
        <v>28</v>
      </c>
      <c r="H392" t="s">
        <v>241</v>
      </c>
      <c r="I392">
        <v>0</v>
      </c>
      <c r="FX392" s="51">
        <v>0</v>
      </c>
    </row>
    <row r="393" spans="1:180" x14ac:dyDescent="0.2">
      <c r="A393" t="s">
        <v>239</v>
      </c>
      <c r="B393" t="s">
        <v>242</v>
      </c>
      <c r="C393" t="s">
        <v>214</v>
      </c>
      <c r="D393" t="s">
        <v>39</v>
      </c>
      <c r="E393" s="51">
        <v>2016</v>
      </c>
      <c r="F393" t="s">
        <v>225</v>
      </c>
      <c r="G393" s="51" t="s">
        <v>28</v>
      </c>
      <c r="H393" t="s">
        <v>241</v>
      </c>
      <c r="I393">
        <v>0</v>
      </c>
      <c r="FX393" s="51">
        <v>0</v>
      </c>
    </row>
    <row r="394" spans="1:180" x14ac:dyDescent="0.2">
      <c r="A394" t="s">
        <v>239</v>
      </c>
      <c r="B394" t="s">
        <v>242</v>
      </c>
      <c r="C394" t="s">
        <v>214</v>
      </c>
      <c r="D394" t="s">
        <v>40</v>
      </c>
      <c r="E394" s="51">
        <v>2016</v>
      </c>
      <c r="F394" t="s">
        <v>222</v>
      </c>
      <c r="G394" s="51" t="s">
        <v>28</v>
      </c>
      <c r="H394" t="s">
        <v>241</v>
      </c>
      <c r="I394">
        <v>0</v>
      </c>
      <c r="FX394" s="51">
        <v>0</v>
      </c>
    </row>
    <row r="395" spans="1:180" x14ac:dyDescent="0.2">
      <c r="A395" t="s">
        <v>239</v>
      </c>
      <c r="B395" t="s">
        <v>242</v>
      </c>
      <c r="C395" t="s">
        <v>214</v>
      </c>
      <c r="D395" t="s">
        <v>40</v>
      </c>
      <c r="E395" s="51">
        <v>2016</v>
      </c>
      <c r="F395" t="s">
        <v>223</v>
      </c>
      <c r="G395" s="51" t="s">
        <v>28</v>
      </c>
      <c r="H395" t="s">
        <v>241</v>
      </c>
      <c r="I395">
        <v>0</v>
      </c>
      <c r="FX395" s="51">
        <v>0</v>
      </c>
    </row>
    <row r="396" spans="1:180" x14ac:dyDescent="0.2">
      <c r="A396" t="s">
        <v>239</v>
      </c>
      <c r="B396" t="s">
        <v>242</v>
      </c>
      <c r="C396" t="s">
        <v>214</v>
      </c>
      <c r="D396" t="s">
        <v>40</v>
      </c>
      <c r="E396" s="51">
        <v>2016</v>
      </c>
      <c r="F396" t="s">
        <v>224</v>
      </c>
      <c r="G396" s="51" t="s">
        <v>28</v>
      </c>
      <c r="H396" t="s">
        <v>241</v>
      </c>
      <c r="I396">
        <v>0</v>
      </c>
      <c r="FX396" s="51">
        <v>0</v>
      </c>
    </row>
    <row r="397" spans="1:180" x14ac:dyDescent="0.2">
      <c r="A397" t="s">
        <v>239</v>
      </c>
      <c r="B397" t="s">
        <v>242</v>
      </c>
      <c r="C397" t="s">
        <v>214</v>
      </c>
      <c r="D397" t="s">
        <v>40</v>
      </c>
      <c r="E397" s="51">
        <v>2016</v>
      </c>
      <c r="F397" t="s">
        <v>225</v>
      </c>
      <c r="G397" s="51" t="s">
        <v>28</v>
      </c>
      <c r="H397" t="s">
        <v>241</v>
      </c>
      <c r="I397">
        <v>0</v>
      </c>
      <c r="FX397" s="51">
        <v>0</v>
      </c>
    </row>
    <row r="398" spans="1:180" x14ac:dyDescent="0.2">
      <c r="A398" t="s">
        <v>239</v>
      </c>
      <c r="B398" t="s">
        <v>242</v>
      </c>
      <c r="C398" t="s">
        <v>214</v>
      </c>
      <c r="D398" t="s">
        <v>41</v>
      </c>
      <c r="E398" s="51">
        <v>2016</v>
      </c>
      <c r="F398" t="s">
        <v>222</v>
      </c>
      <c r="G398" s="51" t="s">
        <v>28</v>
      </c>
      <c r="H398" t="s">
        <v>241</v>
      </c>
      <c r="I398">
        <v>0</v>
      </c>
      <c r="FX398" s="51">
        <v>0</v>
      </c>
    </row>
    <row r="399" spans="1:180" x14ac:dyDescent="0.2">
      <c r="A399" t="s">
        <v>239</v>
      </c>
      <c r="B399" t="s">
        <v>242</v>
      </c>
      <c r="C399" t="s">
        <v>214</v>
      </c>
      <c r="D399" t="s">
        <v>41</v>
      </c>
      <c r="E399" s="51">
        <v>2016</v>
      </c>
      <c r="F399" t="s">
        <v>223</v>
      </c>
      <c r="G399" s="51" t="s">
        <v>28</v>
      </c>
      <c r="H399" t="s">
        <v>241</v>
      </c>
      <c r="I399">
        <v>0</v>
      </c>
      <c r="FX399" s="51">
        <v>0</v>
      </c>
    </row>
    <row r="400" spans="1:180" x14ac:dyDescent="0.2">
      <c r="A400" t="s">
        <v>239</v>
      </c>
      <c r="B400" t="s">
        <v>242</v>
      </c>
      <c r="C400" t="s">
        <v>214</v>
      </c>
      <c r="D400" t="s">
        <v>41</v>
      </c>
      <c r="E400" s="51">
        <v>2016</v>
      </c>
      <c r="F400" t="s">
        <v>224</v>
      </c>
      <c r="G400" s="51" t="s">
        <v>28</v>
      </c>
      <c r="H400" t="s">
        <v>241</v>
      </c>
      <c r="I400">
        <v>0</v>
      </c>
      <c r="FX400" s="51">
        <v>0</v>
      </c>
    </row>
    <row r="401" spans="1:180" x14ac:dyDescent="0.2">
      <c r="A401" t="s">
        <v>239</v>
      </c>
      <c r="B401" t="s">
        <v>242</v>
      </c>
      <c r="C401" t="s">
        <v>214</v>
      </c>
      <c r="D401" t="s">
        <v>41</v>
      </c>
      <c r="E401" s="51">
        <v>2016</v>
      </c>
      <c r="F401" t="s">
        <v>225</v>
      </c>
      <c r="G401" s="51" t="s">
        <v>28</v>
      </c>
      <c r="H401" t="s">
        <v>241</v>
      </c>
      <c r="I401">
        <v>0</v>
      </c>
      <c r="FX401" s="51">
        <v>0</v>
      </c>
    </row>
    <row r="402" spans="1:180" x14ac:dyDescent="0.2">
      <c r="A402" t="s">
        <v>239</v>
      </c>
      <c r="B402" t="s">
        <v>242</v>
      </c>
      <c r="C402" t="s">
        <v>214</v>
      </c>
      <c r="D402" t="s">
        <v>42</v>
      </c>
      <c r="E402" s="51">
        <v>2016</v>
      </c>
      <c r="F402" t="s">
        <v>222</v>
      </c>
      <c r="G402" s="51" t="s">
        <v>28</v>
      </c>
      <c r="H402" t="s">
        <v>241</v>
      </c>
      <c r="I402">
        <v>0</v>
      </c>
      <c r="FX402" s="51">
        <v>0</v>
      </c>
    </row>
    <row r="403" spans="1:180" x14ac:dyDescent="0.2">
      <c r="A403" t="s">
        <v>239</v>
      </c>
      <c r="B403" t="s">
        <v>242</v>
      </c>
      <c r="C403" t="s">
        <v>214</v>
      </c>
      <c r="D403" t="s">
        <v>42</v>
      </c>
      <c r="E403" s="51">
        <v>2016</v>
      </c>
      <c r="F403" t="s">
        <v>223</v>
      </c>
      <c r="G403" s="51" t="s">
        <v>28</v>
      </c>
      <c r="H403" t="s">
        <v>241</v>
      </c>
      <c r="I403">
        <v>0</v>
      </c>
      <c r="FX403" s="51">
        <v>0</v>
      </c>
    </row>
    <row r="404" spans="1:180" x14ac:dyDescent="0.2">
      <c r="A404" t="s">
        <v>239</v>
      </c>
      <c r="B404" t="s">
        <v>242</v>
      </c>
      <c r="C404" t="s">
        <v>214</v>
      </c>
      <c r="D404" t="s">
        <v>42</v>
      </c>
      <c r="E404" s="51">
        <v>2016</v>
      </c>
      <c r="F404" t="s">
        <v>224</v>
      </c>
      <c r="G404" s="51" t="s">
        <v>28</v>
      </c>
      <c r="H404" t="s">
        <v>241</v>
      </c>
      <c r="I404">
        <v>0</v>
      </c>
      <c r="FX404" s="51">
        <v>0</v>
      </c>
    </row>
    <row r="405" spans="1:180" x14ac:dyDescent="0.2">
      <c r="A405" t="s">
        <v>239</v>
      </c>
      <c r="B405" t="s">
        <v>242</v>
      </c>
      <c r="C405" t="s">
        <v>214</v>
      </c>
      <c r="D405" t="s">
        <v>42</v>
      </c>
      <c r="E405" s="51">
        <v>2016</v>
      </c>
      <c r="F405" t="s">
        <v>225</v>
      </c>
      <c r="G405" s="51" t="s">
        <v>28</v>
      </c>
      <c r="H405" t="s">
        <v>241</v>
      </c>
      <c r="I405">
        <v>0</v>
      </c>
      <c r="FX405" s="51">
        <v>0</v>
      </c>
    </row>
    <row r="406" spans="1:180" x14ac:dyDescent="0.2">
      <c r="A406" t="s">
        <v>239</v>
      </c>
      <c r="B406" t="s">
        <v>242</v>
      </c>
      <c r="C406" t="s">
        <v>214</v>
      </c>
      <c r="D406" t="s">
        <v>43</v>
      </c>
      <c r="E406" s="51">
        <v>2016</v>
      </c>
      <c r="F406" t="s">
        <v>222</v>
      </c>
      <c r="G406" s="51" t="s">
        <v>28</v>
      </c>
      <c r="H406" t="s">
        <v>241</v>
      </c>
      <c r="I406">
        <v>0</v>
      </c>
      <c r="FX406" s="51">
        <v>0</v>
      </c>
    </row>
    <row r="407" spans="1:180" x14ac:dyDescent="0.2">
      <c r="A407" t="s">
        <v>239</v>
      </c>
      <c r="B407" t="s">
        <v>242</v>
      </c>
      <c r="C407" t="s">
        <v>214</v>
      </c>
      <c r="D407" t="s">
        <v>43</v>
      </c>
      <c r="E407" s="51">
        <v>2016</v>
      </c>
      <c r="F407" t="s">
        <v>223</v>
      </c>
      <c r="G407" s="51" t="s">
        <v>28</v>
      </c>
      <c r="H407" t="s">
        <v>241</v>
      </c>
      <c r="I407">
        <v>0</v>
      </c>
      <c r="FX407" s="51">
        <v>0</v>
      </c>
    </row>
    <row r="408" spans="1:180" x14ac:dyDescent="0.2">
      <c r="A408" t="s">
        <v>239</v>
      </c>
      <c r="B408" t="s">
        <v>242</v>
      </c>
      <c r="C408" t="s">
        <v>214</v>
      </c>
      <c r="D408" t="s">
        <v>43</v>
      </c>
      <c r="E408" s="51">
        <v>2016</v>
      </c>
      <c r="F408" t="s">
        <v>224</v>
      </c>
      <c r="G408" s="51" t="s">
        <v>28</v>
      </c>
      <c r="H408" t="s">
        <v>241</v>
      </c>
      <c r="I408">
        <v>0</v>
      </c>
      <c r="FX408" s="51">
        <v>0</v>
      </c>
    </row>
    <row r="409" spans="1:180" x14ac:dyDescent="0.2">
      <c r="A409" t="s">
        <v>239</v>
      </c>
      <c r="B409" t="s">
        <v>242</v>
      </c>
      <c r="C409" t="s">
        <v>214</v>
      </c>
      <c r="D409" t="s">
        <v>43</v>
      </c>
      <c r="E409" s="51">
        <v>2016</v>
      </c>
      <c r="F409" t="s">
        <v>225</v>
      </c>
      <c r="G409" s="51" t="s">
        <v>28</v>
      </c>
      <c r="H409" t="s">
        <v>241</v>
      </c>
      <c r="I409">
        <v>0</v>
      </c>
      <c r="FX409" s="51">
        <v>0</v>
      </c>
    </row>
    <row r="410" spans="1:180" x14ac:dyDescent="0.2">
      <c r="A410" t="s">
        <v>239</v>
      </c>
      <c r="B410" t="s">
        <v>242</v>
      </c>
      <c r="C410" t="s">
        <v>214</v>
      </c>
      <c r="D410" t="s">
        <v>44</v>
      </c>
      <c r="E410" s="51">
        <v>2016</v>
      </c>
      <c r="F410" t="s">
        <v>222</v>
      </c>
      <c r="G410" s="51" t="s">
        <v>28</v>
      </c>
      <c r="H410" t="s">
        <v>241</v>
      </c>
      <c r="I410">
        <v>0</v>
      </c>
      <c r="FX410" s="51">
        <v>0</v>
      </c>
    </row>
    <row r="411" spans="1:180" x14ac:dyDescent="0.2">
      <c r="A411" t="s">
        <v>239</v>
      </c>
      <c r="B411" t="s">
        <v>242</v>
      </c>
      <c r="C411" t="s">
        <v>214</v>
      </c>
      <c r="D411" t="s">
        <v>44</v>
      </c>
      <c r="E411" s="51">
        <v>2016</v>
      </c>
      <c r="F411" t="s">
        <v>223</v>
      </c>
      <c r="G411" s="51" t="s">
        <v>28</v>
      </c>
      <c r="H411" t="s">
        <v>241</v>
      </c>
      <c r="I411">
        <v>0</v>
      </c>
      <c r="FX411" s="51">
        <v>0</v>
      </c>
    </row>
    <row r="412" spans="1:180" x14ac:dyDescent="0.2">
      <c r="A412" t="s">
        <v>239</v>
      </c>
      <c r="B412" t="s">
        <v>242</v>
      </c>
      <c r="C412" t="s">
        <v>214</v>
      </c>
      <c r="D412" t="s">
        <v>44</v>
      </c>
      <c r="E412" s="51">
        <v>2016</v>
      </c>
      <c r="F412" t="s">
        <v>224</v>
      </c>
      <c r="G412" s="51" t="s">
        <v>28</v>
      </c>
      <c r="H412" t="s">
        <v>241</v>
      </c>
      <c r="I412">
        <v>0</v>
      </c>
      <c r="FX412" s="51">
        <v>0</v>
      </c>
    </row>
    <row r="413" spans="1:180" x14ac:dyDescent="0.2">
      <c r="A413" t="s">
        <v>239</v>
      </c>
      <c r="B413" t="s">
        <v>242</v>
      </c>
      <c r="C413" t="s">
        <v>214</v>
      </c>
      <c r="D413" t="s">
        <v>44</v>
      </c>
      <c r="E413" s="51">
        <v>2016</v>
      </c>
      <c r="F413" t="s">
        <v>225</v>
      </c>
      <c r="G413" s="51" t="s">
        <v>28</v>
      </c>
      <c r="H413" t="s">
        <v>241</v>
      </c>
      <c r="I413">
        <v>0</v>
      </c>
      <c r="FX413" s="51">
        <v>0</v>
      </c>
    </row>
    <row r="414" spans="1:180" x14ac:dyDescent="0.2">
      <c r="A414" t="s">
        <v>239</v>
      </c>
      <c r="B414" t="s">
        <v>242</v>
      </c>
      <c r="C414" t="s">
        <v>214</v>
      </c>
      <c r="D414" t="s">
        <v>9</v>
      </c>
      <c r="E414" s="51">
        <v>2016</v>
      </c>
      <c r="F414" t="s">
        <v>222</v>
      </c>
      <c r="G414" s="51" t="s">
        <v>28</v>
      </c>
      <c r="H414" t="s">
        <v>241</v>
      </c>
      <c r="I414">
        <v>0</v>
      </c>
      <c r="FX414" s="51">
        <v>0</v>
      </c>
    </row>
    <row r="415" spans="1:180" x14ac:dyDescent="0.2">
      <c r="A415" t="s">
        <v>239</v>
      </c>
      <c r="B415" t="s">
        <v>242</v>
      </c>
      <c r="C415" t="s">
        <v>214</v>
      </c>
      <c r="D415" t="s">
        <v>9</v>
      </c>
      <c r="E415" s="51">
        <v>2016</v>
      </c>
      <c r="F415" t="s">
        <v>223</v>
      </c>
      <c r="G415" s="51" t="s">
        <v>28</v>
      </c>
      <c r="H415" t="s">
        <v>241</v>
      </c>
      <c r="I415">
        <v>0</v>
      </c>
      <c r="FX415" s="51">
        <v>0</v>
      </c>
    </row>
    <row r="416" spans="1:180" x14ac:dyDescent="0.2">
      <c r="A416" t="s">
        <v>239</v>
      </c>
      <c r="B416" t="s">
        <v>242</v>
      </c>
      <c r="C416" t="s">
        <v>214</v>
      </c>
      <c r="D416" t="s">
        <v>9</v>
      </c>
      <c r="E416" s="51">
        <v>2016</v>
      </c>
      <c r="F416" t="s">
        <v>224</v>
      </c>
      <c r="G416" s="51" t="s">
        <v>28</v>
      </c>
      <c r="H416" t="s">
        <v>241</v>
      </c>
      <c r="I416">
        <v>0</v>
      </c>
      <c r="FX416" s="51">
        <v>0</v>
      </c>
    </row>
    <row r="417" spans="1:180" x14ac:dyDescent="0.2">
      <c r="A417" t="s">
        <v>239</v>
      </c>
      <c r="B417" t="s">
        <v>242</v>
      </c>
      <c r="C417" t="s">
        <v>214</v>
      </c>
      <c r="D417" t="s">
        <v>9</v>
      </c>
      <c r="E417" s="51">
        <v>2016</v>
      </c>
      <c r="F417" t="s">
        <v>225</v>
      </c>
      <c r="G417" s="51" t="s">
        <v>28</v>
      </c>
      <c r="H417" t="s">
        <v>241</v>
      </c>
      <c r="I417">
        <v>0</v>
      </c>
      <c r="FX417" s="51">
        <v>0</v>
      </c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23</vt:i4>
      </vt:variant>
    </vt:vector>
  </HeadingPairs>
  <TitlesOfParts>
    <vt:vector size="26" baseType="lpstr">
      <vt:lpstr>Table</vt:lpstr>
      <vt:lpstr>Lookups</vt:lpstr>
      <vt:lpstr>Data</vt:lpstr>
      <vt:lpstr>Criteria</vt:lpstr>
      <vt:lpstr>custgrp_list</vt:lpstr>
      <vt:lpstr>data</vt:lpstr>
      <vt:lpstr>date</vt:lpstr>
      <vt:lpstr>Enrollment</vt:lpstr>
      <vt:lpstr>evt_dates</vt:lpstr>
      <vt:lpstr>fcst</vt:lpstr>
      <vt:lpstr>fcst_year</vt:lpstr>
      <vt:lpstr>ind_list</vt:lpstr>
      <vt:lpstr>lca</vt:lpstr>
      <vt:lpstr>level</vt:lpstr>
      <vt:lpstr>level_list</vt:lpstr>
      <vt:lpstr>notice</vt:lpstr>
      <vt:lpstr>notice_list</vt:lpstr>
      <vt:lpstr>Table!Print_Area</vt:lpstr>
      <vt:lpstr>prog_port</vt:lpstr>
      <vt:lpstr>Result_type</vt:lpstr>
      <vt:lpstr>Result_type_list</vt:lpstr>
      <vt:lpstr>size_lca_flag</vt:lpstr>
      <vt:lpstr>Size_list</vt:lpstr>
      <vt:lpstr>summer</vt:lpstr>
      <vt:lpstr>weath</vt:lpstr>
      <vt:lpstr>weath_year</vt:lpstr>
    </vt:vector>
  </TitlesOfParts>
  <Company>Christensen Associates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edmchugh</dc:creator>
  <cp:lastModifiedBy>Mike T. Clark</cp:lastModifiedBy>
  <cp:lastPrinted>2009-04-03T17:07:33Z</cp:lastPrinted>
  <dcterms:created xsi:type="dcterms:W3CDTF">2009-03-24T17:58:42Z</dcterms:created>
  <dcterms:modified xsi:type="dcterms:W3CDTF">2016-03-23T21:02:55Z</dcterms:modified>
</cp:coreProperties>
</file>