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hack\Limbo\SCE\BIP 2015\Models\Ex Post Protocol Tables\"/>
    </mc:Choice>
  </mc:AlternateContent>
  <bookViews>
    <workbookView xWindow="0" yWindow="75" windowWidth="19035" windowHeight="11760"/>
  </bookViews>
  <sheets>
    <sheet name="Table" sheetId="4" r:id="rId1"/>
    <sheet name="Lookups" sheetId="2" state="hidden" r:id="rId2"/>
    <sheet name="Data" sheetId="1" state="hidden" r:id="rId3"/>
  </sheets>
  <externalReferences>
    <externalReference r:id="rId4"/>
  </externalReferences>
  <definedNames>
    <definedName name="_xlnm._FilterDatabase" localSheetId="2" hidden="1">Data!#REF!</definedName>
    <definedName name="Bid">Table!$G$2</definedName>
    <definedName name="_xlnm.Criteria">Lookups!$B$3:$E$4</definedName>
    <definedName name="data">Data!$A$1:$FT$61</definedName>
    <definedName name="date">Table!$B$5</definedName>
    <definedName name="date_list">Lookups!$K$4:$K$5</definedName>
    <definedName name="dual_enrol">Table!$B$9</definedName>
    <definedName name="dual_enrol_list">Lookups!$N$4:$N$6</definedName>
    <definedName name="Enrolled">Lookups!$D$6</definedName>
    <definedName name="ind_grp">Table!$B$7</definedName>
    <definedName name="ind_list">Lookups!$L$4:$L$7</definedName>
    <definedName name="lca">Table!$B$8</definedName>
    <definedName name="lca_list">Lookups!$M$4:$M$4</definedName>
    <definedName name="pass">[1]Lookups!$D$9</definedName>
    <definedName name="_xlnm.Print_Area" localSheetId="0">Table!$A$2:$N$36</definedName>
    <definedName name="Result_type">Table!$B$4</definedName>
    <definedName name="Result_type_list">Lookups!$J$4:$J$5</definedName>
    <definedName name="table_for_PGE_CBP_expost_private" localSheetId="2">Data!#REF!</definedName>
    <definedName name="Two_way_tab_flag">Lookups!$D$7</definedName>
  </definedNames>
  <calcPr calcId="162913"/>
</workbook>
</file>

<file path=xl/calcChain.xml><?xml version="1.0" encoding="utf-8"?>
<calcChain xmlns="http://schemas.openxmlformats.org/spreadsheetml/2006/main">
  <c r="D7" i="2" l="1"/>
  <c r="A1" i="4" l="1"/>
  <c r="I2" i="4" l="1"/>
  <c r="H32" i="4" l="1"/>
  <c r="G32" i="4"/>
  <c r="G5" i="4"/>
  <c r="C32" i="2" l="1"/>
  <c r="F12" i="2" l="1"/>
  <c r="F11" i="2"/>
  <c r="F32" i="4"/>
  <c r="J3" i="4" l="1"/>
  <c r="A27" i="2"/>
  <c r="A26" i="2"/>
  <c r="A25" i="2"/>
  <c r="A24" i="2"/>
  <c r="A23" i="2"/>
  <c r="A22" i="2"/>
  <c r="A21" i="2"/>
  <c r="A20" i="2"/>
  <c r="A19" i="2"/>
  <c r="A18" i="2"/>
  <c r="A17" i="2"/>
  <c r="G32" i="2" l="1"/>
  <c r="A33" i="2"/>
  <c r="C33" i="2" s="1"/>
  <c r="E4" i="2"/>
  <c r="D4" i="2"/>
  <c r="C4" i="2"/>
  <c r="D8" i="2" s="1"/>
  <c r="B4" i="2"/>
  <c r="J32" i="4"/>
  <c r="J6" i="4"/>
  <c r="H5" i="4"/>
  <c r="F5" i="4"/>
  <c r="B60" i="2" l="1"/>
  <c r="B59" i="2" s="1"/>
  <c r="D6" i="2"/>
  <c r="M33" i="2"/>
  <c r="G33" i="2"/>
  <c r="M32" i="2"/>
  <c r="L33" i="2"/>
  <c r="E33" i="2"/>
  <c r="H33" i="2"/>
  <c r="I33" i="2"/>
  <c r="J33" i="2"/>
  <c r="F33" i="2"/>
  <c r="D33" i="2"/>
  <c r="K33" i="2"/>
  <c r="L32" i="2"/>
  <c r="D32" i="2"/>
  <c r="E32" i="2"/>
  <c r="H32" i="2"/>
  <c r="I32" i="2"/>
  <c r="J32" i="2"/>
  <c r="F32" i="2"/>
  <c r="K32" i="2"/>
  <c r="A34" i="2"/>
  <c r="C34" i="2" s="1"/>
  <c r="B61" i="2" l="1"/>
  <c r="B32" i="2"/>
  <c r="B36" i="2"/>
  <c r="B54" i="2"/>
  <c r="B48" i="2"/>
  <c r="B37" i="2"/>
  <c r="B52" i="2"/>
  <c r="B34" i="2"/>
  <c r="B50" i="2"/>
  <c r="B44" i="2"/>
  <c r="B46" i="2"/>
  <c r="B45" i="2"/>
  <c r="B35" i="2"/>
  <c r="B51" i="2"/>
  <c r="B42" i="2"/>
  <c r="B41" i="2"/>
  <c r="B47" i="2"/>
  <c r="B38" i="2"/>
  <c r="B40" i="2"/>
  <c r="B33" i="2"/>
  <c r="B49" i="2"/>
  <c r="B39" i="2"/>
  <c r="B55" i="2"/>
  <c r="B53" i="2"/>
  <c r="B43" i="2"/>
  <c r="A35" i="2"/>
  <c r="C35" i="2" s="1"/>
  <c r="G34" i="2" l="1"/>
  <c r="M34" i="2"/>
  <c r="L34" i="2"/>
  <c r="E34" i="2"/>
  <c r="H34" i="2"/>
  <c r="I34" i="2"/>
  <c r="J34" i="2"/>
  <c r="K34" i="2"/>
  <c r="F34" i="2"/>
  <c r="D34" i="2"/>
  <c r="A36" i="2"/>
  <c r="C36" i="2" s="1"/>
  <c r="M35" i="2" l="1"/>
  <c r="G35" i="2"/>
  <c r="L35" i="2"/>
  <c r="E35" i="2"/>
  <c r="H35" i="2"/>
  <c r="I35" i="2"/>
  <c r="J35" i="2"/>
  <c r="F35" i="2"/>
  <c r="D35" i="2"/>
  <c r="K35" i="2"/>
  <c r="A37" i="2"/>
  <c r="C37" i="2" s="1"/>
  <c r="M36" i="2" l="1"/>
  <c r="G36" i="2"/>
  <c r="L36" i="2"/>
  <c r="E36" i="2"/>
  <c r="H36" i="2"/>
  <c r="D36" i="2"/>
  <c r="I36" i="2"/>
  <c r="J36" i="2"/>
  <c r="K36" i="2"/>
  <c r="F36" i="2"/>
  <c r="A38" i="2"/>
  <c r="C38" i="2" s="1"/>
  <c r="M37" i="2" l="1"/>
  <c r="G37" i="2"/>
  <c r="L37" i="2"/>
  <c r="E37" i="2"/>
  <c r="H37" i="2"/>
  <c r="I37" i="2"/>
  <c r="D37" i="2"/>
  <c r="J37" i="2"/>
  <c r="K37" i="2"/>
  <c r="F37" i="2"/>
  <c r="A39" i="2"/>
  <c r="C39" i="2" s="1"/>
  <c r="M38" i="2" l="1"/>
  <c r="G38" i="2"/>
  <c r="L38" i="2"/>
  <c r="E38" i="2"/>
  <c r="H38" i="2"/>
  <c r="I38" i="2"/>
  <c r="J38" i="2"/>
  <c r="D38" i="2"/>
  <c r="F38" i="2"/>
  <c r="K38" i="2"/>
  <c r="A40" i="2"/>
  <c r="C40" i="2" s="1"/>
  <c r="M39" i="2" l="1"/>
  <c r="G39" i="2"/>
  <c r="L39" i="2"/>
  <c r="H39" i="2"/>
  <c r="I39" i="2"/>
  <c r="J39" i="2"/>
  <c r="K39" i="2"/>
  <c r="E39" i="2"/>
  <c r="D39" i="2"/>
  <c r="F39" i="2"/>
  <c r="A41" i="2"/>
  <c r="C41" i="2" s="1"/>
  <c r="M40" i="2" l="1"/>
  <c r="G40" i="2"/>
  <c r="L40" i="2"/>
  <c r="D40" i="2"/>
  <c r="H40" i="2"/>
  <c r="I40" i="2"/>
  <c r="J40" i="2"/>
  <c r="E40" i="2"/>
  <c r="F40" i="2"/>
  <c r="K40" i="2"/>
  <c r="A42" i="2"/>
  <c r="C42" i="2" s="1"/>
  <c r="M41" i="2" l="1"/>
  <c r="G41" i="2"/>
  <c r="L41" i="2"/>
  <c r="H41" i="2"/>
  <c r="I41" i="2"/>
  <c r="J41" i="2"/>
  <c r="K41" i="2"/>
  <c r="D41" i="2"/>
  <c r="E41" i="2"/>
  <c r="F41" i="2"/>
  <c r="A43" i="2"/>
  <c r="C43" i="2" s="1"/>
  <c r="G42" i="2" l="1"/>
  <c r="M42" i="2"/>
  <c r="L42" i="2"/>
  <c r="H42" i="2"/>
  <c r="I42" i="2"/>
  <c r="J42" i="2"/>
  <c r="E42" i="2"/>
  <c r="D42" i="2"/>
  <c r="F42" i="2"/>
  <c r="K42" i="2"/>
  <c r="A44" i="2"/>
  <c r="C44" i="2" s="1"/>
  <c r="M43" i="2" l="1"/>
  <c r="G43" i="2"/>
  <c r="L43" i="2"/>
  <c r="H43" i="2"/>
  <c r="I43" i="2"/>
  <c r="J43" i="2"/>
  <c r="K43" i="2"/>
  <c r="D43" i="2"/>
  <c r="E43" i="2"/>
  <c r="F43" i="2"/>
  <c r="A45" i="2"/>
  <c r="C45" i="2" s="1"/>
  <c r="M44" i="2" l="1"/>
  <c r="G44" i="2"/>
  <c r="L44" i="2"/>
  <c r="H44" i="2"/>
  <c r="D44" i="2"/>
  <c r="I44" i="2"/>
  <c r="J44" i="2"/>
  <c r="E44" i="2"/>
  <c r="F44" i="2"/>
  <c r="K44" i="2"/>
  <c r="A46" i="2"/>
  <c r="C46" i="2" s="1"/>
  <c r="M45" i="2" l="1"/>
  <c r="G45" i="2"/>
  <c r="L45" i="2"/>
  <c r="H45" i="2"/>
  <c r="I45" i="2"/>
  <c r="D45" i="2"/>
  <c r="J45" i="2"/>
  <c r="K45" i="2"/>
  <c r="E45" i="2"/>
  <c r="F45" i="2"/>
  <c r="A47" i="2"/>
  <c r="C47" i="2" s="1"/>
  <c r="M46" i="2" l="1"/>
  <c r="G46" i="2"/>
  <c r="L46" i="2"/>
  <c r="H46" i="2"/>
  <c r="I46" i="2"/>
  <c r="J46" i="2"/>
  <c r="E46" i="2"/>
  <c r="F46" i="2"/>
  <c r="D46" i="2"/>
  <c r="K46" i="2"/>
  <c r="A48" i="2"/>
  <c r="C48" i="2" s="1"/>
  <c r="M47" i="2" l="1"/>
  <c r="G47" i="2"/>
  <c r="L47" i="2"/>
  <c r="H47" i="2"/>
  <c r="I47" i="2"/>
  <c r="J47" i="2"/>
  <c r="K47" i="2"/>
  <c r="D47" i="2"/>
  <c r="E47" i="2"/>
  <c r="F47" i="2"/>
  <c r="A49" i="2"/>
  <c r="C49" i="2" s="1"/>
  <c r="M48" i="2" l="1"/>
  <c r="G48" i="2"/>
  <c r="L48" i="2"/>
  <c r="D48" i="2"/>
  <c r="H48" i="2"/>
  <c r="I48" i="2"/>
  <c r="J48" i="2"/>
  <c r="E48" i="2"/>
  <c r="F48" i="2"/>
  <c r="K48" i="2"/>
  <c r="A50" i="2"/>
  <c r="C50" i="2" s="1"/>
  <c r="M49" i="2" l="1"/>
  <c r="G49" i="2"/>
  <c r="L49" i="2"/>
  <c r="H49" i="2"/>
  <c r="I49" i="2"/>
  <c r="J49" i="2"/>
  <c r="K49" i="2"/>
  <c r="E49" i="2"/>
  <c r="F49" i="2"/>
  <c r="D49" i="2"/>
  <c r="A51" i="2"/>
  <c r="C51" i="2" s="1"/>
  <c r="G50" i="2" l="1"/>
  <c r="M50" i="2"/>
  <c r="L50" i="2"/>
  <c r="H50" i="2"/>
  <c r="I50" i="2"/>
  <c r="J50" i="2"/>
  <c r="E50" i="2"/>
  <c r="F50" i="2"/>
  <c r="K50" i="2"/>
  <c r="D50" i="2"/>
  <c r="A52" i="2"/>
  <c r="C52" i="2" s="1"/>
  <c r="M51" i="2" l="1"/>
  <c r="G51" i="2"/>
  <c r="L51" i="2"/>
  <c r="H51" i="2"/>
  <c r="I51" i="2"/>
  <c r="J51" i="2"/>
  <c r="K51" i="2"/>
  <c r="E51" i="2"/>
  <c r="F51" i="2"/>
  <c r="D51" i="2"/>
  <c r="A53" i="2"/>
  <c r="C53" i="2" s="1"/>
  <c r="M52" i="2" l="1"/>
  <c r="G52" i="2"/>
  <c r="L52" i="2"/>
  <c r="H52" i="2"/>
  <c r="D52" i="2"/>
  <c r="I52" i="2"/>
  <c r="J52" i="2"/>
  <c r="E52" i="2"/>
  <c r="F52" i="2"/>
  <c r="K52" i="2"/>
  <c r="A54" i="2"/>
  <c r="C54" i="2" s="1"/>
  <c r="M53" i="2" l="1"/>
  <c r="G53" i="2"/>
  <c r="L53" i="2"/>
  <c r="H53" i="2"/>
  <c r="I53" i="2"/>
  <c r="D53" i="2"/>
  <c r="J53" i="2"/>
  <c r="K53" i="2"/>
  <c r="E53" i="2"/>
  <c r="F53" i="2"/>
  <c r="A55" i="2"/>
  <c r="C55" i="2" s="1"/>
  <c r="M54" i="2" l="1"/>
  <c r="G54" i="2"/>
  <c r="M55" i="2"/>
  <c r="G55" i="2"/>
  <c r="L54" i="2"/>
  <c r="H54" i="2"/>
  <c r="I54" i="2"/>
  <c r="D54" i="2"/>
  <c r="E54" i="2"/>
  <c r="F54" i="2"/>
  <c r="J54" i="2"/>
  <c r="K54" i="2"/>
  <c r="L55" i="2"/>
  <c r="L56" i="2" s="1"/>
  <c r="H55" i="2"/>
  <c r="I55" i="2"/>
  <c r="I56" i="2" s="1"/>
  <c r="J55" i="2"/>
  <c r="D55" i="2"/>
  <c r="K55" i="2"/>
  <c r="E55" i="2"/>
  <c r="F55" i="2"/>
  <c r="H56" i="2" l="1"/>
  <c r="J56" i="2"/>
  <c r="K56" i="2"/>
  <c r="G56" i="2"/>
  <c r="F56" i="2"/>
  <c r="E56" i="2"/>
  <c r="D56" i="2"/>
  <c r="M56" i="2"/>
  <c r="F59" i="2" l="1"/>
  <c r="D59" i="2"/>
  <c r="C59" i="2"/>
  <c r="G59" i="2"/>
  <c r="E59" i="2"/>
</calcChain>
</file>

<file path=xl/sharedStrings.xml><?xml version="1.0" encoding="utf-8"?>
<sst xmlns="http://schemas.openxmlformats.org/spreadsheetml/2006/main" count="485" uniqueCount="239">
  <si>
    <t>LCA</t>
  </si>
  <si>
    <t>All</t>
  </si>
  <si>
    <t>Typical Event Day</t>
  </si>
  <si>
    <t>Aggregate Impact</t>
  </si>
  <si>
    <t>Hour Ending</t>
  </si>
  <si>
    <t>10th%ile</t>
  </si>
  <si>
    <t>30th%ile</t>
  </si>
  <si>
    <t>50th%ile</t>
  </si>
  <si>
    <t>70th%ile</t>
  </si>
  <si>
    <t>90th%ile</t>
  </si>
  <si>
    <t>DR Program:</t>
  </si>
  <si>
    <t>10th</t>
  </si>
  <si>
    <t>30th</t>
  </si>
  <si>
    <t>50th</t>
  </si>
  <si>
    <t>70th</t>
  </si>
  <si>
    <t>90th</t>
  </si>
  <si>
    <t>Daily</t>
  </si>
  <si>
    <t>n/a</t>
  </si>
  <si>
    <t>Local Capacity Area:</t>
  </si>
  <si>
    <t>Utility:</t>
  </si>
  <si>
    <t>Type of Results:</t>
  </si>
  <si>
    <t>Day Type:</t>
  </si>
  <si>
    <t>PCTILE10_hr1</t>
  </si>
  <si>
    <t>PCTILE10_hr2</t>
  </si>
  <si>
    <t>PCTILE10_hr3</t>
  </si>
  <si>
    <t>PCTILE10_hr4</t>
  </si>
  <si>
    <t>PCTILE10_hr5</t>
  </si>
  <si>
    <t>PCTILE10_hr6</t>
  </si>
  <si>
    <t>PCTILE10_hr7</t>
  </si>
  <si>
    <t>PCTILE10_hr8</t>
  </si>
  <si>
    <t>PCTILE10_hr9</t>
  </si>
  <si>
    <t>PCTILE10_hr10</t>
  </si>
  <si>
    <t>PCTILE10_hr11</t>
  </si>
  <si>
    <t>PCTILE10_hr12</t>
  </si>
  <si>
    <t>PCTILE10_hr13</t>
  </si>
  <si>
    <t>PCTILE10_hr14</t>
  </si>
  <si>
    <t>PCTILE10_hr15</t>
  </si>
  <si>
    <t>PCTILE10_hr16</t>
  </si>
  <si>
    <t>PCTILE10_hr17</t>
  </si>
  <si>
    <t>PCTILE10_hr18</t>
  </si>
  <si>
    <t>PCTILE10_hr19</t>
  </si>
  <si>
    <t>PCTILE10_hr20</t>
  </si>
  <si>
    <t>PCTILE10_hr21</t>
  </si>
  <si>
    <t>PCTILE10_hr22</t>
  </si>
  <si>
    <t>PCTILE10_hr23</t>
  </si>
  <si>
    <t>PCTILE10_hr24</t>
  </si>
  <si>
    <t>PCTILE30_hr1</t>
  </si>
  <si>
    <t>PCTILE30_hr2</t>
  </si>
  <si>
    <t>PCTILE30_hr3</t>
  </si>
  <si>
    <t>PCTILE30_hr4</t>
  </si>
  <si>
    <t>PCTILE30_hr5</t>
  </si>
  <si>
    <t>PCTILE30_hr6</t>
  </si>
  <si>
    <t>PCTILE30_hr7</t>
  </si>
  <si>
    <t>PCTILE30_hr8</t>
  </si>
  <si>
    <t>PCTILE30_hr9</t>
  </si>
  <si>
    <t>PCTILE30_hr10</t>
  </si>
  <si>
    <t>PCTILE30_hr11</t>
  </si>
  <si>
    <t>PCTILE30_hr12</t>
  </si>
  <si>
    <t>PCTILE30_hr13</t>
  </si>
  <si>
    <t>PCTILE30_hr14</t>
  </si>
  <si>
    <t>PCTILE30_hr15</t>
  </si>
  <si>
    <t>PCTILE30_hr16</t>
  </si>
  <si>
    <t>PCTILE30_hr17</t>
  </si>
  <si>
    <t>PCTILE30_hr18</t>
  </si>
  <si>
    <t>PCTILE30_hr19</t>
  </si>
  <si>
    <t>PCTILE30_hr20</t>
  </si>
  <si>
    <t>PCTILE30_hr21</t>
  </si>
  <si>
    <t>PCTILE30_hr22</t>
  </si>
  <si>
    <t>PCTILE30_hr23</t>
  </si>
  <si>
    <t>PCTILE30_hr24</t>
  </si>
  <si>
    <t>PCTILE50_hr1</t>
  </si>
  <si>
    <t>PCTILE50_hr2</t>
  </si>
  <si>
    <t>PCTILE50_hr3</t>
  </si>
  <si>
    <t>PCTILE50_hr4</t>
  </si>
  <si>
    <t>PCTILE50_hr5</t>
  </si>
  <si>
    <t>PCTILE50_hr6</t>
  </si>
  <si>
    <t>PCTILE50_hr7</t>
  </si>
  <si>
    <t>PCTILE50_hr8</t>
  </si>
  <si>
    <t>PCTILE50_hr9</t>
  </si>
  <si>
    <t>PCTILE50_hr10</t>
  </si>
  <si>
    <t>PCTILE50_hr11</t>
  </si>
  <si>
    <t>PCTILE50_hr12</t>
  </si>
  <si>
    <t>PCTILE50_hr13</t>
  </si>
  <si>
    <t>PCTILE50_hr14</t>
  </si>
  <si>
    <t>PCTILE50_hr15</t>
  </si>
  <si>
    <t>PCTILE50_hr16</t>
  </si>
  <si>
    <t>PCTILE50_hr17</t>
  </si>
  <si>
    <t>PCTILE50_hr18</t>
  </si>
  <si>
    <t>PCTILE50_hr19</t>
  </si>
  <si>
    <t>PCTILE50_hr20</t>
  </si>
  <si>
    <t>PCTILE50_hr21</t>
  </si>
  <si>
    <t>PCTILE50_hr22</t>
  </si>
  <si>
    <t>PCTILE50_hr23</t>
  </si>
  <si>
    <t>PCTILE50_hr24</t>
  </si>
  <si>
    <t>PCTILE70_hr1</t>
  </si>
  <si>
    <t>PCTILE70_hr2</t>
  </si>
  <si>
    <t>PCTILE70_hr3</t>
  </si>
  <si>
    <t>PCTILE70_hr4</t>
  </si>
  <si>
    <t>PCTILE70_hr5</t>
  </si>
  <si>
    <t>PCTILE70_hr6</t>
  </si>
  <si>
    <t>PCTILE70_hr7</t>
  </si>
  <si>
    <t>PCTILE70_hr8</t>
  </si>
  <si>
    <t>PCTILE70_hr9</t>
  </si>
  <si>
    <t>PCTILE70_hr10</t>
  </si>
  <si>
    <t>PCTILE70_hr11</t>
  </si>
  <si>
    <t>PCTILE70_hr12</t>
  </si>
  <si>
    <t>PCTILE70_hr13</t>
  </si>
  <si>
    <t>PCTILE70_hr14</t>
  </si>
  <si>
    <t>PCTILE70_hr15</t>
  </si>
  <si>
    <t>PCTILE70_hr16</t>
  </si>
  <si>
    <t>PCTILE70_hr17</t>
  </si>
  <si>
    <t>PCTILE70_hr18</t>
  </si>
  <si>
    <t>PCTILE70_hr19</t>
  </si>
  <si>
    <t>PCTILE70_hr20</t>
  </si>
  <si>
    <t>PCTILE70_hr21</t>
  </si>
  <si>
    <t>PCTILE70_hr22</t>
  </si>
  <si>
    <t>PCTILE70_hr23</t>
  </si>
  <si>
    <t>PCTILE70_hr24</t>
  </si>
  <si>
    <t>PCTILE90_hr1</t>
  </si>
  <si>
    <t>PCTILE90_hr2</t>
  </si>
  <si>
    <t>PCTILE90_hr3</t>
  </si>
  <si>
    <t>PCTILE90_hr4</t>
  </si>
  <si>
    <t>PCTILE90_hr5</t>
  </si>
  <si>
    <t>PCTILE90_hr6</t>
  </si>
  <si>
    <t>PCTILE90_hr7</t>
  </si>
  <si>
    <t>PCTILE90_hr8</t>
  </si>
  <si>
    <t>PCTILE90_hr9</t>
  </si>
  <si>
    <t>PCTILE90_hr10</t>
  </si>
  <si>
    <t>PCTILE90_hr11</t>
  </si>
  <si>
    <t>PCTILE90_hr12</t>
  </si>
  <si>
    <t>PCTILE90_hr13</t>
  </si>
  <si>
    <t>PCTILE90_hr14</t>
  </si>
  <si>
    <t>PCTILE90_hr15</t>
  </si>
  <si>
    <t>PCTILE90_hr16</t>
  </si>
  <si>
    <t>PCTILE90_hr17</t>
  </si>
  <si>
    <t>PCTILE90_hr18</t>
  </si>
  <si>
    <t>PCTILE90_hr19</t>
  </si>
  <si>
    <t>PCTILE90_hr20</t>
  </si>
  <si>
    <t>PCTILE90_hr21</t>
  </si>
  <si>
    <t>PCTILE90_hr22</t>
  </si>
  <si>
    <t>PCTILE90_hr23</t>
  </si>
  <si>
    <t>PCTILE90_hr24</t>
  </si>
  <si>
    <t>temp_hr1</t>
  </si>
  <si>
    <t>temp_hr2</t>
  </si>
  <si>
    <t>temp_hr3</t>
  </si>
  <si>
    <t>temp_hr4</t>
  </si>
  <si>
    <t>temp_hr5</t>
  </si>
  <si>
    <t>temp_hr6</t>
  </si>
  <si>
    <t>temp_hr7</t>
  </si>
  <si>
    <t>temp_hr8</t>
  </si>
  <si>
    <t>temp_hr9</t>
  </si>
  <si>
    <t>temp_hr10</t>
  </si>
  <si>
    <t>temp_hr11</t>
  </si>
  <si>
    <t>temp_hr12</t>
  </si>
  <si>
    <t>temp_hr13</t>
  </si>
  <si>
    <t>temp_hr14</t>
  </si>
  <si>
    <t>temp_hr15</t>
  </si>
  <si>
    <t>temp_hr16</t>
  </si>
  <si>
    <t>temp_hr17</t>
  </si>
  <si>
    <t>temp_hr18</t>
  </si>
  <si>
    <t>temp_hr19</t>
  </si>
  <si>
    <t>temp_hr20</t>
  </si>
  <si>
    <t>temp_hr21</t>
  </si>
  <si>
    <t>temp_hr22</t>
  </si>
  <si>
    <t>temp_hr23</t>
  </si>
  <si>
    <t>temp_hr24</t>
  </si>
  <si>
    <r>
      <t>Weighted Average Temperature (</t>
    </r>
    <r>
      <rPr>
        <b/>
        <vertAlign val="superscript"/>
        <sz val="11"/>
        <color indexed="9"/>
        <rFont val="Arial Narrow"/>
        <family val="2"/>
      </rPr>
      <t>o</t>
    </r>
    <r>
      <rPr>
        <b/>
        <sz val="11"/>
        <color indexed="9"/>
        <rFont val="Arial Narrow"/>
        <family val="2"/>
      </rPr>
      <t>F)</t>
    </r>
  </si>
  <si>
    <t>Ref_hr1</t>
  </si>
  <si>
    <t>Ref_hr2</t>
  </si>
  <si>
    <t>Ref_hr3</t>
  </si>
  <si>
    <t>Ref_hr4</t>
  </si>
  <si>
    <t>Ref_hr5</t>
  </si>
  <si>
    <t>Ref_hr6</t>
  </si>
  <si>
    <t>Ref_hr7</t>
  </si>
  <si>
    <t>Ref_hr8</t>
  </si>
  <si>
    <t>Ref_hr9</t>
  </si>
  <si>
    <t>Ref_hr10</t>
  </si>
  <si>
    <t>Ref_hr11</t>
  </si>
  <si>
    <t>Ref_hr12</t>
  </si>
  <si>
    <t>Ref_hr13</t>
  </si>
  <si>
    <t>Ref_hr14</t>
  </si>
  <si>
    <t>Ref_hr15</t>
  </si>
  <si>
    <t>Ref_hr16</t>
  </si>
  <si>
    <t>Ref_hr17</t>
  </si>
  <si>
    <t>Ref_hr18</t>
  </si>
  <si>
    <t>Ref_hr19</t>
  </si>
  <si>
    <t>Ref_hr20</t>
  </si>
  <si>
    <t>Ref_hr21</t>
  </si>
  <si>
    <t>Ref_hr22</t>
  </si>
  <si>
    <t>Ref_hr23</t>
  </si>
  <si>
    <t>Ref_hr24</t>
  </si>
  <si>
    <r>
      <t>Cooling
Degree
Hours
(Base 75</t>
    </r>
    <r>
      <rPr>
        <b/>
        <vertAlign val="superscript"/>
        <sz val="11"/>
        <color indexed="9"/>
        <rFont val="Arial Narrow"/>
        <family val="2"/>
      </rPr>
      <t xml:space="preserve">o </t>
    </r>
    <r>
      <rPr>
        <b/>
        <sz val="11"/>
        <color indexed="9"/>
        <rFont val="Arial Narrow"/>
        <family val="2"/>
      </rPr>
      <t>F)</t>
    </r>
  </si>
  <si>
    <t>cdh calcs</t>
  </si>
  <si>
    <t>industry</t>
  </si>
  <si>
    <t>lca</t>
  </si>
  <si>
    <t>dual_enrolled</t>
  </si>
  <si>
    <t>No</t>
  </si>
  <si>
    <t>Yes</t>
  </si>
  <si>
    <t>date</t>
  </si>
  <si>
    <t>Dual Enrolled:</t>
  </si>
  <si>
    <t>Date</t>
  </si>
  <si>
    <t>Industry</t>
  </si>
  <si>
    <t>Dual_Enrolled</t>
  </si>
  <si>
    <t>Dual Enrolled</t>
  </si>
  <si>
    <t>Results Type</t>
  </si>
  <si>
    <t>Average per Called Customer</t>
  </si>
  <si>
    <t>Two-way tab flag</t>
  </si>
  <si>
    <t>product</t>
  </si>
  <si>
    <t>evt_start</t>
  </si>
  <si>
    <t>evt_end</t>
  </si>
  <si>
    <t>Event Hours</t>
  </si>
  <si>
    <t>By Period:</t>
  </si>
  <si>
    <t>Event Hours:</t>
  </si>
  <si>
    <t>avg ref</t>
  </si>
  <si>
    <t>avg obs</t>
  </si>
  <si>
    <t>avg LI</t>
  </si>
  <si>
    <t>avg 10</t>
  </si>
  <si>
    <t>avg30</t>
  </si>
  <si>
    <t>avg50</t>
  </si>
  <si>
    <t>avg70</t>
  </si>
  <si>
    <t>avg90</t>
  </si>
  <si>
    <t>CDH</t>
  </si>
  <si>
    <t>Avg evt hours</t>
  </si>
  <si>
    <t>Event flag</t>
  </si>
  <si>
    <t>std dev</t>
  </si>
  <si>
    <t>bid</t>
  </si>
  <si>
    <t>enrolled</t>
  </si>
  <si>
    <t xml:space="preserve"> Number of Accounts Enrolled:</t>
  </si>
  <si>
    <t>Enrollment</t>
  </si>
  <si>
    <t>Average Event Hour % Load Impact:</t>
  </si>
  <si>
    <t>Bid</t>
  </si>
  <si>
    <t>Base Interruptible Program (BIP)</t>
  </si>
  <si>
    <t>San Diego Gas &amp; Electric</t>
  </si>
  <si>
    <t>Number of Accounts Called:</t>
  </si>
  <si>
    <t>fsl</t>
  </si>
  <si>
    <t>stderr_evt_hr</t>
  </si>
  <si>
    <t>active results</t>
  </si>
  <si>
    <t>se in mwh</t>
  </si>
  <si>
    <t>se per cust in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</si>
</sst>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[$-409]mmmm\ d\,\ yyyy;@"/>
    <numFmt numFmtId="166" formatCode="0.0%"/>
    <numFmt numFmtId="167" formatCode="0.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b/>
      <sz val="11"/>
      <color indexed="9"/>
      <name val="Arial Narrow"/>
      <family val="2"/>
    </font>
    <font>
      <b/>
      <sz val="10"/>
      <color indexed="9"/>
      <name val="Franklin Gothic Demi Cond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b/>
      <sz val="10"/>
      <color indexed="9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sz val="11"/>
      <color indexed="9"/>
      <name val="Arial"/>
      <family val="2"/>
    </font>
    <font>
      <sz val="10"/>
      <color indexed="9"/>
      <name val="Franklin Gothic Demi Cond"/>
      <family val="2"/>
    </font>
    <font>
      <b/>
      <vertAlign val="superscript"/>
      <sz val="11"/>
      <color indexed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56"/>
      </right>
      <top style="medium">
        <color indexed="9"/>
      </top>
      <bottom/>
      <diagonal/>
    </border>
    <border>
      <left style="medium">
        <color indexed="56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56"/>
      </right>
      <top/>
      <bottom style="medium">
        <color indexed="9"/>
      </bottom>
      <diagonal/>
    </border>
    <border>
      <left style="medium">
        <color indexed="56"/>
      </left>
      <right/>
      <top/>
      <bottom style="medium">
        <color indexed="56"/>
      </bottom>
      <diagonal/>
    </border>
    <border>
      <left style="medium">
        <color indexed="56"/>
      </left>
      <right style="thin">
        <color indexed="56"/>
      </right>
      <top/>
      <bottom style="medium">
        <color indexed="56"/>
      </bottom>
      <diagonal/>
    </border>
    <border>
      <left style="thin">
        <color indexed="56"/>
      </left>
      <right style="thin">
        <color indexed="56"/>
      </right>
      <top/>
      <bottom style="medium">
        <color indexed="56"/>
      </bottom>
      <diagonal/>
    </border>
    <border>
      <left style="medium">
        <color indexed="9"/>
      </left>
      <right/>
      <top style="medium">
        <color indexed="56"/>
      </top>
      <bottom/>
      <diagonal/>
    </border>
    <border>
      <left/>
      <right/>
      <top style="medium">
        <color indexed="56"/>
      </top>
      <bottom/>
      <diagonal/>
    </border>
    <border>
      <left/>
      <right style="medium">
        <color indexed="56"/>
      </right>
      <top style="medium">
        <color indexed="56"/>
      </top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56"/>
      </right>
      <top/>
      <bottom style="medium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56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56"/>
      </left>
      <right style="medium">
        <color indexed="9"/>
      </right>
      <top style="medium">
        <color indexed="56"/>
      </top>
      <bottom style="medium">
        <color indexed="9"/>
      </bottom>
      <diagonal/>
    </border>
    <border>
      <left style="medium">
        <color indexed="56"/>
      </left>
      <right style="medium">
        <color indexed="9"/>
      </right>
      <top style="medium">
        <color indexed="9"/>
      </top>
      <bottom/>
      <diagonal/>
    </border>
    <border>
      <left style="medium">
        <color indexed="56"/>
      </left>
      <right style="medium">
        <color indexed="56"/>
      </right>
      <top/>
      <bottom style="thin">
        <color indexed="56"/>
      </bottom>
      <diagonal/>
    </border>
    <border>
      <left style="thin">
        <color indexed="56"/>
      </left>
      <right style="medium">
        <color indexed="56"/>
      </right>
      <top/>
      <bottom style="medium">
        <color indexed="56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quotePrefix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quotePrefix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9" fillId="0" borderId="1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right" wrapText="1" indent="1"/>
    </xf>
    <xf numFmtId="0" fontId="10" fillId="2" borderId="3" xfId="0" applyFont="1" applyFill="1" applyBorder="1" applyAlignment="1">
      <alignment horizontal="right" wrapText="1" indent="1"/>
    </xf>
    <xf numFmtId="49" fontId="9" fillId="0" borderId="0" xfId="0" applyNumberFormat="1" applyFont="1" applyBorder="1" applyAlignment="1">
      <alignment horizontal="left" wrapText="1"/>
    </xf>
    <xf numFmtId="0" fontId="8" fillId="0" borderId="0" xfId="0" applyFont="1"/>
    <xf numFmtId="0" fontId="12" fillId="0" borderId="0" xfId="0" applyFont="1" applyBorder="1" applyAlignment="1">
      <alignment horizontal="left"/>
    </xf>
    <xf numFmtId="165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0" fontId="8" fillId="0" borderId="0" xfId="0" applyFont="1" applyFill="1" applyBorder="1"/>
    <xf numFmtId="0" fontId="13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3" fontId="11" fillId="0" borderId="8" xfId="0" applyNumberFormat="1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center"/>
    </xf>
    <xf numFmtId="3" fontId="0" fillId="0" borderId="0" xfId="0" applyNumberFormat="1"/>
    <xf numFmtId="0" fontId="14" fillId="2" borderId="0" xfId="0" applyFont="1" applyFill="1" applyAlignment="1">
      <alignment horizontal="left"/>
    </xf>
    <xf numFmtId="15" fontId="0" fillId="0" borderId="0" xfId="0" applyNumberFormat="1" applyAlignment="1">
      <alignment horizontal="left"/>
    </xf>
    <xf numFmtId="0" fontId="14" fillId="0" borderId="0" xfId="0" applyFont="1" applyFill="1" applyBorder="1" applyAlignment="1">
      <alignment horizontal="left"/>
    </xf>
    <xf numFmtId="0" fontId="14" fillId="0" borderId="0" xfId="0" quotePrefix="1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6" fillId="2" borderId="10" xfId="0" applyFont="1" applyFill="1" applyBorder="1" applyAlignment="1">
      <alignment horizontal="centerContinuous"/>
    </xf>
    <xf numFmtId="0" fontId="7" fillId="2" borderId="11" xfId="0" applyFont="1" applyFill="1" applyBorder="1" applyAlignment="1">
      <alignment horizontal="centerContinuous"/>
    </xf>
    <xf numFmtId="0" fontId="7" fillId="2" borderId="12" xfId="0" applyFont="1" applyFill="1" applyBorder="1" applyAlignment="1">
      <alignment horizontal="centerContinuous"/>
    </xf>
    <xf numFmtId="0" fontId="0" fillId="0" borderId="0" xfId="0" applyBorder="1"/>
    <xf numFmtId="49" fontId="9" fillId="0" borderId="1" xfId="0" quotePrefix="1" applyNumberFormat="1" applyFont="1" applyFill="1" applyBorder="1" applyAlignment="1">
      <alignment horizontal="center" vertical="center" wrapText="1"/>
    </xf>
    <xf numFmtId="2" fontId="9" fillId="0" borderId="16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0" borderId="0" xfId="0" quotePrefix="1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3" fontId="0" fillId="0" borderId="18" xfId="0" applyNumberFormat="1" applyBorder="1" applyAlignment="1">
      <alignment horizontal="center" vertical="center"/>
    </xf>
    <xf numFmtId="164" fontId="0" fillId="0" borderId="0" xfId="0" applyNumberFormat="1"/>
    <xf numFmtId="166" fontId="0" fillId="0" borderId="0" xfId="1" applyNumberFormat="1" applyFont="1"/>
    <xf numFmtId="0" fontId="1" fillId="0" borderId="0" xfId="0" applyFont="1"/>
    <xf numFmtId="0" fontId="1" fillId="0" borderId="0" xfId="0" quotePrefix="1" applyFont="1" applyFill="1" applyBorder="1" applyAlignment="1">
      <alignment horizontal="left"/>
    </xf>
    <xf numFmtId="164" fontId="4" fillId="0" borderId="0" xfId="0" applyNumberFormat="1" applyFont="1" applyBorder="1" applyAlignment="1">
      <alignment horizontal="right" vertical="center"/>
    </xf>
    <xf numFmtId="166" fontId="4" fillId="0" borderId="0" xfId="1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167" fontId="0" fillId="0" borderId="0" xfId="0" applyNumberFormat="1"/>
    <xf numFmtId="0" fontId="8" fillId="0" borderId="0" xfId="0" applyFont="1" applyFill="1" applyBorder="1" applyAlignment="1">
      <alignment horizontal="left" vertical="center"/>
    </xf>
    <xf numFmtId="164" fontId="11" fillId="0" borderId="21" xfId="0" applyNumberFormat="1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Continuous"/>
    </xf>
    <xf numFmtId="0" fontId="5" fillId="2" borderId="14" xfId="0" applyFont="1" applyFill="1" applyBorder="1" applyAlignment="1">
      <alignment horizontal="centerContinuous"/>
    </xf>
    <xf numFmtId="0" fontId="5" fillId="2" borderId="15" xfId="0" applyFont="1" applyFill="1" applyBorder="1" applyAlignment="1">
      <alignment horizontal="centerContinuous"/>
    </xf>
    <xf numFmtId="0" fontId="5" fillId="2" borderId="5" xfId="0" applyFont="1" applyFill="1" applyBorder="1" applyAlignment="1">
      <alignment horizontal="centerContinuous"/>
    </xf>
    <xf numFmtId="0" fontId="5" fillId="2" borderId="6" xfId="0" applyFont="1" applyFill="1" applyBorder="1" applyAlignment="1">
      <alignment horizontal="centerContinuous"/>
    </xf>
    <xf numFmtId="11" fontId="0" fillId="0" borderId="0" xfId="0" applyNumberFormat="1"/>
    <xf numFmtId="15" fontId="0" fillId="0" borderId="0" xfId="0" applyNumberFormat="1"/>
    <xf numFmtId="0" fontId="0" fillId="0" borderId="0" xfId="0" quotePrefix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0" fontId="4" fillId="0" borderId="0" xfId="0" quotePrefix="1" applyFont="1" applyAlignment="1">
      <alignment horizontal="left"/>
    </xf>
    <xf numFmtId="164" fontId="11" fillId="0" borderId="8" xfId="0" applyNumberFormat="1" applyFont="1" applyBorder="1" applyAlignment="1">
      <alignment horizontal="center"/>
    </xf>
    <xf numFmtId="164" fontId="11" fillId="0" borderId="22" xfId="0" applyNumberFormat="1" applyFont="1" applyBorder="1" applyAlignment="1">
      <alignment horizontal="center"/>
    </xf>
    <xf numFmtId="14" fontId="0" fillId="0" borderId="0" xfId="0" applyNumberFormat="1"/>
    <xf numFmtId="0" fontId="14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65" fontId="9" fillId="0" borderId="0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15" fontId="1" fillId="0" borderId="0" xfId="0" applyNumberFormat="1" applyFont="1" applyFill="1" applyBorder="1" applyAlignment="1">
      <alignment horizontal="left"/>
    </xf>
    <xf numFmtId="164" fontId="4" fillId="0" borderId="0" xfId="0" applyNumberFormat="1" applyFont="1" applyAlignment="1">
      <alignment horizontal="right"/>
    </xf>
    <xf numFmtId="166" fontId="4" fillId="0" borderId="0" xfId="1" applyNumberFormat="1" applyFont="1" applyAlignment="1">
      <alignment horizontal="center"/>
    </xf>
    <xf numFmtId="167" fontId="4" fillId="0" borderId="0" xfId="0" applyNumberFormat="1" applyFont="1" applyAlignment="1">
      <alignment horizontal="right"/>
    </xf>
    <xf numFmtId="2" fontId="9" fillId="0" borderId="23" xfId="0" applyNumberFormat="1" applyFont="1" applyFill="1" applyBorder="1" applyAlignment="1">
      <alignment horizontal="center" vertical="center"/>
    </xf>
    <xf numFmtId="2" fontId="5" fillId="2" borderId="5" xfId="0" applyNumberFormat="1" applyFont="1" applyFill="1" applyBorder="1" applyAlignment="1">
      <alignment horizontal="center" wrapText="1"/>
    </xf>
    <xf numFmtId="2" fontId="5" fillId="2" borderId="2" xfId="0" applyNumberFormat="1" applyFont="1" applyFill="1" applyBorder="1" applyAlignment="1">
      <alignment horizontal="center" wrapText="1"/>
    </xf>
    <xf numFmtId="2" fontId="5" fillId="2" borderId="5" xfId="0" quotePrefix="1" applyNumberFormat="1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wrapText="1"/>
    </xf>
    <xf numFmtId="0" fontId="5" fillId="2" borderId="19" xfId="0" quotePrefix="1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9">
    <dxf>
      <fill>
        <patternFill>
          <bgColor theme="3" tint="0.79998168889431442"/>
        </patternFill>
      </fill>
    </dxf>
    <dxf>
      <fill>
        <patternFill>
          <bgColor rgb="FFFF0000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3300"/>
        </patternFill>
      </fill>
    </dxf>
    <dxf>
      <fill>
        <patternFill>
          <bgColor rgb="FFFF0000"/>
        </patternFill>
      </fill>
    </dxf>
    <dxf>
      <fill>
        <patternFill>
          <bgColor rgb="FFFF3300"/>
        </patternFill>
      </fill>
    </dxf>
    <dxf>
      <fill>
        <patternFill>
          <bgColor rgb="FFFFFF00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22981366459629"/>
          <c:y val="0.14206642066420663"/>
          <c:w val="0.77018633540372672"/>
          <c:h val="0.7140221402214022"/>
        </c:manualLayout>
      </c:layout>
      <c:scatterChart>
        <c:scatterStyle val="smoothMarker"/>
        <c:varyColors val="0"/>
        <c:ser>
          <c:idx val="2"/>
          <c:order val="0"/>
          <c:tx>
            <c:strRef>
              <c:f>Table!$F$5:$F$7</c:f>
              <c:strCache>
                <c:ptCount val="3"/>
                <c:pt idx="0">
                  <c:v>Estimated Reference Load (MWh/hour)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Table!$E$8:$E$31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Table!$F$8:$F$31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511-40E8-B436-E0C5BBE99B86}"/>
            </c:ext>
          </c:extLst>
        </c:ser>
        <c:ser>
          <c:idx val="0"/>
          <c:order val="1"/>
          <c:tx>
            <c:strRef>
              <c:f>Table!$G$5:$G$7</c:f>
              <c:strCache>
                <c:ptCount val="3"/>
                <c:pt idx="0">
                  <c:v>Observed Event Day Load (MWh/hour)</c:v>
                </c:pt>
              </c:strCache>
            </c:strRef>
          </c:tx>
          <c:spPr>
            <a:ln w="25400">
              <a:solidFill>
                <a:srgbClr val="0066CC"/>
              </a:solidFill>
              <a:prstDash val="solid"/>
            </a:ln>
          </c:spPr>
          <c:marker>
            <c:symbol val="none"/>
          </c:marker>
          <c:xVal>
            <c:numRef>
              <c:f>Table!$E$8:$E$31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Table!$G$8:$G$31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511-40E8-B436-E0C5BBE99B86}"/>
            </c:ext>
          </c:extLst>
        </c:ser>
        <c:ser>
          <c:idx val="1"/>
          <c:order val="2"/>
          <c:tx>
            <c:strRef>
              <c:f>Table!$I$2</c:f>
              <c:strCache>
                <c:ptCount val="1"/>
                <c:pt idx="0">
                  <c:v>Firm Service Level in MW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numRef>
              <c:f>(Table!$E$8,Table!$E$31)</c:f>
              <c:numCache>
                <c:formatCode>General</c:formatCode>
                <c:ptCount val="2"/>
                <c:pt idx="0">
                  <c:v>1</c:v>
                </c:pt>
                <c:pt idx="1">
                  <c:v>24</c:v>
                </c:pt>
              </c:numCache>
            </c:numRef>
          </c:xVal>
          <c:yVal>
            <c:numRef>
              <c:f>(Table!$J$2,Table!$J$2)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511-40E8-B436-E0C5BBE99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4339136"/>
        <c:axId val="574336336"/>
      </c:scatterChart>
      <c:valAx>
        <c:axId val="574339136"/>
        <c:scaling>
          <c:orientation val="minMax"/>
          <c:max val="24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05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Hour Ending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Franklin Gothic Demi Cond"/>
                <a:cs typeface="Arial" panose="020B0604020202020204" pitchFamily="34" charset="0"/>
              </a:defRPr>
            </a:pPr>
            <a:endParaRPr lang="en-US"/>
          </a:p>
        </c:txPr>
        <c:crossAx val="574336336"/>
        <c:crosses val="autoZero"/>
        <c:crossBetween val="midCat"/>
        <c:majorUnit val="1"/>
      </c:valAx>
      <c:valAx>
        <c:axId val="57433633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100" b="1">
                    <a:latin typeface="Arial" panose="020B0604020202020204" pitchFamily="34" charset="0"/>
                    <a:cs typeface="Arial" panose="020B0604020202020204" pitchFamily="34" charset="0"/>
                  </a:rPr>
                  <a:t>Load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Franklin Gothic Demi Cond"/>
                <a:cs typeface="Arial" panose="020B0604020202020204" pitchFamily="34" charset="0"/>
              </a:defRPr>
            </a:pPr>
            <a:endParaRPr lang="en-US"/>
          </a:p>
        </c:txPr>
        <c:crossAx val="57433913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777196926575691"/>
          <c:y val="1.3927553988799506E-2"/>
          <c:w val="0.6436291180772733"/>
          <c:h val="0.113162440411746"/>
        </c:manualLayout>
      </c:layout>
      <c:overlay val="0"/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Franklin Gothic Demi Cond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0C0C0"/>
    </a:solidFill>
    <a:ln w="3175">
      <a:solidFill>
        <a:srgbClr val="969696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22411</xdr:rowOff>
    </xdr:from>
    <xdr:to>
      <xdr:col>3</xdr:col>
      <xdr:colOff>628650</xdr:colOff>
      <xdr:row>34</xdr:row>
      <xdr:rowOff>175933</xdr:rowOff>
    </xdr:to>
    <xdr:graphicFrame macro="">
      <xdr:nvGraphicFramePr>
        <xdr:cNvPr id="1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P%20SCE%20Ex%20Post%20Protocol%20Table%20Generator%202015%20PUB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Lookups"/>
      <sheetName val="Data"/>
    </sheetNames>
    <sheetDataSet>
      <sheetData sheetId="0"/>
      <sheetData sheetId="1">
        <row r="9">
          <cell r="D9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tabSelected="1" zoomScale="80" zoomScaleNormal="80" workbookViewId="0">
      <selection activeCell="H37" sqref="H37"/>
    </sheetView>
  </sheetViews>
  <sheetFormatPr defaultRowHeight="12.75" x14ac:dyDescent="0.2"/>
  <cols>
    <col min="1" max="1" width="27" bestFit="1" customWidth="1"/>
    <col min="2" max="2" width="31.5703125" customWidth="1"/>
    <col min="3" max="3" width="24" customWidth="1"/>
    <col min="4" max="4" width="10.28515625" customWidth="1"/>
    <col min="5" max="5" width="17.85546875" customWidth="1"/>
    <col min="6" max="6" width="16.140625" customWidth="1"/>
    <col min="7" max="7" width="13.28515625" customWidth="1"/>
    <col min="8" max="8" width="13" customWidth="1"/>
    <col min="9" max="9" width="15.5703125" customWidth="1"/>
    <col min="10" max="14" width="11.42578125" customWidth="1"/>
    <col min="16" max="16" width="9.140625" customWidth="1"/>
  </cols>
  <sheetData>
    <row r="1" spans="1:14" ht="17.25" customHeight="1" thickBot="1" x14ac:dyDescent="0.3">
      <c r="A1" s="2" t="str">
        <f>"Results omitted due to confidentiality concerns."</f>
        <v>Results omitted due to confidentiality concerns.</v>
      </c>
      <c r="B1" s="2"/>
      <c r="C1" s="2"/>
      <c r="I1" s="3"/>
      <c r="J1" s="3"/>
      <c r="K1" s="45"/>
      <c r="L1" s="47"/>
    </row>
    <row r="2" spans="1:14" ht="17.25" customHeight="1" thickTop="1" thickBot="1" x14ac:dyDescent="0.3">
      <c r="A2" s="38" t="s">
        <v>19</v>
      </c>
      <c r="B2" s="7" t="s">
        <v>232</v>
      </c>
      <c r="C2" s="5"/>
      <c r="D2" s="5"/>
      <c r="F2" s="4" t="s">
        <v>233</v>
      </c>
      <c r="G2" s="40" t="s">
        <v>17</v>
      </c>
      <c r="I2" s="3" t="str">
        <f>"Firm Service Level in "&amp;IF(Result_type="Aggregate Impact","MW","kW")</f>
        <v>Firm Service Level in MW</v>
      </c>
      <c r="J2" s="72" t="s">
        <v>17</v>
      </c>
      <c r="K2" s="45"/>
      <c r="L2" s="47"/>
    </row>
    <row r="3" spans="1:14" ht="17.25" customHeight="1" thickTop="1" thickBot="1" x14ac:dyDescent="0.3">
      <c r="A3" s="39" t="s">
        <v>10</v>
      </c>
      <c r="B3" s="35" t="s">
        <v>231</v>
      </c>
      <c r="C3" s="5"/>
      <c r="D3" s="5"/>
      <c r="F3" s="3" t="s">
        <v>227</v>
      </c>
      <c r="G3" s="40" t="s">
        <v>17</v>
      </c>
      <c r="I3" s="3" t="s">
        <v>212</v>
      </c>
      <c r="J3" s="61" t="str">
        <f>IF(ISNA(VLOOKUP(date,Lookups!$B$11:$F$16,5,FALSE)),"n/a",VLOOKUP(date,Lookups!$B$11:$F$16,5,FALSE))</f>
        <v>Hours Ending 14 to 17</v>
      </c>
      <c r="K3" s="46"/>
    </row>
    <row r="4" spans="1:14" ht="17.25" customHeight="1" thickBot="1" x14ac:dyDescent="0.25">
      <c r="A4" s="38" t="s">
        <v>20</v>
      </c>
      <c r="B4" s="7" t="s">
        <v>3</v>
      </c>
      <c r="C4" s="5"/>
      <c r="D4" s="5"/>
    </row>
    <row r="5" spans="1:14" ht="17.25" customHeight="1" thickBot="1" x14ac:dyDescent="0.3">
      <c r="A5" s="38" t="s">
        <v>21</v>
      </c>
      <c r="B5" s="13">
        <v>42244</v>
      </c>
      <c r="C5" s="5"/>
      <c r="D5" s="5"/>
      <c r="E5" s="77" t="s">
        <v>4</v>
      </c>
      <c r="F5" s="77" t="str">
        <f>"Estimated Reference Load ("&amp;IF(Result_type="Aggregate impact","MWh","kWh")&amp;"/hour)"</f>
        <v>Estimated Reference Load (MWh/hour)</v>
      </c>
      <c r="G5" s="77" t="str">
        <f>"Observed Event Day Load ("&amp;IF(Result_type="Aggregate Impact","MWh/hour)","kWh/hour)")</f>
        <v>Observed Event Day Load (MWh/hour)</v>
      </c>
      <c r="H5" s="77" t="str">
        <f>"Estimated Load Impact ("&amp;IF(Result_type="Aggregate Impact","MWh/hour)","kWh/hour)")</f>
        <v>Estimated Load Impact (MWh/hour)</v>
      </c>
      <c r="I5" s="80" t="s">
        <v>166</v>
      </c>
      <c r="J5" s="31"/>
      <c r="K5" s="32"/>
      <c r="L5" s="32"/>
      <c r="M5" s="32"/>
      <c r="N5" s="33"/>
    </row>
    <row r="6" spans="1:14" ht="17.25" customHeight="1" thickBot="1" x14ac:dyDescent="0.35">
      <c r="C6" s="5"/>
      <c r="D6" s="5"/>
      <c r="E6" s="78"/>
      <c r="F6" s="78"/>
      <c r="G6" s="78"/>
      <c r="H6" s="78"/>
      <c r="I6" s="78"/>
      <c r="J6" s="52" t="str">
        <f>"Uncertainty Adjusted Impact ("&amp;IF(Result_type="Aggregate Impact","MWh/hr)- Percentiles","kWh/hr)- Percentiles")</f>
        <v>Uncertainty Adjusted Impact (MWh/hr)- Percentiles</v>
      </c>
      <c r="K6" s="53"/>
      <c r="L6" s="53"/>
      <c r="M6" s="53"/>
      <c r="N6" s="54"/>
    </row>
    <row r="7" spans="1:14" ht="39" customHeight="1" thickBot="1" x14ac:dyDescent="0.25">
      <c r="A7" s="50"/>
      <c r="B7" s="73"/>
      <c r="C7" s="5"/>
      <c r="D7" s="5"/>
      <c r="E7" s="79"/>
      <c r="F7" s="79"/>
      <c r="G7" s="79"/>
      <c r="H7" s="79"/>
      <c r="I7" s="79"/>
      <c r="J7" s="8" t="s">
        <v>5</v>
      </c>
      <c r="K7" s="8" t="s">
        <v>6</v>
      </c>
      <c r="L7" s="8" t="s">
        <v>7</v>
      </c>
      <c r="M7" s="8" t="s">
        <v>8</v>
      </c>
      <c r="N7" s="9" t="s">
        <v>9</v>
      </c>
    </row>
    <row r="8" spans="1:14" ht="17.25" customHeight="1" thickBot="1" x14ac:dyDescent="0.25">
      <c r="A8" s="39" t="s">
        <v>18</v>
      </c>
      <c r="B8" s="36" t="s">
        <v>1</v>
      </c>
      <c r="C8" s="10"/>
      <c r="D8" s="10"/>
      <c r="E8" s="37">
        <v>1</v>
      </c>
      <c r="F8" s="51" t="s">
        <v>17</v>
      </c>
      <c r="G8" s="51" t="s">
        <v>17</v>
      </c>
      <c r="H8" s="51" t="s">
        <v>17</v>
      </c>
      <c r="I8" s="51" t="s">
        <v>17</v>
      </c>
      <c r="J8" s="51" t="s">
        <v>17</v>
      </c>
      <c r="K8" s="51" t="s">
        <v>17</v>
      </c>
      <c r="L8" s="51" t="s">
        <v>17</v>
      </c>
      <c r="M8" s="51" t="s">
        <v>17</v>
      </c>
      <c r="N8" s="51" t="s">
        <v>17</v>
      </c>
    </row>
    <row r="9" spans="1:14" ht="17.25" customHeight="1" thickBot="1" x14ac:dyDescent="0.25">
      <c r="A9" s="38" t="s">
        <v>199</v>
      </c>
      <c r="B9" s="68" t="s">
        <v>1</v>
      </c>
      <c r="C9" s="12"/>
      <c r="D9" s="12"/>
      <c r="E9" s="37">
        <v>2</v>
      </c>
      <c r="F9" s="51" t="s">
        <v>17</v>
      </c>
      <c r="G9" s="51" t="s">
        <v>17</v>
      </c>
      <c r="H9" s="51" t="s">
        <v>17</v>
      </c>
      <c r="I9" s="51" t="s">
        <v>17</v>
      </c>
      <c r="J9" s="51" t="s">
        <v>17</v>
      </c>
      <c r="K9" s="51" t="s">
        <v>17</v>
      </c>
      <c r="L9" s="51" t="s">
        <v>17</v>
      </c>
      <c r="M9" s="51" t="s">
        <v>17</v>
      </c>
      <c r="N9" s="51" t="s">
        <v>17</v>
      </c>
    </row>
    <row r="10" spans="1:14" ht="17.25" customHeight="1" x14ac:dyDescent="0.2">
      <c r="C10" s="14"/>
      <c r="D10" s="14"/>
      <c r="E10" s="37">
        <v>3</v>
      </c>
      <c r="F10" s="51" t="s">
        <v>17</v>
      </c>
      <c r="G10" s="51" t="s">
        <v>17</v>
      </c>
      <c r="H10" s="51" t="s">
        <v>17</v>
      </c>
      <c r="I10" s="51" t="s">
        <v>17</v>
      </c>
      <c r="J10" s="51" t="s">
        <v>17</v>
      </c>
      <c r="K10" s="51" t="s">
        <v>17</v>
      </c>
      <c r="L10" s="51" t="s">
        <v>17</v>
      </c>
      <c r="M10" s="51" t="s">
        <v>17</v>
      </c>
      <c r="N10" s="51" t="s">
        <v>17</v>
      </c>
    </row>
    <row r="11" spans="1:14" ht="17.25" customHeight="1" x14ac:dyDescent="0.2">
      <c r="A11" s="50"/>
      <c r="B11" s="67"/>
      <c r="C11" s="15"/>
      <c r="D11" s="15"/>
      <c r="E11" s="37">
        <v>4</v>
      </c>
      <c r="F11" s="51" t="s">
        <v>17</v>
      </c>
      <c r="G11" s="51" t="s">
        <v>17</v>
      </c>
      <c r="H11" s="51" t="s">
        <v>17</v>
      </c>
      <c r="I11" s="51" t="s">
        <v>17</v>
      </c>
      <c r="J11" s="51" t="s">
        <v>17</v>
      </c>
      <c r="K11" s="51" t="s">
        <v>17</v>
      </c>
      <c r="L11" s="51" t="s">
        <v>17</v>
      </c>
      <c r="M11" s="51" t="s">
        <v>17</v>
      </c>
      <c r="N11" s="51" t="s">
        <v>17</v>
      </c>
    </row>
    <row r="12" spans="1:14" ht="17.25" customHeight="1" x14ac:dyDescent="0.2">
      <c r="C12" s="15"/>
      <c r="D12" s="15"/>
      <c r="E12" s="37">
        <v>5</v>
      </c>
      <c r="F12" s="51" t="s">
        <v>17</v>
      </c>
      <c r="G12" s="51" t="s">
        <v>17</v>
      </c>
      <c r="H12" s="51" t="s">
        <v>17</v>
      </c>
      <c r="I12" s="51" t="s">
        <v>17</v>
      </c>
      <c r="J12" s="51" t="s">
        <v>17</v>
      </c>
      <c r="K12" s="51" t="s">
        <v>17</v>
      </c>
      <c r="L12" s="51" t="s">
        <v>17</v>
      </c>
      <c r="M12" s="51" t="s">
        <v>17</v>
      </c>
      <c r="N12" s="51" t="s">
        <v>17</v>
      </c>
    </row>
    <row r="13" spans="1:14" ht="17.25" customHeight="1" x14ac:dyDescent="0.2">
      <c r="D13" s="5"/>
      <c r="E13" s="37">
        <v>6</v>
      </c>
      <c r="F13" s="51" t="s">
        <v>17</v>
      </c>
      <c r="G13" s="51" t="s">
        <v>17</v>
      </c>
      <c r="H13" s="51" t="s">
        <v>17</v>
      </c>
      <c r="I13" s="51" t="s">
        <v>17</v>
      </c>
      <c r="J13" s="51" t="s">
        <v>17</v>
      </c>
      <c r="K13" s="51" t="s">
        <v>17</v>
      </c>
      <c r="L13" s="51" t="s">
        <v>17</v>
      </c>
      <c r="M13" s="51" t="s">
        <v>17</v>
      </c>
      <c r="N13" s="51" t="s">
        <v>17</v>
      </c>
    </row>
    <row r="14" spans="1:14" ht="16.5" x14ac:dyDescent="0.2">
      <c r="D14" s="5"/>
      <c r="E14" s="37">
        <v>7</v>
      </c>
      <c r="F14" s="51" t="s">
        <v>17</v>
      </c>
      <c r="G14" s="51" t="s">
        <v>17</v>
      </c>
      <c r="H14" s="51" t="s">
        <v>17</v>
      </c>
      <c r="I14" s="51" t="s">
        <v>17</v>
      </c>
      <c r="J14" s="51" t="s">
        <v>17</v>
      </c>
      <c r="K14" s="51" t="s">
        <v>17</v>
      </c>
      <c r="L14" s="51" t="s">
        <v>17</v>
      </c>
      <c r="M14" s="51" t="s">
        <v>17</v>
      </c>
      <c r="N14" s="51" t="s">
        <v>17</v>
      </c>
    </row>
    <row r="15" spans="1:14" ht="16.5" x14ac:dyDescent="0.2">
      <c r="A15" s="16"/>
      <c r="C15" s="5"/>
      <c r="D15" s="5"/>
      <c r="E15" s="37">
        <v>8</v>
      </c>
      <c r="F15" s="51" t="s">
        <v>17</v>
      </c>
      <c r="G15" s="51" t="s">
        <v>17</v>
      </c>
      <c r="H15" s="51" t="s">
        <v>17</v>
      </c>
      <c r="I15" s="51" t="s">
        <v>17</v>
      </c>
      <c r="J15" s="51" t="s">
        <v>17</v>
      </c>
      <c r="K15" s="51" t="s">
        <v>17</v>
      </c>
      <c r="L15" s="51" t="s">
        <v>17</v>
      </c>
      <c r="M15" s="51" t="s">
        <v>17</v>
      </c>
      <c r="N15" s="51" t="s">
        <v>17</v>
      </c>
    </row>
    <row r="16" spans="1:14" ht="16.5" x14ac:dyDescent="0.2">
      <c r="C16" s="5"/>
      <c r="D16" s="5"/>
      <c r="E16" s="37">
        <v>9</v>
      </c>
      <c r="F16" s="51" t="s">
        <v>17</v>
      </c>
      <c r="G16" s="51" t="s">
        <v>17</v>
      </c>
      <c r="H16" s="51" t="s">
        <v>17</v>
      </c>
      <c r="I16" s="51" t="s">
        <v>17</v>
      </c>
      <c r="J16" s="51" t="s">
        <v>17</v>
      </c>
      <c r="K16" s="51" t="s">
        <v>17</v>
      </c>
      <c r="L16" s="51" t="s">
        <v>17</v>
      </c>
      <c r="M16" s="51" t="s">
        <v>17</v>
      </c>
      <c r="N16" s="51" t="s">
        <v>17</v>
      </c>
    </row>
    <row r="17" spans="3:23" ht="16.5" x14ac:dyDescent="0.2">
      <c r="C17" s="5"/>
      <c r="D17" s="5"/>
      <c r="E17" s="37">
        <v>10</v>
      </c>
      <c r="F17" s="51" t="s">
        <v>17</v>
      </c>
      <c r="G17" s="51" t="s">
        <v>17</v>
      </c>
      <c r="H17" s="51" t="s">
        <v>17</v>
      </c>
      <c r="I17" s="51" t="s">
        <v>17</v>
      </c>
      <c r="J17" s="51" t="s">
        <v>17</v>
      </c>
      <c r="K17" s="51" t="s">
        <v>17</v>
      </c>
      <c r="L17" s="51" t="s">
        <v>17</v>
      </c>
      <c r="M17" s="51" t="s">
        <v>17</v>
      </c>
      <c r="N17" s="51" t="s">
        <v>17</v>
      </c>
    </row>
    <row r="18" spans="3:23" ht="16.5" x14ac:dyDescent="0.2">
      <c r="C18" s="5"/>
      <c r="D18" s="5"/>
      <c r="E18" s="37">
        <v>11</v>
      </c>
      <c r="F18" s="51" t="s">
        <v>17</v>
      </c>
      <c r="G18" s="51" t="s">
        <v>17</v>
      </c>
      <c r="H18" s="51" t="s">
        <v>17</v>
      </c>
      <c r="I18" s="51" t="s">
        <v>17</v>
      </c>
      <c r="J18" s="51" t="s">
        <v>17</v>
      </c>
      <c r="K18" s="51" t="s">
        <v>17</v>
      </c>
      <c r="L18" s="51" t="s">
        <v>17</v>
      </c>
      <c r="M18" s="51" t="s">
        <v>17</v>
      </c>
      <c r="N18" s="51" t="s">
        <v>17</v>
      </c>
      <c r="S18" s="41"/>
      <c r="T18" s="41"/>
      <c r="U18" s="41"/>
      <c r="V18" s="41"/>
      <c r="W18" s="41"/>
    </row>
    <row r="19" spans="3:23" ht="16.5" x14ac:dyDescent="0.2">
      <c r="C19" s="5"/>
      <c r="D19" s="5"/>
      <c r="E19" s="37">
        <v>12</v>
      </c>
      <c r="F19" s="51" t="s">
        <v>17</v>
      </c>
      <c r="G19" s="51" t="s">
        <v>17</v>
      </c>
      <c r="H19" s="51" t="s">
        <v>17</v>
      </c>
      <c r="I19" s="51" t="s">
        <v>17</v>
      </c>
      <c r="J19" s="51" t="s">
        <v>17</v>
      </c>
      <c r="K19" s="51" t="s">
        <v>17</v>
      </c>
      <c r="L19" s="51" t="s">
        <v>17</v>
      </c>
      <c r="M19" s="51" t="s">
        <v>17</v>
      </c>
      <c r="N19" s="51" t="s">
        <v>17</v>
      </c>
      <c r="S19" s="41"/>
      <c r="T19" s="41"/>
      <c r="U19" s="41"/>
      <c r="V19" s="41"/>
      <c r="W19" s="41"/>
    </row>
    <row r="20" spans="3:23" ht="16.5" x14ac:dyDescent="0.2">
      <c r="C20" s="5"/>
      <c r="D20" s="5"/>
      <c r="E20" s="37">
        <v>13</v>
      </c>
      <c r="F20" s="51" t="s">
        <v>17</v>
      </c>
      <c r="G20" s="51" t="s">
        <v>17</v>
      </c>
      <c r="H20" s="51" t="s">
        <v>17</v>
      </c>
      <c r="I20" s="51" t="s">
        <v>17</v>
      </c>
      <c r="J20" s="51" t="s">
        <v>17</v>
      </c>
      <c r="K20" s="51" t="s">
        <v>17</v>
      </c>
      <c r="L20" s="51" t="s">
        <v>17</v>
      </c>
      <c r="M20" s="51" t="s">
        <v>17</v>
      </c>
      <c r="N20" s="51" t="s">
        <v>17</v>
      </c>
      <c r="S20" s="41"/>
      <c r="T20" s="41"/>
      <c r="U20" s="41"/>
      <c r="V20" s="41"/>
      <c r="W20" s="41"/>
    </row>
    <row r="21" spans="3:23" ht="16.5" x14ac:dyDescent="0.2">
      <c r="C21" s="5"/>
      <c r="D21" s="5"/>
      <c r="E21" s="37">
        <v>14</v>
      </c>
      <c r="F21" s="51" t="s">
        <v>17</v>
      </c>
      <c r="G21" s="51" t="s">
        <v>17</v>
      </c>
      <c r="H21" s="51" t="s">
        <v>17</v>
      </c>
      <c r="I21" s="51" t="s">
        <v>17</v>
      </c>
      <c r="J21" s="51" t="s">
        <v>17</v>
      </c>
      <c r="K21" s="51" t="s">
        <v>17</v>
      </c>
      <c r="L21" s="51" t="s">
        <v>17</v>
      </c>
      <c r="M21" s="51" t="s">
        <v>17</v>
      </c>
      <c r="N21" s="51" t="s">
        <v>17</v>
      </c>
      <c r="S21" s="41"/>
      <c r="T21" s="41"/>
      <c r="U21" s="41"/>
      <c r="V21" s="41"/>
      <c r="W21" s="41"/>
    </row>
    <row r="22" spans="3:23" ht="16.5" x14ac:dyDescent="0.2">
      <c r="C22" s="5"/>
      <c r="D22" s="5"/>
      <c r="E22" s="37">
        <v>15</v>
      </c>
      <c r="F22" s="51" t="s">
        <v>17</v>
      </c>
      <c r="G22" s="51" t="s">
        <v>17</v>
      </c>
      <c r="H22" s="51" t="s">
        <v>17</v>
      </c>
      <c r="I22" s="51" t="s">
        <v>17</v>
      </c>
      <c r="J22" s="51" t="s">
        <v>17</v>
      </c>
      <c r="K22" s="51" t="s">
        <v>17</v>
      </c>
      <c r="L22" s="51" t="s">
        <v>17</v>
      </c>
      <c r="M22" s="51" t="s">
        <v>17</v>
      </c>
      <c r="N22" s="51" t="s">
        <v>17</v>
      </c>
      <c r="S22" s="41"/>
      <c r="T22" s="41"/>
      <c r="U22" s="41"/>
      <c r="V22" s="41"/>
      <c r="W22" s="41"/>
    </row>
    <row r="23" spans="3:23" ht="16.5" x14ac:dyDescent="0.2">
      <c r="C23" s="5"/>
      <c r="D23" s="5"/>
      <c r="E23" s="37">
        <v>16</v>
      </c>
      <c r="F23" s="51" t="s">
        <v>17</v>
      </c>
      <c r="G23" s="51" t="s">
        <v>17</v>
      </c>
      <c r="H23" s="51" t="s">
        <v>17</v>
      </c>
      <c r="I23" s="51" t="s">
        <v>17</v>
      </c>
      <c r="J23" s="51" t="s">
        <v>17</v>
      </c>
      <c r="K23" s="51" t="s">
        <v>17</v>
      </c>
      <c r="L23" s="51" t="s">
        <v>17</v>
      </c>
      <c r="M23" s="51" t="s">
        <v>17</v>
      </c>
      <c r="N23" s="51" t="s">
        <v>17</v>
      </c>
      <c r="S23" s="41"/>
      <c r="T23" s="41"/>
      <c r="U23" s="41"/>
      <c r="V23" s="41"/>
      <c r="W23" s="41"/>
    </row>
    <row r="24" spans="3:23" ht="16.5" x14ac:dyDescent="0.2">
      <c r="C24" s="5"/>
      <c r="D24" s="5"/>
      <c r="E24" s="37">
        <v>17</v>
      </c>
      <c r="F24" s="51" t="s">
        <v>17</v>
      </c>
      <c r="G24" s="51" t="s">
        <v>17</v>
      </c>
      <c r="H24" s="51" t="s">
        <v>17</v>
      </c>
      <c r="I24" s="51" t="s">
        <v>17</v>
      </c>
      <c r="J24" s="51" t="s">
        <v>17</v>
      </c>
      <c r="K24" s="51" t="s">
        <v>17</v>
      </c>
      <c r="L24" s="51" t="s">
        <v>17</v>
      </c>
      <c r="M24" s="51" t="s">
        <v>17</v>
      </c>
      <c r="N24" s="51" t="s">
        <v>17</v>
      </c>
      <c r="S24" s="41"/>
      <c r="T24" s="41"/>
      <c r="U24" s="41"/>
      <c r="V24" s="41"/>
      <c r="W24" s="41"/>
    </row>
    <row r="25" spans="3:23" ht="16.5" x14ac:dyDescent="0.2">
      <c r="C25" s="5"/>
      <c r="D25" s="5"/>
      <c r="E25" s="37">
        <v>18</v>
      </c>
      <c r="F25" s="51" t="s">
        <v>17</v>
      </c>
      <c r="G25" s="51" t="s">
        <v>17</v>
      </c>
      <c r="H25" s="51" t="s">
        <v>17</v>
      </c>
      <c r="I25" s="51" t="s">
        <v>17</v>
      </c>
      <c r="J25" s="51" t="s">
        <v>17</v>
      </c>
      <c r="K25" s="51" t="s">
        <v>17</v>
      </c>
      <c r="L25" s="51" t="s">
        <v>17</v>
      </c>
      <c r="M25" s="51" t="s">
        <v>17</v>
      </c>
      <c r="N25" s="51" t="s">
        <v>17</v>
      </c>
      <c r="S25" s="41"/>
      <c r="T25" s="41"/>
      <c r="U25" s="41"/>
      <c r="V25" s="41"/>
      <c r="W25" s="41"/>
    </row>
    <row r="26" spans="3:23" ht="16.5" x14ac:dyDescent="0.2">
      <c r="C26" s="5"/>
      <c r="D26" s="5"/>
      <c r="E26" s="37">
        <v>19</v>
      </c>
      <c r="F26" s="51" t="s">
        <v>17</v>
      </c>
      <c r="G26" s="51" t="s">
        <v>17</v>
      </c>
      <c r="H26" s="51" t="s">
        <v>17</v>
      </c>
      <c r="I26" s="51" t="s">
        <v>17</v>
      </c>
      <c r="J26" s="51" t="s">
        <v>17</v>
      </c>
      <c r="K26" s="51" t="s">
        <v>17</v>
      </c>
      <c r="L26" s="51" t="s">
        <v>17</v>
      </c>
      <c r="M26" s="51" t="s">
        <v>17</v>
      </c>
      <c r="N26" s="51" t="s">
        <v>17</v>
      </c>
      <c r="S26" s="41"/>
      <c r="T26" s="41"/>
      <c r="U26" s="41"/>
      <c r="V26" s="41"/>
      <c r="W26" s="41"/>
    </row>
    <row r="27" spans="3:23" ht="16.5" x14ac:dyDescent="0.2">
      <c r="C27" s="5"/>
      <c r="D27" s="5"/>
      <c r="E27" s="37">
        <v>20</v>
      </c>
      <c r="F27" s="51" t="s">
        <v>17</v>
      </c>
      <c r="G27" s="51" t="s">
        <v>17</v>
      </c>
      <c r="H27" s="51" t="s">
        <v>17</v>
      </c>
      <c r="I27" s="51" t="s">
        <v>17</v>
      </c>
      <c r="J27" s="51" t="s">
        <v>17</v>
      </c>
      <c r="K27" s="51" t="s">
        <v>17</v>
      </c>
      <c r="L27" s="51" t="s">
        <v>17</v>
      </c>
      <c r="M27" s="51" t="s">
        <v>17</v>
      </c>
      <c r="N27" s="51" t="s">
        <v>17</v>
      </c>
      <c r="S27" s="41"/>
      <c r="T27" s="41"/>
      <c r="U27" s="41"/>
      <c r="V27" s="41"/>
      <c r="W27" s="41"/>
    </row>
    <row r="28" spans="3:23" ht="16.5" x14ac:dyDescent="0.2">
      <c r="C28" s="5"/>
      <c r="D28" s="5"/>
      <c r="E28" s="37">
        <v>21</v>
      </c>
      <c r="F28" s="51" t="s">
        <v>17</v>
      </c>
      <c r="G28" s="51" t="s">
        <v>17</v>
      </c>
      <c r="H28" s="51" t="s">
        <v>17</v>
      </c>
      <c r="I28" s="51" t="s">
        <v>17</v>
      </c>
      <c r="J28" s="51" t="s">
        <v>17</v>
      </c>
      <c r="K28" s="51" t="s">
        <v>17</v>
      </c>
      <c r="L28" s="51" t="s">
        <v>17</v>
      </c>
      <c r="M28" s="51" t="s">
        <v>17</v>
      </c>
      <c r="N28" s="51" t="s">
        <v>17</v>
      </c>
      <c r="S28" s="41"/>
      <c r="T28" s="41"/>
      <c r="U28" s="41"/>
      <c r="V28" s="41"/>
      <c r="W28" s="41"/>
    </row>
    <row r="29" spans="3:23" ht="16.5" x14ac:dyDescent="0.2">
      <c r="C29" s="5"/>
      <c r="D29" s="5"/>
      <c r="E29" s="37">
        <v>22</v>
      </c>
      <c r="F29" s="51" t="s">
        <v>17</v>
      </c>
      <c r="G29" s="51" t="s">
        <v>17</v>
      </c>
      <c r="H29" s="51" t="s">
        <v>17</v>
      </c>
      <c r="I29" s="51" t="s">
        <v>17</v>
      </c>
      <c r="J29" s="51" t="s">
        <v>17</v>
      </c>
      <c r="K29" s="51" t="s">
        <v>17</v>
      </c>
      <c r="L29" s="51" t="s">
        <v>17</v>
      </c>
      <c r="M29" s="51" t="s">
        <v>17</v>
      </c>
      <c r="N29" s="51" t="s">
        <v>17</v>
      </c>
    </row>
    <row r="30" spans="3:23" ht="16.5" x14ac:dyDescent="0.2">
      <c r="C30" s="5"/>
      <c r="D30" s="5"/>
      <c r="E30" s="37">
        <v>23</v>
      </c>
      <c r="F30" s="51" t="s">
        <v>17</v>
      </c>
      <c r="G30" s="51" t="s">
        <v>17</v>
      </c>
      <c r="H30" s="51" t="s">
        <v>17</v>
      </c>
      <c r="I30" s="51" t="s">
        <v>17</v>
      </c>
      <c r="J30" s="51" t="s">
        <v>17</v>
      </c>
      <c r="K30" s="51" t="s">
        <v>17</v>
      </c>
      <c r="L30" s="51" t="s">
        <v>17</v>
      </c>
      <c r="M30" s="51" t="s">
        <v>17</v>
      </c>
      <c r="N30" s="51" t="s">
        <v>17</v>
      </c>
    </row>
    <row r="31" spans="3:23" ht="16.5" x14ac:dyDescent="0.2">
      <c r="C31" s="5"/>
      <c r="D31" s="5"/>
      <c r="E31" s="37">
        <v>24</v>
      </c>
      <c r="F31" s="51" t="s">
        <v>17</v>
      </c>
      <c r="G31" s="51" t="s">
        <v>17</v>
      </c>
      <c r="H31" s="51" t="s">
        <v>17</v>
      </c>
      <c r="I31" s="51" t="s">
        <v>17</v>
      </c>
      <c r="J31" s="51" t="s">
        <v>17</v>
      </c>
      <c r="K31" s="51" t="s">
        <v>17</v>
      </c>
      <c r="L31" s="51" t="s">
        <v>17</v>
      </c>
      <c r="M31" s="51" t="s">
        <v>17</v>
      </c>
      <c r="N31" s="51" t="s">
        <v>17</v>
      </c>
    </row>
    <row r="32" spans="3:23" ht="49.5" customHeight="1" thickBot="1" x14ac:dyDescent="0.35">
      <c r="C32" s="5"/>
      <c r="D32" s="5"/>
      <c r="E32" s="17"/>
      <c r="F32" s="74" t="str">
        <f>"Estimated Reference
Energy Use
("&amp;IF(Result_type="Aggregate Impact","MWh)","kWh)")</f>
        <v>Estimated Reference
Energy Use
(MWh)</v>
      </c>
      <c r="G32" s="74" t="str">
        <f>"Observed 
Event Day Energy Use ("&amp;IF(Result_type="Aggregate Impact","MWh)","kWh)")</f>
        <v>Observed 
Event Day Energy Use (MWh)</v>
      </c>
      <c r="H32" s="74" t="str">
        <f>"Estimated 
Change in Energy Use ("&amp;IF(Result_type="Aggregate Impact","MWh)","kWh)")</f>
        <v>Estimated 
Change in Energy Use (MWh)</v>
      </c>
      <c r="I32" s="76" t="s">
        <v>191</v>
      </c>
      <c r="J32" s="55" t="str">
        <f>"Uncertainty Adjusted Impact ("&amp;IF(Result_type="Aggregate Impact","MWh/hour) - Percentiles","kWh/hour) - Percentiles")</f>
        <v>Uncertainty Adjusted Impact (MWh/hour) - Percentiles</v>
      </c>
      <c r="K32" s="55"/>
      <c r="L32" s="55"/>
      <c r="M32" s="55"/>
      <c r="N32" s="56"/>
    </row>
    <row r="33" spans="3:14" ht="16.5" x14ac:dyDescent="0.3">
      <c r="C33" s="5"/>
      <c r="D33" s="5"/>
      <c r="E33" s="60" t="s">
        <v>211</v>
      </c>
      <c r="F33" s="75"/>
      <c r="G33" s="75"/>
      <c r="H33" s="75"/>
      <c r="I33" s="75"/>
      <c r="J33" s="18" t="s">
        <v>11</v>
      </c>
      <c r="K33" s="18" t="s">
        <v>12</v>
      </c>
      <c r="L33" s="18" t="s">
        <v>13</v>
      </c>
      <c r="M33" s="18" t="s">
        <v>14</v>
      </c>
      <c r="N33" s="19" t="s">
        <v>15</v>
      </c>
    </row>
    <row r="34" spans="3:14" ht="17.25" thickBot="1" x14ac:dyDescent="0.35">
      <c r="C34" s="5"/>
      <c r="D34" s="5"/>
      <c r="E34" s="20" t="s">
        <v>16</v>
      </c>
      <c r="F34" s="21" t="s">
        <v>17</v>
      </c>
      <c r="G34" s="22" t="s">
        <v>17</v>
      </c>
      <c r="H34" s="22" t="s">
        <v>17</v>
      </c>
      <c r="I34" s="23" t="s">
        <v>17</v>
      </c>
      <c r="J34" s="23" t="s">
        <v>17</v>
      </c>
      <c r="K34" s="23" t="s">
        <v>17</v>
      </c>
      <c r="L34" s="23" t="s">
        <v>17</v>
      </c>
      <c r="M34" s="23" t="s">
        <v>17</v>
      </c>
      <c r="N34" s="63" t="s">
        <v>17</v>
      </c>
    </row>
    <row r="35" spans="3:14" ht="17.25" thickBot="1" x14ac:dyDescent="0.35">
      <c r="E35" s="20" t="s">
        <v>210</v>
      </c>
      <c r="F35" s="62" t="s">
        <v>17</v>
      </c>
      <c r="G35" s="23" t="s">
        <v>17</v>
      </c>
      <c r="H35" s="23" t="s">
        <v>17</v>
      </c>
      <c r="I35" s="23" t="s">
        <v>17</v>
      </c>
      <c r="J35" s="23" t="s">
        <v>17</v>
      </c>
      <c r="K35" s="23" t="s">
        <v>17</v>
      </c>
      <c r="L35" s="23" t="s">
        <v>17</v>
      </c>
      <c r="M35" s="23" t="s">
        <v>17</v>
      </c>
      <c r="N35" s="23" t="s">
        <v>17</v>
      </c>
    </row>
    <row r="36" spans="3:14" ht="15" x14ac:dyDescent="0.25">
      <c r="E36" s="24"/>
      <c r="F36" s="41"/>
      <c r="G36" s="70" t="s">
        <v>229</v>
      </c>
      <c r="H36" s="71" t="s">
        <v>17</v>
      </c>
      <c r="I36" s="41"/>
    </row>
    <row r="37" spans="3:14" x14ac:dyDescent="0.2">
      <c r="E37" s="24"/>
      <c r="F37" s="41"/>
      <c r="G37" s="41"/>
      <c r="H37" s="41"/>
      <c r="I37" s="42"/>
    </row>
    <row r="38" spans="3:14" x14ac:dyDescent="0.2">
      <c r="E38" s="24"/>
      <c r="F38" s="41"/>
      <c r="G38" s="41"/>
      <c r="H38" s="41"/>
      <c r="I38" s="41"/>
    </row>
    <row r="40" spans="3:14" x14ac:dyDescent="0.2">
      <c r="E40" s="24"/>
      <c r="F40" s="41"/>
      <c r="G40" s="41"/>
      <c r="H40" s="41"/>
      <c r="I40" s="42"/>
    </row>
  </sheetData>
  <mergeCells count="9">
    <mergeCell ref="F32:F33"/>
    <mergeCell ref="G32:G33"/>
    <mergeCell ref="H32:H33"/>
    <mergeCell ref="I32:I33"/>
    <mergeCell ref="E5:E7"/>
    <mergeCell ref="F5:F7"/>
    <mergeCell ref="G5:G7"/>
    <mergeCell ref="H5:H7"/>
    <mergeCell ref="I5:I7"/>
  </mergeCells>
  <phoneticPr fontId="2" type="noConversion"/>
  <conditionalFormatting sqref="B1">
    <cfRule type="expression" dxfId="8" priority="42" stopIfTrue="1">
      <formula>$A$1&lt;&gt;""</formula>
    </cfRule>
  </conditionalFormatting>
  <conditionalFormatting sqref="C2">
    <cfRule type="expression" dxfId="7" priority="34">
      <formula>size_lca_flag=1</formula>
    </cfRule>
  </conditionalFormatting>
  <conditionalFormatting sqref="B7">
    <cfRule type="expression" dxfId="6" priority="27">
      <formula>size_lca_flag=1</formula>
    </cfRule>
  </conditionalFormatting>
  <conditionalFormatting sqref="B8">
    <cfRule type="expression" dxfId="5" priority="24">
      <formula>Two_way_tab_flag=1</formula>
    </cfRule>
    <cfRule type="expression" dxfId="4" priority="25">
      <formula>size_lca_flag=1</formula>
    </cfRule>
  </conditionalFormatting>
  <conditionalFormatting sqref="C1">
    <cfRule type="expression" dxfId="3" priority="23" stopIfTrue="1">
      <formula>$A$1&lt;&gt;""</formula>
    </cfRule>
  </conditionalFormatting>
  <conditionalFormatting sqref="A1">
    <cfRule type="expression" dxfId="2" priority="1" stopIfTrue="1">
      <formula>$A$1&lt;&gt;""</formula>
    </cfRule>
  </conditionalFormatting>
  <conditionalFormatting sqref="B9">
    <cfRule type="expression" dxfId="1" priority="26">
      <formula>Two_way_tab_flag=1</formula>
    </cfRule>
  </conditionalFormatting>
  <dataValidations count="6">
    <dataValidation type="list" allowBlank="1" showInputMessage="1" showErrorMessage="1" sqref="B9">
      <formula1>dual_enrol_list</formula1>
    </dataValidation>
    <dataValidation type="list" allowBlank="1" showInputMessage="1" showErrorMessage="1" sqref="B8">
      <formula1>lca_list</formula1>
    </dataValidation>
    <dataValidation type="list" allowBlank="1" showInputMessage="1" showErrorMessage="1" sqref="B5">
      <formula1>date_list</formula1>
    </dataValidation>
    <dataValidation type="list" allowBlank="1" showInputMessage="1" showErrorMessage="1" sqref="B4">
      <formula1>Result_type_list</formula1>
    </dataValidation>
    <dataValidation type="list" allowBlank="1" showInputMessage="1" showErrorMessage="1" sqref="B11">
      <formula1>notice_list</formula1>
    </dataValidation>
    <dataValidation type="list" allowBlank="1" showInputMessage="1" showErrorMessage="1" sqref="B7">
      <formula1>ind_list</formula1>
    </dataValidation>
  </dataValidations>
  <pageMargins left="0.75" right="0.75" top="1" bottom="1" header="0.5" footer="0.5"/>
  <pageSetup scale="54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4" id="{E609E01C-C478-4F14-A9A0-A2F09152C0BA}">
            <xm:f>AND($E8&gt;=VLOOKUP(date,Lookups!$B$11:$D$16,3,FALSE),$E8&lt;=VLOOKUP(date,Lookups!$B$11:$E$16,4,FALSE))</xm:f>
            <x14:dxf>
              <fill>
                <patternFill>
                  <bgColor theme="3" tint="0.79998168889431442"/>
                </patternFill>
              </fill>
            </x14:dxf>
          </x14:cfRule>
          <xm:sqref>E8:N31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0"/>
  <sheetViews>
    <sheetView workbookViewId="0">
      <selection activeCell="L3" sqref="L3:L7"/>
    </sheetView>
  </sheetViews>
  <sheetFormatPr defaultRowHeight="12.75" x14ac:dyDescent="0.2"/>
  <cols>
    <col min="1" max="1" width="16.85546875" customWidth="1"/>
    <col min="2" max="2" width="9.7109375" bestFit="1" customWidth="1"/>
    <col min="3" max="3" width="24.140625" bestFit="1" customWidth="1"/>
    <col min="4" max="4" width="17.140625" bestFit="1" customWidth="1"/>
    <col min="5" max="5" width="9.5703125" bestFit="1" customWidth="1"/>
    <col min="6" max="6" width="8.85546875" bestFit="1" customWidth="1"/>
    <col min="7" max="7" width="5.5703125" bestFit="1" customWidth="1"/>
    <col min="8" max="8" width="10.85546875" bestFit="1" customWidth="1"/>
    <col min="10" max="10" width="25.5703125" bestFit="1" customWidth="1"/>
    <col min="11" max="11" width="16" bestFit="1" customWidth="1"/>
    <col min="12" max="12" width="31" bestFit="1" customWidth="1"/>
    <col min="13" max="13" width="15.5703125" bestFit="1" customWidth="1"/>
    <col min="14" max="14" width="16.42578125" bestFit="1" customWidth="1"/>
    <col min="15" max="15" width="13.42578125" bestFit="1" customWidth="1"/>
  </cols>
  <sheetData>
    <row r="1" spans="1:23" x14ac:dyDescent="0.2">
      <c r="G1" s="1"/>
      <c r="H1" s="1"/>
    </row>
    <row r="3" spans="1:23" ht="15" x14ac:dyDescent="0.25">
      <c r="A3" s="27"/>
      <c r="B3" s="25" t="s">
        <v>200</v>
      </c>
      <c r="C3" s="25" t="s">
        <v>201</v>
      </c>
      <c r="D3" s="25" t="s">
        <v>0</v>
      </c>
      <c r="E3" s="25" t="s">
        <v>202</v>
      </c>
      <c r="G3" s="65"/>
      <c r="J3" s="2" t="s">
        <v>204</v>
      </c>
      <c r="K3" s="11" t="s">
        <v>200</v>
      </c>
      <c r="L3" s="11"/>
      <c r="M3" s="11" t="s">
        <v>0</v>
      </c>
      <c r="N3" s="11" t="s">
        <v>203</v>
      </c>
    </row>
    <row r="4" spans="1:23" x14ac:dyDescent="0.2">
      <c r="A4" s="29"/>
      <c r="B4">
        <f>date</f>
        <v>42244</v>
      </c>
      <c r="C4" s="26">
        <f>ind_grp</f>
        <v>0</v>
      </c>
      <c r="D4" s="5" t="str">
        <f>lca</f>
        <v>All</v>
      </c>
      <c r="E4" s="5" t="str">
        <f>dual_enrol</f>
        <v>All</v>
      </c>
      <c r="G4" s="66"/>
      <c r="J4" t="s">
        <v>3</v>
      </c>
      <c r="K4" s="64">
        <v>42244</v>
      </c>
      <c r="M4" t="s">
        <v>1</v>
      </c>
      <c r="N4" s="43" t="s">
        <v>1</v>
      </c>
      <c r="R4" s="64"/>
    </row>
    <row r="5" spans="1:23" ht="13.5" x14ac:dyDescent="0.25">
      <c r="A5" s="27"/>
      <c r="B5" s="27"/>
      <c r="C5" s="27"/>
      <c r="D5" s="27"/>
      <c r="E5" s="27"/>
      <c r="F5" s="27"/>
      <c r="G5" s="28"/>
      <c r="H5" s="28"/>
      <c r="J5" s="1" t="s">
        <v>205</v>
      </c>
      <c r="K5" s="64" t="s">
        <v>2</v>
      </c>
      <c r="N5" s="43" t="s">
        <v>196</v>
      </c>
      <c r="R5" s="64"/>
    </row>
    <row r="6" spans="1:23" x14ac:dyDescent="0.2">
      <c r="A6" s="29"/>
      <c r="B6" s="29"/>
      <c r="C6" s="69" t="s">
        <v>228</v>
      </c>
      <c r="D6">
        <f>IF(ISERROR(DGET(data,"enrolled",_xlnm.Criteria))=TRUE,0,DGET(data,"enrolled",_xlnm.Criteria))</f>
        <v>0</v>
      </c>
      <c r="E6" s="29"/>
      <c r="F6" s="30"/>
      <c r="G6" s="30"/>
      <c r="H6" s="30"/>
      <c r="K6" s="64"/>
      <c r="N6" s="43" t="s">
        <v>197</v>
      </c>
      <c r="R6" s="64"/>
    </row>
    <row r="7" spans="1:23" ht="13.5" x14ac:dyDescent="0.25">
      <c r="A7" s="27"/>
      <c r="C7" s="43" t="s">
        <v>206</v>
      </c>
      <c r="D7">
        <f>IF(COUNTIF(Table!B8:B9,"All")&lt;1,1,0)</f>
        <v>0</v>
      </c>
      <c r="K7" s="64"/>
      <c r="N7" s="44"/>
      <c r="R7" s="64"/>
    </row>
    <row r="8" spans="1:23" ht="13.5" x14ac:dyDescent="0.25">
      <c r="A8" s="28"/>
      <c r="C8" s="43" t="s">
        <v>230</v>
      </c>
      <c r="D8" t="e">
        <f>IF(Two_way_tab_flag=1,0,DGET(data,"bid",_xlnm.Criteria))</f>
        <v>#VALUE!</v>
      </c>
      <c r="K8" s="64"/>
      <c r="N8" s="34"/>
    </row>
    <row r="9" spans="1:23" x14ac:dyDescent="0.2">
      <c r="K9" s="64"/>
      <c r="N9" s="34"/>
      <c r="R9" s="43"/>
    </row>
    <row r="10" spans="1:23" x14ac:dyDescent="0.2">
      <c r="B10" t="s">
        <v>198</v>
      </c>
      <c r="C10" t="s">
        <v>207</v>
      </c>
      <c r="D10" t="s">
        <v>208</v>
      </c>
      <c r="E10" t="s">
        <v>209</v>
      </c>
      <c r="N10" s="34"/>
      <c r="R10" s="43"/>
    </row>
    <row r="11" spans="1:23" x14ac:dyDescent="0.2">
      <c r="B11" s="64">
        <v>42244</v>
      </c>
      <c r="D11">
        <v>14</v>
      </c>
      <c r="E11">
        <v>17</v>
      </c>
      <c r="F11" t="str">
        <f t="shared" ref="F11:F12" si="0">"Hours Ending "&amp;D11&amp;" to "&amp;E11</f>
        <v>Hours Ending 14 to 17</v>
      </c>
      <c r="N11" s="34"/>
    </row>
    <row r="12" spans="1:23" x14ac:dyDescent="0.2">
      <c r="B12" s="64" t="s">
        <v>2</v>
      </c>
      <c r="D12">
        <v>14</v>
      </c>
      <c r="E12">
        <v>17</v>
      </c>
      <c r="F12" t="str">
        <f t="shared" si="0"/>
        <v>Hours Ending 14 to 17</v>
      </c>
    </row>
    <row r="13" spans="1:23" x14ac:dyDescent="0.2">
      <c r="B13" s="64"/>
      <c r="S13" s="49"/>
      <c r="T13" s="49"/>
      <c r="U13" s="49"/>
      <c r="V13" s="49"/>
      <c r="W13" s="49"/>
    </row>
    <row r="14" spans="1:23" x14ac:dyDescent="0.2">
      <c r="B14" s="64"/>
    </row>
    <row r="15" spans="1:23" x14ac:dyDescent="0.2">
      <c r="B15" s="64"/>
    </row>
    <row r="16" spans="1:23" x14ac:dyDescent="0.2">
      <c r="B16" s="64"/>
    </row>
    <row r="17" spans="1:15" x14ac:dyDescent="0.2">
      <c r="A17" t="str">
        <f>B17&amp;C17</f>
        <v/>
      </c>
      <c r="B17" s="58"/>
    </row>
    <row r="18" spans="1:15" x14ac:dyDescent="0.2">
      <c r="A18" t="str">
        <f t="shared" ref="A18:A24" si="1">B18&amp;C18</f>
        <v/>
      </c>
      <c r="B18" s="58"/>
    </row>
    <row r="19" spans="1:15" x14ac:dyDescent="0.2">
      <c r="A19" t="str">
        <f t="shared" si="1"/>
        <v/>
      </c>
      <c r="B19" s="58"/>
      <c r="O19" s="34"/>
    </row>
    <row r="20" spans="1:15" x14ac:dyDescent="0.2">
      <c r="A20" t="str">
        <f t="shared" si="1"/>
        <v/>
      </c>
      <c r="B20" s="58"/>
      <c r="O20" s="34"/>
    </row>
    <row r="21" spans="1:15" x14ac:dyDescent="0.2">
      <c r="A21" t="str">
        <f t="shared" si="1"/>
        <v/>
      </c>
      <c r="B21" s="58"/>
      <c r="O21" s="34"/>
    </row>
    <row r="22" spans="1:15" x14ac:dyDescent="0.2">
      <c r="A22" t="str">
        <f t="shared" si="1"/>
        <v/>
      </c>
      <c r="B22" s="58"/>
      <c r="O22" s="34"/>
    </row>
    <row r="23" spans="1:15" x14ac:dyDescent="0.2">
      <c r="A23" t="str">
        <f t="shared" si="1"/>
        <v/>
      </c>
      <c r="B23" s="58"/>
      <c r="O23" s="34"/>
    </row>
    <row r="24" spans="1:15" x14ac:dyDescent="0.2">
      <c r="A24" t="str">
        <f t="shared" si="1"/>
        <v/>
      </c>
      <c r="B24" s="58"/>
      <c r="O24" s="34"/>
    </row>
    <row r="25" spans="1:15" x14ac:dyDescent="0.2">
      <c r="A25" t="str">
        <f>B25&amp;C25</f>
        <v/>
      </c>
      <c r="B25" s="59"/>
      <c r="O25" s="34"/>
    </row>
    <row r="26" spans="1:15" x14ac:dyDescent="0.2">
      <c r="A26" t="str">
        <f>B26&amp;C26</f>
        <v/>
      </c>
      <c r="B26" s="59"/>
    </row>
    <row r="27" spans="1:15" x14ac:dyDescent="0.2">
      <c r="A27" t="str">
        <f>B27&amp;C27</f>
        <v/>
      </c>
      <c r="B27" s="59"/>
    </row>
    <row r="28" spans="1:15" x14ac:dyDescent="0.2">
      <c r="A28" s="6"/>
      <c r="B28" s="6"/>
      <c r="C28" s="6"/>
      <c r="D28" s="6"/>
      <c r="E28" s="6"/>
      <c r="F28" s="6"/>
    </row>
    <row r="29" spans="1:15" x14ac:dyDescent="0.2">
      <c r="A29" s="6"/>
      <c r="B29" s="6"/>
      <c r="C29" s="6"/>
      <c r="D29" s="6"/>
      <c r="E29" s="6"/>
      <c r="F29" s="6"/>
    </row>
    <row r="30" spans="1:15" x14ac:dyDescent="0.2">
      <c r="A30" s="6"/>
      <c r="B30" s="6"/>
      <c r="C30" s="6"/>
      <c r="D30" s="6"/>
      <c r="E30" s="6"/>
      <c r="F30" s="6"/>
    </row>
    <row r="31" spans="1:15" x14ac:dyDescent="0.2">
      <c r="B31" s="48" t="s">
        <v>192</v>
      </c>
      <c r="C31" s="43" t="s">
        <v>223</v>
      </c>
      <c r="D31" s="43" t="s">
        <v>213</v>
      </c>
      <c r="E31" s="43" t="s">
        <v>214</v>
      </c>
      <c r="F31" s="43" t="s">
        <v>215</v>
      </c>
      <c r="G31" s="43" t="s">
        <v>221</v>
      </c>
      <c r="H31" s="43" t="s">
        <v>216</v>
      </c>
      <c r="I31" s="43" t="s">
        <v>217</v>
      </c>
      <c r="J31" s="43" t="s">
        <v>218</v>
      </c>
      <c r="K31" s="43" t="s">
        <v>219</v>
      </c>
      <c r="L31" s="43" t="s">
        <v>220</v>
      </c>
      <c r="M31" s="43" t="s">
        <v>224</v>
      </c>
    </row>
    <row r="32" spans="1:15" x14ac:dyDescent="0.2">
      <c r="A32">
        <v>1</v>
      </c>
      <c r="B32" s="49" t="e">
        <f>MAX(0,Table!I8-75)</f>
        <v>#VALUE!</v>
      </c>
      <c r="C32" t="str">
        <f t="shared" ref="C32:C55" si="2">IF(AND(A32&gt;=VLOOKUP(date,$B$11:$D$27,3,FALSE),A32&lt;=VLOOKUP(date,$B$11:$E$27,4,FALSE)),1,"")</f>
        <v/>
      </c>
      <c r="D32" s="6" t="str">
        <f>IF($C32=1,Table!F8,"")</f>
        <v/>
      </c>
      <c r="E32" s="6" t="str">
        <f>IF($C32=1,Table!G8,"")</f>
        <v/>
      </c>
      <c r="F32" s="6" t="str">
        <f>IF($C32=1,Table!H8,"")</f>
        <v/>
      </c>
      <c r="G32" s="6" t="str">
        <f>IF($C32=1,B32,"")</f>
        <v/>
      </c>
      <c r="H32" s="6" t="str">
        <f>IF($C32=1,Table!J8,"")</f>
        <v/>
      </c>
      <c r="I32" s="6" t="str">
        <f>IF($C32=1,Table!K8,"")</f>
        <v/>
      </c>
      <c r="J32" s="6" t="str">
        <f>IF($C32=1,Table!L8,"")</f>
        <v/>
      </c>
      <c r="K32" s="6" t="str">
        <f>IF($C32=1,Table!M8,"")</f>
        <v/>
      </c>
      <c r="L32" s="6" t="str">
        <f>IF($C32=1,Table!N8,"")</f>
        <v/>
      </c>
      <c r="M32" s="41" t="str">
        <f>IF(C32=1,((Table!K8-Table!L8)/NORMSINV(0.3))^2,"")</f>
        <v/>
      </c>
    </row>
    <row r="33" spans="1:13" x14ac:dyDescent="0.2">
      <c r="A33">
        <f>A32+1</f>
        <v>2</v>
      </c>
      <c r="B33" s="49" t="e">
        <f>MAX(0,Table!I9-75)</f>
        <v>#VALUE!</v>
      </c>
      <c r="C33" t="str">
        <f t="shared" si="2"/>
        <v/>
      </c>
      <c r="D33" s="6" t="str">
        <f>IF($C33=1,Table!F9,"")</f>
        <v/>
      </c>
      <c r="E33" s="6" t="str">
        <f>IF($C33=1,Table!G9,"")</f>
        <v/>
      </c>
      <c r="F33" s="6" t="str">
        <f>IF($C33=1,Table!H9,"")</f>
        <v/>
      </c>
      <c r="G33" s="6" t="str">
        <f t="shared" ref="G33:G55" si="3">IF($C33=1,B33,"")</f>
        <v/>
      </c>
      <c r="H33" s="6" t="str">
        <f>IF($C33=1,Table!J9,"")</f>
        <v/>
      </c>
      <c r="I33" s="6" t="str">
        <f>IF($C33=1,Table!K9,"")</f>
        <v/>
      </c>
      <c r="J33" s="6" t="str">
        <f>IF($C33=1,Table!L9,"")</f>
        <v/>
      </c>
      <c r="K33" s="6" t="str">
        <f>IF($C33=1,Table!M9,"")</f>
        <v/>
      </c>
      <c r="L33" s="6" t="str">
        <f>IF($C33=1,Table!N9,"")</f>
        <v/>
      </c>
      <c r="M33" s="41" t="str">
        <f>IF(C33=1,((Table!K9-Table!L9)/NORMSINV(0.3))^2,"")</f>
        <v/>
      </c>
    </row>
    <row r="34" spans="1:13" x14ac:dyDescent="0.2">
      <c r="A34">
        <f t="shared" ref="A34:A55" si="4">A33+1</f>
        <v>3</v>
      </c>
      <c r="B34" s="49" t="e">
        <f>MAX(0,Table!I10-75)</f>
        <v>#VALUE!</v>
      </c>
      <c r="C34" t="str">
        <f t="shared" si="2"/>
        <v/>
      </c>
      <c r="D34" s="6" t="str">
        <f>IF($C34=1,Table!F10,"")</f>
        <v/>
      </c>
      <c r="E34" s="6" t="str">
        <f>IF($C34=1,Table!G10,"")</f>
        <v/>
      </c>
      <c r="F34" s="6" t="str">
        <f>IF($C34=1,Table!H10,"")</f>
        <v/>
      </c>
      <c r="G34" s="6" t="str">
        <f t="shared" si="3"/>
        <v/>
      </c>
      <c r="H34" s="6" t="str">
        <f>IF($C34=1,Table!J10,"")</f>
        <v/>
      </c>
      <c r="I34" s="6" t="str">
        <f>IF($C34=1,Table!K10,"")</f>
        <v/>
      </c>
      <c r="J34" s="6" t="str">
        <f>IF($C34=1,Table!L10,"")</f>
        <v/>
      </c>
      <c r="K34" s="6" t="str">
        <f>IF($C34=1,Table!M10,"")</f>
        <v/>
      </c>
      <c r="L34" s="6" t="str">
        <f>IF($C34=1,Table!N10,"")</f>
        <v/>
      </c>
      <c r="M34" s="41" t="str">
        <f>IF(C34=1,((Table!K10-Table!L10)/NORMSINV(0.3))^2,"")</f>
        <v/>
      </c>
    </row>
    <row r="35" spans="1:13" x14ac:dyDescent="0.2">
      <c r="A35">
        <f t="shared" si="4"/>
        <v>4</v>
      </c>
      <c r="B35" s="49" t="e">
        <f>MAX(0,Table!I11-75)</f>
        <v>#VALUE!</v>
      </c>
      <c r="C35" t="str">
        <f t="shared" si="2"/>
        <v/>
      </c>
      <c r="D35" s="6" t="str">
        <f>IF($C35=1,Table!F11,"")</f>
        <v/>
      </c>
      <c r="E35" s="6" t="str">
        <f>IF($C35=1,Table!G11,"")</f>
        <v/>
      </c>
      <c r="F35" s="6" t="str">
        <f>IF($C35=1,Table!H11,"")</f>
        <v/>
      </c>
      <c r="G35" s="6" t="str">
        <f t="shared" si="3"/>
        <v/>
      </c>
      <c r="H35" s="6" t="str">
        <f>IF($C35=1,Table!J11,"")</f>
        <v/>
      </c>
      <c r="I35" s="6" t="str">
        <f>IF($C35=1,Table!K11,"")</f>
        <v/>
      </c>
      <c r="J35" s="6" t="str">
        <f>IF($C35=1,Table!L11,"")</f>
        <v/>
      </c>
      <c r="K35" s="6" t="str">
        <f>IF($C35=1,Table!M11,"")</f>
        <v/>
      </c>
      <c r="L35" s="6" t="str">
        <f>IF($C35=1,Table!N11,"")</f>
        <v/>
      </c>
      <c r="M35" s="41" t="str">
        <f>IF(C35=1,((Table!K11-Table!L11)/NORMSINV(0.3))^2,"")</f>
        <v/>
      </c>
    </row>
    <row r="36" spans="1:13" x14ac:dyDescent="0.2">
      <c r="A36">
        <f t="shared" si="4"/>
        <v>5</v>
      </c>
      <c r="B36" s="49" t="e">
        <f>MAX(0,Table!I12-75)</f>
        <v>#VALUE!</v>
      </c>
      <c r="C36" t="str">
        <f t="shared" si="2"/>
        <v/>
      </c>
      <c r="D36" s="6" t="str">
        <f>IF($C36=1,Table!F12,"")</f>
        <v/>
      </c>
      <c r="E36" s="6" t="str">
        <f>IF($C36=1,Table!G12,"")</f>
        <v/>
      </c>
      <c r="F36" s="6" t="str">
        <f>IF($C36=1,Table!H12,"")</f>
        <v/>
      </c>
      <c r="G36" s="6" t="str">
        <f t="shared" si="3"/>
        <v/>
      </c>
      <c r="H36" s="6" t="str">
        <f>IF($C36=1,Table!J12,"")</f>
        <v/>
      </c>
      <c r="I36" s="6" t="str">
        <f>IF($C36=1,Table!K12,"")</f>
        <v/>
      </c>
      <c r="J36" s="6" t="str">
        <f>IF($C36=1,Table!L12,"")</f>
        <v/>
      </c>
      <c r="K36" s="6" t="str">
        <f>IF($C36=1,Table!M12,"")</f>
        <v/>
      </c>
      <c r="L36" s="6" t="str">
        <f>IF($C36=1,Table!N12,"")</f>
        <v/>
      </c>
      <c r="M36" s="41" t="str">
        <f>IF(C36=1,((Table!K12-Table!L12)/NORMSINV(0.3))^2,"")</f>
        <v/>
      </c>
    </row>
    <row r="37" spans="1:13" x14ac:dyDescent="0.2">
      <c r="A37">
        <f t="shared" si="4"/>
        <v>6</v>
      </c>
      <c r="B37" s="49" t="e">
        <f>MAX(0,Table!I13-75)</f>
        <v>#VALUE!</v>
      </c>
      <c r="C37" t="str">
        <f t="shared" si="2"/>
        <v/>
      </c>
      <c r="D37" s="6" t="str">
        <f>IF($C37=1,Table!F13,"")</f>
        <v/>
      </c>
      <c r="E37" s="6" t="str">
        <f>IF($C37=1,Table!G13,"")</f>
        <v/>
      </c>
      <c r="F37" s="6" t="str">
        <f>IF($C37=1,Table!H13,"")</f>
        <v/>
      </c>
      <c r="G37" s="6" t="str">
        <f t="shared" si="3"/>
        <v/>
      </c>
      <c r="H37" s="6" t="str">
        <f>IF($C37=1,Table!J13,"")</f>
        <v/>
      </c>
      <c r="I37" s="6" t="str">
        <f>IF($C37=1,Table!K13,"")</f>
        <v/>
      </c>
      <c r="J37" s="6" t="str">
        <f>IF($C37=1,Table!L13,"")</f>
        <v/>
      </c>
      <c r="K37" s="6" t="str">
        <f>IF($C37=1,Table!M13,"")</f>
        <v/>
      </c>
      <c r="L37" s="6" t="str">
        <f>IF($C37=1,Table!N13,"")</f>
        <v/>
      </c>
      <c r="M37" s="41" t="str">
        <f>IF(C37=1,((Table!K13-Table!L13)/NORMSINV(0.3))^2,"")</f>
        <v/>
      </c>
    </row>
    <row r="38" spans="1:13" x14ac:dyDescent="0.2">
      <c r="A38">
        <f t="shared" si="4"/>
        <v>7</v>
      </c>
      <c r="B38" s="49" t="e">
        <f>MAX(0,Table!I14-75)</f>
        <v>#VALUE!</v>
      </c>
      <c r="C38" t="str">
        <f t="shared" si="2"/>
        <v/>
      </c>
      <c r="D38" s="6" t="str">
        <f>IF($C38=1,Table!F14,"")</f>
        <v/>
      </c>
      <c r="E38" s="6" t="str">
        <f>IF($C38=1,Table!G14,"")</f>
        <v/>
      </c>
      <c r="F38" s="6" t="str">
        <f>IF($C38=1,Table!H14,"")</f>
        <v/>
      </c>
      <c r="G38" s="6" t="str">
        <f t="shared" si="3"/>
        <v/>
      </c>
      <c r="H38" s="6" t="str">
        <f>IF($C38=1,Table!J14,"")</f>
        <v/>
      </c>
      <c r="I38" s="6" t="str">
        <f>IF($C38=1,Table!K14,"")</f>
        <v/>
      </c>
      <c r="J38" s="6" t="str">
        <f>IF($C38=1,Table!L14,"")</f>
        <v/>
      </c>
      <c r="K38" s="6" t="str">
        <f>IF($C38=1,Table!M14,"")</f>
        <v/>
      </c>
      <c r="L38" s="6" t="str">
        <f>IF($C38=1,Table!N14,"")</f>
        <v/>
      </c>
      <c r="M38" s="41" t="str">
        <f>IF(C38=1,((Table!K14-Table!L14)/NORMSINV(0.3))^2,"")</f>
        <v/>
      </c>
    </row>
    <row r="39" spans="1:13" x14ac:dyDescent="0.2">
      <c r="A39">
        <f t="shared" si="4"/>
        <v>8</v>
      </c>
      <c r="B39" s="49" t="e">
        <f>MAX(0,Table!I15-75)</f>
        <v>#VALUE!</v>
      </c>
      <c r="C39" t="str">
        <f t="shared" si="2"/>
        <v/>
      </c>
      <c r="D39" s="6" t="str">
        <f>IF($C39=1,Table!F15,"")</f>
        <v/>
      </c>
      <c r="E39" s="6" t="str">
        <f>IF($C39=1,Table!G15,"")</f>
        <v/>
      </c>
      <c r="F39" s="6" t="str">
        <f>IF($C39=1,Table!H15,"")</f>
        <v/>
      </c>
      <c r="G39" s="6" t="str">
        <f t="shared" si="3"/>
        <v/>
      </c>
      <c r="H39" s="6" t="str">
        <f>IF($C39=1,Table!J15,"")</f>
        <v/>
      </c>
      <c r="I39" s="6" t="str">
        <f>IF($C39=1,Table!K15,"")</f>
        <v/>
      </c>
      <c r="J39" s="6" t="str">
        <f>IF($C39=1,Table!L15,"")</f>
        <v/>
      </c>
      <c r="K39" s="6" t="str">
        <f>IF($C39=1,Table!M15,"")</f>
        <v/>
      </c>
      <c r="L39" s="6" t="str">
        <f>IF($C39=1,Table!N15,"")</f>
        <v/>
      </c>
      <c r="M39" s="41" t="str">
        <f>IF(C39=1,((Table!K15-Table!L15)/NORMSINV(0.3))^2,"")</f>
        <v/>
      </c>
    </row>
    <row r="40" spans="1:13" x14ac:dyDescent="0.2">
      <c r="A40">
        <f t="shared" si="4"/>
        <v>9</v>
      </c>
      <c r="B40" s="49" t="e">
        <f>MAX(0,Table!I16-75)</f>
        <v>#VALUE!</v>
      </c>
      <c r="C40" t="str">
        <f t="shared" si="2"/>
        <v/>
      </c>
      <c r="D40" s="6" t="str">
        <f>IF($C40=1,Table!F16,"")</f>
        <v/>
      </c>
      <c r="E40" s="6" t="str">
        <f>IF($C40=1,Table!G16,"")</f>
        <v/>
      </c>
      <c r="F40" s="6" t="str">
        <f>IF($C40=1,Table!H16,"")</f>
        <v/>
      </c>
      <c r="G40" s="6" t="str">
        <f t="shared" si="3"/>
        <v/>
      </c>
      <c r="H40" s="6" t="str">
        <f>IF($C40=1,Table!J16,"")</f>
        <v/>
      </c>
      <c r="I40" s="6" t="str">
        <f>IF($C40=1,Table!K16,"")</f>
        <v/>
      </c>
      <c r="J40" s="6" t="str">
        <f>IF($C40=1,Table!L16,"")</f>
        <v/>
      </c>
      <c r="K40" s="6" t="str">
        <f>IF($C40=1,Table!M16,"")</f>
        <v/>
      </c>
      <c r="L40" s="6" t="str">
        <f>IF($C40=1,Table!N16,"")</f>
        <v/>
      </c>
      <c r="M40" s="41" t="str">
        <f>IF(C40=1,((Table!K16-Table!L16)/NORMSINV(0.3))^2,"")</f>
        <v/>
      </c>
    </row>
    <row r="41" spans="1:13" x14ac:dyDescent="0.2">
      <c r="A41">
        <f t="shared" si="4"/>
        <v>10</v>
      </c>
      <c r="B41" s="49" t="e">
        <f>MAX(0,Table!I17-75)</f>
        <v>#VALUE!</v>
      </c>
      <c r="C41" t="str">
        <f t="shared" si="2"/>
        <v/>
      </c>
      <c r="D41" s="6" t="str">
        <f>IF($C41=1,Table!F17,"")</f>
        <v/>
      </c>
      <c r="E41" s="6" t="str">
        <f>IF($C41=1,Table!G17,"")</f>
        <v/>
      </c>
      <c r="F41" s="6" t="str">
        <f>IF($C41=1,Table!H17,"")</f>
        <v/>
      </c>
      <c r="G41" s="6" t="str">
        <f t="shared" si="3"/>
        <v/>
      </c>
      <c r="H41" s="6" t="str">
        <f>IF($C41=1,Table!J17,"")</f>
        <v/>
      </c>
      <c r="I41" s="6" t="str">
        <f>IF($C41=1,Table!K17,"")</f>
        <v/>
      </c>
      <c r="J41" s="6" t="str">
        <f>IF($C41=1,Table!L17,"")</f>
        <v/>
      </c>
      <c r="K41" s="6" t="str">
        <f>IF($C41=1,Table!M17,"")</f>
        <v/>
      </c>
      <c r="L41" s="6" t="str">
        <f>IF($C41=1,Table!N17,"")</f>
        <v/>
      </c>
      <c r="M41" s="41" t="str">
        <f>IF(C41=1,((Table!K17-Table!L17)/NORMSINV(0.3))^2,"")</f>
        <v/>
      </c>
    </row>
    <row r="42" spans="1:13" x14ac:dyDescent="0.2">
      <c r="A42">
        <f t="shared" si="4"/>
        <v>11</v>
      </c>
      <c r="B42" s="49" t="e">
        <f>MAX(0,Table!I18-75)</f>
        <v>#VALUE!</v>
      </c>
      <c r="C42" t="str">
        <f t="shared" si="2"/>
        <v/>
      </c>
      <c r="D42" s="6" t="str">
        <f>IF($C42=1,Table!F18,"")</f>
        <v/>
      </c>
      <c r="E42" s="6" t="str">
        <f>IF($C42=1,Table!G18,"")</f>
        <v/>
      </c>
      <c r="F42" s="6" t="str">
        <f>IF($C42=1,Table!H18,"")</f>
        <v/>
      </c>
      <c r="G42" s="6" t="str">
        <f t="shared" si="3"/>
        <v/>
      </c>
      <c r="H42" s="6" t="str">
        <f>IF($C42=1,Table!J18,"")</f>
        <v/>
      </c>
      <c r="I42" s="6" t="str">
        <f>IF($C42=1,Table!K18,"")</f>
        <v/>
      </c>
      <c r="J42" s="6" t="str">
        <f>IF($C42=1,Table!L18,"")</f>
        <v/>
      </c>
      <c r="K42" s="6" t="str">
        <f>IF($C42=1,Table!M18,"")</f>
        <v/>
      </c>
      <c r="L42" s="6" t="str">
        <f>IF($C42=1,Table!N18,"")</f>
        <v/>
      </c>
      <c r="M42" s="41" t="str">
        <f>IF(C42=1,((Table!K18-Table!L18)/NORMSINV(0.3))^2,"")</f>
        <v/>
      </c>
    </row>
    <row r="43" spans="1:13" x14ac:dyDescent="0.2">
      <c r="A43">
        <f t="shared" si="4"/>
        <v>12</v>
      </c>
      <c r="B43" s="49" t="e">
        <f>MAX(0,Table!I19-75)</f>
        <v>#VALUE!</v>
      </c>
      <c r="C43" t="str">
        <f t="shared" si="2"/>
        <v/>
      </c>
      <c r="D43" s="6" t="str">
        <f>IF($C43=1,Table!F19,"")</f>
        <v/>
      </c>
      <c r="E43" s="6" t="str">
        <f>IF($C43=1,Table!G19,"")</f>
        <v/>
      </c>
      <c r="F43" s="6" t="str">
        <f>IF($C43=1,Table!H19,"")</f>
        <v/>
      </c>
      <c r="G43" s="6" t="str">
        <f t="shared" si="3"/>
        <v/>
      </c>
      <c r="H43" s="6" t="str">
        <f>IF($C43=1,Table!J19,"")</f>
        <v/>
      </c>
      <c r="I43" s="6" t="str">
        <f>IF($C43=1,Table!K19,"")</f>
        <v/>
      </c>
      <c r="J43" s="6" t="str">
        <f>IF($C43=1,Table!L19,"")</f>
        <v/>
      </c>
      <c r="K43" s="6" t="str">
        <f>IF($C43=1,Table!M19,"")</f>
        <v/>
      </c>
      <c r="L43" s="6" t="str">
        <f>IF($C43=1,Table!N19,"")</f>
        <v/>
      </c>
      <c r="M43" s="41" t="str">
        <f>IF(C43=1,((Table!K19-Table!L19)/NORMSINV(0.3))^2,"")</f>
        <v/>
      </c>
    </row>
    <row r="44" spans="1:13" x14ac:dyDescent="0.2">
      <c r="A44">
        <f t="shared" si="4"/>
        <v>13</v>
      </c>
      <c r="B44" s="49" t="e">
        <f>MAX(0,Table!I20-75)</f>
        <v>#VALUE!</v>
      </c>
      <c r="C44" t="str">
        <f t="shared" si="2"/>
        <v/>
      </c>
      <c r="D44" s="6" t="str">
        <f>IF($C44=1,Table!F20,"")</f>
        <v/>
      </c>
      <c r="E44" s="6" t="str">
        <f>IF($C44=1,Table!G20,"")</f>
        <v/>
      </c>
      <c r="F44" s="6" t="str">
        <f>IF($C44=1,Table!H20,"")</f>
        <v/>
      </c>
      <c r="G44" s="6" t="str">
        <f t="shared" si="3"/>
        <v/>
      </c>
      <c r="H44" s="6" t="str">
        <f>IF($C44=1,Table!J20,"")</f>
        <v/>
      </c>
      <c r="I44" s="6" t="str">
        <f>IF($C44=1,Table!K20,"")</f>
        <v/>
      </c>
      <c r="J44" s="6" t="str">
        <f>IF($C44=1,Table!L20,"")</f>
        <v/>
      </c>
      <c r="K44" s="6" t="str">
        <f>IF($C44=1,Table!M20,"")</f>
        <v/>
      </c>
      <c r="L44" s="6" t="str">
        <f>IF($C44=1,Table!N20,"")</f>
        <v/>
      </c>
      <c r="M44" s="41" t="str">
        <f>IF(C44=1,((Table!K20-Table!L20)/NORMSINV(0.3))^2,"")</f>
        <v/>
      </c>
    </row>
    <row r="45" spans="1:13" x14ac:dyDescent="0.2">
      <c r="A45">
        <f t="shared" si="4"/>
        <v>14</v>
      </c>
      <c r="B45" s="49" t="e">
        <f>MAX(0,Table!I21-75)</f>
        <v>#VALUE!</v>
      </c>
      <c r="C45">
        <f t="shared" si="2"/>
        <v>1</v>
      </c>
      <c r="D45" s="6" t="str">
        <f>IF($C45=1,Table!F21,"")</f>
        <v>n/a</v>
      </c>
      <c r="E45" s="6" t="str">
        <f>IF($C45=1,Table!G21,"")</f>
        <v>n/a</v>
      </c>
      <c r="F45" s="6" t="str">
        <f>IF($C45=1,Table!H21,"")</f>
        <v>n/a</v>
      </c>
      <c r="G45" s="6" t="e">
        <f t="shared" si="3"/>
        <v>#VALUE!</v>
      </c>
      <c r="H45" s="6" t="str">
        <f>IF($C45=1,Table!J21,"")</f>
        <v>n/a</v>
      </c>
      <c r="I45" s="6" t="str">
        <f>IF($C45=1,Table!K21,"")</f>
        <v>n/a</v>
      </c>
      <c r="J45" s="6" t="str">
        <f>IF($C45=1,Table!L21,"")</f>
        <v>n/a</v>
      </c>
      <c r="K45" s="6" t="str">
        <f>IF($C45=1,Table!M21,"")</f>
        <v>n/a</v>
      </c>
      <c r="L45" s="6" t="str">
        <f>IF($C45=1,Table!N21,"")</f>
        <v>n/a</v>
      </c>
      <c r="M45" s="41" t="e">
        <f>IF(C45=1,((Table!K21-Table!L21)/NORMSINV(0.3))^2,"")</f>
        <v>#VALUE!</v>
      </c>
    </row>
    <row r="46" spans="1:13" x14ac:dyDescent="0.2">
      <c r="A46">
        <f t="shared" si="4"/>
        <v>15</v>
      </c>
      <c r="B46" s="49" t="e">
        <f>MAX(0,Table!I22-75)</f>
        <v>#VALUE!</v>
      </c>
      <c r="C46">
        <f t="shared" si="2"/>
        <v>1</v>
      </c>
      <c r="D46" s="6" t="str">
        <f>IF($C46=1,Table!F22,"")</f>
        <v>n/a</v>
      </c>
      <c r="E46" s="6" t="str">
        <f>IF($C46=1,Table!G22,"")</f>
        <v>n/a</v>
      </c>
      <c r="F46" s="6" t="str">
        <f>IF($C46=1,Table!H22,"")</f>
        <v>n/a</v>
      </c>
      <c r="G46" s="6" t="e">
        <f t="shared" si="3"/>
        <v>#VALUE!</v>
      </c>
      <c r="H46" s="6" t="str">
        <f>IF($C46=1,Table!J22,"")</f>
        <v>n/a</v>
      </c>
      <c r="I46" s="6" t="str">
        <f>IF($C46=1,Table!K22,"")</f>
        <v>n/a</v>
      </c>
      <c r="J46" s="6" t="str">
        <f>IF($C46=1,Table!L22,"")</f>
        <v>n/a</v>
      </c>
      <c r="K46" s="6" t="str">
        <f>IF($C46=1,Table!M22,"")</f>
        <v>n/a</v>
      </c>
      <c r="L46" s="6" t="str">
        <f>IF($C46=1,Table!N22,"")</f>
        <v>n/a</v>
      </c>
      <c r="M46" s="41" t="e">
        <f>IF(C46=1,((Table!K22-Table!L22)/NORMSINV(0.3))^2,"")</f>
        <v>#VALUE!</v>
      </c>
    </row>
    <row r="47" spans="1:13" x14ac:dyDescent="0.2">
      <c r="A47">
        <f t="shared" si="4"/>
        <v>16</v>
      </c>
      <c r="B47" s="49" t="e">
        <f>MAX(0,Table!I23-75)</f>
        <v>#VALUE!</v>
      </c>
      <c r="C47">
        <f t="shared" si="2"/>
        <v>1</v>
      </c>
      <c r="D47" s="6" t="str">
        <f>IF($C47=1,Table!F23,"")</f>
        <v>n/a</v>
      </c>
      <c r="E47" s="6" t="str">
        <f>IF($C47=1,Table!G23,"")</f>
        <v>n/a</v>
      </c>
      <c r="F47" s="6" t="str">
        <f>IF($C47=1,Table!H23,"")</f>
        <v>n/a</v>
      </c>
      <c r="G47" s="6" t="e">
        <f t="shared" si="3"/>
        <v>#VALUE!</v>
      </c>
      <c r="H47" s="6" t="str">
        <f>IF($C47=1,Table!J23,"")</f>
        <v>n/a</v>
      </c>
      <c r="I47" s="6" t="str">
        <f>IF($C47=1,Table!K23,"")</f>
        <v>n/a</v>
      </c>
      <c r="J47" s="6" t="str">
        <f>IF($C47=1,Table!L23,"")</f>
        <v>n/a</v>
      </c>
      <c r="K47" s="6" t="str">
        <f>IF($C47=1,Table!M23,"")</f>
        <v>n/a</v>
      </c>
      <c r="L47" s="6" t="str">
        <f>IF($C47=1,Table!N23,"")</f>
        <v>n/a</v>
      </c>
      <c r="M47" s="41" t="e">
        <f>IF(C47=1,((Table!K23-Table!L23)/NORMSINV(0.3))^2,"")</f>
        <v>#VALUE!</v>
      </c>
    </row>
    <row r="48" spans="1:13" x14ac:dyDescent="0.2">
      <c r="A48">
        <f t="shared" si="4"/>
        <v>17</v>
      </c>
      <c r="B48" s="49" t="e">
        <f>MAX(0,Table!I24-75)</f>
        <v>#VALUE!</v>
      </c>
      <c r="C48">
        <f t="shared" si="2"/>
        <v>1</v>
      </c>
      <c r="D48" s="6" t="str">
        <f>IF($C48=1,Table!F24,"")</f>
        <v>n/a</v>
      </c>
      <c r="E48" s="6" t="str">
        <f>IF($C48=1,Table!G24,"")</f>
        <v>n/a</v>
      </c>
      <c r="F48" s="6" t="str">
        <f>IF($C48=1,Table!H24,"")</f>
        <v>n/a</v>
      </c>
      <c r="G48" s="6" t="e">
        <f t="shared" si="3"/>
        <v>#VALUE!</v>
      </c>
      <c r="H48" s="6" t="str">
        <f>IF($C48=1,Table!J24,"")</f>
        <v>n/a</v>
      </c>
      <c r="I48" s="6" t="str">
        <f>IF($C48=1,Table!K24,"")</f>
        <v>n/a</v>
      </c>
      <c r="J48" s="6" t="str">
        <f>IF($C48=1,Table!L24,"")</f>
        <v>n/a</v>
      </c>
      <c r="K48" s="6" t="str">
        <f>IF($C48=1,Table!M24,"")</f>
        <v>n/a</v>
      </c>
      <c r="L48" s="6" t="str">
        <f>IF($C48=1,Table!N24,"")</f>
        <v>n/a</v>
      </c>
      <c r="M48" s="41" t="e">
        <f>IF(C48=1,((Table!K24-Table!L24)/NORMSINV(0.3))^2,"")</f>
        <v>#VALUE!</v>
      </c>
    </row>
    <row r="49" spans="1:13" x14ac:dyDescent="0.2">
      <c r="A49">
        <f t="shared" si="4"/>
        <v>18</v>
      </c>
      <c r="B49" s="49" t="e">
        <f>MAX(0,Table!I25-75)</f>
        <v>#VALUE!</v>
      </c>
      <c r="C49" t="str">
        <f t="shared" si="2"/>
        <v/>
      </c>
      <c r="D49" s="6" t="str">
        <f>IF($C49=1,Table!F25,"")</f>
        <v/>
      </c>
      <c r="E49" s="6" t="str">
        <f>IF($C49=1,Table!G25,"")</f>
        <v/>
      </c>
      <c r="F49" s="6" t="str">
        <f>IF($C49=1,Table!H25,"")</f>
        <v/>
      </c>
      <c r="G49" s="6" t="str">
        <f t="shared" si="3"/>
        <v/>
      </c>
      <c r="H49" s="6" t="str">
        <f>IF($C49=1,Table!J25,"")</f>
        <v/>
      </c>
      <c r="I49" s="6" t="str">
        <f>IF($C49=1,Table!K25,"")</f>
        <v/>
      </c>
      <c r="J49" s="6" t="str">
        <f>IF($C49=1,Table!L25,"")</f>
        <v/>
      </c>
      <c r="K49" s="6" t="str">
        <f>IF($C49=1,Table!M25,"")</f>
        <v/>
      </c>
      <c r="L49" s="6" t="str">
        <f>IF($C49=1,Table!N25,"")</f>
        <v/>
      </c>
      <c r="M49" s="41" t="str">
        <f>IF(C49=1,((Table!K25-Table!L25)/NORMSINV(0.3))^2,"")</f>
        <v/>
      </c>
    </row>
    <row r="50" spans="1:13" x14ac:dyDescent="0.2">
      <c r="A50">
        <f t="shared" si="4"/>
        <v>19</v>
      </c>
      <c r="B50" s="49" t="e">
        <f>MAX(0,Table!I26-75)</f>
        <v>#VALUE!</v>
      </c>
      <c r="C50" t="str">
        <f t="shared" si="2"/>
        <v/>
      </c>
      <c r="D50" s="6" t="str">
        <f>IF($C50=1,Table!F26,"")</f>
        <v/>
      </c>
      <c r="E50" s="6" t="str">
        <f>IF($C50=1,Table!G26,"")</f>
        <v/>
      </c>
      <c r="F50" s="6" t="str">
        <f>IF($C50=1,Table!H26,"")</f>
        <v/>
      </c>
      <c r="G50" s="6" t="str">
        <f t="shared" si="3"/>
        <v/>
      </c>
      <c r="H50" s="6" t="str">
        <f>IF($C50=1,Table!J26,"")</f>
        <v/>
      </c>
      <c r="I50" s="6" t="str">
        <f>IF($C50=1,Table!K26,"")</f>
        <v/>
      </c>
      <c r="J50" s="6" t="str">
        <f>IF($C50=1,Table!L26,"")</f>
        <v/>
      </c>
      <c r="K50" s="6" t="str">
        <f>IF($C50=1,Table!M26,"")</f>
        <v/>
      </c>
      <c r="L50" s="6" t="str">
        <f>IF($C50=1,Table!N26,"")</f>
        <v/>
      </c>
      <c r="M50" s="41" t="str">
        <f>IF(C50=1,((Table!K26-Table!L26)/NORMSINV(0.3))^2,"")</f>
        <v/>
      </c>
    </row>
    <row r="51" spans="1:13" x14ac:dyDescent="0.2">
      <c r="A51">
        <f t="shared" si="4"/>
        <v>20</v>
      </c>
      <c r="B51" s="49" t="e">
        <f>MAX(0,Table!I27-75)</f>
        <v>#VALUE!</v>
      </c>
      <c r="C51" t="str">
        <f t="shared" si="2"/>
        <v/>
      </c>
      <c r="D51" s="6" t="str">
        <f>IF($C51=1,Table!F27,"")</f>
        <v/>
      </c>
      <c r="E51" s="6" t="str">
        <f>IF($C51=1,Table!G27,"")</f>
        <v/>
      </c>
      <c r="F51" s="6" t="str">
        <f>IF($C51=1,Table!H27,"")</f>
        <v/>
      </c>
      <c r="G51" s="6" t="str">
        <f t="shared" si="3"/>
        <v/>
      </c>
      <c r="H51" s="6" t="str">
        <f>IF($C51=1,Table!J27,"")</f>
        <v/>
      </c>
      <c r="I51" s="6" t="str">
        <f>IF($C51=1,Table!K27,"")</f>
        <v/>
      </c>
      <c r="J51" s="6" t="str">
        <f>IF($C51=1,Table!L27,"")</f>
        <v/>
      </c>
      <c r="K51" s="6" t="str">
        <f>IF($C51=1,Table!M27,"")</f>
        <v/>
      </c>
      <c r="L51" s="6" t="str">
        <f>IF($C51=1,Table!N27,"")</f>
        <v/>
      </c>
      <c r="M51" s="41" t="str">
        <f>IF(C51=1,((Table!K27-Table!L27)/NORMSINV(0.3))^2,"")</f>
        <v/>
      </c>
    </row>
    <row r="52" spans="1:13" x14ac:dyDescent="0.2">
      <c r="A52">
        <f t="shared" si="4"/>
        <v>21</v>
      </c>
      <c r="B52" s="49" t="e">
        <f>MAX(0,Table!I28-75)</f>
        <v>#VALUE!</v>
      </c>
      <c r="C52" t="str">
        <f t="shared" si="2"/>
        <v/>
      </c>
      <c r="D52" s="6" t="str">
        <f>IF($C52=1,Table!F28,"")</f>
        <v/>
      </c>
      <c r="E52" s="6" t="str">
        <f>IF($C52=1,Table!G28,"")</f>
        <v/>
      </c>
      <c r="F52" s="6" t="str">
        <f>IF($C52=1,Table!H28,"")</f>
        <v/>
      </c>
      <c r="G52" s="6" t="str">
        <f t="shared" si="3"/>
        <v/>
      </c>
      <c r="H52" s="6" t="str">
        <f>IF($C52=1,Table!J28,"")</f>
        <v/>
      </c>
      <c r="I52" s="6" t="str">
        <f>IF($C52=1,Table!K28,"")</f>
        <v/>
      </c>
      <c r="J52" s="6" t="str">
        <f>IF($C52=1,Table!L28,"")</f>
        <v/>
      </c>
      <c r="K52" s="6" t="str">
        <f>IF($C52=1,Table!M28,"")</f>
        <v/>
      </c>
      <c r="L52" s="6" t="str">
        <f>IF($C52=1,Table!N28,"")</f>
        <v/>
      </c>
      <c r="M52" s="41" t="str">
        <f>IF(C52=1,((Table!K28-Table!L28)/NORMSINV(0.3))^2,"")</f>
        <v/>
      </c>
    </row>
    <row r="53" spans="1:13" x14ac:dyDescent="0.2">
      <c r="A53">
        <f t="shared" si="4"/>
        <v>22</v>
      </c>
      <c r="B53" s="49" t="e">
        <f>MAX(0,Table!I29-75)</f>
        <v>#VALUE!</v>
      </c>
      <c r="C53" t="str">
        <f t="shared" si="2"/>
        <v/>
      </c>
      <c r="D53" s="6" t="str">
        <f>IF($C53=1,Table!F29,"")</f>
        <v/>
      </c>
      <c r="E53" s="6" t="str">
        <f>IF($C53=1,Table!G29,"")</f>
        <v/>
      </c>
      <c r="F53" s="6" t="str">
        <f>IF($C53=1,Table!H29,"")</f>
        <v/>
      </c>
      <c r="G53" s="6" t="str">
        <f t="shared" si="3"/>
        <v/>
      </c>
      <c r="H53" s="6" t="str">
        <f>IF($C53=1,Table!J29,"")</f>
        <v/>
      </c>
      <c r="I53" s="6" t="str">
        <f>IF($C53=1,Table!K29,"")</f>
        <v/>
      </c>
      <c r="J53" s="6" t="str">
        <f>IF($C53=1,Table!L29,"")</f>
        <v/>
      </c>
      <c r="K53" s="6" t="str">
        <f>IF($C53=1,Table!M29,"")</f>
        <v/>
      </c>
      <c r="L53" s="6" t="str">
        <f>IF($C53=1,Table!N29,"")</f>
        <v/>
      </c>
      <c r="M53" s="41" t="str">
        <f>IF(C53=1,((Table!K29-Table!L29)/NORMSINV(0.3))^2,"")</f>
        <v/>
      </c>
    </row>
    <row r="54" spans="1:13" x14ac:dyDescent="0.2">
      <c r="A54">
        <f t="shared" si="4"/>
        <v>23</v>
      </c>
      <c r="B54" s="49" t="e">
        <f>MAX(0,Table!I30-75)</f>
        <v>#VALUE!</v>
      </c>
      <c r="C54" t="str">
        <f t="shared" si="2"/>
        <v/>
      </c>
      <c r="D54" s="6" t="str">
        <f>IF($C54=1,Table!F30,"")</f>
        <v/>
      </c>
      <c r="E54" s="6" t="str">
        <f>IF($C54=1,Table!G30,"")</f>
        <v/>
      </c>
      <c r="F54" s="6" t="str">
        <f>IF($C54=1,Table!H30,"")</f>
        <v/>
      </c>
      <c r="G54" s="6" t="str">
        <f t="shared" si="3"/>
        <v/>
      </c>
      <c r="H54" s="6" t="str">
        <f>IF($C54=1,Table!J30,"")</f>
        <v/>
      </c>
      <c r="I54" s="6" t="str">
        <f>IF($C54=1,Table!K30,"")</f>
        <v/>
      </c>
      <c r="J54" s="6" t="str">
        <f>IF($C54=1,Table!L30,"")</f>
        <v/>
      </c>
      <c r="K54" s="6" t="str">
        <f>IF($C54=1,Table!M30,"")</f>
        <v/>
      </c>
      <c r="L54" s="6" t="str">
        <f>IF($C54=1,Table!N30,"")</f>
        <v/>
      </c>
      <c r="M54" s="41" t="str">
        <f>IF(C54=1,((Table!K30-Table!L30)/NORMSINV(0.3))^2,"")</f>
        <v/>
      </c>
    </row>
    <row r="55" spans="1:13" x14ac:dyDescent="0.2">
      <c r="A55">
        <f t="shared" si="4"/>
        <v>24</v>
      </c>
      <c r="B55" s="49" t="e">
        <f>MAX(0,Table!I31-75)</f>
        <v>#VALUE!</v>
      </c>
      <c r="C55" t="str">
        <f t="shared" si="2"/>
        <v/>
      </c>
      <c r="D55" s="6" t="str">
        <f>IF($C55=1,Table!F31,"")</f>
        <v/>
      </c>
      <c r="E55" s="6" t="str">
        <f>IF($C55=1,Table!G31,"")</f>
        <v/>
      </c>
      <c r="F55" s="6" t="str">
        <f>IF($C55=1,Table!H31,"")</f>
        <v/>
      </c>
      <c r="G55" s="6" t="str">
        <f t="shared" si="3"/>
        <v/>
      </c>
      <c r="H55" s="6" t="str">
        <f>IF($C55=1,Table!J31,"")</f>
        <v/>
      </c>
      <c r="I55" s="6" t="str">
        <f>IF($C55=1,Table!K31,"")</f>
        <v/>
      </c>
      <c r="J55" s="6" t="str">
        <f>IF($C55=1,Table!L31,"")</f>
        <v/>
      </c>
      <c r="K55" s="6" t="str">
        <f>IF($C55=1,Table!M31,"")</f>
        <v/>
      </c>
      <c r="L55" s="6" t="str">
        <f>IF($C55=1,Table!N31,"")</f>
        <v/>
      </c>
      <c r="M55" s="41" t="str">
        <f>IF(C55=1,((Table!K31-Table!L31)/NORMSINV(0.3))^2,"")</f>
        <v/>
      </c>
    </row>
    <row r="56" spans="1:13" x14ac:dyDescent="0.2">
      <c r="A56" s="43" t="s">
        <v>222</v>
      </c>
      <c r="D56" t="e">
        <f>AVERAGE(D32:D55)</f>
        <v>#DIV/0!</v>
      </c>
      <c r="E56" t="e">
        <f>AVERAGE(E32:E55)</f>
        <v>#DIV/0!</v>
      </c>
      <c r="F56" t="e">
        <f>AVERAGE(F32:F55)</f>
        <v>#DIV/0!</v>
      </c>
      <c r="G56" s="6" t="e">
        <f>SUM(G32:G55)</f>
        <v>#VALUE!</v>
      </c>
      <c r="H56" t="e">
        <f t="shared" ref="H56:L56" si="5">AVERAGE(H32:H55)</f>
        <v>#DIV/0!</v>
      </c>
      <c r="I56" t="e">
        <f t="shared" si="5"/>
        <v>#DIV/0!</v>
      </c>
      <c r="J56" t="e">
        <f t="shared" si="5"/>
        <v>#DIV/0!</v>
      </c>
      <c r="K56" t="e">
        <f t="shared" si="5"/>
        <v>#DIV/0!</v>
      </c>
      <c r="L56" t="e">
        <f t="shared" si="5"/>
        <v>#DIV/0!</v>
      </c>
      <c r="M56" s="49" t="e">
        <f>SQRT((1/SUM(C32:C55)^2*SUM(M32:M55)))</f>
        <v>#VALUE!</v>
      </c>
    </row>
    <row r="57" spans="1:13" x14ac:dyDescent="0.2">
      <c r="G57" s="6"/>
      <c r="H57" s="6"/>
    </row>
    <row r="58" spans="1:13" x14ac:dyDescent="0.2">
      <c r="B58" t="s">
        <v>235</v>
      </c>
      <c r="C58">
        <v>0.1</v>
      </c>
      <c r="D58">
        <v>0.3</v>
      </c>
      <c r="E58">
        <v>0.5</v>
      </c>
      <c r="F58">
        <v>0.7</v>
      </c>
      <c r="G58" s="6">
        <v>0.9</v>
      </c>
      <c r="H58" s="6"/>
    </row>
    <row r="59" spans="1:13" x14ac:dyDescent="0.2">
      <c r="A59" s="43" t="s">
        <v>236</v>
      </c>
      <c r="B59" t="e">
        <f>IF(Result_type="Aggregate Impact",B60,B61)</f>
        <v>#VALUE!</v>
      </c>
      <c r="C59" s="49" t="e">
        <f>NORMINV(C58,$F$56,$B$59)</f>
        <v>#DIV/0!</v>
      </c>
      <c r="D59" s="49" t="e">
        <f t="shared" ref="D59:G59" si="6">NORMINV(D58,$F$56,$B$59)</f>
        <v>#DIV/0!</v>
      </c>
      <c r="E59" s="49" t="e">
        <f t="shared" si="6"/>
        <v>#DIV/0!</v>
      </c>
      <c r="F59" s="49" t="e">
        <f t="shared" si="6"/>
        <v>#DIV/0!</v>
      </c>
      <c r="G59" s="49" t="e">
        <f t="shared" si="6"/>
        <v>#DIV/0!</v>
      </c>
      <c r="H59" s="6"/>
    </row>
    <row r="60" spans="1:13" x14ac:dyDescent="0.2">
      <c r="A60" s="43" t="s">
        <v>237</v>
      </c>
      <c r="B60" t="e">
        <f>DGET(data,"stderr_evt_hr",_xlnm.Criteria)</f>
        <v>#VALUE!</v>
      </c>
      <c r="G60" s="6"/>
      <c r="H60" s="6"/>
    </row>
    <row r="61" spans="1:13" x14ac:dyDescent="0.2">
      <c r="A61" s="43" t="s">
        <v>238</v>
      </c>
      <c r="B61" t="e">
        <f>B60*1000/Bid</f>
        <v>#VALUE!</v>
      </c>
      <c r="G61" s="6"/>
      <c r="H61" s="6"/>
    </row>
    <row r="62" spans="1:13" x14ac:dyDescent="0.2">
      <c r="G62" s="6"/>
      <c r="H62" s="6"/>
    </row>
    <row r="63" spans="1:13" x14ac:dyDescent="0.2">
      <c r="G63" s="6"/>
      <c r="H63" s="6"/>
    </row>
    <row r="64" spans="1:13" x14ac:dyDescent="0.2">
      <c r="G64" s="6"/>
      <c r="H64" s="6"/>
    </row>
    <row r="65" spans="7:8" x14ac:dyDescent="0.2">
      <c r="G65" s="6"/>
      <c r="H65" s="6"/>
    </row>
    <row r="66" spans="7:8" x14ac:dyDescent="0.2">
      <c r="G66" s="6"/>
      <c r="H66" s="6"/>
    </row>
    <row r="67" spans="7:8" x14ac:dyDescent="0.2">
      <c r="G67" s="6"/>
      <c r="H67" s="6"/>
    </row>
    <row r="68" spans="7:8" x14ac:dyDescent="0.2">
      <c r="G68" s="6"/>
      <c r="H68" s="6"/>
    </row>
    <row r="69" spans="7:8" x14ac:dyDescent="0.2">
      <c r="G69" s="6"/>
      <c r="H69" s="6"/>
    </row>
    <row r="70" spans="7:8" x14ac:dyDescent="0.2">
      <c r="G70" s="6"/>
      <c r="H70" s="6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T60"/>
  <sheetViews>
    <sheetView zoomScaleNormal="100" workbookViewId="0">
      <pane xSplit="7" ySplit="1" topLeftCell="H2" activePane="bottomRight" state="frozen"/>
      <selection activeCell="B10" sqref="B10:F15"/>
      <selection pane="topRight" activeCell="B10" sqref="B10:F15"/>
      <selection pane="bottomLeft" activeCell="B10" sqref="B10:F15"/>
      <selection pane="bottomRight" activeCell="FT25" sqref="A2:FT25"/>
    </sheetView>
  </sheetViews>
  <sheetFormatPr defaultRowHeight="12.75" x14ac:dyDescent="0.2"/>
  <sheetData>
    <row r="1" spans="1:176" x14ac:dyDescent="0.2">
      <c r="A1" t="s">
        <v>193</v>
      </c>
      <c r="B1" t="s">
        <v>194</v>
      </c>
      <c r="C1" t="s">
        <v>195</v>
      </c>
      <c r="D1" t="s">
        <v>198</v>
      </c>
      <c r="E1" s="43" t="s">
        <v>225</v>
      </c>
      <c r="F1" t="s">
        <v>226</v>
      </c>
      <c r="G1" t="s">
        <v>234</v>
      </c>
      <c r="H1" t="s">
        <v>167</v>
      </c>
      <c r="I1" t="s">
        <v>168</v>
      </c>
      <c r="J1" t="s">
        <v>169</v>
      </c>
      <c r="K1" t="s">
        <v>170</v>
      </c>
      <c r="L1" t="s">
        <v>171</v>
      </c>
      <c r="M1" t="s">
        <v>172</v>
      </c>
      <c r="N1" t="s">
        <v>173</v>
      </c>
      <c r="O1" t="s">
        <v>174</v>
      </c>
      <c r="P1" t="s">
        <v>175</v>
      </c>
      <c r="Q1" t="s">
        <v>176</v>
      </c>
      <c r="R1" t="s">
        <v>177</v>
      </c>
      <c r="S1" t="s">
        <v>178</v>
      </c>
      <c r="T1" t="s">
        <v>179</v>
      </c>
      <c r="U1" t="s">
        <v>180</v>
      </c>
      <c r="V1" t="s">
        <v>181</v>
      </c>
      <c r="W1" t="s">
        <v>182</v>
      </c>
      <c r="X1" t="s">
        <v>183</v>
      </c>
      <c r="Y1" t="s">
        <v>184</v>
      </c>
      <c r="Z1" t="s">
        <v>185</v>
      </c>
      <c r="AA1" t="s">
        <v>186</v>
      </c>
      <c r="AB1" t="s">
        <v>187</v>
      </c>
      <c r="AC1" t="s">
        <v>188</v>
      </c>
      <c r="AD1" t="s">
        <v>189</v>
      </c>
      <c r="AE1" t="s">
        <v>190</v>
      </c>
      <c r="AF1" t="s">
        <v>22</v>
      </c>
      <c r="AG1" t="s">
        <v>23</v>
      </c>
      <c r="AH1" t="s">
        <v>24</v>
      </c>
      <c r="AI1" t="s">
        <v>25</v>
      </c>
      <c r="AJ1" t="s">
        <v>26</v>
      </c>
      <c r="AK1" t="s">
        <v>27</v>
      </c>
      <c r="AL1" t="s">
        <v>28</v>
      </c>
      <c r="AM1" t="s">
        <v>29</v>
      </c>
      <c r="AN1" t="s">
        <v>30</v>
      </c>
      <c r="AO1" t="s">
        <v>31</v>
      </c>
      <c r="AP1" t="s">
        <v>32</v>
      </c>
      <c r="AQ1" t="s">
        <v>33</v>
      </c>
      <c r="AR1" t="s">
        <v>34</v>
      </c>
      <c r="AS1" t="s">
        <v>35</v>
      </c>
      <c r="AT1" t="s">
        <v>36</v>
      </c>
      <c r="AU1" t="s">
        <v>37</v>
      </c>
      <c r="AV1" t="s">
        <v>38</v>
      </c>
      <c r="AW1" t="s">
        <v>39</v>
      </c>
      <c r="AX1" t="s">
        <v>40</v>
      </c>
      <c r="AY1" t="s">
        <v>41</v>
      </c>
      <c r="AZ1" t="s">
        <v>42</v>
      </c>
      <c r="BA1" t="s">
        <v>43</v>
      </c>
      <c r="BB1" t="s">
        <v>44</v>
      </c>
      <c r="BC1" t="s">
        <v>45</v>
      </c>
      <c r="BD1" t="s">
        <v>46</v>
      </c>
      <c r="BE1" t="s">
        <v>47</v>
      </c>
      <c r="BF1" t="s">
        <v>48</v>
      </c>
      <c r="BG1" t="s">
        <v>49</v>
      </c>
      <c r="BH1" t="s">
        <v>50</v>
      </c>
      <c r="BI1" t="s">
        <v>51</v>
      </c>
      <c r="BJ1" t="s">
        <v>52</v>
      </c>
      <c r="BK1" t="s">
        <v>53</v>
      </c>
      <c r="BL1" t="s">
        <v>54</v>
      </c>
      <c r="BM1" t="s">
        <v>55</v>
      </c>
      <c r="BN1" t="s">
        <v>56</v>
      </c>
      <c r="BO1" t="s">
        <v>57</v>
      </c>
      <c r="BP1" t="s">
        <v>58</v>
      </c>
      <c r="BQ1" t="s">
        <v>59</v>
      </c>
      <c r="BR1" t="s">
        <v>60</v>
      </c>
      <c r="BS1" t="s">
        <v>61</v>
      </c>
      <c r="BT1" t="s">
        <v>62</v>
      </c>
      <c r="BU1" t="s">
        <v>63</v>
      </c>
      <c r="BV1" t="s">
        <v>64</v>
      </c>
      <c r="BW1" t="s">
        <v>65</v>
      </c>
      <c r="BX1" t="s">
        <v>66</v>
      </c>
      <c r="BY1" t="s">
        <v>67</v>
      </c>
      <c r="BZ1" t="s">
        <v>68</v>
      </c>
      <c r="CA1" t="s">
        <v>69</v>
      </c>
      <c r="CB1" t="s">
        <v>70</v>
      </c>
      <c r="CC1" t="s">
        <v>71</v>
      </c>
      <c r="CD1" t="s">
        <v>72</v>
      </c>
      <c r="CE1" t="s">
        <v>73</v>
      </c>
      <c r="CF1" t="s">
        <v>74</v>
      </c>
      <c r="CG1" t="s">
        <v>75</v>
      </c>
      <c r="CH1" t="s">
        <v>76</v>
      </c>
      <c r="CI1" t="s">
        <v>77</v>
      </c>
      <c r="CJ1" t="s">
        <v>78</v>
      </c>
      <c r="CK1" t="s">
        <v>79</v>
      </c>
      <c r="CL1" t="s">
        <v>80</v>
      </c>
      <c r="CM1" t="s">
        <v>81</v>
      </c>
      <c r="CN1" t="s">
        <v>82</v>
      </c>
      <c r="CO1" t="s">
        <v>83</v>
      </c>
      <c r="CP1" t="s">
        <v>84</v>
      </c>
      <c r="CQ1" t="s">
        <v>85</v>
      </c>
      <c r="CR1" t="s">
        <v>86</v>
      </c>
      <c r="CS1" t="s">
        <v>87</v>
      </c>
      <c r="CT1" t="s">
        <v>88</v>
      </c>
      <c r="CU1" t="s">
        <v>89</v>
      </c>
      <c r="CV1" t="s">
        <v>90</v>
      </c>
      <c r="CW1" t="s">
        <v>91</v>
      </c>
      <c r="CX1" t="s">
        <v>92</v>
      </c>
      <c r="CY1" t="s">
        <v>93</v>
      </c>
      <c r="CZ1" t="s">
        <v>94</v>
      </c>
      <c r="DA1" t="s">
        <v>95</v>
      </c>
      <c r="DB1" t="s">
        <v>96</v>
      </c>
      <c r="DC1" t="s">
        <v>97</v>
      </c>
      <c r="DD1" t="s">
        <v>98</v>
      </c>
      <c r="DE1" t="s">
        <v>99</v>
      </c>
      <c r="DF1" t="s">
        <v>100</v>
      </c>
      <c r="DG1" t="s">
        <v>101</v>
      </c>
      <c r="DH1" t="s">
        <v>102</v>
      </c>
      <c r="DI1" t="s">
        <v>103</v>
      </c>
      <c r="DJ1" t="s">
        <v>104</v>
      </c>
      <c r="DK1" t="s">
        <v>105</v>
      </c>
      <c r="DL1" t="s">
        <v>106</v>
      </c>
      <c r="DM1" t="s">
        <v>107</v>
      </c>
      <c r="DN1" t="s">
        <v>108</v>
      </c>
      <c r="DO1" t="s">
        <v>109</v>
      </c>
      <c r="DP1" t="s">
        <v>110</v>
      </c>
      <c r="DQ1" t="s">
        <v>111</v>
      </c>
      <c r="DR1" t="s">
        <v>112</v>
      </c>
      <c r="DS1" t="s">
        <v>113</v>
      </c>
      <c r="DT1" t="s">
        <v>114</v>
      </c>
      <c r="DU1" t="s">
        <v>115</v>
      </c>
      <c r="DV1" t="s">
        <v>116</v>
      </c>
      <c r="DW1" t="s">
        <v>117</v>
      </c>
      <c r="DX1" t="s">
        <v>118</v>
      </c>
      <c r="DY1" t="s">
        <v>119</v>
      </c>
      <c r="DZ1" t="s">
        <v>120</v>
      </c>
      <c r="EA1" t="s">
        <v>121</v>
      </c>
      <c r="EB1" t="s">
        <v>122</v>
      </c>
      <c r="EC1" t="s">
        <v>123</v>
      </c>
      <c r="ED1" t="s">
        <v>124</v>
      </c>
      <c r="EE1" t="s">
        <v>125</v>
      </c>
      <c r="EF1" t="s">
        <v>126</v>
      </c>
      <c r="EG1" t="s">
        <v>127</v>
      </c>
      <c r="EH1" t="s">
        <v>128</v>
      </c>
      <c r="EI1" t="s">
        <v>129</v>
      </c>
      <c r="EJ1" t="s">
        <v>130</v>
      </c>
      <c r="EK1" t="s">
        <v>131</v>
      </c>
      <c r="EL1" t="s">
        <v>132</v>
      </c>
      <c r="EM1" t="s">
        <v>133</v>
      </c>
      <c r="EN1" t="s">
        <v>134</v>
      </c>
      <c r="EO1" t="s">
        <v>135</v>
      </c>
      <c r="EP1" t="s">
        <v>136</v>
      </c>
      <c r="EQ1" t="s">
        <v>137</v>
      </c>
      <c r="ER1" t="s">
        <v>138</v>
      </c>
      <c r="ES1" t="s">
        <v>139</v>
      </c>
      <c r="ET1" t="s">
        <v>140</v>
      </c>
      <c r="EU1" t="s">
        <v>141</v>
      </c>
      <c r="EV1" t="s">
        <v>142</v>
      </c>
      <c r="EW1" t="s">
        <v>143</v>
      </c>
      <c r="EX1" t="s">
        <v>144</v>
      </c>
      <c r="EY1" t="s">
        <v>145</v>
      </c>
      <c r="EZ1" t="s">
        <v>146</v>
      </c>
      <c r="FA1" t="s">
        <v>147</v>
      </c>
      <c r="FB1" t="s">
        <v>148</v>
      </c>
      <c r="FC1" t="s">
        <v>149</v>
      </c>
      <c r="FD1" t="s">
        <v>150</v>
      </c>
      <c r="FE1" t="s">
        <v>151</v>
      </c>
      <c r="FF1" t="s">
        <v>152</v>
      </c>
      <c r="FG1" t="s">
        <v>153</v>
      </c>
      <c r="FH1" t="s">
        <v>154</v>
      </c>
      <c r="FI1" t="s">
        <v>155</v>
      </c>
      <c r="FJ1" t="s">
        <v>156</v>
      </c>
      <c r="FK1" t="s">
        <v>157</v>
      </c>
      <c r="FL1" t="s">
        <v>158</v>
      </c>
      <c r="FM1" t="s">
        <v>159</v>
      </c>
      <c r="FN1" t="s">
        <v>160</v>
      </c>
      <c r="FO1" t="s">
        <v>161</v>
      </c>
      <c r="FP1" t="s">
        <v>162</v>
      </c>
      <c r="FQ1" t="s">
        <v>163</v>
      </c>
      <c r="FR1" t="s">
        <v>164</v>
      </c>
      <c r="FS1" t="s">
        <v>165</v>
      </c>
      <c r="FT1" t="s">
        <v>235</v>
      </c>
    </row>
    <row r="12" spans="1:176" x14ac:dyDescent="0.2">
      <c r="BY12" s="57"/>
    </row>
    <row r="13" spans="1:176" x14ac:dyDescent="0.2">
      <c r="BY13" s="57"/>
    </row>
    <row r="18" spans="77:113" x14ac:dyDescent="0.2">
      <c r="DI18" s="57"/>
    </row>
    <row r="19" spans="77:113" x14ac:dyDescent="0.2">
      <c r="DI19" s="57"/>
    </row>
    <row r="20" spans="77:113" x14ac:dyDescent="0.2">
      <c r="BY20" s="57"/>
    </row>
    <row r="21" spans="77:113" x14ac:dyDescent="0.2">
      <c r="BY21" s="57"/>
    </row>
    <row r="24" spans="77:113" x14ac:dyDescent="0.2">
      <c r="BY24" s="57"/>
    </row>
    <row r="25" spans="77:113" x14ac:dyDescent="0.2">
      <c r="BY25" s="57"/>
    </row>
    <row r="36" spans="113:113" x14ac:dyDescent="0.2">
      <c r="DI36" s="57"/>
    </row>
    <row r="37" spans="113:113" x14ac:dyDescent="0.2">
      <c r="DI37" s="57"/>
    </row>
    <row r="52" spans="63:74" x14ac:dyDescent="0.2">
      <c r="BK52" s="57"/>
    </row>
    <row r="58" spans="63:74" x14ac:dyDescent="0.2">
      <c r="BK58" s="57"/>
    </row>
    <row r="59" spans="63:74" x14ac:dyDescent="0.2">
      <c r="BV59" s="57"/>
    </row>
    <row r="60" spans="63:74" x14ac:dyDescent="0.2">
      <c r="BV60" s="57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19" baseType="lpstr">
      <vt:lpstr>Table</vt:lpstr>
      <vt:lpstr>Lookups</vt:lpstr>
      <vt:lpstr>Data</vt:lpstr>
      <vt:lpstr>Bid</vt:lpstr>
      <vt:lpstr>Criteria</vt:lpstr>
      <vt:lpstr>data</vt:lpstr>
      <vt:lpstr>date</vt:lpstr>
      <vt:lpstr>date_list</vt:lpstr>
      <vt:lpstr>dual_enrol</vt:lpstr>
      <vt:lpstr>dual_enrol_list</vt:lpstr>
      <vt:lpstr>Enrolled</vt:lpstr>
      <vt:lpstr>ind_grp</vt:lpstr>
      <vt:lpstr>ind_list</vt:lpstr>
      <vt:lpstr>lca</vt:lpstr>
      <vt:lpstr>lca_list</vt:lpstr>
      <vt:lpstr>Table!Print_Area</vt:lpstr>
      <vt:lpstr>Result_type</vt:lpstr>
      <vt:lpstr>Result_type_list</vt:lpstr>
      <vt:lpstr>Two_way_tab_flag</vt:lpstr>
    </vt:vector>
  </TitlesOfParts>
  <Company>Christensen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edmchugh</dc:creator>
  <cp:lastModifiedBy>Tim Huegerich</cp:lastModifiedBy>
  <cp:lastPrinted>2009-04-03T17:07:33Z</cp:lastPrinted>
  <dcterms:created xsi:type="dcterms:W3CDTF">2009-03-24T17:58:42Z</dcterms:created>
  <dcterms:modified xsi:type="dcterms:W3CDTF">2016-03-30T01:16:29Z</dcterms:modified>
</cp:coreProperties>
</file>